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4/RLAB/IB4Sales/"/>
    </mc:Choice>
  </mc:AlternateContent>
  <xr:revisionPtr revIDLastSave="0" documentId="8_{2AD3AC79-D708-C646-8807-E77C30FD4746}" xr6:coauthVersionLast="47" xr6:coauthVersionMax="47" xr10:uidLastSave="{00000000-0000-0000-0000-000000000000}"/>
  <bookViews>
    <workbookView xWindow="0" yWindow="680" windowWidth="21800" windowHeight="12980" firstSheet="4" activeTab="5" xr2:uid="{1DF28052-FB4C-ED49-B389-0221611E78C1}"/>
  </bookViews>
  <sheets>
    <sheet name="CFP" sheetId="15" r:id="rId1"/>
    <sheet name="BALANCES" sheetId="5" r:id="rId2"/>
    <sheet name="DCF" sheetId="8" state="hidden" r:id="rId3"/>
    <sheet name="FLOWS" sheetId="1" r:id="rId4"/>
    <sheet name="LQDT" sheetId="20" r:id="rId5"/>
    <sheet name="DEALS" sheetId="10" r:id="rId6"/>
    <sheet name="STS" sheetId="12" state="hidden" r:id="rId7"/>
    <sheet name="CASHBALANCE " sheetId="22" r:id="rId8"/>
    <sheet name="CLIENTS" sheetId="11" r:id="rId9"/>
    <sheet name="LDB" sheetId="23" r:id="rId10"/>
    <sheet name="INVOICES" sheetId="9" r:id="rId11"/>
    <sheet name="EXIMTO" sheetId="19" r:id="rId12"/>
    <sheet name="FX RATES" sheetId="3" r:id="rId13"/>
    <sheet name="DATA" sheetId="2" r:id="rId14"/>
  </sheets>
  <definedNames>
    <definedName name="_xlnm._FilterDatabase" localSheetId="1" hidden="1">BALANCES!$A$2:$D$57</definedName>
    <definedName name="_xlnm._FilterDatabase" localSheetId="8" hidden="1">CLIENTS!$A$1:$R$22</definedName>
    <definedName name="_xlnm._FilterDatabase" localSheetId="2" hidden="1">DCF!#REF!</definedName>
    <definedName name="_xlnm._FilterDatabase" localSheetId="5" hidden="1">DEALS!$O$1:$O$729</definedName>
    <definedName name="_xlnm._FilterDatabase" localSheetId="11" hidden="1">EXIMTO!#REF!</definedName>
    <definedName name="_xlnm._FilterDatabase" localSheetId="3" hidden="1">FLOWS!$A$2:$L$2</definedName>
    <definedName name="_xlnm._FilterDatabase" localSheetId="10" hidden="1">INVOICES!$A$2:$O$165</definedName>
    <definedName name="_xlnm._FilterDatabase" localSheetId="6" hidden="1">STS!#REF!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9" i="10" l="1"/>
  <c r="AM659" i="10"/>
  <c r="X659" i="10"/>
  <c r="Z659" i="10"/>
  <c r="AB659" i="10"/>
  <c r="AC659" i="10"/>
  <c r="AE659" i="10"/>
  <c r="AF659" i="10"/>
  <c r="AJ659" i="10"/>
  <c r="AK659" i="10"/>
  <c r="AS659" i="10"/>
  <c r="R659" i="10" s="1"/>
  <c r="R657" i="10"/>
  <c r="X662" i="10"/>
  <c r="Z662" i="10"/>
  <c r="AB662" i="10"/>
  <c r="AC662" i="10"/>
  <c r="AE662" i="10"/>
  <c r="AF662" i="10"/>
  <c r="AJ662" i="10"/>
  <c r="AK662" i="10"/>
  <c r="J662" i="10"/>
  <c r="AJ653" i="10"/>
  <c r="AK653" i="10"/>
  <c r="AM653" i="10"/>
  <c r="AN653" i="10"/>
  <c r="X653" i="10"/>
  <c r="Z653" i="10"/>
  <c r="AB653" i="10"/>
  <c r="AC653" i="10"/>
  <c r="J653" i="10"/>
  <c r="AJ652" i="10"/>
  <c r="AK652" i="10"/>
  <c r="AM652" i="10"/>
  <c r="AN652" i="10"/>
  <c r="X652" i="10"/>
  <c r="Z652" i="10"/>
  <c r="AB652" i="10"/>
  <c r="AC652" i="10"/>
  <c r="J652" i="10"/>
  <c r="AJ651" i="10"/>
  <c r="AK651" i="10"/>
  <c r="AM651" i="10"/>
  <c r="AN651" i="10"/>
  <c r="X651" i="10"/>
  <c r="Z651" i="10"/>
  <c r="AB651" i="10"/>
  <c r="AC651" i="10"/>
  <c r="J651" i="10"/>
  <c r="AJ654" i="10"/>
  <c r="AK654" i="10"/>
  <c r="AM654" i="10"/>
  <c r="AN654" i="10"/>
  <c r="X654" i="10"/>
  <c r="Z654" i="10"/>
  <c r="AB654" i="10"/>
  <c r="AC654" i="10"/>
  <c r="J654" i="10"/>
  <c r="X655" i="10"/>
  <c r="Z655" i="10"/>
  <c r="AB655" i="10"/>
  <c r="AC655" i="10"/>
  <c r="AE655" i="10"/>
  <c r="AF655" i="10"/>
  <c r="AJ655" i="10"/>
  <c r="AK655" i="10"/>
  <c r="AJ649" i="10"/>
  <c r="AK649" i="10"/>
  <c r="AM649" i="10"/>
  <c r="AN649" i="10"/>
  <c r="X649" i="10"/>
  <c r="Z649" i="10"/>
  <c r="AB649" i="10"/>
  <c r="AC649" i="10"/>
  <c r="J649" i="10"/>
  <c r="AJ693" i="10"/>
  <c r="AK693" i="10"/>
  <c r="AM693" i="10"/>
  <c r="AN693" i="10"/>
  <c r="R693" i="10"/>
  <c r="X693" i="10"/>
  <c r="Z693" i="10"/>
  <c r="AB693" i="10"/>
  <c r="AC693" i="10"/>
  <c r="AE693" i="10"/>
  <c r="AF693" i="10"/>
  <c r="AJ650" i="10"/>
  <c r="AB650" i="10"/>
  <c r="Z650" i="10"/>
  <c r="X650" i="10"/>
  <c r="J650" i="10"/>
  <c r="AJ691" i="10"/>
  <c r="AB691" i="10"/>
  <c r="Z691" i="10"/>
  <c r="X691" i="10"/>
  <c r="R691" i="10"/>
  <c r="J691" i="10"/>
  <c r="AJ648" i="10"/>
  <c r="AB648" i="10"/>
  <c r="Z648" i="10"/>
  <c r="X648" i="10"/>
  <c r="J648" i="10"/>
  <c r="I646" i="10"/>
  <c r="AM646" i="10"/>
  <c r="X646" i="10"/>
  <c r="Z646" i="10"/>
  <c r="AB646" i="10"/>
  <c r="AC646" i="10"/>
  <c r="AE646" i="10"/>
  <c r="AF646" i="10"/>
  <c r="AJ646" i="10"/>
  <c r="AK646" i="10"/>
  <c r="J646" i="10"/>
  <c r="AM689" i="10"/>
  <c r="AJ689" i="10"/>
  <c r="AK689" i="10"/>
  <c r="X689" i="10"/>
  <c r="Z689" i="10"/>
  <c r="AB689" i="10"/>
  <c r="AC689" i="10"/>
  <c r="R689" i="10"/>
  <c r="AM688" i="10"/>
  <c r="AJ688" i="10"/>
  <c r="AK688" i="10"/>
  <c r="R688" i="10"/>
  <c r="X688" i="10"/>
  <c r="Z688" i="10"/>
  <c r="AB688" i="10"/>
  <c r="AC688" i="10"/>
  <c r="AM687" i="10"/>
  <c r="AJ687" i="10"/>
  <c r="AK687" i="10"/>
  <c r="R687" i="10"/>
  <c r="X687" i="10"/>
  <c r="Z687" i="10"/>
  <c r="AB687" i="10"/>
  <c r="AC687" i="10"/>
  <c r="AJ663" i="10"/>
  <c r="AB663" i="10"/>
  <c r="Z663" i="10"/>
  <c r="X663" i="10"/>
  <c r="AJ658" i="10"/>
  <c r="AK658" i="10"/>
  <c r="AM658" i="10"/>
  <c r="AN658" i="10"/>
  <c r="R658" i="10"/>
  <c r="X658" i="10"/>
  <c r="Z658" i="10"/>
  <c r="AB658" i="10"/>
  <c r="AC658" i="10"/>
  <c r="AE658" i="10"/>
  <c r="AF658" i="10"/>
  <c r="AJ657" i="10"/>
  <c r="AB657" i="10"/>
  <c r="Z657" i="10"/>
  <c r="X657" i="10"/>
  <c r="AJ685" i="10"/>
  <c r="AB685" i="10"/>
  <c r="Z685" i="10"/>
  <c r="X685" i="10"/>
  <c r="J685" i="10"/>
  <c r="AJ683" i="10"/>
  <c r="AB683" i="10"/>
  <c r="Z683" i="10"/>
  <c r="X683" i="10"/>
  <c r="AJ661" i="10"/>
  <c r="AK661" i="10" s="1"/>
  <c r="AM661" i="10"/>
  <c r="AN661" i="10"/>
  <c r="X661" i="10"/>
  <c r="Z661" i="10"/>
  <c r="AB661" i="10"/>
  <c r="AC661" i="10"/>
  <c r="J661" i="10"/>
  <c r="AJ681" i="10"/>
  <c r="AK681" i="10"/>
  <c r="X681" i="10"/>
  <c r="Z681" i="10"/>
  <c r="AB681" i="10"/>
  <c r="AC681" i="10"/>
  <c r="AM643" i="10"/>
  <c r="X643" i="10"/>
  <c r="Z643" i="10"/>
  <c r="AB643" i="10"/>
  <c r="AC643" i="10" s="1"/>
  <c r="AE643" i="10" s="1"/>
  <c r="AF643" i="10"/>
  <c r="AJ643" i="10"/>
  <c r="AK643" i="10"/>
  <c r="J643" i="10"/>
  <c r="AJ642" i="10"/>
  <c r="AK642" i="10"/>
  <c r="AM642" i="10"/>
  <c r="AN642" i="10"/>
  <c r="R642" i="10"/>
  <c r="X642" i="10"/>
  <c r="Z642" i="10"/>
  <c r="AB642" i="10"/>
  <c r="AC642" i="10"/>
  <c r="AE642" i="10"/>
  <c r="AF642" i="10"/>
  <c r="AX618" i="10"/>
  <c r="AM618" i="10"/>
  <c r="AB618" i="10"/>
  <c r="AC618" i="10"/>
  <c r="AE618" i="10"/>
  <c r="AF618" i="10"/>
  <c r="AJ618" i="10"/>
  <c r="AK618" i="10"/>
  <c r="Z618" i="10"/>
  <c r="X618" i="10"/>
  <c r="AX637" i="10"/>
  <c r="AM637" i="10"/>
  <c r="AB637" i="10"/>
  <c r="AC637" i="10"/>
  <c r="AE637" i="10" s="1"/>
  <c r="AF637" i="10"/>
  <c r="AJ637" i="10"/>
  <c r="AK637" i="10" s="1"/>
  <c r="Z637" i="10"/>
  <c r="X637" i="10"/>
  <c r="E160" i="9"/>
  <c r="AJ645" i="10"/>
  <c r="AK645" i="10" s="1"/>
  <c r="AM645" i="10" s="1"/>
  <c r="AN645" i="10"/>
  <c r="X645" i="10"/>
  <c r="Z645" i="10"/>
  <c r="AB645" i="10"/>
  <c r="AC645" i="10"/>
  <c r="AE645" i="10" s="1"/>
  <c r="AF645" i="10"/>
  <c r="J645" i="10"/>
  <c r="AJ633" i="10"/>
  <c r="AK633" i="10"/>
  <c r="AM633" i="10" s="1"/>
  <c r="AN633" i="10"/>
  <c r="X633" i="10"/>
  <c r="Z633" i="10"/>
  <c r="AB633" i="10"/>
  <c r="AJ632" i="10"/>
  <c r="AK632" i="10"/>
  <c r="AM632" i="10"/>
  <c r="AN632" i="10"/>
  <c r="X632" i="10"/>
  <c r="Z632" i="10"/>
  <c r="AB632" i="10"/>
  <c r="AC632" i="10"/>
  <c r="AE632" i="10"/>
  <c r="AF632" i="10"/>
  <c r="AJ678" i="10"/>
  <c r="AE678" i="10"/>
  <c r="AB678" i="10"/>
  <c r="Z678" i="10"/>
  <c r="X678" i="10"/>
  <c r="X640" i="10"/>
  <c r="Z640" i="10"/>
  <c r="AB640" i="10"/>
  <c r="AC640" i="10"/>
  <c r="AE640" i="10" s="1"/>
  <c r="AF640" i="10"/>
  <c r="AJ640" i="10"/>
  <c r="AK640" i="10"/>
  <c r="AJ624" i="10"/>
  <c r="AK624" i="10"/>
  <c r="AM624" i="10"/>
  <c r="AN624" i="10"/>
  <c r="X624" i="10"/>
  <c r="Z624" i="10"/>
  <c r="AB624" i="10"/>
  <c r="AC624" i="10"/>
  <c r="J624" i="10"/>
  <c r="AJ639" i="10"/>
  <c r="AK639" i="10"/>
  <c r="AM639" i="10"/>
  <c r="AN639" i="10"/>
  <c r="X639" i="10"/>
  <c r="Z639" i="10"/>
  <c r="AB639" i="10"/>
  <c r="AC639" i="10"/>
  <c r="J639" i="10"/>
  <c r="AX636" i="10"/>
  <c r="AM636" i="10"/>
  <c r="AJ636" i="10"/>
  <c r="AB636" i="10"/>
  <c r="Z636" i="10"/>
  <c r="X636" i="10"/>
  <c r="AJ635" i="10"/>
  <c r="AB635" i="10"/>
  <c r="Z635" i="10"/>
  <c r="X635" i="10"/>
  <c r="R635" i="10"/>
  <c r="AJ630" i="10"/>
  <c r="AK630" i="10"/>
  <c r="AM630" i="10"/>
  <c r="AN630" i="10"/>
  <c r="X630" i="10"/>
  <c r="Z630" i="10"/>
  <c r="AB630" i="10"/>
  <c r="AC630" i="10"/>
  <c r="J630" i="10"/>
  <c r="AJ680" i="10"/>
  <c r="AK680" i="10"/>
  <c r="AM680" i="10"/>
  <c r="AN680" i="10"/>
  <c r="X680" i="10"/>
  <c r="Z680" i="10"/>
  <c r="AB680" i="10"/>
  <c r="AC680" i="10"/>
  <c r="J680" i="10"/>
  <c r="Q681" i="10" s="1"/>
  <c r="R681" i="10" s="1"/>
  <c r="AJ631" i="10"/>
  <c r="AK631" i="10"/>
  <c r="AM631" i="10"/>
  <c r="AN631" i="10"/>
  <c r="X631" i="10"/>
  <c r="Z631" i="10"/>
  <c r="AB631" i="10"/>
  <c r="AC631" i="10"/>
  <c r="J631" i="10"/>
  <c r="AJ629" i="10"/>
  <c r="AK629" i="10"/>
  <c r="AM629" i="10"/>
  <c r="AN629" i="10"/>
  <c r="X629" i="10"/>
  <c r="Z629" i="10"/>
  <c r="AB629" i="10"/>
  <c r="AC629" i="10"/>
  <c r="J629" i="10"/>
  <c r="AJ634" i="10"/>
  <c r="AE634" i="10"/>
  <c r="AB634" i="10"/>
  <c r="Z634" i="10"/>
  <c r="X634" i="10"/>
  <c r="AM625" i="10"/>
  <c r="AJ625" i="10"/>
  <c r="AB625" i="10"/>
  <c r="Z625" i="10"/>
  <c r="X625" i="10"/>
  <c r="E139" i="9"/>
  <c r="Q627" i="10"/>
  <c r="E174" i="9"/>
  <c r="E173" i="9"/>
  <c r="R627" i="10"/>
  <c r="X627" i="10"/>
  <c r="Z627" i="10"/>
  <c r="AB627" i="10"/>
  <c r="AC627" i="10"/>
  <c r="AE627" i="10" s="1"/>
  <c r="AF627" i="10"/>
  <c r="AJ627" i="10"/>
  <c r="AK627" i="10"/>
  <c r="AM627" i="10" s="1"/>
  <c r="AN627" i="10"/>
  <c r="AP627" i="10"/>
  <c r="AQ627" i="10"/>
  <c r="R626" i="10"/>
  <c r="X626" i="10"/>
  <c r="Z626" i="10"/>
  <c r="AB626" i="10"/>
  <c r="AC626" i="10"/>
  <c r="AE626" i="10" s="1"/>
  <c r="AF626" i="10"/>
  <c r="AJ626" i="10"/>
  <c r="AK626" i="10"/>
  <c r="AM626" i="10"/>
  <c r="AN626" i="10"/>
  <c r="AP626" i="10"/>
  <c r="AQ626" i="10"/>
  <c r="AE622" i="10"/>
  <c r="AJ622" i="10"/>
  <c r="AK622" i="10"/>
  <c r="AM622" i="10"/>
  <c r="AN622" i="10"/>
  <c r="R622" i="10"/>
  <c r="X622" i="10"/>
  <c r="Z622" i="10"/>
  <c r="AB622" i="10"/>
  <c r="AC622" i="10" s="1"/>
  <c r="C187" i="5"/>
  <c r="AJ613" i="10"/>
  <c r="AB613" i="10"/>
  <c r="Z613" i="10"/>
  <c r="X613" i="10"/>
  <c r="J613" i="10"/>
  <c r="AX617" i="10"/>
  <c r="AM617" i="10"/>
  <c r="AJ617" i="10"/>
  <c r="AB617" i="10"/>
  <c r="Z617" i="10"/>
  <c r="X617" i="10"/>
  <c r="AJ614" i="10"/>
  <c r="AK614" i="10"/>
  <c r="AM614" i="10" s="1"/>
  <c r="AN614" i="10"/>
  <c r="X614" i="10"/>
  <c r="Z614" i="10"/>
  <c r="AB614" i="10"/>
  <c r="AC614" i="10"/>
  <c r="AJ606" i="10"/>
  <c r="AK606" i="10" s="1"/>
  <c r="R606" i="10"/>
  <c r="X606" i="10"/>
  <c r="Z606" i="10"/>
  <c r="AB606" i="10"/>
  <c r="AC606" i="10" s="1"/>
  <c r="AX589" i="10"/>
  <c r="AM589" i="10"/>
  <c r="AJ589" i="10"/>
  <c r="AB589" i="10"/>
  <c r="Z589" i="10"/>
  <c r="X589" i="10"/>
  <c r="M13" i="22"/>
  <c r="AM616" i="10"/>
  <c r="AJ616" i="10"/>
  <c r="AB616" i="10"/>
  <c r="Z616" i="10"/>
  <c r="X616" i="10"/>
  <c r="AJ615" i="10"/>
  <c r="AK615" i="10" s="1"/>
  <c r="AM615" i="10" s="1"/>
  <c r="AN615" i="10"/>
  <c r="X615" i="10"/>
  <c r="Z615" i="10"/>
  <c r="AB615" i="10"/>
  <c r="AC615" i="10" s="1"/>
  <c r="J615" i="10"/>
  <c r="J623" i="10"/>
  <c r="X623" i="10"/>
  <c r="Z623" i="10"/>
  <c r="AB623" i="10"/>
  <c r="AH623" i="10"/>
  <c r="AI623" i="10" s="1"/>
  <c r="AJ623" i="10"/>
  <c r="AZ623" i="10"/>
  <c r="BB623" i="10"/>
  <c r="BG623" i="10"/>
  <c r="BI623" i="10"/>
  <c r="AM620" i="10"/>
  <c r="AJ620" i="10"/>
  <c r="AK620" i="10" s="1"/>
  <c r="X620" i="10"/>
  <c r="Z620" i="10"/>
  <c r="AB620" i="10"/>
  <c r="AC620" i="10" s="1"/>
  <c r="AJ611" i="10"/>
  <c r="AB611" i="10"/>
  <c r="Z611" i="10"/>
  <c r="X611" i="10"/>
  <c r="AE612" i="10"/>
  <c r="AJ612" i="10"/>
  <c r="AK612" i="10" s="1"/>
  <c r="AM612" i="10" s="1"/>
  <c r="AN612" i="10"/>
  <c r="X612" i="10"/>
  <c r="Z612" i="10"/>
  <c r="AB612" i="10"/>
  <c r="AC612" i="10"/>
  <c r="J612" i="10"/>
  <c r="AJ610" i="10"/>
  <c r="AK610" i="10" s="1"/>
  <c r="AM610" i="10" s="1"/>
  <c r="AN610" i="10"/>
  <c r="X610" i="10"/>
  <c r="Z610" i="10"/>
  <c r="AB610" i="10"/>
  <c r="AC610" i="10" s="1"/>
  <c r="J610" i="10"/>
  <c r="AJ609" i="10"/>
  <c r="AK609" i="10" s="1"/>
  <c r="AM609" i="10" s="1"/>
  <c r="AN609" i="10"/>
  <c r="X609" i="10"/>
  <c r="Z609" i="10"/>
  <c r="AB609" i="10"/>
  <c r="AC609" i="10" s="1"/>
  <c r="J609" i="10"/>
  <c r="AJ608" i="10"/>
  <c r="AK608" i="10" s="1"/>
  <c r="AM608" i="10" s="1"/>
  <c r="AN608" i="10"/>
  <c r="X608" i="10"/>
  <c r="Z608" i="10"/>
  <c r="AB608" i="10"/>
  <c r="AC608" i="10" s="1"/>
  <c r="J608" i="10"/>
  <c r="AM602" i="10"/>
  <c r="AJ602" i="10"/>
  <c r="AB602" i="10"/>
  <c r="Z602" i="10"/>
  <c r="X602" i="10"/>
  <c r="J602" i="10"/>
  <c r="AJ601" i="10"/>
  <c r="AB601" i="10"/>
  <c r="Z601" i="10"/>
  <c r="X601" i="10"/>
  <c r="J601" i="10"/>
  <c r="AM599" i="10"/>
  <c r="AJ599" i="10"/>
  <c r="AB599" i="10"/>
  <c r="Z599" i="10"/>
  <c r="X599" i="10"/>
  <c r="AJ598" i="10"/>
  <c r="AK598" i="10"/>
  <c r="AM598" i="10" s="1"/>
  <c r="AN598" i="10"/>
  <c r="X598" i="10"/>
  <c r="Z598" i="10"/>
  <c r="AB598" i="10"/>
  <c r="AC598" i="10"/>
  <c r="J598" i="10"/>
  <c r="F79" i="1"/>
  <c r="I106" i="1"/>
  <c r="I112" i="1"/>
  <c r="F77" i="1"/>
  <c r="F81" i="1"/>
  <c r="AM577" i="10"/>
  <c r="AJ577" i="10"/>
  <c r="AK577" i="10" s="1"/>
  <c r="AB577" i="10"/>
  <c r="AC577" i="10" s="1"/>
  <c r="Z577" i="10"/>
  <c r="X577" i="10"/>
  <c r="AX590" i="10"/>
  <c r="AM590" i="10"/>
  <c r="AB590" i="10"/>
  <c r="AJ590" i="10"/>
  <c r="AK590" i="10" s="1"/>
  <c r="Z590" i="10"/>
  <c r="X590" i="10"/>
  <c r="AE595" i="10"/>
  <c r="AJ595" i="10"/>
  <c r="AB595" i="10"/>
  <c r="AC595" i="10" s="1"/>
  <c r="Z595" i="10"/>
  <c r="X595" i="10"/>
  <c r="AM587" i="10"/>
  <c r="AB587" i="10"/>
  <c r="AJ587" i="10"/>
  <c r="AK587" i="10" s="1"/>
  <c r="Z587" i="10"/>
  <c r="X587" i="10"/>
  <c r="AJ584" i="10"/>
  <c r="AK584" i="10"/>
  <c r="AM584" i="10" s="1"/>
  <c r="AN584" i="10"/>
  <c r="R584" i="10"/>
  <c r="X584" i="10"/>
  <c r="Z584" i="10"/>
  <c r="AB584" i="10"/>
  <c r="AC584" i="10" s="1"/>
  <c r="AE584" i="10" s="1"/>
  <c r="AF584" i="10"/>
  <c r="AJ586" i="10"/>
  <c r="AK586" i="10" s="1"/>
  <c r="AM586" i="10" s="1"/>
  <c r="AN586" i="10"/>
  <c r="X586" i="10"/>
  <c r="Z586" i="10"/>
  <c r="AB586" i="10"/>
  <c r="AC586" i="10" s="1"/>
  <c r="J586" i="10"/>
  <c r="AJ594" i="10"/>
  <c r="AK594" i="10" s="1"/>
  <c r="AM594" i="10" s="1"/>
  <c r="AN594" i="10"/>
  <c r="X594" i="10"/>
  <c r="Z594" i="10"/>
  <c r="AB594" i="10"/>
  <c r="AX596" i="10"/>
  <c r="AM596" i="10"/>
  <c r="AB596" i="10"/>
  <c r="AJ596" i="10"/>
  <c r="AK596" i="10" s="1"/>
  <c r="Z596" i="10"/>
  <c r="X596" i="10"/>
  <c r="AJ604" i="10"/>
  <c r="AB604" i="10"/>
  <c r="Z604" i="10"/>
  <c r="X604" i="10"/>
  <c r="J604" i="10"/>
  <c r="AX588" i="10"/>
  <c r="AM588" i="10"/>
  <c r="AB588" i="10"/>
  <c r="AJ588" i="10"/>
  <c r="AK588" i="10" s="1"/>
  <c r="Z588" i="10"/>
  <c r="X588" i="10"/>
  <c r="AJ593" i="10"/>
  <c r="AK593" i="10" s="1"/>
  <c r="X593" i="10"/>
  <c r="Z593" i="10"/>
  <c r="AB593" i="10"/>
  <c r="AC593" i="10" s="1"/>
  <c r="AJ592" i="10"/>
  <c r="AK592" i="10" s="1"/>
  <c r="AB592" i="10"/>
  <c r="Z592" i="10"/>
  <c r="J592" i="10"/>
  <c r="AJ579" i="10"/>
  <c r="AK579" i="10"/>
  <c r="R579" i="10"/>
  <c r="X579" i="10"/>
  <c r="Z579" i="10"/>
  <c r="AB579" i="10"/>
  <c r="AC579" i="10"/>
  <c r="AJ585" i="10"/>
  <c r="AB585" i="10"/>
  <c r="Z585" i="10"/>
  <c r="X585" i="10"/>
  <c r="J585" i="10"/>
  <c r="AJ583" i="10"/>
  <c r="AK583" i="10"/>
  <c r="AM583" i="10" s="1"/>
  <c r="AN583" i="10"/>
  <c r="X583" i="10"/>
  <c r="Z583" i="10"/>
  <c r="AB583" i="10"/>
  <c r="AC583" i="10" s="1"/>
  <c r="AJ582" i="10"/>
  <c r="AK582" i="10"/>
  <c r="AM582" i="10" s="1"/>
  <c r="AN582" i="10"/>
  <c r="X582" i="10"/>
  <c r="Z582" i="10"/>
  <c r="AB582" i="10"/>
  <c r="AC582" i="10" s="1"/>
  <c r="E138" i="9"/>
  <c r="G175" i="9"/>
  <c r="E175" i="9"/>
  <c r="G174" i="9"/>
  <c r="G173" i="9"/>
  <c r="C55" i="1"/>
  <c r="E3" i="12"/>
  <c r="AX572" i="10"/>
  <c r="AM572" i="10"/>
  <c r="AJ572" i="10"/>
  <c r="AB572" i="10"/>
  <c r="Z572" i="10"/>
  <c r="X572" i="10"/>
  <c r="AJ567" i="10"/>
  <c r="AB567" i="10"/>
  <c r="Z567" i="10"/>
  <c r="X567" i="10"/>
  <c r="R567" i="10"/>
  <c r="AJ568" i="10"/>
  <c r="X568" i="10"/>
  <c r="Z568" i="10"/>
  <c r="AB568" i="10"/>
  <c r="AC568" i="10" s="1"/>
  <c r="AE568" i="10" s="1"/>
  <c r="J568" i="10"/>
  <c r="AJ570" i="10"/>
  <c r="AK570" i="10"/>
  <c r="AM570" i="10" s="1"/>
  <c r="AN570" i="10"/>
  <c r="X570" i="10"/>
  <c r="Z570" i="10"/>
  <c r="AB570" i="10"/>
  <c r="AC570" i="10" s="1"/>
  <c r="J570" i="10"/>
  <c r="AJ566" i="10"/>
  <c r="AK566" i="10" s="1"/>
  <c r="AM566" i="10" s="1"/>
  <c r="AN566" i="10"/>
  <c r="X566" i="10"/>
  <c r="Z566" i="10"/>
  <c r="AB566" i="10"/>
  <c r="AC566" i="10" s="1"/>
  <c r="AE566" i="10" s="1"/>
  <c r="AF566" i="10"/>
  <c r="J566" i="10"/>
  <c r="AJ569" i="10"/>
  <c r="AB569" i="10"/>
  <c r="Z569" i="10"/>
  <c r="X569" i="10"/>
  <c r="AM574" i="10"/>
  <c r="AJ574" i="10"/>
  <c r="AK574" i="10" s="1"/>
  <c r="X574" i="10"/>
  <c r="Z574" i="10"/>
  <c r="AB574" i="10"/>
  <c r="R574" i="10"/>
  <c r="AJ565" i="10"/>
  <c r="AK565" i="10"/>
  <c r="AN565" i="10"/>
  <c r="X565" i="10"/>
  <c r="Z565" i="10"/>
  <c r="AB565" i="10"/>
  <c r="AC565" i="10"/>
  <c r="AE565" i="10"/>
  <c r="AF565" i="10"/>
  <c r="J565" i="10"/>
  <c r="AJ581" i="10"/>
  <c r="AK581" i="10"/>
  <c r="AM581" i="10"/>
  <c r="AN581" i="10"/>
  <c r="X581" i="10"/>
  <c r="Z581" i="10"/>
  <c r="AB581" i="10"/>
  <c r="AC581" i="10"/>
  <c r="J581" i="10"/>
  <c r="I582" i="10" s="1"/>
  <c r="J582" i="10" s="1"/>
  <c r="AJ576" i="10"/>
  <c r="AK576" i="10"/>
  <c r="AM576" i="10"/>
  <c r="AN576" i="10"/>
  <c r="X576" i="10"/>
  <c r="Z576" i="10"/>
  <c r="AB576" i="10"/>
  <c r="AC576" i="10"/>
  <c r="E213" i="5"/>
  <c r="C57" i="1"/>
  <c r="F65" i="1"/>
  <c r="F64" i="1"/>
  <c r="AX563" i="10"/>
  <c r="AM563" i="10"/>
  <c r="AB563" i="10"/>
  <c r="AC563" i="10"/>
  <c r="AE563" i="10"/>
  <c r="AF563" i="10"/>
  <c r="AJ563" i="10"/>
  <c r="AK563" i="10"/>
  <c r="Z563" i="10"/>
  <c r="X563" i="10"/>
  <c r="AJ562" i="10"/>
  <c r="AK562" i="10"/>
  <c r="AM562" i="10"/>
  <c r="AN562" i="10"/>
  <c r="X562" i="10"/>
  <c r="Z562" i="10"/>
  <c r="AB562" i="10"/>
  <c r="AC562" i="10"/>
  <c r="J562" i="10"/>
  <c r="AJ559" i="10"/>
  <c r="AK559" i="10"/>
  <c r="AM559" i="10"/>
  <c r="AN559" i="10"/>
  <c r="X559" i="10"/>
  <c r="Z559" i="10"/>
  <c r="AB559" i="10"/>
  <c r="AC559" i="10"/>
  <c r="J559" i="10"/>
  <c r="AJ561" i="10"/>
  <c r="AK561" i="10"/>
  <c r="AM561" i="10"/>
  <c r="AN561" i="10"/>
  <c r="X561" i="10"/>
  <c r="Z561" i="10"/>
  <c r="AB561" i="10"/>
  <c r="AC561" i="10"/>
  <c r="J561" i="10"/>
  <c r="AJ560" i="10"/>
  <c r="AK560" i="10"/>
  <c r="AM560" i="10"/>
  <c r="AN560" i="10"/>
  <c r="X560" i="10"/>
  <c r="Z560" i="10"/>
  <c r="AB560" i="10"/>
  <c r="AC560" i="10"/>
  <c r="J560" i="10"/>
  <c r="AJ556" i="10"/>
  <c r="AK556" i="10"/>
  <c r="R556" i="10"/>
  <c r="X556" i="10"/>
  <c r="Z556" i="10"/>
  <c r="AB556" i="10"/>
  <c r="AC556" i="10"/>
  <c r="AJ558" i="10"/>
  <c r="AB558" i="10"/>
  <c r="Z558" i="10"/>
  <c r="X558" i="10"/>
  <c r="J558" i="10"/>
  <c r="G99" i="9"/>
  <c r="G100" i="9"/>
  <c r="X553" i="10"/>
  <c r="Z553" i="10"/>
  <c r="AB553" i="10"/>
  <c r="AC553" i="10"/>
  <c r="AE553" i="10"/>
  <c r="AF553" i="10"/>
  <c r="AJ553" i="10"/>
  <c r="AK553" i="10"/>
  <c r="AM553" i="10"/>
  <c r="AN553" i="10"/>
  <c r="AR553" i="10"/>
  <c r="AX553" i="10"/>
  <c r="AZ553" i="10"/>
  <c r="BB553" i="10"/>
  <c r="BG553" i="10"/>
  <c r="BI553" i="10"/>
  <c r="X554" i="10"/>
  <c r="Z554" i="10"/>
  <c r="AB554" i="10"/>
  <c r="AC554" i="10"/>
  <c r="AE554" i="10"/>
  <c r="AR554" i="10" s="1"/>
  <c r="AF554" i="10"/>
  <c r="AJ554" i="10"/>
  <c r="AK554" i="10"/>
  <c r="AM554" i="10"/>
  <c r="AN554" i="10"/>
  <c r="AX554" i="10"/>
  <c r="AZ554" i="10"/>
  <c r="BB554" i="10"/>
  <c r="BG554" i="10"/>
  <c r="BI554" i="10"/>
  <c r="AJ550" i="10"/>
  <c r="AK550" i="10"/>
  <c r="AM550" i="10"/>
  <c r="AN550" i="10"/>
  <c r="X550" i="10"/>
  <c r="Z550" i="10"/>
  <c r="AB550" i="10"/>
  <c r="AC550" i="10"/>
  <c r="J550" i="10"/>
  <c r="G160" i="9"/>
  <c r="G139" i="9"/>
  <c r="G140" i="9"/>
  <c r="E97" i="9"/>
  <c r="AJ549" i="10"/>
  <c r="AK549" i="10"/>
  <c r="AM549" i="10"/>
  <c r="AN549" i="10"/>
  <c r="X549" i="10"/>
  <c r="Z549" i="10"/>
  <c r="AB549" i="10"/>
  <c r="AC549" i="10"/>
  <c r="J549" i="10"/>
  <c r="AJ571" i="10"/>
  <c r="AK571" i="10"/>
  <c r="AM571" i="10" s="1"/>
  <c r="X571" i="10"/>
  <c r="Z571" i="10"/>
  <c r="AB571" i="10"/>
  <c r="AC571" i="10"/>
  <c r="AF571" i="10"/>
  <c r="AJ546" i="10"/>
  <c r="AK546" i="10"/>
  <c r="AM546" i="10"/>
  <c r="AN546" i="10"/>
  <c r="X546" i="10"/>
  <c r="Z546" i="10"/>
  <c r="AB546" i="10"/>
  <c r="AC546" i="10"/>
  <c r="AJ551" i="10"/>
  <c r="AK551" i="10"/>
  <c r="AM551" i="10"/>
  <c r="AN551" i="10"/>
  <c r="X551" i="10"/>
  <c r="Z551" i="10"/>
  <c r="AB551" i="10"/>
  <c r="AC551" i="10"/>
  <c r="J551" i="10"/>
  <c r="AJ446" i="10"/>
  <c r="AB446" i="10"/>
  <c r="Z446" i="10"/>
  <c r="X446" i="10"/>
  <c r="AJ445" i="10"/>
  <c r="AB445" i="10"/>
  <c r="Z445" i="10"/>
  <c r="X445" i="10"/>
  <c r="R445" i="10"/>
  <c r="AJ548" i="10"/>
  <c r="AK548" i="10"/>
  <c r="AM548" i="10"/>
  <c r="AN548" i="10"/>
  <c r="X548" i="10"/>
  <c r="Z548" i="10"/>
  <c r="AB548" i="10"/>
  <c r="AC548" i="10"/>
  <c r="AE545" i="10"/>
  <c r="AJ545" i="10"/>
  <c r="AK545" i="10"/>
  <c r="AM545" i="10"/>
  <c r="AN545" i="10"/>
  <c r="X545" i="10"/>
  <c r="Z545" i="10"/>
  <c r="AB545" i="10"/>
  <c r="AC545" i="10"/>
  <c r="AJ547" i="10"/>
  <c r="AK547" i="10"/>
  <c r="AM547" i="10"/>
  <c r="AN547" i="10"/>
  <c r="X547" i="10"/>
  <c r="Z547" i="10"/>
  <c r="AB547" i="10"/>
  <c r="AC547" i="10"/>
  <c r="J547" i="10"/>
  <c r="AJ552" i="10"/>
  <c r="AK552" i="10"/>
  <c r="AM552" i="10"/>
  <c r="AN552" i="10"/>
  <c r="X552" i="10"/>
  <c r="Z552" i="10"/>
  <c r="AB552" i="10"/>
  <c r="AC552" i="10"/>
  <c r="AE552" i="10"/>
  <c r="AF552" i="10"/>
  <c r="J552" i="10"/>
  <c r="AJ533" i="10"/>
  <c r="AK533" i="10"/>
  <c r="AM533" i="10"/>
  <c r="AN533" i="10"/>
  <c r="X533" i="10"/>
  <c r="Z533" i="10"/>
  <c r="AB533" i="10"/>
  <c r="AC533" i="10"/>
  <c r="J533" i="10"/>
  <c r="AJ543" i="10"/>
  <c r="AB543" i="10"/>
  <c r="Z543" i="10"/>
  <c r="X543" i="10"/>
  <c r="AJ541" i="10"/>
  <c r="AB541" i="10"/>
  <c r="Z541" i="10"/>
  <c r="X541" i="10"/>
  <c r="AM537" i="10"/>
  <c r="AJ537" i="10"/>
  <c r="AK537" i="10"/>
  <c r="AB537" i="10"/>
  <c r="AC537" i="10"/>
  <c r="Z537" i="10"/>
  <c r="X537" i="10"/>
  <c r="X538" i="10"/>
  <c r="Z538" i="10"/>
  <c r="AB538" i="10"/>
  <c r="AC538" i="10"/>
  <c r="AE538" i="10"/>
  <c r="AF538" i="10"/>
  <c r="AJ538" i="10"/>
  <c r="AK538" i="10"/>
  <c r="AM538" i="10"/>
  <c r="AN538" i="10"/>
  <c r="AP538" i="10"/>
  <c r="AQ538" i="10" s="1"/>
  <c r="AJ535" i="10"/>
  <c r="AK535" i="10"/>
  <c r="AM535" i="10"/>
  <c r="AN535" i="10"/>
  <c r="X535" i="10"/>
  <c r="Z535" i="10"/>
  <c r="AB535" i="10"/>
  <c r="AC535" i="10"/>
  <c r="J535" i="10"/>
  <c r="AJ536" i="10"/>
  <c r="AK536" i="10"/>
  <c r="AM536" i="10"/>
  <c r="AN536" i="10"/>
  <c r="X536" i="10"/>
  <c r="Z536" i="10"/>
  <c r="AB536" i="10"/>
  <c r="AC536" i="10"/>
  <c r="J536" i="10"/>
  <c r="AJ534" i="10"/>
  <c r="AB534" i="10"/>
  <c r="Z534" i="10"/>
  <c r="X534" i="10"/>
  <c r="J534" i="10"/>
  <c r="AM531" i="10"/>
  <c r="AJ531" i="10"/>
  <c r="AB531" i="10"/>
  <c r="Z531" i="10"/>
  <c r="X531" i="10"/>
  <c r="AM529" i="10"/>
  <c r="X529" i="10"/>
  <c r="Z529" i="10"/>
  <c r="AB529" i="10"/>
  <c r="AC529" i="10"/>
  <c r="AE529" i="10"/>
  <c r="AS529" i="10" s="1"/>
  <c r="R529" i="10" s="1"/>
  <c r="AF529" i="10"/>
  <c r="AJ529" i="10"/>
  <c r="AK529" i="10"/>
  <c r="J529" i="10"/>
  <c r="J525" i="10"/>
  <c r="X525" i="10"/>
  <c r="Z525" i="10"/>
  <c r="AB525" i="10"/>
  <c r="AC525" i="10"/>
  <c r="AF525" i="10"/>
  <c r="AH525" i="10"/>
  <c r="AE525" i="10" s="1"/>
  <c r="AR525" i="10" s="1"/>
  <c r="AJ525" i="10"/>
  <c r="AK525" i="10"/>
  <c r="AM525" i="10"/>
  <c r="AS525" i="10" s="1"/>
  <c r="R525" i="10" s="1"/>
  <c r="AN525" i="10"/>
  <c r="AZ525" i="10"/>
  <c r="BB525" i="10"/>
  <c r="BG525" i="10"/>
  <c r="BI525" i="10"/>
  <c r="X526" i="10"/>
  <c r="Z526" i="10"/>
  <c r="AB526" i="10"/>
  <c r="AC526" i="10"/>
  <c r="AE526" i="10"/>
  <c r="AF526" i="10"/>
  <c r="AJ526" i="10"/>
  <c r="AK526" i="10"/>
  <c r="AM526" i="10"/>
  <c r="AN526" i="10"/>
  <c r="AR526" i="10"/>
  <c r="AZ526" i="10"/>
  <c r="BB526" i="10"/>
  <c r="BG526" i="10"/>
  <c r="BI526" i="10"/>
  <c r="AJ528" i="10"/>
  <c r="AB528" i="10"/>
  <c r="Z528" i="10"/>
  <c r="X528" i="10"/>
  <c r="J528" i="10"/>
  <c r="AM523" i="10"/>
  <c r="X523" i="10"/>
  <c r="Z523" i="10"/>
  <c r="AB523" i="10"/>
  <c r="AC523" i="10"/>
  <c r="AE523" i="10"/>
  <c r="AF523" i="10"/>
  <c r="AJ523" i="10"/>
  <c r="AK523" i="10"/>
  <c r="J523" i="10"/>
  <c r="AE522" i="10"/>
  <c r="AJ522" i="10"/>
  <c r="AK522" i="10"/>
  <c r="AM522" i="10"/>
  <c r="AN522" i="10"/>
  <c r="AB522" i="10"/>
  <c r="AC522" i="10"/>
  <c r="Z522" i="10"/>
  <c r="X522" i="10"/>
  <c r="AM514" i="10"/>
  <c r="AB514" i="10"/>
  <c r="AC514" i="10"/>
  <c r="AE514" i="10"/>
  <c r="AF514" i="10"/>
  <c r="AJ514" i="10"/>
  <c r="AK514" i="10"/>
  <c r="Z514" i="10"/>
  <c r="X514" i="10"/>
  <c r="AJ521" i="10"/>
  <c r="AB521" i="10"/>
  <c r="Z521" i="10"/>
  <c r="X521" i="10"/>
  <c r="R521" i="10"/>
  <c r="AJ517" i="10"/>
  <c r="AK517" i="10" s="1"/>
  <c r="X517" i="10"/>
  <c r="Z517" i="10"/>
  <c r="AB517" i="10"/>
  <c r="AC517" i="10" s="1"/>
  <c r="AJ515" i="10"/>
  <c r="AK515" i="10"/>
  <c r="AN515" i="10"/>
  <c r="X515" i="10"/>
  <c r="Z515" i="10"/>
  <c r="AB515" i="10"/>
  <c r="AC515" i="10"/>
  <c r="AJ513" i="10"/>
  <c r="AB513" i="10"/>
  <c r="Z513" i="10"/>
  <c r="X513" i="10"/>
  <c r="J513" i="10"/>
  <c r="AJ512" i="10"/>
  <c r="AB512" i="10"/>
  <c r="Z512" i="10"/>
  <c r="X512" i="10"/>
  <c r="J512" i="10"/>
  <c r="AM510" i="10"/>
  <c r="X510" i="10"/>
  <c r="Z510" i="10"/>
  <c r="AB510" i="10"/>
  <c r="AC510" i="10"/>
  <c r="AE510" i="10"/>
  <c r="AF510" i="10"/>
  <c r="AJ510" i="10"/>
  <c r="AK510" i="10"/>
  <c r="J510" i="10"/>
  <c r="AM507" i="10"/>
  <c r="X507" i="10"/>
  <c r="Z507" i="10"/>
  <c r="AB507" i="10"/>
  <c r="AC507" i="10"/>
  <c r="AE507" i="10"/>
  <c r="AF507" i="10"/>
  <c r="AJ507" i="10"/>
  <c r="AK507" i="10"/>
  <c r="AJ509" i="10"/>
  <c r="AK509" i="10"/>
  <c r="AM509" i="10"/>
  <c r="AN509" i="10"/>
  <c r="X509" i="10"/>
  <c r="Z509" i="10"/>
  <c r="AB509" i="10"/>
  <c r="AC509" i="10"/>
  <c r="J509" i="10"/>
  <c r="AJ506" i="10"/>
  <c r="AK506" i="10"/>
  <c r="AM506" i="10"/>
  <c r="AN506" i="10"/>
  <c r="X506" i="10"/>
  <c r="Z506" i="10"/>
  <c r="AB506" i="10"/>
  <c r="AC506" i="10"/>
  <c r="J506" i="10"/>
  <c r="AJ519" i="10"/>
  <c r="AK519" i="10"/>
  <c r="Z519" i="10"/>
  <c r="AB519" i="10"/>
  <c r="AC519" i="10"/>
  <c r="J519" i="10"/>
  <c r="AJ497" i="10"/>
  <c r="AK497" i="10"/>
  <c r="X497" i="10"/>
  <c r="Z497" i="10"/>
  <c r="AB497" i="10"/>
  <c r="AC497" i="10"/>
  <c r="AM504" i="10"/>
  <c r="X504" i="10"/>
  <c r="Z504" i="10"/>
  <c r="AB504" i="10"/>
  <c r="AC504" i="10"/>
  <c r="AE504" i="10"/>
  <c r="AF504" i="10"/>
  <c r="AJ504" i="10"/>
  <c r="AK504" i="10"/>
  <c r="J504" i="10"/>
  <c r="AM501" i="10"/>
  <c r="X501" i="10"/>
  <c r="Z501" i="10"/>
  <c r="AB501" i="10"/>
  <c r="AC501" i="10"/>
  <c r="AE501" i="10"/>
  <c r="AF501" i="10"/>
  <c r="AJ501" i="10"/>
  <c r="AK501" i="10"/>
  <c r="J501" i="10"/>
  <c r="AM494" i="10"/>
  <c r="X494" i="10"/>
  <c r="Z494" i="10"/>
  <c r="AB494" i="10"/>
  <c r="AC494" i="10"/>
  <c r="AE494" i="10"/>
  <c r="AF494" i="10"/>
  <c r="AJ494" i="10"/>
  <c r="AK494" i="10"/>
  <c r="AJ496" i="10"/>
  <c r="AK496" i="10"/>
  <c r="X496" i="10"/>
  <c r="Z496" i="10"/>
  <c r="AB496" i="10"/>
  <c r="AC496" i="10"/>
  <c r="AJ503" i="10"/>
  <c r="AK503" i="10"/>
  <c r="AM503" i="10"/>
  <c r="AN503" i="10"/>
  <c r="J503" i="10"/>
  <c r="X503" i="10"/>
  <c r="Z503" i="10"/>
  <c r="AB503" i="10"/>
  <c r="AC503" i="10"/>
  <c r="AE503" i="10"/>
  <c r="AF503" i="10"/>
  <c r="AJ540" i="10"/>
  <c r="AK540" i="10"/>
  <c r="AM540" i="10"/>
  <c r="AN540" i="10"/>
  <c r="X540" i="10"/>
  <c r="Z540" i="10"/>
  <c r="AB540" i="10"/>
  <c r="AC540" i="10"/>
  <c r="AJ492" i="10"/>
  <c r="AK492" i="10"/>
  <c r="AM492" i="10"/>
  <c r="AN492" i="10"/>
  <c r="X492" i="10"/>
  <c r="Z492" i="10"/>
  <c r="AB492" i="10"/>
  <c r="AC492" i="10"/>
  <c r="J492" i="10"/>
  <c r="J489" i="10"/>
  <c r="J490" i="10"/>
  <c r="AM490" i="10"/>
  <c r="AJ490" i="10"/>
  <c r="AB490" i="10"/>
  <c r="Z490" i="10"/>
  <c r="X490" i="10"/>
  <c r="AJ489" i="10"/>
  <c r="AB489" i="10"/>
  <c r="Z489" i="10"/>
  <c r="X489" i="10"/>
  <c r="J34" i="22"/>
  <c r="J486" i="10"/>
  <c r="X486" i="10"/>
  <c r="Z486" i="10"/>
  <c r="AB486" i="10"/>
  <c r="AC486" i="10"/>
  <c r="AF486" i="10"/>
  <c r="AH486" i="10"/>
  <c r="AE486" i="10" s="1"/>
  <c r="AT486" i="10" s="1"/>
  <c r="AI486" i="10"/>
  <c r="AJ486" i="10"/>
  <c r="AK486" i="10"/>
  <c r="AN486" i="10"/>
  <c r="AP486" i="10"/>
  <c r="AM486" i="10" s="1"/>
  <c r="AZ486" i="10"/>
  <c r="BB486" i="10"/>
  <c r="BG486" i="10"/>
  <c r="BI486" i="10"/>
  <c r="Q487" i="10"/>
  <c r="R487" i="10"/>
  <c r="X487" i="10"/>
  <c r="Z487" i="10"/>
  <c r="AB487" i="10"/>
  <c r="AC487" i="10"/>
  <c r="AF487" i="10"/>
  <c r="AH487" i="10"/>
  <c r="AE487" i="10" s="1"/>
  <c r="AI487" i="10"/>
  <c r="AJ487" i="10"/>
  <c r="AK487" i="10"/>
  <c r="AN487" i="10"/>
  <c r="AP487" i="10"/>
  <c r="AM487" i="10" s="1"/>
  <c r="AS487" i="10" s="1"/>
  <c r="AQ487" i="10"/>
  <c r="AR487" i="10"/>
  <c r="J487" i="10" s="1"/>
  <c r="J483" i="10"/>
  <c r="Q484" i="10" s="1"/>
  <c r="X483" i="10"/>
  <c r="Z483" i="10"/>
  <c r="AB483" i="10"/>
  <c r="AC483" i="10"/>
  <c r="AF483" i="10"/>
  <c r="AH483" i="10"/>
  <c r="AE483" i="10" s="1"/>
  <c r="AJ483" i="10"/>
  <c r="AK483" i="10"/>
  <c r="AN483" i="10"/>
  <c r="AP483" i="10"/>
  <c r="AT483" i="10"/>
  <c r="AZ483" i="10"/>
  <c r="BB483" i="10"/>
  <c r="BG483" i="10"/>
  <c r="BI483" i="10"/>
  <c r="X484" i="10"/>
  <c r="Z484" i="10"/>
  <c r="AB484" i="10"/>
  <c r="AC484" i="10"/>
  <c r="AF484" i="10"/>
  <c r="AH484" i="10"/>
  <c r="AE484" i="10" s="1"/>
  <c r="AI484" i="10"/>
  <c r="AJ484" i="10"/>
  <c r="AK484" i="10"/>
  <c r="AN484" i="10"/>
  <c r="AP484" i="10"/>
  <c r="AM484" i="10" s="1"/>
  <c r="AZ484" i="10"/>
  <c r="BB484" i="10"/>
  <c r="BG484" i="10"/>
  <c r="BI484" i="10"/>
  <c r="AJ500" i="10"/>
  <c r="AK500" i="10"/>
  <c r="AM500" i="10"/>
  <c r="AN500" i="10"/>
  <c r="R500" i="10"/>
  <c r="X500" i="10"/>
  <c r="Z500" i="10"/>
  <c r="AB500" i="10"/>
  <c r="AC500" i="10"/>
  <c r="AE500" i="10"/>
  <c r="AF500" i="10"/>
  <c r="AJ481" i="10"/>
  <c r="AB481" i="10"/>
  <c r="Z481" i="10"/>
  <c r="X481" i="10"/>
  <c r="R481" i="10"/>
  <c r="AM477" i="10"/>
  <c r="AJ477" i="10"/>
  <c r="AK477" i="10"/>
  <c r="AB477" i="10"/>
  <c r="AC477" i="10"/>
  <c r="Z477" i="10"/>
  <c r="X477" i="10"/>
  <c r="AE476" i="10"/>
  <c r="AJ476" i="10"/>
  <c r="AK476" i="10"/>
  <c r="AM476" i="10"/>
  <c r="AN476" i="10"/>
  <c r="AB476" i="10"/>
  <c r="AC476" i="10"/>
  <c r="Z476" i="10"/>
  <c r="X476" i="10"/>
  <c r="AM472" i="10"/>
  <c r="AB472" i="10"/>
  <c r="AC472" i="10"/>
  <c r="AE472" i="10"/>
  <c r="AF472" i="10"/>
  <c r="AJ472" i="10"/>
  <c r="AK472" i="10"/>
  <c r="Z472" i="10"/>
  <c r="X472" i="10"/>
  <c r="R478" i="10"/>
  <c r="X478" i="10"/>
  <c r="Z478" i="10"/>
  <c r="AB478" i="10"/>
  <c r="AC478" i="10"/>
  <c r="AE478" i="10"/>
  <c r="AF478" i="10"/>
  <c r="AJ478" i="10"/>
  <c r="AK478" i="10"/>
  <c r="AM478" i="10"/>
  <c r="AR478" i="10" s="1"/>
  <c r="J478" i="10" s="1"/>
  <c r="AT478" i="10" s="1"/>
  <c r="AN478" i="10"/>
  <c r="AP478" i="10"/>
  <c r="AQ478" i="10" s="1"/>
  <c r="AJ480" i="10"/>
  <c r="AE480" i="10"/>
  <c r="AB480" i="10"/>
  <c r="Z480" i="10"/>
  <c r="X480" i="10"/>
  <c r="R480" i="10"/>
  <c r="AM473" i="10"/>
  <c r="AB473" i="10"/>
  <c r="AC473" i="10"/>
  <c r="AE473" i="10"/>
  <c r="AF473" i="10"/>
  <c r="AJ473" i="10"/>
  <c r="AK473" i="10"/>
  <c r="Z473" i="10"/>
  <c r="X473" i="10"/>
  <c r="Q473" i="10"/>
  <c r="R473" i="10"/>
  <c r="Q676" i="10" s="1"/>
  <c r="AJ471" i="10"/>
  <c r="AK471" i="10"/>
  <c r="AM471" i="10"/>
  <c r="AN471" i="10"/>
  <c r="AE471" i="10"/>
  <c r="X471" i="10"/>
  <c r="Z471" i="10"/>
  <c r="AB471" i="10"/>
  <c r="AC471" i="10"/>
  <c r="J471" i="10"/>
  <c r="AM469" i="10"/>
  <c r="X469" i="10"/>
  <c r="Z469" i="10"/>
  <c r="AB469" i="10"/>
  <c r="AC469" i="10"/>
  <c r="AE469" i="10"/>
  <c r="AF469" i="10"/>
  <c r="AJ469" i="10"/>
  <c r="AK469" i="10"/>
  <c r="J469" i="10"/>
  <c r="C45" i="1"/>
  <c r="C47" i="1" s="1"/>
  <c r="C49" i="1" s="1"/>
  <c r="C51" i="1" s="1"/>
  <c r="AJ475" i="10"/>
  <c r="AB475" i="10"/>
  <c r="Z475" i="10"/>
  <c r="X475" i="10"/>
  <c r="J475" i="10"/>
  <c r="F47" i="1"/>
  <c r="F49" i="1" s="1"/>
  <c r="F51" i="1" s="1"/>
  <c r="H44" i="1"/>
  <c r="H45" i="1"/>
  <c r="H47" i="1"/>
  <c r="H49" i="1"/>
  <c r="H51" i="1"/>
  <c r="F46" i="1"/>
  <c r="K48" i="22"/>
  <c r="AJ493" i="10"/>
  <c r="AE493" i="10"/>
  <c r="AB493" i="10"/>
  <c r="Z493" i="10"/>
  <c r="X493" i="10"/>
  <c r="R493" i="10"/>
  <c r="P35" i="22"/>
  <c r="Q33" i="22"/>
  <c r="Q32" i="22"/>
  <c r="W50" i="22"/>
  <c r="Q35" i="22"/>
  <c r="C29" i="1"/>
  <c r="AX466" i="10"/>
  <c r="AM466" i="10"/>
  <c r="AB466" i="10"/>
  <c r="AC466" i="10"/>
  <c r="AE466" i="10"/>
  <c r="AF466" i="10"/>
  <c r="AJ466" i="10"/>
  <c r="AK466" i="10"/>
  <c r="Z466" i="10"/>
  <c r="X466" i="10"/>
  <c r="AJ457" i="10"/>
  <c r="AK457" i="10"/>
  <c r="AM457" i="10"/>
  <c r="AN457" i="10"/>
  <c r="X457" i="10"/>
  <c r="Z457" i="10"/>
  <c r="AB457" i="10"/>
  <c r="AC457" i="10"/>
  <c r="J457" i="10"/>
  <c r="AM465" i="10"/>
  <c r="AJ465" i="10"/>
  <c r="AK465" i="10"/>
  <c r="AB465" i="10"/>
  <c r="AC465" i="10"/>
  <c r="Z465" i="10"/>
  <c r="X465" i="10"/>
  <c r="R462" i="10"/>
  <c r="AU462" i="10" s="1"/>
  <c r="X462" i="10"/>
  <c r="Z462" i="10"/>
  <c r="AB462" i="10"/>
  <c r="AC462" i="10"/>
  <c r="AE462" i="10"/>
  <c r="AF462" i="10"/>
  <c r="AJ462" i="10"/>
  <c r="AK462" i="10"/>
  <c r="AM462" i="10"/>
  <c r="AN462" i="10"/>
  <c r="AP462" i="10"/>
  <c r="AQ462" i="10" s="1"/>
  <c r="G97" i="9"/>
  <c r="E95" i="9"/>
  <c r="E96" i="9"/>
  <c r="AJ461" i="10"/>
  <c r="AK461" i="10"/>
  <c r="AM461" i="10"/>
  <c r="AN461" i="10"/>
  <c r="X461" i="10"/>
  <c r="Z461" i="10"/>
  <c r="AB461" i="10"/>
  <c r="AC461" i="10"/>
  <c r="J461" i="10"/>
  <c r="AJ464" i="10"/>
  <c r="AK464" i="10"/>
  <c r="AM464" i="10"/>
  <c r="AN464" i="10"/>
  <c r="J464" i="10"/>
  <c r="X464" i="10"/>
  <c r="Z464" i="10"/>
  <c r="AB464" i="10"/>
  <c r="AC464" i="10"/>
  <c r="AE464" i="10"/>
  <c r="AF464" i="10"/>
  <c r="AJ499" i="10"/>
  <c r="AK499" i="10"/>
  <c r="AM499" i="10"/>
  <c r="AN499" i="10"/>
  <c r="X499" i="10"/>
  <c r="Z499" i="10"/>
  <c r="AB499" i="10"/>
  <c r="AC499" i="10"/>
  <c r="J499" i="10"/>
  <c r="AJ468" i="10"/>
  <c r="AK468" i="10"/>
  <c r="AM468" i="10"/>
  <c r="AN468" i="10"/>
  <c r="X468" i="10"/>
  <c r="Z468" i="10"/>
  <c r="AB468" i="10"/>
  <c r="AC468" i="10"/>
  <c r="AE468" i="10"/>
  <c r="AF468" i="10"/>
  <c r="L31" i="22"/>
  <c r="L32" i="22" s="1"/>
  <c r="N31" i="22"/>
  <c r="AM458" i="10"/>
  <c r="AJ458" i="10"/>
  <c r="AK458" i="10"/>
  <c r="AB458" i="10"/>
  <c r="AC458" i="10"/>
  <c r="Z458" i="10"/>
  <c r="X458" i="10"/>
  <c r="X450" i="10"/>
  <c r="Z450" i="10"/>
  <c r="AB450" i="10"/>
  <c r="AC450" i="10"/>
  <c r="AE450" i="10"/>
  <c r="AF450" i="10"/>
  <c r="AJ450" i="10"/>
  <c r="AK450" i="10"/>
  <c r="AM450" i="10"/>
  <c r="AN450" i="10"/>
  <c r="AR450" i="10"/>
  <c r="AX450" i="10"/>
  <c r="AZ450" i="10"/>
  <c r="BB450" i="10"/>
  <c r="BG450" i="10"/>
  <c r="BI450" i="10"/>
  <c r="X451" i="10"/>
  <c r="Z451" i="10"/>
  <c r="AB451" i="10"/>
  <c r="AC451" i="10"/>
  <c r="AE451" i="10"/>
  <c r="AR451" i="10" s="1"/>
  <c r="AF451" i="10"/>
  <c r="AJ451" i="10"/>
  <c r="AK451" i="10"/>
  <c r="AM451" i="10"/>
  <c r="AN451" i="10"/>
  <c r="AX451" i="10"/>
  <c r="AZ451" i="10"/>
  <c r="BB451" i="10"/>
  <c r="BG451" i="10"/>
  <c r="BI451" i="10"/>
  <c r="AJ456" i="10"/>
  <c r="AK456" i="10"/>
  <c r="AM456" i="10"/>
  <c r="AN456" i="10"/>
  <c r="X456" i="10"/>
  <c r="Z456" i="10"/>
  <c r="AB456" i="10"/>
  <c r="AC456" i="10"/>
  <c r="J456" i="10"/>
  <c r="AJ455" i="10"/>
  <c r="AB455" i="10"/>
  <c r="Z455" i="10"/>
  <c r="X455" i="10"/>
  <c r="J455" i="10"/>
  <c r="AJ449" i="10"/>
  <c r="AK449" i="10"/>
  <c r="AM449" i="10"/>
  <c r="AN449" i="10"/>
  <c r="X449" i="10"/>
  <c r="Z449" i="10"/>
  <c r="AB449" i="10"/>
  <c r="AC449" i="10"/>
  <c r="AJ448" i="10"/>
  <c r="AK448" i="10"/>
  <c r="AM448" i="10"/>
  <c r="AN448" i="10"/>
  <c r="X448" i="10"/>
  <c r="Z448" i="10"/>
  <c r="AB448" i="10"/>
  <c r="AC448" i="10"/>
  <c r="AE448" i="10"/>
  <c r="AF448" i="10"/>
  <c r="J448" i="10"/>
  <c r="X459" i="10"/>
  <c r="Z459" i="10"/>
  <c r="AB459" i="10"/>
  <c r="AC459" i="10"/>
  <c r="AE459" i="10"/>
  <c r="AR459" i="10" s="1"/>
  <c r="AF459" i="10"/>
  <c r="AJ459" i="10"/>
  <c r="AK459" i="10"/>
  <c r="AM459" i="10"/>
  <c r="AN459" i="10"/>
  <c r="AP459" i="10"/>
  <c r="AQ459" i="10" s="1"/>
  <c r="AE431" i="10"/>
  <c r="AJ431" i="10"/>
  <c r="AK431" i="10"/>
  <c r="AM431" i="10"/>
  <c r="AN431" i="10"/>
  <c r="X431" i="10"/>
  <c r="Z431" i="10"/>
  <c r="AB431" i="10"/>
  <c r="AC431" i="10"/>
  <c r="AJ443" i="10"/>
  <c r="AK443" i="10"/>
  <c r="AM443" i="10"/>
  <c r="AN443" i="10"/>
  <c r="X443" i="10"/>
  <c r="Z443" i="10"/>
  <c r="AB443" i="10"/>
  <c r="AC443" i="10"/>
  <c r="AJ454" i="10"/>
  <c r="AK454" i="10"/>
  <c r="AM454" i="10"/>
  <c r="AN454" i="10"/>
  <c r="X454" i="10"/>
  <c r="Z454" i="10"/>
  <c r="AB454" i="10"/>
  <c r="AC454" i="10"/>
  <c r="AE454" i="10"/>
  <c r="AF454" i="10"/>
  <c r="J454" i="10"/>
  <c r="AM440" i="10"/>
  <c r="X440" i="10"/>
  <c r="Z440" i="10"/>
  <c r="AB440" i="10"/>
  <c r="AC440" i="10"/>
  <c r="AE440" i="10"/>
  <c r="AF440" i="10"/>
  <c r="AJ440" i="10"/>
  <c r="AK440" i="10"/>
  <c r="J440" i="10"/>
  <c r="AM427" i="10"/>
  <c r="AJ427" i="10"/>
  <c r="AK427" i="10"/>
  <c r="AB427" i="10"/>
  <c r="AC427" i="10"/>
  <c r="Z427" i="10"/>
  <c r="X427" i="10"/>
  <c r="AJ453" i="10"/>
  <c r="AK453" i="10"/>
  <c r="AM453" i="10"/>
  <c r="AN453" i="10"/>
  <c r="X453" i="10"/>
  <c r="Z453" i="10"/>
  <c r="AB453" i="10"/>
  <c r="AC453" i="10"/>
  <c r="J453" i="10"/>
  <c r="AM437" i="10"/>
  <c r="X437" i="10"/>
  <c r="Z437" i="10"/>
  <c r="AB437" i="10"/>
  <c r="AC437" i="10"/>
  <c r="AE437" i="10"/>
  <c r="AS437" i="10" s="1"/>
  <c r="R437" i="10" s="1"/>
  <c r="AF437" i="10"/>
  <c r="AJ437" i="10"/>
  <c r="AK437" i="10"/>
  <c r="J437" i="10"/>
  <c r="AE436" i="10"/>
  <c r="AJ436" i="10"/>
  <c r="AK436" i="10"/>
  <c r="AM436" i="10"/>
  <c r="AN436" i="10"/>
  <c r="X436" i="10"/>
  <c r="Z436" i="10"/>
  <c r="AB436" i="10"/>
  <c r="AC436" i="10"/>
  <c r="J436" i="10"/>
  <c r="AE435" i="10"/>
  <c r="AJ435" i="10"/>
  <c r="AK435" i="10"/>
  <c r="AM435" i="10"/>
  <c r="AN435" i="10"/>
  <c r="X435" i="10"/>
  <c r="Z435" i="10"/>
  <c r="AB435" i="10"/>
  <c r="AC435" i="10"/>
  <c r="R435" i="10"/>
  <c r="J435" i="10"/>
  <c r="Q38" i="22"/>
  <c r="Q34" i="22" s="1"/>
  <c r="Q37" i="22"/>
  <c r="P37" i="22" s="1"/>
  <c r="Q29" i="22"/>
  <c r="R26" i="22"/>
  <c r="R29" i="22" s="1"/>
  <c r="AJ439" i="10"/>
  <c r="AK439" i="10"/>
  <c r="AM439" i="10"/>
  <c r="AN439" i="10"/>
  <c r="X439" i="10"/>
  <c r="Z439" i="10"/>
  <c r="AB439" i="10"/>
  <c r="AC439" i="10" s="1"/>
  <c r="AE439" i="10"/>
  <c r="AF439" i="10"/>
  <c r="J439" i="10"/>
  <c r="I433" i="10"/>
  <c r="AM433" i="10"/>
  <c r="X433" i="10"/>
  <c r="Z433" i="10"/>
  <c r="AB433" i="10"/>
  <c r="AC433" i="10"/>
  <c r="AE433" i="10"/>
  <c r="AF433" i="10"/>
  <c r="AJ433" i="10"/>
  <c r="AK433" i="10" s="1"/>
  <c r="AJ432" i="10"/>
  <c r="AK432" i="10"/>
  <c r="AM432" i="10" s="1"/>
  <c r="AN432" i="10"/>
  <c r="X432" i="10"/>
  <c r="Z432" i="10"/>
  <c r="AB432" i="10"/>
  <c r="AC432" i="10"/>
  <c r="J432" i="10"/>
  <c r="I411" i="10"/>
  <c r="AE430" i="10"/>
  <c r="AJ430" i="10"/>
  <c r="AK430" i="10"/>
  <c r="AM430" i="10"/>
  <c r="AN430" i="10"/>
  <c r="X430" i="10"/>
  <c r="Z430" i="10"/>
  <c r="AR430" i="10" s="1"/>
  <c r="J430" i="10" s="1"/>
  <c r="I431" i="10" s="1"/>
  <c r="J431" i="10" s="1"/>
  <c r="AB430" i="10"/>
  <c r="AC430" i="10"/>
  <c r="X412" i="10"/>
  <c r="Z412" i="10"/>
  <c r="AB412" i="10"/>
  <c r="AC412" i="10" s="1"/>
  <c r="AJ412" i="10"/>
  <c r="AK412" i="10"/>
  <c r="AM412" i="10"/>
  <c r="AN412" i="10"/>
  <c r="BB412" i="10"/>
  <c r="BG412" i="10"/>
  <c r="BI412" i="10"/>
  <c r="X413" i="10"/>
  <c r="Z413" i="10"/>
  <c r="AB413" i="10"/>
  <c r="AF413" i="10" s="1"/>
  <c r="AC413" i="10"/>
  <c r="AH413" i="10"/>
  <c r="AJ413" i="10"/>
  <c r="AK413" i="10" s="1"/>
  <c r="AM413" i="10" s="1"/>
  <c r="AN413" i="10"/>
  <c r="BB413" i="10"/>
  <c r="BG413" i="10"/>
  <c r="X414" i="10"/>
  <c r="Z414" i="10"/>
  <c r="AB414" i="10"/>
  <c r="AC414" i="10"/>
  <c r="AF414" i="10"/>
  <c r="AH414" i="10"/>
  <c r="AJ414" i="10"/>
  <c r="AK414" i="10"/>
  <c r="AM414" i="10" s="1"/>
  <c r="AN414" i="10"/>
  <c r="AZ414" i="10"/>
  <c r="BB414" i="10"/>
  <c r="BG414" i="10"/>
  <c r="BI414" i="10"/>
  <c r="X426" i="10"/>
  <c r="Z426" i="10"/>
  <c r="AB426" i="10"/>
  <c r="BB426" i="10" s="1"/>
  <c r="AC426" i="10"/>
  <c r="AF426" i="10"/>
  <c r="AH426" i="10"/>
  <c r="AJ426" i="10"/>
  <c r="AK426" i="10"/>
  <c r="AM426" i="10" s="1"/>
  <c r="AN426" i="10"/>
  <c r="AZ426" i="10"/>
  <c r="X428" i="10"/>
  <c r="Z428" i="10"/>
  <c r="AB428" i="10"/>
  <c r="AC428" i="10" s="1"/>
  <c r="AE428" i="10" s="1"/>
  <c r="AJ428" i="10"/>
  <c r="AK428" i="10"/>
  <c r="AM428" i="10"/>
  <c r="AN428" i="10"/>
  <c r="BG428" i="10"/>
  <c r="BI428" i="10"/>
  <c r="R423" i="10"/>
  <c r="I424" i="10" s="1"/>
  <c r="J424" i="10" s="1"/>
  <c r="X423" i="10"/>
  <c r="Z423" i="10"/>
  <c r="AB423" i="10"/>
  <c r="AC423" i="10"/>
  <c r="AF423" i="10"/>
  <c r="AH423" i="10"/>
  <c r="AJ423" i="10"/>
  <c r="AK423" i="10"/>
  <c r="AM423" i="10" s="1"/>
  <c r="AN423" i="10"/>
  <c r="AZ423" i="10"/>
  <c r="BB423" i="10"/>
  <c r="BG423" i="10"/>
  <c r="BI423" i="10"/>
  <c r="X424" i="10"/>
  <c r="Z424" i="10"/>
  <c r="AB424" i="10"/>
  <c r="AC424" i="10" s="1"/>
  <c r="AE424" i="10" s="1"/>
  <c r="AJ424" i="10"/>
  <c r="AK424" i="10"/>
  <c r="AM424" i="10"/>
  <c r="AN424" i="10"/>
  <c r="AZ424" i="10"/>
  <c r="BG424" i="10"/>
  <c r="BI424" i="10"/>
  <c r="R420" i="10"/>
  <c r="I421" i="10" s="1"/>
  <c r="J421" i="10" s="1"/>
  <c r="X420" i="10"/>
  <c r="Z420" i="10"/>
  <c r="AB420" i="10"/>
  <c r="AC420" i="10"/>
  <c r="AF420" i="10"/>
  <c r="AH420" i="10"/>
  <c r="AJ420" i="10"/>
  <c r="AK420" i="10"/>
  <c r="AM420" i="10" s="1"/>
  <c r="AN420" i="10"/>
  <c r="AZ420" i="10"/>
  <c r="BB420" i="10"/>
  <c r="BG420" i="10"/>
  <c r="BI420" i="10"/>
  <c r="X421" i="10"/>
  <c r="Z421" i="10"/>
  <c r="AB421" i="10"/>
  <c r="AC421" i="10" s="1"/>
  <c r="AE421" i="10" s="1"/>
  <c r="AJ421" i="10"/>
  <c r="AK421" i="10"/>
  <c r="AM421" i="10"/>
  <c r="AN421" i="10"/>
  <c r="AZ421" i="10"/>
  <c r="BG421" i="10"/>
  <c r="BI421" i="10"/>
  <c r="AM415" i="10"/>
  <c r="X415" i="10"/>
  <c r="Z415" i="10"/>
  <c r="AB415" i="10"/>
  <c r="AC415" i="10"/>
  <c r="AE415" i="10"/>
  <c r="AF415" i="10"/>
  <c r="AJ415" i="10"/>
  <c r="AK415" i="10"/>
  <c r="AM418" i="10"/>
  <c r="X418" i="10"/>
  <c r="Z418" i="10"/>
  <c r="AB418" i="10"/>
  <c r="AC418" i="10"/>
  <c r="AE418" i="10"/>
  <c r="AF418" i="10"/>
  <c r="AJ418" i="10"/>
  <c r="AK418" i="10"/>
  <c r="AJ408" i="10"/>
  <c r="AK408" i="10"/>
  <c r="AM408" i="10"/>
  <c r="AN408" i="10"/>
  <c r="X408" i="10"/>
  <c r="Z408" i="10"/>
  <c r="AB408" i="10"/>
  <c r="AC408" i="10" s="1"/>
  <c r="AM409" i="10"/>
  <c r="X409" i="10"/>
  <c r="Z409" i="10"/>
  <c r="AB409" i="10"/>
  <c r="AC409" i="10"/>
  <c r="AE409" i="10" s="1"/>
  <c r="AF409" i="10"/>
  <c r="AJ409" i="10"/>
  <c r="AK409" i="10" s="1"/>
  <c r="R407" i="10"/>
  <c r="J409" i="10" s="1"/>
  <c r="AJ407" i="10"/>
  <c r="AK407" i="10" s="1"/>
  <c r="AM407" i="10" s="1"/>
  <c r="Z407" i="10"/>
  <c r="AB407" i="10"/>
  <c r="AC407" i="10"/>
  <c r="X407" i="10"/>
  <c r="X442" i="10"/>
  <c r="Z442" i="10"/>
  <c r="AB442" i="10"/>
  <c r="AC442" i="10" s="1"/>
  <c r="AJ442" i="10"/>
  <c r="AK442" i="10" s="1"/>
  <c r="BI442" i="10"/>
  <c r="AM405" i="10"/>
  <c r="X405" i="10"/>
  <c r="Z405" i="10"/>
  <c r="AB405" i="10"/>
  <c r="AC405" i="10"/>
  <c r="AE405" i="10"/>
  <c r="AF405" i="10"/>
  <c r="AJ405" i="10"/>
  <c r="AK405" i="10"/>
  <c r="J405" i="10"/>
  <c r="I404" i="10"/>
  <c r="AJ404" i="10"/>
  <c r="AK404" i="10" s="1"/>
  <c r="AM404" i="10" s="1"/>
  <c r="AN404" i="10"/>
  <c r="Z404" i="10"/>
  <c r="AB404" i="10"/>
  <c r="AC404" i="10"/>
  <c r="X404" i="10"/>
  <c r="AJ417" i="10"/>
  <c r="AK417" i="10"/>
  <c r="AM417" i="10" s="1"/>
  <c r="AN417" i="10"/>
  <c r="R417" i="10"/>
  <c r="I418" i="10" s="1"/>
  <c r="J418" i="10" s="1"/>
  <c r="X417" i="10"/>
  <c r="Z417" i="10"/>
  <c r="AB417" i="10"/>
  <c r="AC417" i="10" s="1"/>
  <c r="AM402" i="10"/>
  <c r="X402" i="10"/>
  <c r="Z402" i="10"/>
  <c r="AB402" i="10"/>
  <c r="AF402" i="10" s="1"/>
  <c r="AC402" i="10"/>
  <c r="AE402" i="10" s="1"/>
  <c r="AJ402" i="10"/>
  <c r="AK402" i="10" s="1"/>
  <c r="X411" i="10"/>
  <c r="Z411" i="10"/>
  <c r="AB411" i="10"/>
  <c r="AC411" i="10"/>
  <c r="AF411" i="10"/>
  <c r="AH411" i="10"/>
  <c r="AJ411" i="10"/>
  <c r="AK411" i="10"/>
  <c r="AM411" i="10" s="1"/>
  <c r="AN411" i="10"/>
  <c r="AZ411" i="10"/>
  <c r="BB411" i="10"/>
  <c r="BG411" i="10"/>
  <c r="BI411" i="10"/>
  <c r="AE401" i="10"/>
  <c r="AJ401" i="10"/>
  <c r="AN401" i="10" s="1"/>
  <c r="AK401" i="10"/>
  <c r="AM401" i="10" s="1"/>
  <c r="X401" i="10"/>
  <c r="Z401" i="10"/>
  <c r="AB401" i="10"/>
  <c r="AC401" i="10"/>
  <c r="AE400" i="10"/>
  <c r="AJ400" i="10"/>
  <c r="AK400" i="10" s="1"/>
  <c r="AM400" i="10" s="1"/>
  <c r="AN400" i="10"/>
  <c r="R400" i="10"/>
  <c r="Q401" i="10" s="1"/>
  <c r="R401" i="10" s="1"/>
  <c r="X400" i="10"/>
  <c r="Z400" i="10"/>
  <c r="AB400" i="10"/>
  <c r="AC400" i="10"/>
  <c r="E94" i="9"/>
  <c r="U277" i="15"/>
  <c r="C277" i="15"/>
  <c r="L279" i="15"/>
  <c r="M279" i="15"/>
  <c r="N279" i="15"/>
  <c r="O279" i="15"/>
  <c r="P279" i="15"/>
  <c r="Q279" i="15"/>
  <c r="U279" i="15"/>
  <c r="V279" i="15"/>
  <c r="W279" i="15"/>
  <c r="X279" i="15"/>
  <c r="Y279" i="15"/>
  <c r="Z279" i="15"/>
  <c r="K280" i="15"/>
  <c r="T280" i="15"/>
  <c r="K281" i="15"/>
  <c r="T281" i="15"/>
  <c r="K282" i="15"/>
  <c r="T282" i="15"/>
  <c r="K283" i="15"/>
  <c r="T283" i="15"/>
  <c r="K284" i="15"/>
  <c r="T284" i="15"/>
  <c r="K285" i="15"/>
  <c r="T285" i="15"/>
  <c r="K286" i="15"/>
  <c r="T286" i="15"/>
  <c r="K287" i="15"/>
  <c r="T287" i="15"/>
  <c r="K288" i="15"/>
  <c r="T288" i="15"/>
  <c r="K289" i="15"/>
  <c r="T289" i="15"/>
  <c r="K290" i="15"/>
  <c r="T290" i="15"/>
  <c r="K291" i="15"/>
  <c r="T291" i="15"/>
  <c r="K292" i="15"/>
  <c r="T292" i="15"/>
  <c r="K293" i="15"/>
  <c r="T293" i="15"/>
  <c r="K294" i="15"/>
  <c r="T294" i="15"/>
  <c r="K295" i="15"/>
  <c r="T295" i="15"/>
  <c r="K296" i="15"/>
  <c r="T296" i="15"/>
  <c r="K297" i="15"/>
  <c r="T297" i="15"/>
  <c r="L277" i="15"/>
  <c r="T275" i="15"/>
  <c r="K275" i="15"/>
  <c r="AM398" i="10"/>
  <c r="AJ398" i="10"/>
  <c r="AB398" i="10"/>
  <c r="Z398" i="10"/>
  <c r="X398" i="10"/>
  <c r="AJ397" i="10"/>
  <c r="AK397" i="10"/>
  <c r="AM397" i="10"/>
  <c r="AN397" i="10"/>
  <c r="X397" i="10"/>
  <c r="Z397" i="10"/>
  <c r="AB397" i="10"/>
  <c r="AC397" i="10"/>
  <c r="J397" i="10"/>
  <c r="I351" i="10"/>
  <c r="I333" i="10"/>
  <c r="AM393" i="10"/>
  <c r="AJ393" i="10"/>
  <c r="AB393" i="10"/>
  <c r="Z393" i="10"/>
  <c r="X393" i="10"/>
  <c r="AJ392" i="10"/>
  <c r="AB392" i="10"/>
  <c r="Z392" i="10"/>
  <c r="X392" i="10"/>
  <c r="J392" i="10"/>
  <c r="G184" i="9"/>
  <c r="X395" i="10"/>
  <c r="Z395" i="10"/>
  <c r="AB395" i="10"/>
  <c r="AC395" i="10"/>
  <c r="AF395" i="10"/>
  <c r="AJ395" i="10"/>
  <c r="AK395" i="10"/>
  <c r="AM395" i="10"/>
  <c r="AN395" i="10"/>
  <c r="J395" i="10"/>
  <c r="AM390" i="10"/>
  <c r="AJ390" i="10"/>
  <c r="AB390" i="10"/>
  <c r="Z390" i="10"/>
  <c r="X390" i="10"/>
  <c r="J390" i="10"/>
  <c r="G96" i="9"/>
  <c r="AM386" i="10"/>
  <c r="AJ386" i="10"/>
  <c r="AB386" i="10"/>
  <c r="Z386" i="10"/>
  <c r="X386" i="10"/>
  <c r="J386" i="10"/>
  <c r="AJ385" i="10"/>
  <c r="AB385" i="10"/>
  <c r="Z385" i="10"/>
  <c r="X385" i="10"/>
  <c r="J385" i="10"/>
  <c r="AM383" i="10"/>
  <c r="AJ383" i="10"/>
  <c r="AB383" i="10"/>
  <c r="Z383" i="10"/>
  <c r="X383" i="10"/>
  <c r="J383" i="10"/>
  <c r="AJ382" i="10"/>
  <c r="AB382" i="10"/>
  <c r="Z382" i="10"/>
  <c r="X382" i="10"/>
  <c r="J382" i="10"/>
  <c r="AM380" i="10"/>
  <c r="AJ380" i="10"/>
  <c r="AB380" i="10"/>
  <c r="Z380" i="10"/>
  <c r="X380" i="10"/>
  <c r="J380" i="10"/>
  <c r="AJ379" i="10"/>
  <c r="AB379" i="10"/>
  <c r="Z379" i="10"/>
  <c r="X379" i="10"/>
  <c r="J379" i="10"/>
  <c r="AJ348" i="10"/>
  <c r="AK348" i="10"/>
  <c r="AM348" i="10"/>
  <c r="AN348" i="10"/>
  <c r="X348" i="10"/>
  <c r="Z348" i="10"/>
  <c r="AB348" i="10"/>
  <c r="AC348" i="10"/>
  <c r="J348" i="10"/>
  <c r="K7" i="22"/>
  <c r="K3" i="22" s="1"/>
  <c r="AM377" i="10"/>
  <c r="AJ377" i="10"/>
  <c r="AB377" i="10"/>
  <c r="Z377" i="10"/>
  <c r="X377" i="10"/>
  <c r="J377" i="10"/>
  <c r="G95" i="9"/>
  <c r="G94" i="9"/>
  <c r="AJ388" i="10"/>
  <c r="AK388" i="10" s="1"/>
  <c r="AM388" i="10" s="1"/>
  <c r="X388" i="10"/>
  <c r="Z388" i="10"/>
  <c r="AB388" i="10"/>
  <c r="AC388" i="10" s="1"/>
  <c r="J388" i="10"/>
  <c r="AJ389" i="10"/>
  <c r="AK389" i="10" s="1"/>
  <c r="AM389" i="10" s="1"/>
  <c r="X389" i="10"/>
  <c r="Z389" i="10"/>
  <c r="AB389" i="10"/>
  <c r="AC389" i="10" s="1"/>
  <c r="AE389" i="10"/>
  <c r="R389" i="10"/>
  <c r="AJ370" i="10"/>
  <c r="AK370" i="10" s="1"/>
  <c r="AM370" i="10" s="1"/>
  <c r="AN370" i="10"/>
  <c r="X370" i="10"/>
  <c r="Z370" i="10"/>
  <c r="AB370" i="10"/>
  <c r="AC370" i="10" s="1"/>
  <c r="J370" i="10"/>
  <c r="AM374" i="10"/>
  <c r="AJ374" i="10"/>
  <c r="AB374" i="10"/>
  <c r="Z374" i="10"/>
  <c r="X374" i="10"/>
  <c r="J374" i="10"/>
  <c r="AJ369" i="10"/>
  <c r="AK369" i="10" s="1"/>
  <c r="AM369" i="10" s="1"/>
  <c r="X369" i="10"/>
  <c r="Z369" i="10"/>
  <c r="AB369" i="10"/>
  <c r="AC369" i="10" s="1"/>
  <c r="J369" i="10"/>
  <c r="AJ373" i="10"/>
  <c r="AK373" i="10" s="1"/>
  <c r="AM373" i="10" s="1"/>
  <c r="AN373" i="10"/>
  <c r="X373" i="10"/>
  <c r="Z373" i="10"/>
  <c r="AB373" i="10"/>
  <c r="AC373" i="10" s="1"/>
  <c r="J373" i="10"/>
  <c r="AM366" i="10"/>
  <c r="AJ366" i="10"/>
  <c r="AB366" i="10"/>
  <c r="Z366" i="10"/>
  <c r="X366" i="10"/>
  <c r="AJ362" i="10"/>
  <c r="AK362" i="10"/>
  <c r="AM362" i="10" s="1"/>
  <c r="AN362" i="10"/>
  <c r="AE362" i="10"/>
  <c r="X362" i="10"/>
  <c r="Z362" i="10"/>
  <c r="AB362" i="10"/>
  <c r="AC362" i="10" s="1"/>
  <c r="J362" i="10"/>
  <c r="AM363" i="10"/>
  <c r="AJ363" i="10"/>
  <c r="AB363" i="10"/>
  <c r="Z363" i="10"/>
  <c r="X363" i="10"/>
  <c r="AJ360" i="10"/>
  <c r="AE360" i="10"/>
  <c r="AB360" i="10"/>
  <c r="Z360" i="10"/>
  <c r="X360" i="10"/>
  <c r="J360" i="10"/>
  <c r="AJ356" i="10"/>
  <c r="AK356" i="10"/>
  <c r="AM356" i="10" s="1"/>
  <c r="AN356" i="10"/>
  <c r="X356" i="10"/>
  <c r="Z356" i="10"/>
  <c r="AB356" i="10"/>
  <c r="AC356" i="10"/>
  <c r="J356" i="10"/>
  <c r="AJ355" i="10"/>
  <c r="AK355" i="10"/>
  <c r="AM355" i="10" s="1"/>
  <c r="AN355" i="10"/>
  <c r="X355" i="10"/>
  <c r="Z355" i="10"/>
  <c r="AB355" i="10"/>
  <c r="AC355" i="10"/>
  <c r="J355" i="10"/>
  <c r="AJ354" i="10"/>
  <c r="AK354" i="10"/>
  <c r="AM354" i="10" s="1"/>
  <c r="AN354" i="10"/>
  <c r="X354" i="10"/>
  <c r="Z354" i="10"/>
  <c r="AB354" i="10"/>
  <c r="AC354" i="10"/>
  <c r="J354" i="10"/>
  <c r="AJ352" i="10"/>
  <c r="AK352" i="10"/>
  <c r="AM352" i="10" s="1"/>
  <c r="AN352" i="10"/>
  <c r="X352" i="10"/>
  <c r="Z352" i="10"/>
  <c r="AB352" i="10"/>
  <c r="AC352" i="10"/>
  <c r="J352" i="10"/>
  <c r="AM358" i="10"/>
  <c r="AJ358" i="10"/>
  <c r="AB358" i="10"/>
  <c r="Z358" i="10"/>
  <c r="X358" i="10"/>
  <c r="H37" i="23" a="1"/>
  <c r="H37" i="23" s="1"/>
  <c r="G37" i="23" a="1"/>
  <c r="G37" i="23" s="1"/>
  <c r="H36" i="23" a="1"/>
  <c r="H36" i="23" s="1"/>
  <c r="G36" i="23" a="1"/>
  <c r="G36" i="23" s="1"/>
  <c r="H35" i="23" a="1"/>
  <c r="H35" i="23" s="1"/>
  <c r="G35" i="23" a="1"/>
  <c r="G35" i="23" s="1"/>
  <c r="H34" i="23" a="1"/>
  <c r="H34" i="23" s="1"/>
  <c r="G34" i="23" a="1"/>
  <c r="G34" i="23" s="1"/>
  <c r="H33" i="23" a="1"/>
  <c r="H33" i="23" s="1"/>
  <c r="H32" i="23" a="1"/>
  <c r="H32" i="23" s="1"/>
  <c r="G32" i="23" a="1"/>
  <c r="G32" i="23" s="1"/>
  <c r="H31" i="23" a="1"/>
  <c r="H31" i="23" s="1"/>
  <c r="G31" i="23" a="1"/>
  <c r="G31" i="23" s="1"/>
  <c r="H30" i="23" a="1"/>
  <c r="H30" i="23" s="1"/>
  <c r="H29" i="23" a="1"/>
  <c r="H29" i="23" s="1"/>
  <c r="G29" i="23" a="1"/>
  <c r="G29" i="23" s="1"/>
  <c r="H28" i="23" a="1"/>
  <c r="H28" i="23" s="1"/>
  <c r="G28" i="23" a="1"/>
  <c r="G28" i="23" s="1"/>
  <c r="H27" i="23" a="1"/>
  <c r="H27" i="23" s="1"/>
  <c r="G27" i="23" a="1"/>
  <c r="G27" i="23" s="1"/>
  <c r="H26" i="23" a="1"/>
  <c r="H26" i="23" s="1"/>
  <c r="G26" i="23" a="1"/>
  <c r="G26" i="23" s="1"/>
  <c r="H19" i="23" a="1"/>
  <c r="H19" i="23" s="1"/>
  <c r="G19" i="23" a="1"/>
  <c r="G19" i="23" s="1"/>
  <c r="H18" i="23" a="1"/>
  <c r="H18" i="23" s="1"/>
  <c r="H16" i="23" a="1"/>
  <c r="H16" i="23" s="1"/>
  <c r="G16" i="23" a="1"/>
  <c r="G16" i="23" s="1"/>
  <c r="H14" i="23" a="1"/>
  <c r="H14" i="23" s="1"/>
  <c r="G14" i="23" a="1"/>
  <c r="G14" i="23" s="1"/>
  <c r="H9" i="23" a="1"/>
  <c r="H9" i="23" s="1"/>
  <c r="AJ376" i="10"/>
  <c r="AN376" i="10" s="1"/>
  <c r="X376" i="10"/>
  <c r="Z376" i="10"/>
  <c r="AB376" i="10"/>
  <c r="AC376" i="10" s="1"/>
  <c r="J376" i="10"/>
  <c r="AE351" i="10"/>
  <c r="AJ351" i="10"/>
  <c r="AK351" i="10" s="1"/>
  <c r="AM351" i="10" s="1"/>
  <c r="X351" i="10"/>
  <c r="Z351" i="10"/>
  <c r="AB351" i="10"/>
  <c r="AC351" i="10" s="1"/>
  <c r="R351" i="10"/>
  <c r="AJ353" i="10"/>
  <c r="AN353" i="10" s="1"/>
  <c r="AB353" i="10"/>
  <c r="Z353" i="10"/>
  <c r="X353" i="10"/>
  <c r="J353" i="10"/>
  <c r="J368" i="10"/>
  <c r="X368" i="10"/>
  <c r="Z368" i="10"/>
  <c r="AB368" i="10"/>
  <c r="AH368" i="10" s="1"/>
  <c r="AJ368" i="10"/>
  <c r="BI368" i="10" s="1"/>
  <c r="J371" i="10"/>
  <c r="X371" i="10"/>
  <c r="Z371" i="10"/>
  <c r="AB371" i="10"/>
  <c r="AF371" i="10" s="1"/>
  <c r="AJ371" i="10"/>
  <c r="AN371" i="10" s="1"/>
  <c r="J372" i="10"/>
  <c r="X372" i="10"/>
  <c r="Z372" i="10"/>
  <c r="AB372" i="10"/>
  <c r="AF372" i="10" s="1"/>
  <c r="AJ372" i="10"/>
  <c r="AK372" i="10" s="1"/>
  <c r="AM372" i="10" s="1"/>
  <c r="AJ361" i="10"/>
  <c r="AN361" i="10" s="1"/>
  <c r="AE361" i="10"/>
  <c r="X361" i="10"/>
  <c r="Z361" i="10"/>
  <c r="AB361" i="10"/>
  <c r="J361" i="10"/>
  <c r="AJ357" i="10"/>
  <c r="AB357" i="10"/>
  <c r="Z357" i="10"/>
  <c r="X357" i="10"/>
  <c r="R357" i="10"/>
  <c r="AM349" i="10"/>
  <c r="X349" i="10"/>
  <c r="Z349" i="10"/>
  <c r="AB349" i="10"/>
  <c r="AF349" i="10" s="1"/>
  <c r="AJ349" i="10"/>
  <c r="J349" i="10"/>
  <c r="AJ347" i="10"/>
  <c r="X347" i="10"/>
  <c r="Z347" i="10"/>
  <c r="AB347" i="10"/>
  <c r="J347" i="10"/>
  <c r="E208" i="5"/>
  <c r="AM345" i="10"/>
  <c r="X345" i="10"/>
  <c r="Z345" i="10"/>
  <c r="AB345" i="10"/>
  <c r="AF345" i="10" s="1"/>
  <c r="AJ345" i="10"/>
  <c r="J345" i="10"/>
  <c r="AJ336" i="10"/>
  <c r="AN336" i="10" s="1"/>
  <c r="X336" i="10"/>
  <c r="Z336" i="10"/>
  <c r="AB336" i="10"/>
  <c r="J336" i="10"/>
  <c r="AJ344" i="10"/>
  <c r="AN344" i="10" s="1"/>
  <c r="X344" i="10"/>
  <c r="Z344" i="10"/>
  <c r="AB344" i="10"/>
  <c r="J344" i="10"/>
  <c r="AJ339" i="10"/>
  <c r="X339" i="10"/>
  <c r="Z339" i="10"/>
  <c r="AB339" i="10"/>
  <c r="J339" i="10"/>
  <c r="AM340" i="10"/>
  <c r="AJ340" i="10"/>
  <c r="AB340" i="10"/>
  <c r="Z340" i="10"/>
  <c r="X340" i="10"/>
  <c r="AJ341" i="10"/>
  <c r="X341" i="10"/>
  <c r="Z341" i="10"/>
  <c r="AB341" i="10"/>
  <c r="R341" i="10"/>
  <c r="AJ338" i="10"/>
  <c r="X338" i="10"/>
  <c r="Z338" i="10"/>
  <c r="AB338" i="10"/>
  <c r="J338" i="10"/>
  <c r="AJ335" i="10"/>
  <c r="X335" i="10"/>
  <c r="Z335" i="10"/>
  <c r="AB335" i="10"/>
  <c r="J335" i="10"/>
  <c r="AJ342" i="10"/>
  <c r="AB342" i="10"/>
  <c r="Z342" i="10"/>
  <c r="X342" i="10"/>
  <c r="R342" i="10"/>
  <c r="AM331" i="10"/>
  <c r="X331" i="10"/>
  <c r="Z331" i="10"/>
  <c r="AB331" i="10"/>
  <c r="AJ331" i="10"/>
  <c r="J331" i="10"/>
  <c r="AJ337" i="10"/>
  <c r="X337" i="10"/>
  <c r="Z337" i="10"/>
  <c r="AB337" i="10"/>
  <c r="J337" i="10"/>
  <c r="AJ365" i="10"/>
  <c r="AB365" i="10"/>
  <c r="Z365" i="10"/>
  <c r="X365" i="10"/>
  <c r="J365" i="10"/>
  <c r="AJ330" i="10"/>
  <c r="AB330" i="10"/>
  <c r="Z330" i="10"/>
  <c r="X330" i="10"/>
  <c r="AJ333" i="10"/>
  <c r="AE333" i="10"/>
  <c r="R333" i="10"/>
  <c r="X333" i="10"/>
  <c r="Z333" i="10"/>
  <c r="AB333" i="10"/>
  <c r="E172" i="9"/>
  <c r="AJ327" i="10"/>
  <c r="X327" i="10"/>
  <c r="Z327" i="10"/>
  <c r="AB327" i="10"/>
  <c r="AI327" i="10" s="1"/>
  <c r="AJ328" i="10"/>
  <c r="R328" i="10"/>
  <c r="X328" i="10"/>
  <c r="Z328" i="10"/>
  <c r="AB328" i="10"/>
  <c r="I317" i="10"/>
  <c r="AJ326" i="10"/>
  <c r="X326" i="10"/>
  <c r="Z326" i="10"/>
  <c r="AB326" i="10"/>
  <c r="J322" i="10"/>
  <c r="AM322" i="10"/>
  <c r="X322" i="10"/>
  <c r="Z322" i="10"/>
  <c r="AB322" i="10"/>
  <c r="AJ322" i="10"/>
  <c r="AJ321" i="10"/>
  <c r="AE321" i="10"/>
  <c r="AB321" i="10"/>
  <c r="Z321" i="10"/>
  <c r="X321" i="10"/>
  <c r="AM319" i="10"/>
  <c r="X319" i="10"/>
  <c r="Z319" i="10"/>
  <c r="AB319" i="10"/>
  <c r="AJ319" i="10"/>
  <c r="J319" i="10"/>
  <c r="AJ318" i="10"/>
  <c r="R318" i="10"/>
  <c r="X318" i="10"/>
  <c r="Z318" i="10"/>
  <c r="AB318" i="10"/>
  <c r="AJ317" i="10"/>
  <c r="AE317" i="10"/>
  <c r="AB317" i="10"/>
  <c r="Z317" i="10"/>
  <c r="X317" i="10"/>
  <c r="R317" i="10"/>
  <c r="AJ316" i="10"/>
  <c r="AE316" i="10"/>
  <c r="AB316" i="10"/>
  <c r="Z316" i="10"/>
  <c r="X316" i="10"/>
  <c r="J316" i="10"/>
  <c r="AJ334" i="10"/>
  <c r="X334" i="10"/>
  <c r="Z334" i="10"/>
  <c r="AB334" i="10"/>
  <c r="J334" i="10"/>
  <c r="AJ324" i="10"/>
  <c r="X324" i="10"/>
  <c r="Z324" i="10"/>
  <c r="AB324" i="10"/>
  <c r="J324" i="10"/>
  <c r="X313" i="10"/>
  <c r="Z313" i="10"/>
  <c r="AB313" i="10"/>
  <c r="AJ313" i="10"/>
  <c r="X314" i="10"/>
  <c r="Z314" i="10"/>
  <c r="AB314" i="10"/>
  <c r="AI314" i="10" s="1"/>
  <c r="AJ314" i="10"/>
  <c r="E3" i="5"/>
  <c r="E7" i="5"/>
  <c r="G7" i="5" s="1"/>
  <c r="E11" i="5"/>
  <c r="G11" i="5" s="1"/>
  <c r="E15" i="5"/>
  <c r="X310" i="10"/>
  <c r="Z310" i="10"/>
  <c r="AB310" i="10"/>
  <c r="AJ310" i="10"/>
  <c r="X311" i="10"/>
  <c r="Z311" i="10"/>
  <c r="AB311" i="10"/>
  <c r="AI311" i="10" s="1"/>
  <c r="AJ311" i="10"/>
  <c r="AJ299" i="10"/>
  <c r="X299" i="10"/>
  <c r="Z299" i="10"/>
  <c r="AB299" i="10"/>
  <c r="AJ305" i="10"/>
  <c r="X305" i="10"/>
  <c r="Z305" i="10"/>
  <c r="AB305" i="10"/>
  <c r="AI305" i="10" s="1"/>
  <c r="AX308" i="10"/>
  <c r="AM308" i="10"/>
  <c r="AB308" i="10"/>
  <c r="AJ308" i="10"/>
  <c r="Z308" i="10"/>
  <c r="X308" i="10"/>
  <c r="AM306" i="10"/>
  <c r="X306" i="10"/>
  <c r="Z306" i="10"/>
  <c r="AB306" i="10"/>
  <c r="AJ306" i="10"/>
  <c r="AX307" i="10"/>
  <c r="AM307" i="10"/>
  <c r="AB307" i="10"/>
  <c r="AF307" i="10" s="1"/>
  <c r="AJ307" i="10"/>
  <c r="Z307" i="10"/>
  <c r="X307" i="10"/>
  <c r="AJ304" i="10"/>
  <c r="AN304" i="10" s="1"/>
  <c r="X304" i="10"/>
  <c r="Z304" i="10"/>
  <c r="AB304" i="10"/>
  <c r="R304" i="10"/>
  <c r="AM300" i="10"/>
  <c r="X300" i="10"/>
  <c r="Z300" i="10"/>
  <c r="AB300" i="10"/>
  <c r="AJ300" i="10"/>
  <c r="AM296" i="10"/>
  <c r="X296" i="10"/>
  <c r="Z296" i="10"/>
  <c r="AB296" i="10"/>
  <c r="AJ296" i="10"/>
  <c r="AJ298" i="10"/>
  <c r="X298" i="10"/>
  <c r="Z298" i="10"/>
  <c r="AB298" i="10"/>
  <c r="AM292" i="10"/>
  <c r="AJ292" i="10"/>
  <c r="AB292" i="10"/>
  <c r="Z292" i="10"/>
  <c r="X292" i="10"/>
  <c r="AM293" i="10"/>
  <c r="AB293" i="10"/>
  <c r="AJ293" i="10"/>
  <c r="Z293" i="10"/>
  <c r="X293" i="10"/>
  <c r="R293" i="10"/>
  <c r="AJ291" i="10"/>
  <c r="AE291" i="10"/>
  <c r="X291" i="10"/>
  <c r="Z291" i="10"/>
  <c r="AB291" i="10"/>
  <c r="J291" i="10"/>
  <c r="AM289" i="10"/>
  <c r="AB289" i="10"/>
  <c r="AJ289" i="10"/>
  <c r="AK289" i="10" s="1"/>
  <c r="Z289" i="10"/>
  <c r="X289" i="10"/>
  <c r="AE248" i="10"/>
  <c r="AJ248" i="10"/>
  <c r="X248" i="10"/>
  <c r="Z248" i="10"/>
  <c r="AB248" i="10"/>
  <c r="J248" i="10"/>
  <c r="AJ288" i="10"/>
  <c r="AE288" i="10"/>
  <c r="X288" i="10"/>
  <c r="Z288" i="10"/>
  <c r="AB288" i="10"/>
  <c r="J288" i="10"/>
  <c r="AM286" i="10"/>
  <c r="X286" i="10"/>
  <c r="Z286" i="10"/>
  <c r="AB286" i="10"/>
  <c r="AJ286" i="10"/>
  <c r="J286" i="10"/>
  <c r="J282" i="10"/>
  <c r="X282" i="10"/>
  <c r="Z282" i="10"/>
  <c r="AB282" i="10"/>
  <c r="AE282" i="10"/>
  <c r="AJ282" i="10"/>
  <c r="BI282" i="10" s="1"/>
  <c r="X283" i="10"/>
  <c r="Z283" i="10"/>
  <c r="AB283" i="10"/>
  <c r="AJ283" i="10"/>
  <c r="AN283" i="10" s="1"/>
  <c r="AM283" i="10"/>
  <c r="AE285" i="10"/>
  <c r="AJ285" i="10"/>
  <c r="R285" i="10"/>
  <c r="X285" i="10"/>
  <c r="Z285" i="10"/>
  <c r="AB285" i="10"/>
  <c r="AM280" i="10"/>
  <c r="AJ280" i="10"/>
  <c r="AB280" i="10"/>
  <c r="Z280" i="10"/>
  <c r="X280" i="10"/>
  <c r="J280" i="10"/>
  <c r="AJ279" i="10"/>
  <c r="AB279" i="10"/>
  <c r="Z279" i="10"/>
  <c r="X279" i="10"/>
  <c r="J279" i="10"/>
  <c r="AJ295" i="10"/>
  <c r="AE295" i="10"/>
  <c r="X295" i="10"/>
  <c r="Z295" i="10"/>
  <c r="AB295" i="10"/>
  <c r="J295" i="10"/>
  <c r="AM277" i="10"/>
  <c r="AJ277" i="10"/>
  <c r="AB277" i="10"/>
  <c r="Z277" i="10"/>
  <c r="X277" i="10"/>
  <c r="J277" i="10"/>
  <c r="AJ276" i="10"/>
  <c r="AB276" i="10"/>
  <c r="Z276" i="10"/>
  <c r="X276" i="10"/>
  <c r="J276" i="10"/>
  <c r="AM273" i="10"/>
  <c r="AJ273" i="10"/>
  <c r="AB273" i="10"/>
  <c r="Z273" i="10"/>
  <c r="X273" i="10"/>
  <c r="AX274" i="10"/>
  <c r="AM274" i="10"/>
  <c r="AJ274" i="10"/>
  <c r="AB274" i="10"/>
  <c r="Z274" i="10"/>
  <c r="X274" i="10"/>
  <c r="R274" i="10"/>
  <c r="AJ272" i="10"/>
  <c r="AN272" i="10" s="1"/>
  <c r="X272" i="10"/>
  <c r="Z272" i="10"/>
  <c r="AB272" i="10"/>
  <c r="AJ271" i="10"/>
  <c r="X271" i="10"/>
  <c r="Z271" i="10"/>
  <c r="AB271" i="10"/>
  <c r="J271" i="10"/>
  <c r="D15" i="22"/>
  <c r="AJ194" i="10"/>
  <c r="X194" i="10"/>
  <c r="Z194" i="10"/>
  <c r="AB194" i="10"/>
  <c r="AI194" i="10" s="1"/>
  <c r="AJ193" i="10"/>
  <c r="AK193" i="10" s="1"/>
  <c r="X193" i="10"/>
  <c r="Z193" i="10"/>
  <c r="AB193" i="10"/>
  <c r="J193" i="10"/>
  <c r="Q194" i="10" s="1"/>
  <c r="AM269" i="10"/>
  <c r="AJ269" i="10"/>
  <c r="AB269" i="10"/>
  <c r="Z269" i="10"/>
  <c r="X269" i="10"/>
  <c r="AJ268" i="10"/>
  <c r="AE268" i="10"/>
  <c r="AB268" i="10"/>
  <c r="Z268" i="10"/>
  <c r="X268" i="10"/>
  <c r="J268" i="10"/>
  <c r="AJ267" i="10"/>
  <c r="AE267" i="10"/>
  <c r="AB267" i="10"/>
  <c r="Z267" i="10"/>
  <c r="X267" i="10"/>
  <c r="J267" i="10"/>
  <c r="AM265" i="10"/>
  <c r="AJ265" i="10"/>
  <c r="AB265" i="10"/>
  <c r="Z265" i="10"/>
  <c r="X265" i="10"/>
  <c r="AJ263" i="10"/>
  <c r="X263" i="10"/>
  <c r="Z263" i="10"/>
  <c r="AB263" i="10"/>
  <c r="AJ262" i="10"/>
  <c r="X262" i="10"/>
  <c r="Z262" i="10"/>
  <c r="AB262" i="10"/>
  <c r="AJ261" i="10"/>
  <c r="X261" i="10"/>
  <c r="Z261" i="10"/>
  <c r="AB261" i="10"/>
  <c r="G98" i="9"/>
  <c r="AE264" i="10"/>
  <c r="AJ264" i="10"/>
  <c r="AK264" i="10" s="1"/>
  <c r="AM264" i="10" s="1"/>
  <c r="X264" i="10"/>
  <c r="Z264" i="10"/>
  <c r="AB264" i="10"/>
  <c r="AM250" i="10"/>
  <c r="X250" i="10"/>
  <c r="Z250" i="10"/>
  <c r="AB250" i="10"/>
  <c r="AJ250" i="10"/>
  <c r="J250" i="10"/>
  <c r="AJ303" i="10"/>
  <c r="AB303" i="10"/>
  <c r="AI303" i="10" s="1"/>
  <c r="Z303" i="10"/>
  <c r="X303" i="10"/>
  <c r="AJ302" i="10"/>
  <c r="AB302" i="10"/>
  <c r="Z302" i="10"/>
  <c r="X302" i="10"/>
  <c r="J302" i="10"/>
  <c r="Q303" i="10" s="1"/>
  <c r="AJ249" i="10"/>
  <c r="X249" i="10"/>
  <c r="Z249" i="10"/>
  <c r="AB249" i="10"/>
  <c r="J249" i="10"/>
  <c r="AJ241" i="10"/>
  <c r="X241" i="10"/>
  <c r="Z241" i="10"/>
  <c r="AB241" i="10"/>
  <c r="R241" i="10"/>
  <c r="AM259" i="10"/>
  <c r="X259" i="10"/>
  <c r="Z259" i="10"/>
  <c r="AB259" i="10"/>
  <c r="AJ259" i="10"/>
  <c r="I239" i="10"/>
  <c r="AX214" i="10"/>
  <c r="AM214" i="10"/>
  <c r="AB214" i="10"/>
  <c r="AJ214" i="10"/>
  <c r="Z214" i="10"/>
  <c r="X214" i="10"/>
  <c r="AM207" i="10"/>
  <c r="AJ207" i="10"/>
  <c r="AB207" i="10"/>
  <c r="Z207" i="10"/>
  <c r="R207" i="10"/>
  <c r="I213" i="10" s="1"/>
  <c r="X207" i="10"/>
  <c r="AM238" i="10"/>
  <c r="AJ238" i="10"/>
  <c r="AB238" i="10"/>
  <c r="Z238" i="10"/>
  <c r="R238" i="10"/>
  <c r="X238" i="10"/>
  <c r="X239" i="10"/>
  <c r="Z239" i="10"/>
  <c r="AB239" i="10"/>
  <c r="AJ239" i="10"/>
  <c r="X236" i="10"/>
  <c r="Z236" i="10"/>
  <c r="AB236" i="10"/>
  <c r="AJ236" i="10"/>
  <c r="AM236" i="10"/>
  <c r="X237" i="10"/>
  <c r="Z237" i="10"/>
  <c r="AB237" i="10"/>
  <c r="AJ237" i="10"/>
  <c r="AM237" i="10"/>
  <c r="AM205" i="10"/>
  <c r="AJ205" i="10"/>
  <c r="X205" i="10"/>
  <c r="Z205" i="10"/>
  <c r="AB205" i="10"/>
  <c r="J257" i="10"/>
  <c r="Q258" i="10" s="1"/>
  <c r="R258" i="10" s="1"/>
  <c r="X257" i="10"/>
  <c r="Z257" i="10"/>
  <c r="AB257" i="10"/>
  <c r="AJ257" i="10"/>
  <c r="X258" i="10"/>
  <c r="Z258" i="10"/>
  <c r="AB258" i="10"/>
  <c r="AJ258" i="10"/>
  <c r="AX213" i="10"/>
  <c r="AM213" i="10"/>
  <c r="AB213" i="10"/>
  <c r="AJ213" i="10"/>
  <c r="Z213" i="10"/>
  <c r="X213" i="10"/>
  <c r="AJ235" i="10"/>
  <c r="R235" i="10"/>
  <c r="X235" i="10"/>
  <c r="Z235" i="10"/>
  <c r="AB235" i="10"/>
  <c r="X206" i="10"/>
  <c r="Z206" i="10"/>
  <c r="AB206" i="10"/>
  <c r="AJ206" i="10"/>
  <c r="BG206" i="10" s="1"/>
  <c r="AM206" i="10"/>
  <c r="AJ256" i="10"/>
  <c r="R256" i="10"/>
  <c r="X256" i="10"/>
  <c r="Z256" i="10"/>
  <c r="AB256" i="10"/>
  <c r="AM254" i="10"/>
  <c r="X254" i="10"/>
  <c r="Z254" i="10"/>
  <c r="AB254" i="10"/>
  <c r="AJ254" i="10"/>
  <c r="AE226" i="10"/>
  <c r="AJ226" i="10"/>
  <c r="AN226" i="10" s="1"/>
  <c r="X226" i="10"/>
  <c r="Z226" i="10"/>
  <c r="AB226" i="10"/>
  <c r="J226" i="10"/>
  <c r="J245" i="10"/>
  <c r="X245" i="10"/>
  <c r="Z245" i="10"/>
  <c r="AB245" i="10"/>
  <c r="AH245" i="10" s="1"/>
  <c r="AJ245" i="10"/>
  <c r="X246" i="10"/>
  <c r="Z246" i="10"/>
  <c r="AB246" i="10"/>
  <c r="AJ246" i="10"/>
  <c r="AJ247" i="10"/>
  <c r="AE247" i="10"/>
  <c r="X247" i="10"/>
  <c r="Z247" i="10"/>
  <c r="AB247" i="10"/>
  <c r="J247" i="10"/>
  <c r="AJ253" i="10"/>
  <c r="X253" i="10"/>
  <c r="Z253" i="10"/>
  <c r="AB253" i="10"/>
  <c r="J253" i="10"/>
  <c r="G183" i="9"/>
  <c r="G182" i="9"/>
  <c r="E93" i="9"/>
  <c r="AH160" i="20"/>
  <c r="AX233" i="10"/>
  <c r="AM233" i="10"/>
  <c r="AB233" i="10"/>
  <c r="AJ233" i="10"/>
  <c r="Z233" i="10"/>
  <c r="X233" i="10"/>
  <c r="AE231" i="10"/>
  <c r="AJ231" i="10"/>
  <c r="AB231" i="10"/>
  <c r="Z231" i="10"/>
  <c r="X231" i="10"/>
  <c r="AM221" i="10"/>
  <c r="AB221" i="10"/>
  <c r="AJ221" i="10"/>
  <c r="Z221" i="10"/>
  <c r="X221" i="10"/>
  <c r="AM217" i="10"/>
  <c r="AB217" i="10"/>
  <c r="AJ217" i="10"/>
  <c r="Z217" i="10"/>
  <c r="X217" i="10"/>
  <c r="AJ252" i="10"/>
  <c r="X252" i="10"/>
  <c r="Z252" i="10"/>
  <c r="AB252" i="10"/>
  <c r="AM222" i="10"/>
  <c r="AJ222" i="10"/>
  <c r="AB222" i="10"/>
  <c r="Z222" i="10"/>
  <c r="X222" i="10"/>
  <c r="R222" i="10"/>
  <c r="AJ218" i="10"/>
  <c r="X218" i="10"/>
  <c r="Z218" i="10"/>
  <c r="AB218" i="10"/>
  <c r="AJ220" i="10"/>
  <c r="AE220" i="10"/>
  <c r="X220" i="10"/>
  <c r="Z220" i="10"/>
  <c r="AB220" i="10"/>
  <c r="J220" i="10"/>
  <c r="AJ216" i="10"/>
  <c r="X216" i="10"/>
  <c r="Z216" i="10"/>
  <c r="AB216" i="10"/>
  <c r="J216" i="10"/>
  <c r="AJ224" i="10"/>
  <c r="X224" i="10"/>
  <c r="Z224" i="10"/>
  <c r="AB224" i="10"/>
  <c r="R224" i="10"/>
  <c r="R232" i="10"/>
  <c r="X232" i="10"/>
  <c r="Z232" i="10"/>
  <c r="AB232" i="10"/>
  <c r="AJ232" i="10"/>
  <c r="AJ229" i="10"/>
  <c r="X229" i="10"/>
  <c r="Z229" i="10"/>
  <c r="AB229" i="10"/>
  <c r="J229" i="10"/>
  <c r="E88" i="9"/>
  <c r="G88" i="9" s="1"/>
  <c r="AE227" i="10"/>
  <c r="AJ227" i="10"/>
  <c r="AK227" i="10" s="1"/>
  <c r="AM227" i="10" s="1"/>
  <c r="X227" i="10"/>
  <c r="Z227" i="10"/>
  <c r="AB227" i="10"/>
  <c r="J227" i="10"/>
  <c r="AJ230" i="10"/>
  <c r="X230" i="10"/>
  <c r="Z230" i="10"/>
  <c r="AB230" i="10"/>
  <c r="J230" i="10"/>
  <c r="X225" i="10"/>
  <c r="Z225" i="10"/>
  <c r="AB225" i="10"/>
  <c r="AE225" i="10"/>
  <c r="AJ225" i="10"/>
  <c r="R228" i="10"/>
  <c r="X228" i="10"/>
  <c r="Z228" i="10"/>
  <c r="AB228" i="10"/>
  <c r="AE228" i="10"/>
  <c r="AJ228" i="10"/>
  <c r="AH159" i="20"/>
  <c r="I17" i="22"/>
  <c r="AH158" i="20"/>
  <c r="AX212" i="10"/>
  <c r="AM212" i="10"/>
  <c r="AB212" i="10"/>
  <c r="AJ212" i="10"/>
  <c r="Z212" i="10"/>
  <c r="X212" i="10"/>
  <c r="AX211" i="10"/>
  <c r="AM211" i="10"/>
  <c r="AB211" i="10"/>
  <c r="AJ211" i="10"/>
  <c r="Z211" i="10"/>
  <c r="X211" i="10"/>
  <c r="AX210" i="10"/>
  <c r="AM210" i="10"/>
  <c r="AB210" i="10"/>
  <c r="AJ210" i="10"/>
  <c r="Z210" i="10"/>
  <c r="X210" i="10"/>
  <c r="AX209" i="10"/>
  <c r="AM209" i="10"/>
  <c r="AB209" i="10"/>
  <c r="AJ209" i="10"/>
  <c r="Z209" i="10"/>
  <c r="X209" i="10"/>
  <c r="X208" i="10"/>
  <c r="Z208" i="10"/>
  <c r="AB208" i="10"/>
  <c r="AJ208" i="10"/>
  <c r="E87" i="9"/>
  <c r="E86" i="9"/>
  <c r="E85" i="9"/>
  <c r="G85" i="9" s="1"/>
  <c r="AJ201" i="10"/>
  <c r="X201" i="10"/>
  <c r="Z201" i="10"/>
  <c r="AB201" i="10"/>
  <c r="AJ188" i="10"/>
  <c r="AK188" i="10" s="1"/>
  <c r="R188" i="10"/>
  <c r="X188" i="10"/>
  <c r="Z188" i="10"/>
  <c r="AB188" i="10"/>
  <c r="AJ202" i="10"/>
  <c r="X202" i="10"/>
  <c r="Z202" i="10"/>
  <c r="AB202" i="10"/>
  <c r="J202" i="10"/>
  <c r="X198" i="10"/>
  <c r="Z198" i="10"/>
  <c r="AB198" i="10"/>
  <c r="AI198" i="10" s="1"/>
  <c r="AJ198" i="10"/>
  <c r="AN198" i="10" s="1"/>
  <c r="J198" i="10"/>
  <c r="AM182" i="10"/>
  <c r="X182" i="10"/>
  <c r="Z182" i="10"/>
  <c r="AB182" i="10"/>
  <c r="AC182" i="10" s="1"/>
  <c r="AE182" i="10" s="1"/>
  <c r="AJ182" i="10"/>
  <c r="J182" i="10"/>
  <c r="Q185" i="10"/>
  <c r="R185" i="10" s="1"/>
  <c r="I184" i="10"/>
  <c r="J184" i="10" s="1"/>
  <c r="R196" i="10"/>
  <c r="X196" i="10"/>
  <c r="Z196" i="10"/>
  <c r="AB196" i="10"/>
  <c r="AI196" i="10" s="1"/>
  <c r="AE196" i="10"/>
  <c r="AJ196" i="10"/>
  <c r="J197" i="10"/>
  <c r="X197" i="10"/>
  <c r="Z197" i="10"/>
  <c r="AB197" i="10"/>
  <c r="AI197" i="10" s="1"/>
  <c r="AJ197" i="10"/>
  <c r="AJ199" i="10"/>
  <c r="AE199" i="10"/>
  <c r="X199" i="10"/>
  <c r="Z199" i="10"/>
  <c r="AB199" i="10"/>
  <c r="J199" i="10"/>
  <c r="J190" i="10"/>
  <c r="Q191" i="10" s="1"/>
  <c r="X190" i="10"/>
  <c r="Z190" i="10"/>
  <c r="AB190" i="10"/>
  <c r="AJ190" i="10"/>
  <c r="AN190" i="10" s="1"/>
  <c r="AX190" i="10"/>
  <c r="BM190" i="10"/>
  <c r="BN190" i="10"/>
  <c r="X191" i="10"/>
  <c r="Z191" i="10"/>
  <c r="AB191" i="10"/>
  <c r="AI191" i="10" s="1"/>
  <c r="AJ191" i="10"/>
  <c r="AX191" i="10"/>
  <c r="BM191" i="10"/>
  <c r="BN191" i="10"/>
  <c r="AJ179" i="10"/>
  <c r="X179" i="10"/>
  <c r="Z179" i="10"/>
  <c r="AB179" i="10"/>
  <c r="J179" i="10"/>
  <c r="AJ203" i="10"/>
  <c r="X203" i="10"/>
  <c r="Z203" i="10"/>
  <c r="AB203" i="10"/>
  <c r="J203" i="10"/>
  <c r="AE181" i="10"/>
  <c r="AJ181" i="10"/>
  <c r="X181" i="10"/>
  <c r="Z181" i="10"/>
  <c r="AB181" i="10"/>
  <c r="R181" i="10"/>
  <c r="J181" i="10"/>
  <c r="H21" i="22"/>
  <c r="H20" i="22"/>
  <c r="I3" i="22" s="1"/>
  <c r="AE180" i="10"/>
  <c r="AJ180" i="10"/>
  <c r="R180" i="10"/>
  <c r="X180" i="10"/>
  <c r="Z180" i="10"/>
  <c r="AB180" i="10"/>
  <c r="AX177" i="10"/>
  <c r="AM177" i="10"/>
  <c r="AB177" i="10"/>
  <c r="AJ177" i="10"/>
  <c r="Z177" i="10"/>
  <c r="X177" i="10"/>
  <c r="AX176" i="10"/>
  <c r="AM176" i="10"/>
  <c r="AB176" i="10"/>
  <c r="AJ176" i="10"/>
  <c r="Z176" i="10"/>
  <c r="X176" i="10"/>
  <c r="AM140" i="10"/>
  <c r="AJ140" i="10"/>
  <c r="AB140" i="10"/>
  <c r="Z140" i="10"/>
  <c r="X140" i="10"/>
  <c r="AM132" i="10"/>
  <c r="X132" i="10"/>
  <c r="Z132" i="10"/>
  <c r="AB132" i="10"/>
  <c r="AJ132" i="10"/>
  <c r="AJ204" i="10"/>
  <c r="AB204" i="10"/>
  <c r="Z204" i="10"/>
  <c r="X204" i="10"/>
  <c r="J204" i="10"/>
  <c r="R145" i="10"/>
  <c r="AM170" i="10"/>
  <c r="AJ170" i="10"/>
  <c r="AB170" i="10"/>
  <c r="Z170" i="10"/>
  <c r="X170" i="10"/>
  <c r="J170" i="10"/>
  <c r="H32" i="22"/>
  <c r="H30" i="22"/>
  <c r="Z186" i="10"/>
  <c r="AJ184" i="10"/>
  <c r="X184" i="10"/>
  <c r="Z184" i="10"/>
  <c r="AB184" i="10"/>
  <c r="AJ162" i="10"/>
  <c r="AE162" i="10"/>
  <c r="AB162" i="10"/>
  <c r="Z162" i="10"/>
  <c r="X162" i="10"/>
  <c r="AM144" i="10"/>
  <c r="AJ144" i="10"/>
  <c r="AB144" i="10"/>
  <c r="Z144" i="10"/>
  <c r="X144" i="10"/>
  <c r="J144" i="10"/>
  <c r="Q162" i="10" s="1"/>
  <c r="AJ186" i="10"/>
  <c r="AB186" i="10"/>
  <c r="X186" i="10"/>
  <c r="Z185" i="10"/>
  <c r="AB185" i="10"/>
  <c r="AI185" i="10" s="1"/>
  <c r="AJ185" i="10"/>
  <c r="X185" i="10"/>
  <c r="AM167" i="10"/>
  <c r="X167" i="10"/>
  <c r="Z167" i="10"/>
  <c r="AB167" i="10"/>
  <c r="AF167" i="10" s="1"/>
  <c r="AJ167" i="10"/>
  <c r="J167" i="10"/>
  <c r="R165" i="10"/>
  <c r="AJ200" i="10"/>
  <c r="AN200" i="10" s="1"/>
  <c r="X200" i="10"/>
  <c r="Z200" i="10"/>
  <c r="AB200" i="10"/>
  <c r="J200" i="10"/>
  <c r="X172" i="10"/>
  <c r="Z172" i="10"/>
  <c r="AB172" i="10"/>
  <c r="AI172" i="10" s="1"/>
  <c r="AE172" i="10"/>
  <c r="AJ172" i="10"/>
  <c r="J173" i="10"/>
  <c r="X173" i="10"/>
  <c r="Z173" i="10"/>
  <c r="AB173" i="10"/>
  <c r="AI173" i="10" s="1"/>
  <c r="AJ173" i="10"/>
  <c r="AJ163" i="10"/>
  <c r="X163" i="10"/>
  <c r="Z163" i="10"/>
  <c r="AB163" i="10"/>
  <c r="AJ160" i="10"/>
  <c r="R160" i="10"/>
  <c r="X160" i="10"/>
  <c r="Z160" i="10"/>
  <c r="AB160" i="10"/>
  <c r="AM243" i="10"/>
  <c r="AB243" i="10"/>
  <c r="AJ243" i="10"/>
  <c r="Z243" i="10"/>
  <c r="X243" i="10"/>
  <c r="AM143" i="10"/>
  <c r="AJ143" i="10"/>
  <c r="AB143" i="10"/>
  <c r="Z143" i="10"/>
  <c r="X143" i="10"/>
  <c r="J143" i="10"/>
  <c r="AB153" i="10"/>
  <c r="AJ153" i="10"/>
  <c r="AK153" i="10" s="1"/>
  <c r="AM153" i="10" s="1"/>
  <c r="Z153" i="10"/>
  <c r="X153" i="10"/>
  <c r="J153" i="10"/>
  <c r="AJ166" i="10"/>
  <c r="X166" i="10"/>
  <c r="Z166" i="10"/>
  <c r="AB166" i="10"/>
  <c r="R166" i="10"/>
  <c r="E92" i="9"/>
  <c r="E91" i="9"/>
  <c r="AX151" i="10"/>
  <c r="AM151" i="10"/>
  <c r="AJ151" i="10"/>
  <c r="AB151" i="10"/>
  <c r="Z151" i="10"/>
  <c r="X151" i="10"/>
  <c r="AM142" i="10"/>
  <c r="AJ142" i="10"/>
  <c r="AB142" i="10"/>
  <c r="Z142" i="10"/>
  <c r="X142" i="10"/>
  <c r="AJ158" i="10"/>
  <c r="AB158" i="10"/>
  <c r="Z158" i="10"/>
  <c r="X158" i="10"/>
  <c r="R158" i="10"/>
  <c r="I145" i="10"/>
  <c r="AX150" i="10"/>
  <c r="AM150" i="10"/>
  <c r="AB150" i="10"/>
  <c r="AJ150" i="10"/>
  <c r="Z150" i="10"/>
  <c r="X150" i="10"/>
  <c r="AJ141" i="10"/>
  <c r="AE141" i="10"/>
  <c r="AB141" i="10"/>
  <c r="Z141" i="10"/>
  <c r="X141" i="10"/>
  <c r="AM131" i="10"/>
  <c r="AB131" i="10"/>
  <c r="AJ131" i="10"/>
  <c r="Z131" i="10"/>
  <c r="X131" i="10"/>
  <c r="J131" i="10"/>
  <c r="AX149" i="10"/>
  <c r="AM149" i="10"/>
  <c r="AB149" i="10"/>
  <c r="AJ149" i="10"/>
  <c r="Z149" i="10"/>
  <c r="X149" i="10"/>
  <c r="Q147" i="10"/>
  <c r="R147" i="10" s="1"/>
  <c r="R146" i="10"/>
  <c r="X146" i="10"/>
  <c r="Z146" i="10"/>
  <c r="AB146" i="10"/>
  <c r="AJ146" i="10"/>
  <c r="BG146" i="10" s="1"/>
  <c r="X147" i="10"/>
  <c r="Z147" i="10"/>
  <c r="AB147" i="10"/>
  <c r="AJ147" i="10"/>
  <c r="E90" i="9"/>
  <c r="E89" i="9"/>
  <c r="G89" i="9" s="1"/>
  <c r="AM156" i="10"/>
  <c r="X156" i="10"/>
  <c r="Z156" i="10"/>
  <c r="AB156" i="10"/>
  <c r="AJ156" i="10"/>
  <c r="AJ169" i="10"/>
  <c r="AE169" i="10"/>
  <c r="X169" i="10"/>
  <c r="Z169" i="10"/>
  <c r="AB169" i="10"/>
  <c r="J169" i="10"/>
  <c r="AJ139" i="10"/>
  <c r="AE139" i="10"/>
  <c r="X139" i="10"/>
  <c r="Z139" i="10"/>
  <c r="AB139" i="10"/>
  <c r="R139" i="10"/>
  <c r="AJ136" i="10"/>
  <c r="X136" i="10"/>
  <c r="Z136" i="10"/>
  <c r="AB136" i="10"/>
  <c r="J136" i="10"/>
  <c r="AJ138" i="10"/>
  <c r="X138" i="10"/>
  <c r="Z138" i="10"/>
  <c r="AB138" i="10"/>
  <c r="AJ137" i="10"/>
  <c r="AE137" i="10"/>
  <c r="X137" i="10"/>
  <c r="Z137" i="10"/>
  <c r="AB137" i="10"/>
  <c r="R137" i="10"/>
  <c r="R107" i="10"/>
  <c r="AJ155" i="10"/>
  <c r="AE155" i="10"/>
  <c r="X155" i="10"/>
  <c r="Z155" i="10"/>
  <c r="AB155" i="10"/>
  <c r="J155" i="10"/>
  <c r="AX134" i="10"/>
  <c r="AM134" i="10"/>
  <c r="AB134" i="10"/>
  <c r="AJ134" i="10"/>
  <c r="Z134" i="10"/>
  <c r="X134" i="10"/>
  <c r="AX133" i="10"/>
  <c r="AM133" i="10"/>
  <c r="AB133" i="10"/>
  <c r="AJ133" i="10"/>
  <c r="Z133" i="10"/>
  <c r="X133" i="10"/>
  <c r="AM130" i="10"/>
  <c r="AB130" i="10"/>
  <c r="AJ130" i="10"/>
  <c r="Z130" i="10"/>
  <c r="X130" i="10"/>
  <c r="R130" i="10"/>
  <c r="AJ165" i="10"/>
  <c r="X165" i="10"/>
  <c r="Z165" i="10"/>
  <c r="AB165" i="10"/>
  <c r="AM129" i="10"/>
  <c r="AJ129" i="10"/>
  <c r="AB129" i="10"/>
  <c r="Z129" i="10"/>
  <c r="X129" i="10"/>
  <c r="AB127" i="10"/>
  <c r="AI127" i="10" s="1"/>
  <c r="X127" i="10"/>
  <c r="Z127" i="10"/>
  <c r="AJ127" i="10"/>
  <c r="J127" i="10"/>
  <c r="AJ125" i="10"/>
  <c r="X125" i="10"/>
  <c r="Z125" i="10"/>
  <c r="AB125" i="10"/>
  <c r="J125" i="10"/>
  <c r="I126" i="10"/>
  <c r="B24" i="3" a="1"/>
  <c r="B24" i="3" s="1"/>
  <c r="B23" i="3" a="1"/>
  <c r="B23" i="3" s="1"/>
  <c r="F16" i="3" s="1"/>
  <c r="AJ126" i="10"/>
  <c r="X126" i="10"/>
  <c r="Z126" i="10"/>
  <c r="AB126" i="10"/>
  <c r="AI126" i="10" s="1"/>
  <c r="AJ175" i="10"/>
  <c r="AB175" i="10"/>
  <c r="Z175" i="10"/>
  <c r="X175" i="10"/>
  <c r="AJ124" i="10"/>
  <c r="AE124" i="10"/>
  <c r="AB124" i="10"/>
  <c r="Z124" i="10"/>
  <c r="X124" i="10"/>
  <c r="R124" i="10"/>
  <c r="AJ128" i="10"/>
  <c r="X128" i="10"/>
  <c r="Z128" i="10"/>
  <c r="AB128" i="10"/>
  <c r="R128" i="10"/>
  <c r="AJ122" i="10"/>
  <c r="AE122" i="10"/>
  <c r="AB122" i="10"/>
  <c r="Z122" i="10"/>
  <c r="X122" i="10"/>
  <c r="AJ119" i="10"/>
  <c r="R119" i="10"/>
  <c r="X119" i="10"/>
  <c r="Z119" i="10"/>
  <c r="AB119" i="10"/>
  <c r="AJ174" i="10"/>
  <c r="AB174" i="10"/>
  <c r="Z174" i="10"/>
  <c r="X174" i="10"/>
  <c r="J174" i="10"/>
  <c r="AJ121" i="10"/>
  <c r="AE121" i="10"/>
  <c r="AB121" i="10"/>
  <c r="Z121" i="10"/>
  <c r="X121" i="10"/>
  <c r="D92" i="9"/>
  <c r="AX117" i="10"/>
  <c r="AM117" i="10"/>
  <c r="AJ117" i="10"/>
  <c r="AB117" i="10"/>
  <c r="Z117" i="10"/>
  <c r="X117" i="10"/>
  <c r="X145" i="10"/>
  <c r="Z145" i="10"/>
  <c r="AB145" i="10"/>
  <c r="AJ145" i="10"/>
  <c r="AM116" i="10"/>
  <c r="AJ116" i="10"/>
  <c r="AB116" i="10"/>
  <c r="Z116" i="10"/>
  <c r="X116" i="10"/>
  <c r="AM111" i="10"/>
  <c r="X111" i="10"/>
  <c r="Z111" i="10"/>
  <c r="AB111" i="10"/>
  <c r="AJ111" i="10"/>
  <c r="J111" i="10"/>
  <c r="J113" i="10"/>
  <c r="Q114" i="10" s="1"/>
  <c r="R114" i="10" s="1"/>
  <c r="X113" i="10"/>
  <c r="Z113" i="10"/>
  <c r="AB113" i="10"/>
  <c r="AJ113" i="10"/>
  <c r="X114" i="10"/>
  <c r="Z114" i="10"/>
  <c r="AB114" i="10"/>
  <c r="AI114" i="10" s="1"/>
  <c r="AJ114" i="10"/>
  <c r="AJ123" i="10"/>
  <c r="X123" i="10"/>
  <c r="Z123" i="10"/>
  <c r="AB123" i="10"/>
  <c r="J123" i="10"/>
  <c r="AJ102" i="10"/>
  <c r="X102" i="10"/>
  <c r="Z102" i="10"/>
  <c r="AB102" i="10"/>
  <c r="J102" i="10"/>
  <c r="AM108" i="10"/>
  <c r="X108" i="10"/>
  <c r="Z108" i="10"/>
  <c r="AB108" i="10"/>
  <c r="AJ108" i="10"/>
  <c r="J108" i="10"/>
  <c r="AB148" i="10"/>
  <c r="AJ148" i="10"/>
  <c r="Z148" i="10"/>
  <c r="X148" i="10"/>
  <c r="AJ110" i="10"/>
  <c r="X110" i="10"/>
  <c r="Z110" i="10"/>
  <c r="AB110" i="10"/>
  <c r="J110" i="10"/>
  <c r="I105" i="10"/>
  <c r="J105" i="10" s="1"/>
  <c r="AJ105" i="10"/>
  <c r="X105" i="10"/>
  <c r="Z105" i="10"/>
  <c r="AB105" i="10"/>
  <c r="AJ104" i="10"/>
  <c r="X104" i="10"/>
  <c r="Z104" i="10"/>
  <c r="AB104" i="10"/>
  <c r="J104" i="10"/>
  <c r="R101" i="10"/>
  <c r="X101" i="10"/>
  <c r="Z101" i="10"/>
  <c r="AB101" i="10"/>
  <c r="AJ101" i="10"/>
  <c r="AE106" i="10"/>
  <c r="AJ106" i="10"/>
  <c r="X106" i="10"/>
  <c r="Z106" i="10"/>
  <c r="AB106" i="10"/>
  <c r="R106" i="10"/>
  <c r="AE107" i="10"/>
  <c r="AJ107" i="10"/>
  <c r="X107" i="10"/>
  <c r="Z107" i="10"/>
  <c r="AB107" i="10"/>
  <c r="G93" i="9"/>
  <c r="G101" i="9"/>
  <c r="AM99" i="10"/>
  <c r="X99" i="10"/>
  <c r="Z99" i="10"/>
  <c r="AB99" i="10"/>
  <c r="AJ99" i="10"/>
  <c r="J99" i="10"/>
  <c r="G91" i="9"/>
  <c r="G90" i="9"/>
  <c r="G105" i="9"/>
  <c r="C22" i="1"/>
  <c r="C20" i="1"/>
  <c r="AJ98" i="10"/>
  <c r="X98" i="10"/>
  <c r="Z98" i="10"/>
  <c r="AB98" i="10"/>
  <c r="R98" i="10"/>
  <c r="AM96" i="10"/>
  <c r="X96" i="10"/>
  <c r="Z96" i="10"/>
  <c r="AB96" i="10"/>
  <c r="AJ96" i="10"/>
  <c r="J96" i="10"/>
  <c r="H102" i="1"/>
  <c r="AM93" i="10"/>
  <c r="X93" i="10"/>
  <c r="Z93" i="10"/>
  <c r="AB93" i="10"/>
  <c r="AJ93" i="10"/>
  <c r="AM90" i="10"/>
  <c r="X90" i="10"/>
  <c r="Z90" i="10"/>
  <c r="AB90" i="10"/>
  <c r="AJ90" i="10"/>
  <c r="J90" i="10"/>
  <c r="AJ92" i="10"/>
  <c r="R92" i="10"/>
  <c r="I93" i="10" s="1"/>
  <c r="J93" i="10" s="1"/>
  <c r="X92" i="10"/>
  <c r="Z92" i="10"/>
  <c r="AB92" i="10"/>
  <c r="X89" i="10"/>
  <c r="Z89" i="10"/>
  <c r="AB89" i="10"/>
  <c r="AI89" i="10" s="1"/>
  <c r="AJ89" i="10"/>
  <c r="J89" i="10"/>
  <c r="AM86" i="10"/>
  <c r="X86" i="10"/>
  <c r="Z86" i="10"/>
  <c r="AB86" i="10"/>
  <c r="AJ86" i="10"/>
  <c r="J86" i="10"/>
  <c r="AJ85" i="10"/>
  <c r="AE85" i="10"/>
  <c r="X85" i="10"/>
  <c r="Z85" i="10"/>
  <c r="AB85" i="10"/>
  <c r="AJ88" i="10"/>
  <c r="X88" i="10"/>
  <c r="Z88" i="10"/>
  <c r="AB88" i="10"/>
  <c r="AI88" i="10" s="1"/>
  <c r="J88" i="10"/>
  <c r="AM83" i="10"/>
  <c r="X83" i="10"/>
  <c r="Z83" i="10"/>
  <c r="AB83" i="10"/>
  <c r="AJ83" i="10"/>
  <c r="J83" i="10"/>
  <c r="AM82" i="10"/>
  <c r="AJ82" i="10"/>
  <c r="AB82" i="10"/>
  <c r="Z82" i="10"/>
  <c r="R82" i="10"/>
  <c r="X82" i="10"/>
  <c r="AM15" i="10"/>
  <c r="AJ15" i="10"/>
  <c r="AB15" i="10"/>
  <c r="Z15" i="10"/>
  <c r="X15" i="10"/>
  <c r="AM78" i="10"/>
  <c r="X78" i="10"/>
  <c r="Z78" i="10"/>
  <c r="AB78" i="10"/>
  <c r="AJ78" i="10"/>
  <c r="J74" i="10"/>
  <c r="AM74" i="10"/>
  <c r="X74" i="10"/>
  <c r="Z74" i="10"/>
  <c r="AB74" i="10"/>
  <c r="AJ74" i="10"/>
  <c r="AJ71" i="10"/>
  <c r="X71" i="10"/>
  <c r="Z71" i="10"/>
  <c r="AB71" i="10"/>
  <c r="J71" i="10"/>
  <c r="AJ70" i="10"/>
  <c r="X70" i="10"/>
  <c r="Z70" i="10"/>
  <c r="AB70" i="10"/>
  <c r="J70" i="10"/>
  <c r="AM66" i="10"/>
  <c r="X66" i="10"/>
  <c r="Z66" i="10"/>
  <c r="AB66" i="10"/>
  <c r="AJ66" i="10"/>
  <c r="AE69" i="10"/>
  <c r="AJ69" i="10"/>
  <c r="R69" i="10"/>
  <c r="X69" i="10"/>
  <c r="Z69" i="10"/>
  <c r="AB69" i="10"/>
  <c r="AJ68" i="10"/>
  <c r="X68" i="10"/>
  <c r="Z68" i="10"/>
  <c r="AB68" i="10"/>
  <c r="J68" i="10"/>
  <c r="AM52" i="10"/>
  <c r="AJ52" i="10"/>
  <c r="AB52" i="10"/>
  <c r="Z52" i="10"/>
  <c r="X52" i="10"/>
  <c r="J80" i="10"/>
  <c r="Q81" i="10" s="1"/>
  <c r="R81" i="10" s="1"/>
  <c r="X80" i="10"/>
  <c r="Z80" i="10"/>
  <c r="AB80" i="10"/>
  <c r="AI80" i="10" s="1"/>
  <c r="AJ80" i="10"/>
  <c r="X81" i="10"/>
  <c r="Z81" i="10"/>
  <c r="AB81" i="10"/>
  <c r="AI81" i="10" s="1"/>
  <c r="AJ81" i="10"/>
  <c r="AJ45" i="10"/>
  <c r="X45" i="10"/>
  <c r="Z45" i="10"/>
  <c r="AB45" i="10"/>
  <c r="J45" i="10"/>
  <c r="AM63" i="10"/>
  <c r="AB63" i="10"/>
  <c r="AJ63" i="10"/>
  <c r="Z63" i="10"/>
  <c r="X63" i="10"/>
  <c r="R63" i="10"/>
  <c r="AJ62" i="10"/>
  <c r="AE62" i="10"/>
  <c r="X62" i="10"/>
  <c r="Z62" i="10"/>
  <c r="AB62" i="10"/>
  <c r="J62" i="10"/>
  <c r="AM60" i="10"/>
  <c r="X60" i="10"/>
  <c r="Z60" i="10"/>
  <c r="AB60" i="10"/>
  <c r="AJ60" i="10"/>
  <c r="J60" i="10"/>
  <c r="AJ59" i="10"/>
  <c r="X59" i="10"/>
  <c r="Z59" i="10"/>
  <c r="AB59" i="10"/>
  <c r="J59" i="10"/>
  <c r="AJ58" i="10"/>
  <c r="X58" i="10"/>
  <c r="Z58" i="10"/>
  <c r="AB58" i="10"/>
  <c r="J58" i="10"/>
  <c r="AJ57" i="10"/>
  <c r="X57" i="10"/>
  <c r="Z57" i="10"/>
  <c r="AB57" i="10"/>
  <c r="J57" i="10"/>
  <c r="AM43" i="10"/>
  <c r="AJ43" i="10"/>
  <c r="AB43" i="10"/>
  <c r="Z43" i="10"/>
  <c r="X43" i="10"/>
  <c r="AJ42" i="10"/>
  <c r="X42" i="10"/>
  <c r="Z42" i="10"/>
  <c r="AB42" i="10"/>
  <c r="R47" i="10"/>
  <c r="J46" i="10"/>
  <c r="X46" i="10"/>
  <c r="Z46" i="10"/>
  <c r="AB46" i="10"/>
  <c r="AJ46" i="10"/>
  <c r="AM53" i="10"/>
  <c r="X53" i="10"/>
  <c r="Z53" i="10"/>
  <c r="AB53" i="10"/>
  <c r="AJ53" i="10"/>
  <c r="AJ49" i="10"/>
  <c r="X49" i="10"/>
  <c r="Z49" i="10"/>
  <c r="AB49" i="10"/>
  <c r="AJ55" i="10"/>
  <c r="X55" i="10"/>
  <c r="Z55" i="10"/>
  <c r="AB55" i="10"/>
  <c r="AJ48" i="10"/>
  <c r="X48" i="10"/>
  <c r="Z48" i="10"/>
  <c r="AB48" i="10"/>
  <c r="J48" i="10"/>
  <c r="AJ50" i="10"/>
  <c r="X50" i="10"/>
  <c r="Z50" i="10"/>
  <c r="AB50" i="10"/>
  <c r="J50" i="10"/>
  <c r="AJ40" i="10"/>
  <c r="X40" i="10"/>
  <c r="Z40" i="10"/>
  <c r="AB40" i="10"/>
  <c r="J40" i="10"/>
  <c r="X76" i="10"/>
  <c r="Z76" i="10"/>
  <c r="AB76" i="10"/>
  <c r="AJ76" i="10"/>
  <c r="X77" i="10"/>
  <c r="Z77" i="10"/>
  <c r="AB77" i="10"/>
  <c r="AI77" i="10" s="1"/>
  <c r="AJ77" i="10"/>
  <c r="AM38" i="10"/>
  <c r="AB38" i="10"/>
  <c r="AJ38" i="10"/>
  <c r="Z38" i="10"/>
  <c r="X38" i="10"/>
  <c r="AJ44" i="10"/>
  <c r="X44" i="10"/>
  <c r="Z44" i="10"/>
  <c r="AB44" i="10"/>
  <c r="AJ65" i="10"/>
  <c r="AE65" i="10"/>
  <c r="X65" i="10"/>
  <c r="Z65" i="10"/>
  <c r="AB65" i="10"/>
  <c r="J65" i="10"/>
  <c r="J34" i="10"/>
  <c r="Q35" i="10" s="1"/>
  <c r="R35" i="10" s="1"/>
  <c r="X34" i="10"/>
  <c r="Z34" i="10"/>
  <c r="AB34" i="10"/>
  <c r="AJ34" i="10"/>
  <c r="X35" i="10"/>
  <c r="Z35" i="10"/>
  <c r="AB35" i="10"/>
  <c r="AI35" i="10" s="1"/>
  <c r="AJ35" i="10"/>
  <c r="AJ47" i="10"/>
  <c r="AE47" i="10"/>
  <c r="X47" i="10"/>
  <c r="Z47" i="10"/>
  <c r="AB47" i="10"/>
  <c r="AJ51" i="10"/>
  <c r="X51" i="10"/>
  <c r="Z51" i="10"/>
  <c r="AB51" i="10"/>
  <c r="J51" i="10"/>
  <c r="AJ37" i="10"/>
  <c r="AE37" i="10"/>
  <c r="R37" i="10"/>
  <c r="I38" i="10" s="1"/>
  <c r="J38" i="10" s="1"/>
  <c r="X37" i="10"/>
  <c r="Z37" i="10"/>
  <c r="AB37" i="10"/>
  <c r="AM14" i="10"/>
  <c r="AJ14" i="10"/>
  <c r="AB14" i="10"/>
  <c r="Z14" i="10"/>
  <c r="X14" i="10"/>
  <c r="AJ19" i="10"/>
  <c r="X19" i="10"/>
  <c r="Z19" i="10"/>
  <c r="AB19" i="10"/>
  <c r="J19" i="10"/>
  <c r="AJ28" i="10"/>
  <c r="AE28" i="10"/>
  <c r="X28" i="10"/>
  <c r="Z28" i="10"/>
  <c r="AB28" i="10"/>
  <c r="J28" i="10"/>
  <c r="AM32" i="10"/>
  <c r="X32" i="10"/>
  <c r="Z32" i="10"/>
  <c r="AB32" i="10"/>
  <c r="AJ32" i="10"/>
  <c r="J32" i="10"/>
  <c r="AM29" i="10"/>
  <c r="AB29" i="10"/>
  <c r="AJ29" i="10"/>
  <c r="Z29" i="10"/>
  <c r="X29" i="10"/>
  <c r="C75" i="1"/>
  <c r="AJ13" i="10"/>
  <c r="X13" i="10"/>
  <c r="Z13" i="10"/>
  <c r="AB13" i="10"/>
  <c r="AM26" i="10"/>
  <c r="AB26" i="10"/>
  <c r="AJ26" i="10"/>
  <c r="Z26" i="10"/>
  <c r="X26" i="10"/>
  <c r="AJ25" i="10"/>
  <c r="AE25" i="10"/>
  <c r="AB25" i="10"/>
  <c r="Z25" i="10"/>
  <c r="X25" i="10"/>
  <c r="R25" i="10"/>
  <c r="I26" i="10" s="1"/>
  <c r="J26" i="10" s="1"/>
  <c r="AJ31" i="10"/>
  <c r="R31" i="10"/>
  <c r="X31" i="10"/>
  <c r="Z31" i="10"/>
  <c r="AB31" i="10"/>
  <c r="AJ20" i="10"/>
  <c r="X20" i="10"/>
  <c r="Z20" i="10"/>
  <c r="AB20" i="10"/>
  <c r="J20" i="10"/>
  <c r="AM23" i="10"/>
  <c r="X23" i="10"/>
  <c r="Z23" i="10"/>
  <c r="AB23" i="10"/>
  <c r="AJ23" i="10"/>
  <c r="J23" i="10"/>
  <c r="AJ22" i="10"/>
  <c r="X22" i="10"/>
  <c r="Z22" i="10"/>
  <c r="AB22" i="10"/>
  <c r="J22" i="10"/>
  <c r="AJ18" i="10"/>
  <c r="X18" i="10"/>
  <c r="Z18" i="10"/>
  <c r="AB18" i="10"/>
  <c r="J18" i="10"/>
  <c r="AJ17" i="10"/>
  <c r="X17" i="10"/>
  <c r="Z17" i="10"/>
  <c r="AB17" i="10"/>
  <c r="J17" i="10"/>
  <c r="J9" i="10"/>
  <c r="AM6" i="10"/>
  <c r="AJ6" i="10"/>
  <c r="AB6" i="10"/>
  <c r="Z6" i="10"/>
  <c r="X6" i="10"/>
  <c r="AM10" i="10"/>
  <c r="AB10" i="10"/>
  <c r="AJ10" i="10"/>
  <c r="Z10" i="10"/>
  <c r="X10" i="10"/>
  <c r="AJ9" i="10"/>
  <c r="AE9" i="10"/>
  <c r="AB9" i="10"/>
  <c r="Z9" i="10"/>
  <c r="X9" i="10"/>
  <c r="AM7" i="10"/>
  <c r="AJ7" i="10"/>
  <c r="AB7" i="10"/>
  <c r="Z7" i="10"/>
  <c r="X7" i="10"/>
  <c r="AJ12" i="10"/>
  <c r="AE12" i="10"/>
  <c r="R12" i="10"/>
  <c r="I14" i="10" s="1"/>
  <c r="X12" i="10"/>
  <c r="Z12" i="10"/>
  <c r="AB12" i="10"/>
  <c r="E129" i="1"/>
  <c r="H129" i="1" s="1"/>
  <c r="E133" i="1"/>
  <c r="H133" i="1" s="1"/>
  <c r="E126" i="1"/>
  <c r="H126" i="1" s="1"/>
  <c r="E111" i="1"/>
  <c r="H111" i="1" s="1"/>
  <c r="E97" i="1"/>
  <c r="H97" i="1" s="1"/>
  <c r="AJ3" i="10"/>
  <c r="X3" i="10"/>
  <c r="Z3" i="10"/>
  <c r="AB3" i="10"/>
  <c r="J3" i="10"/>
  <c r="AJ5" i="10"/>
  <c r="X5" i="10"/>
  <c r="Z5" i="10"/>
  <c r="AB5" i="10"/>
  <c r="J5" i="10"/>
  <c r="AJ4" i="10"/>
  <c r="X4" i="10"/>
  <c r="Z4" i="10"/>
  <c r="AB4" i="10"/>
  <c r="AJ21" i="10"/>
  <c r="X21" i="10"/>
  <c r="Z21" i="10"/>
  <c r="AB21" i="10"/>
  <c r="J21" i="10"/>
  <c r="H112" i="1"/>
  <c r="H118" i="1"/>
  <c r="H119" i="1"/>
  <c r="X73" i="10"/>
  <c r="Z73" i="10"/>
  <c r="AB73" i="10"/>
  <c r="AI73" i="10" s="1"/>
  <c r="AJ73" i="10"/>
  <c r="AJ72" i="10"/>
  <c r="X72" i="10"/>
  <c r="Z72" i="10"/>
  <c r="AB72" i="10"/>
  <c r="J72" i="10"/>
  <c r="Q73" i="10" s="1"/>
  <c r="H114" i="1"/>
  <c r="H113" i="1"/>
  <c r="H110" i="1"/>
  <c r="H124" i="1"/>
  <c r="H131" i="1"/>
  <c r="H123" i="1"/>
  <c r="H125" i="1"/>
  <c r="H132" i="1"/>
  <c r="H130" i="1"/>
  <c r="H107" i="1"/>
  <c r="H103" i="1"/>
  <c r="H108" i="1"/>
  <c r="H109" i="1"/>
  <c r="H128" i="1"/>
  <c r="H127" i="1"/>
  <c r="H96" i="1"/>
  <c r="H116" i="1"/>
  <c r="H115" i="1"/>
  <c r="H106" i="1"/>
  <c r="H100" i="1"/>
  <c r="H122" i="1"/>
  <c r="H121" i="1"/>
  <c r="H104" i="1"/>
  <c r="H98" i="1"/>
  <c r="H120" i="1"/>
  <c r="H117" i="1"/>
  <c r="H105" i="1"/>
  <c r="H99" i="1"/>
  <c r="G92" i="9"/>
  <c r="E84" i="9"/>
  <c r="E81" i="9"/>
  <c r="E80" i="9"/>
  <c r="E79" i="9"/>
  <c r="E125" i="9"/>
  <c r="D19" i="23"/>
  <c r="C19" i="23"/>
  <c r="G84" i="9"/>
  <c r="E78" i="9"/>
  <c r="E77" i="9"/>
  <c r="G78" i="9"/>
  <c r="G81" i="9"/>
  <c r="G79" i="9"/>
  <c r="G80" i="9"/>
  <c r="E76" i="9"/>
  <c r="E83" i="9"/>
  <c r="E82" i="9"/>
  <c r="E75" i="9"/>
  <c r="E73" i="9"/>
  <c r="E74" i="9"/>
  <c r="E72" i="9"/>
  <c r="G77" i="9"/>
  <c r="E170" i="9"/>
  <c r="G170" i="9"/>
  <c r="AH147" i="20"/>
  <c r="AH146" i="20"/>
  <c r="E19" i="5"/>
  <c r="G19" i="5" s="1"/>
  <c r="E23" i="5"/>
  <c r="E27" i="5"/>
  <c r="G27" i="5" s="1"/>
  <c r="E31" i="5"/>
  <c r="G31" i="5" s="1"/>
  <c r="E35" i="5"/>
  <c r="G35" i="5" s="1"/>
  <c r="E39" i="5"/>
  <c r="G39" i="5" s="1"/>
  <c r="G40" i="5"/>
  <c r="E43" i="5"/>
  <c r="G43" i="5" s="1"/>
  <c r="E47" i="5"/>
  <c r="G47" i="5" s="1"/>
  <c r="F58" i="5"/>
  <c r="A61" i="5"/>
  <c r="B61" i="5"/>
  <c r="C61" i="5"/>
  <c r="D61" i="5"/>
  <c r="E61" i="5"/>
  <c r="E62" i="5"/>
  <c r="E66" i="5"/>
  <c r="E71" i="5"/>
  <c r="A78" i="5"/>
  <c r="B78" i="5"/>
  <c r="C78" i="5"/>
  <c r="D78" i="5"/>
  <c r="E78" i="5"/>
  <c r="E79" i="5"/>
  <c r="E81" i="5"/>
  <c r="A91" i="5"/>
  <c r="B91" i="5"/>
  <c r="C91" i="5"/>
  <c r="D91" i="5"/>
  <c r="E91" i="5"/>
  <c r="E92" i="5"/>
  <c r="E98" i="5"/>
  <c r="E99" i="5"/>
  <c r="E103" i="5"/>
  <c r="E107" i="5"/>
  <c r="E111" i="5"/>
  <c r="E116" i="5"/>
  <c r="E118" i="5"/>
  <c r="E119" i="5"/>
  <c r="A127" i="5"/>
  <c r="B127" i="5"/>
  <c r="C127" i="5"/>
  <c r="D127" i="5"/>
  <c r="E127" i="5"/>
  <c r="E128" i="5"/>
  <c r="E133" i="5"/>
  <c r="E136" i="5"/>
  <c r="E140" i="5"/>
  <c r="E145" i="5"/>
  <c r="E147" i="5"/>
  <c r="A152" i="5"/>
  <c r="B152" i="5"/>
  <c r="C152" i="5"/>
  <c r="D152" i="5"/>
  <c r="E152" i="5"/>
  <c r="E153" i="5"/>
  <c r="E157" i="5"/>
  <c r="A169" i="5"/>
  <c r="B169" i="5"/>
  <c r="C169" i="5"/>
  <c r="D169" i="5"/>
  <c r="E169" i="5"/>
  <c r="E172" i="5"/>
  <c r="E175" i="5"/>
  <c r="A181" i="5"/>
  <c r="B181" i="5"/>
  <c r="C181" i="5"/>
  <c r="D181" i="5"/>
  <c r="E181" i="5"/>
  <c r="E183" i="5"/>
  <c r="A187" i="5"/>
  <c r="B187" i="5"/>
  <c r="D187" i="5"/>
  <c r="E187" i="5"/>
  <c r="E188" i="5"/>
  <c r="E192" i="5"/>
  <c r="E195" i="5"/>
  <c r="A201" i="5"/>
  <c r="B201" i="5"/>
  <c r="C201" i="5"/>
  <c r="D201" i="5"/>
  <c r="E201" i="5"/>
  <c r="A206" i="5"/>
  <c r="B206" i="5"/>
  <c r="C206" i="5"/>
  <c r="D206" i="5"/>
  <c r="E206" i="5"/>
  <c r="A212" i="5"/>
  <c r="B212" i="5"/>
  <c r="C212" i="5"/>
  <c r="D212" i="5"/>
  <c r="E212" i="5"/>
  <c r="E215" i="5"/>
  <c r="E217" i="5"/>
  <c r="A224" i="5"/>
  <c r="B224" i="5"/>
  <c r="C224" i="5"/>
  <c r="D224" i="5"/>
  <c r="E224" i="5"/>
  <c r="E225" i="5"/>
  <c r="E171" i="9"/>
  <c r="C8" i="1"/>
  <c r="AH145" i="20"/>
  <c r="D171" i="9"/>
  <c r="E71" i="9"/>
  <c r="G71" i="9"/>
  <c r="G83" i="9"/>
  <c r="G82" i="9"/>
  <c r="G104" i="9"/>
  <c r="G102" i="9"/>
  <c r="G103" i="9"/>
  <c r="K318" i="15"/>
  <c r="T318" i="15"/>
  <c r="K319" i="15"/>
  <c r="T319" i="15"/>
  <c r="K260" i="15"/>
  <c r="T260" i="15"/>
  <c r="K261" i="15"/>
  <c r="T261" i="15"/>
  <c r="K234" i="15"/>
  <c r="T234" i="15"/>
  <c r="K235" i="15"/>
  <c r="T235" i="15"/>
  <c r="K206" i="15"/>
  <c r="T206" i="15"/>
  <c r="K207" i="15"/>
  <c r="T207" i="15"/>
  <c r="K177" i="15"/>
  <c r="T177" i="15"/>
  <c r="K178" i="15"/>
  <c r="T178" i="15"/>
  <c r="K140" i="15"/>
  <c r="T140" i="15"/>
  <c r="K141" i="15"/>
  <c r="T141" i="15"/>
  <c r="K114" i="15"/>
  <c r="T114" i="15"/>
  <c r="K115" i="15"/>
  <c r="T115" i="15"/>
  <c r="T77" i="15"/>
  <c r="K77" i="15"/>
  <c r="T49" i="15"/>
  <c r="K49" i="15"/>
  <c r="E70" i="9"/>
  <c r="G86" i="9"/>
  <c r="G87" i="9"/>
  <c r="G72" i="9"/>
  <c r="D69" i="9"/>
  <c r="E69" i="9" s="1"/>
  <c r="I526" i="10" l="1"/>
  <c r="J526" i="10" s="1"/>
  <c r="AU525" i="10"/>
  <c r="AV478" i="10"/>
  <c r="AR538" i="10"/>
  <c r="AR473" i="10"/>
  <c r="J473" i="10" s="1"/>
  <c r="AR462" i="10"/>
  <c r="J462" i="10" s="1"/>
  <c r="AT462" i="10" s="1"/>
  <c r="AX462" i="10" s="1"/>
  <c r="AS473" i="10"/>
  <c r="AT525" i="10"/>
  <c r="AV525" i="10" s="1"/>
  <c r="AS486" i="10"/>
  <c r="R486" i="10" s="1"/>
  <c r="AU486" i="10" s="1"/>
  <c r="AV486" i="10" s="1"/>
  <c r="AU626" i="10"/>
  <c r="AR436" i="10"/>
  <c r="AR471" i="10"/>
  <c r="AU478" i="10"/>
  <c r="AY483" i="10"/>
  <c r="AR431" i="10"/>
  <c r="AY486" i="10"/>
  <c r="BA486" i="10" s="1"/>
  <c r="BC486" i="10" s="1"/>
  <c r="BD486" i="10" s="1"/>
  <c r="BE486" i="10" s="1"/>
  <c r="AI483" i="10"/>
  <c r="BA483" i="10" s="1"/>
  <c r="BC483" i="10" s="1"/>
  <c r="BD483" i="10" s="1"/>
  <c r="BE483" i="10" s="1"/>
  <c r="AR486" i="10"/>
  <c r="BF525" i="10"/>
  <c r="BH525" i="10" s="1"/>
  <c r="AR545" i="10"/>
  <c r="J545" i="10" s="1"/>
  <c r="AQ486" i="10"/>
  <c r="AS462" i="10"/>
  <c r="AS478" i="10"/>
  <c r="AS476" i="10"/>
  <c r="AQ484" i="10"/>
  <c r="AI525" i="10"/>
  <c r="AR622" i="10"/>
  <c r="J622" i="10" s="1"/>
  <c r="AT622" i="10" s="1"/>
  <c r="AR435" i="10"/>
  <c r="AX525" i="10"/>
  <c r="AS522" i="10"/>
  <c r="BG659" i="10"/>
  <c r="BF659" i="10" s="1"/>
  <c r="BH659" i="10"/>
  <c r="BJ659" i="10" s="1"/>
  <c r="BI659" i="10"/>
  <c r="AN659" i="10"/>
  <c r="AZ659" i="10"/>
  <c r="AY659" i="10" s="1"/>
  <c r="BA659" i="10" s="1"/>
  <c r="BB659" i="10"/>
  <c r="AR659" i="10"/>
  <c r="J659" i="10" s="1"/>
  <c r="BG662" i="10"/>
  <c r="BI662" i="10"/>
  <c r="AN662" i="10"/>
  <c r="AP662" i="10"/>
  <c r="AM662" i="10" s="1"/>
  <c r="AR662" i="10" s="1"/>
  <c r="AZ662" i="10"/>
  <c r="BB662" i="10"/>
  <c r="AT662" i="10"/>
  <c r="AZ653" i="10"/>
  <c r="BB653" i="10"/>
  <c r="AH653" i="10"/>
  <c r="AI653" i="10" s="1"/>
  <c r="AF653" i="10"/>
  <c r="BG653" i="10"/>
  <c r="BI653" i="10"/>
  <c r="AZ652" i="10"/>
  <c r="BB652" i="10"/>
  <c r="AH652" i="10"/>
  <c r="AI652" i="10" s="1"/>
  <c r="AF652" i="10"/>
  <c r="BG652" i="10"/>
  <c r="BI652" i="10"/>
  <c r="AZ651" i="10"/>
  <c r="BB651" i="10"/>
  <c r="AH651" i="10"/>
  <c r="AI651" i="10" s="1"/>
  <c r="AF651" i="10"/>
  <c r="BG651" i="10"/>
  <c r="BI651" i="10"/>
  <c r="H33" i="22"/>
  <c r="H36" i="22"/>
  <c r="L3" i="22"/>
  <c r="D14" i="22"/>
  <c r="Q40" i="22"/>
  <c r="AZ654" i="10"/>
  <c r="BB654" i="10"/>
  <c r="AH654" i="10"/>
  <c r="AI654" i="10" s="1"/>
  <c r="AF654" i="10"/>
  <c r="BG654" i="10"/>
  <c r="BI654" i="10"/>
  <c r="BG655" i="10"/>
  <c r="BI655" i="10"/>
  <c r="AP655" i="10"/>
  <c r="AQ655" i="10" s="1"/>
  <c r="AN655" i="10"/>
  <c r="AZ655" i="10"/>
  <c r="BB655" i="10"/>
  <c r="AZ649" i="10"/>
  <c r="BB649" i="10"/>
  <c r="AH649" i="10"/>
  <c r="AI649" i="10"/>
  <c r="AF649" i="10"/>
  <c r="BG649" i="10"/>
  <c r="BI649" i="10"/>
  <c r="AZ693" i="10"/>
  <c r="BB693" i="10"/>
  <c r="AH693" i="10"/>
  <c r="AI693" i="10"/>
  <c r="AU693" i="10"/>
  <c r="AR693" i="10"/>
  <c r="J693" i="10" s="1"/>
  <c r="AT693" i="10" s="1"/>
  <c r="AS693" i="10"/>
  <c r="BG693" i="10"/>
  <c r="BF693" i="10" s="1"/>
  <c r="BH693" i="10"/>
  <c r="BI693" i="10"/>
  <c r="BB648" i="10"/>
  <c r="AZ648" i="10"/>
  <c r="AH648" i="10"/>
  <c r="AF648" i="10"/>
  <c r="AC648" i="10"/>
  <c r="BI648" i="10"/>
  <c r="BG648" i="10"/>
  <c r="AN648" i="10"/>
  <c r="AK648" i="10"/>
  <c r="BB691" i="10"/>
  <c r="AZ691" i="10"/>
  <c r="AF691" i="10"/>
  <c r="AC691" i="10"/>
  <c r="BI691" i="10"/>
  <c r="BG691" i="10"/>
  <c r="AN691" i="10"/>
  <c r="AK691" i="10"/>
  <c r="BB650" i="10"/>
  <c r="AZ650" i="10"/>
  <c r="AH650" i="10"/>
  <c r="AF650" i="10"/>
  <c r="AC650" i="10"/>
  <c r="BI650" i="10"/>
  <c r="BG650" i="10"/>
  <c r="AN650" i="10"/>
  <c r="AK650" i="10"/>
  <c r="BG646" i="10"/>
  <c r="BI646" i="10"/>
  <c r="AN646" i="10"/>
  <c r="AZ646" i="10"/>
  <c r="BB646" i="10"/>
  <c r="AR646" i="10"/>
  <c r="AS646" i="10"/>
  <c r="R646" i="10" s="1"/>
  <c r="AZ689" i="10"/>
  <c r="BB689" i="10"/>
  <c r="AH689" i="10"/>
  <c r="AI689" i="10"/>
  <c r="AF689" i="10"/>
  <c r="BG689" i="10"/>
  <c r="BF689" i="10" s="1"/>
  <c r="BI689" i="10"/>
  <c r="AP689" i="10"/>
  <c r="AQ689" i="10"/>
  <c r="AN689" i="10"/>
  <c r="AZ688" i="10"/>
  <c r="BB688" i="10"/>
  <c r="AH688" i="10"/>
  <c r="AI688" i="10"/>
  <c r="AF688" i="10"/>
  <c r="BG688" i="10"/>
  <c r="BF688" i="10" s="1"/>
  <c r="BI688" i="10"/>
  <c r="AP688" i="10"/>
  <c r="AQ688" i="10" s="1"/>
  <c r="AN688" i="10"/>
  <c r="AZ687" i="10"/>
  <c r="BB687" i="10"/>
  <c r="AH687" i="10"/>
  <c r="AI687" i="10" s="1"/>
  <c r="AF687" i="10"/>
  <c r="BG687" i="10"/>
  <c r="BF687" i="10" s="1"/>
  <c r="BI687" i="10"/>
  <c r="AP687" i="10"/>
  <c r="AQ687" i="10" s="1"/>
  <c r="BH687" i="10" s="1"/>
  <c r="BJ687" i="10" s="1"/>
  <c r="AN687" i="10"/>
  <c r="R663" i="10"/>
  <c r="BB663" i="10"/>
  <c r="AZ663" i="10"/>
  <c r="AI663" i="10"/>
  <c r="AH663" i="10"/>
  <c r="AF663" i="10"/>
  <c r="AC663" i="10"/>
  <c r="BI663" i="10"/>
  <c r="BG663" i="10"/>
  <c r="AP663" i="10"/>
  <c r="AN663" i="10"/>
  <c r="AK663" i="10"/>
  <c r="AZ658" i="10"/>
  <c r="BB658" i="10"/>
  <c r="AH658" i="10"/>
  <c r="AI658" i="10" s="1"/>
  <c r="AU658" i="10"/>
  <c r="AR658" i="10"/>
  <c r="J658" i="10" s="1"/>
  <c r="AT658" i="10" s="1"/>
  <c r="AS658" i="10"/>
  <c r="BG658" i="10"/>
  <c r="BI658" i="10"/>
  <c r="BB657" i="10"/>
  <c r="AZ657" i="10"/>
  <c r="AH657" i="10"/>
  <c r="AF657" i="10"/>
  <c r="AC657" i="10"/>
  <c r="BI657" i="10"/>
  <c r="BG657" i="10"/>
  <c r="AN657" i="10"/>
  <c r="AK657" i="10"/>
  <c r="BB685" i="10"/>
  <c r="AZ685" i="10"/>
  <c r="AH685" i="10"/>
  <c r="AF685" i="10"/>
  <c r="AC685" i="10"/>
  <c r="BI685" i="10"/>
  <c r="BG685" i="10"/>
  <c r="AN685" i="10"/>
  <c r="AK685" i="10"/>
  <c r="BB683" i="10"/>
  <c r="AZ683" i="10"/>
  <c r="AH683" i="10"/>
  <c r="AI683" i="10" s="1"/>
  <c r="AF683" i="10"/>
  <c r="AC683" i="10"/>
  <c r="BI683" i="10"/>
  <c r="BG683" i="10"/>
  <c r="AN683" i="10"/>
  <c r="AK683" i="10"/>
  <c r="AZ661" i="10"/>
  <c r="BB661" i="10"/>
  <c r="AH661" i="10"/>
  <c r="AI661" i="10" s="1"/>
  <c r="AF661" i="10"/>
  <c r="BG661" i="10"/>
  <c r="BI661" i="10"/>
  <c r="AR612" i="10"/>
  <c r="AS484" i="10"/>
  <c r="AR484" i="10"/>
  <c r="J484" i="10" s="1"/>
  <c r="AT484" i="10" s="1"/>
  <c r="R484" i="10"/>
  <c r="AU484" i="10" s="1"/>
  <c r="BF484" i="10" s="1"/>
  <c r="BH484" i="10" s="1"/>
  <c r="BJ484" i="10" s="1"/>
  <c r="AM483" i="10"/>
  <c r="AQ483" i="10"/>
  <c r="AC633" i="10"/>
  <c r="AF633" i="10"/>
  <c r="AU627" i="10"/>
  <c r="AS627" i="10"/>
  <c r="AS626" i="10"/>
  <c r="AR626" i="10"/>
  <c r="J626" i="10" s="1"/>
  <c r="AT626" i="10" s="1"/>
  <c r="AF623" i="10"/>
  <c r="AC623" i="10"/>
  <c r="AN623" i="10"/>
  <c r="AK623" i="10"/>
  <c r="AM623" i="10" s="1"/>
  <c r="AC590" i="10"/>
  <c r="AE590" i="10" s="1"/>
  <c r="AF590" i="10"/>
  <c r="AK595" i="10"/>
  <c r="AM595" i="10" s="1"/>
  <c r="AS595" i="10" s="1"/>
  <c r="AN595" i="10"/>
  <c r="AC587" i="10"/>
  <c r="AE587" i="10" s="1"/>
  <c r="AR587" i="10" s="1"/>
  <c r="AF587" i="10"/>
  <c r="AC594" i="10"/>
  <c r="AE594" i="10" s="1"/>
  <c r="AR594" i="10" s="1"/>
  <c r="J594" i="10" s="1"/>
  <c r="AT594" i="10" s="1"/>
  <c r="AF594" i="10"/>
  <c r="AF596" i="10"/>
  <c r="AC596" i="10"/>
  <c r="AE596" i="10" s="1"/>
  <c r="AC588" i="10"/>
  <c r="AE588" i="10" s="1"/>
  <c r="AF588" i="10"/>
  <c r="AK568" i="10"/>
  <c r="AN568" i="10"/>
  <c r="AC574" i="10"/>
  <c r="AE574" i="10" s="1"/>
  <c r="AR574" i="10" s="1"/>
  <c r="J574" i="10" s="1"/>
  <c r="AF574" i="10"/>
  <c r="BB487" i="10"/>
  <c r="AZ487" i="10"/>
  <c r="AU487" i="10"/>
  <c r="AT487" i="10"/>
  <c r="BG487" i="10"/>
  <c r="BI487" i="10"/>
  <c r="BI426" i="10"/>
  <c r="BG426" i="10"/>
  <c r="AR627" i="10"/>
  <c r="J627" i="10" s="1"/>
  <c r="AT627" i="10" s="1"/>
  <c r="AZ681" i="10"/>
  <c r="BB681" i="10"/>
  <c r="AF681" i="10"/>
  <c r="AH681" i="10"/>
  <c r="AE681" i="10" s="1"/>
  <c r="AI681" i="10"/>
  <c r="BG681" i="10"/>
  <c r="BI681" i="10"/>
  <c r="AP681" i="10"/>
  <c r="AQ681" i="10" s="1"/>
  <c r="AN681" i="10"/>
  <c r="BG643" i="10"/>
  <c r="BI643" i="10"/>
  <c r="AN643" i="10"/>
  <c r="AZ643" i="10"/>
  <c r="BB643" i="10"/>
  <c r="AR643" i="10"/>
  <c r="AS643" i="10"/>
  <c r="R643" i="10" s="1"/>
  <c r="AZ642" i="10"/>
  <c r="BB642" i="10"/>
  <c r="AH642" i="10"/>
  <c r="AI642" i="10" s="1"/>
  <c r="AU642" i="10"/>
  <c r="AR642" i="10"/>
  <c r="J642" i="10" s="1"/>
  <c r="AT642" i="10" s="1"/>
  <c r="AS642" i="10"/>
  <c r="BG642" i="10"/>
  <c r="BF642" i="10" s="1"/>
  <c r="BH642" i="10"/>
  <c r="BI642" i="10"/>
  <c r="AR618" i="10"/>
  <c r="BG618" i="10"/>
  <c r="BI618" i="10"/>
  <c r="AN618" i="10"/>
  <c r="AZ618" i="10"/>
  <c r="BB618" i="10"/>
  <c r="AR637" i="10"/>
  <c r="BG637" i="10"/>
  <c r="BI637" i="10"/>
  <c r="AN637" i="10"/>
  <c r="AZ637" i="10"/>
  <c r="BB637" i="10"/>
  <c r="AZ645" i="10"/>
  <c r="BB645" i="10"/>
  <c r="AH645" i="10"/>
  <c r="AI645" i="10" s="1"/>
  <c r="AT645" i="10"/>
  <c r="AR645" i="10"/>
  <c r="AS645" i="10"/>
  <c r="R645" i="10" s="1"/>
  <c r="AU645" i="10" s="1"/>
  <c r="BG645" i="10"/>
  <c r="BI645" i="10"/>
  <c r="AZ633" i="10"/>
  <c r="BB633" i="10"/>
  <c r="AH633" i="10"/>
  <c r="AE633" i="10" s="1"/>
  <c r="AR633" i="10" s="1"/>
  <c r="J633" i="10" s="1"/>
  <c r="AT633" i="10" s="1"/>
  <c r="BG633" i="10"/>
  <c r="BI633" i="10"/>
  <c r="AZ632" i="10"/>
  <c r="BB632" i="10"/>
  <c r="AH632" i="10"/>
  <c r="AI632" i="10" s="1"/>
  <c r="AS632" i="10"/>
  <c r="BG632" i="10"/>
  <c r="BI632" i="10"/>
  <c r="BB678" i="10"/>
  <c r="AZ678" i="10"/>
  <c r="AF678" i="10"/>
  <c r="AC678" i="10"/>
  <c r="BI678" i="10"/>
  <c r="BG678" i="10"/>
  <c r="AN678" i="10"/>
  <c r="AK678" i="10"/>
  <c r="BG640" i="10"/>
  <c r="BI640" i="10"/>
  <c r="AP640" i="10"/>
  <c r="AQ640" i="10"/>
  <c r="AN640" i="10"/>
  <c r="AZ640" i="10"/>
  <c r="BB640" i="10"/>
  <c r="AZ624" i="10"/>
  <c r="BB624" i="10"/>
  <c r="AH624" i="10"/>
  <c r="AI624" i="10"/>
  <c r="AF624" i="10"/>
  <c r="BG624" i="10"/>
  <c r="BI624" i="10"/>
  <c r="AZ639" i="10"/>
  <c r="BB639" i="10"/>
  <c r="AH639" i="10"/>
  <c r="AI639" i="10"/>
  <c r="AF639" i="10"/>
  <c r="BG639" i="10"/>
  <c r="BI639" i="10"/>
  <c r="BB636" i="10"/>
  <c r="AZ636" i="10"/>
  <c r="AF636" i="10"/>
  <c r="AC636" i="10"/>
  <c r="BI636" i="10"/>
  <c r="BG636" i="10"/>
  <c r="AN636" i="10"/>
  <c r="AK636" i="10"/>
  <c r="BB635" i="10"/>
  <c r="AZ635" i="10"/>
  <c r="AF635" i="10"/>
  <c r="AC635" i="10"/>
  <c r="BI635" i="10"/>
  <c r="BG635" i="10"/>
  <c r="AP635" i="10"/>
  <c r="AN635" i="10"/>
  <c r="AK635" i="10"/>
  <c r="AZ630" i="10"/>
  <c r="BB630" i="10"/>
  <c r="AH630" i="10"/>
  <c r="AI630" i="10" s="1"/>
  <c r="AF630" i="10"/>
  <c r="BG630" i="10"/>
  <c r="BI630" i="10"/>
  <c r="AZ680" i="10"/>
  <c r="BB680" i="10"/>
  <c r="AI680" i="10"/>
  <c r="AF680" i="10"/>
  <c r="BG680" i="10"/>
  <c r="BI680" i="10"/>
  <c r="AZ631" i="10"/>
  <c r="BB631" i="10"/>
  <c r="AH631" i="10"/>
  <c r="AI631" i="10"/>
  <c r="AF631" i="10"/>
  <c r="BG631" i="10"/>
  <c r="BI631" i="10"/>
  <c r="AZ629" i="10"/>
  <c r="BB629" i="10"/>
  <c r="AH629" i="10"/>
  <c r="AI629" i="10" s="1"/>
  <c r="AF629" i="10"/>
  <c r="BG629" i="10"/>
  <c r="BI629" i="10"/>
  <c r="BB634" i="10"/>
  <c r="AZ634" i="10"/>
  <c r="AF634" i="10"/>
  <c r="AC634" i="10"/>
  <c r="BI634" i="10"/>
  <c r="BG634" i="10"/>
  <c r="AN634" i="10"/>
  <c r="AK634" i="10"/>
  <c r="BB625" i="10"/>
  <c r="AZ625" i="10"/>
  <c r="AF625" i="10"/>
  <c r="AC625" i="10"/>
  <c r="BI625" i="10"/>
  <c r="BG625" i="10"/>
  <c r="AN625" i="10"/>
  <c r="AK625" i="10"/>
  <c r="BG626" i="10"/>
  <c r="BF626" i="10" s="1"/>
  <c r="BH626" i="10"/>
  <c r="BJ626" i="10" s="1"/>
  <c r="BI626" i="10"/>
  <c r="AZ626" i="10"/>
  <c r="BB626" i="10"/>
  <c r="BG627" i="10"/>
  <c r="BI627" i="10"/>
  <c r="AZ627" i="10"/>
  <c r="BB627" i="10"/>
  <c r="AZ622" i="10"/>
  <c r="BB622" i="10"/>
  <c r="AF622" i="10"/>
  <c r="AU622" i="10"/>
  <c r="AS622" i="10"/>
  <c r="BG622" i="10"/>
  <c r="BI622" i="10"/>
  <c r="BB613" i="10"/>
  <c r="AZ613" i="10"/>
  <c r="AH613" i="10"/>
  <c r="AF613" i="10"/>
  <c r="AC613" i="10"/>
  <c r="BI613" i="10"/>
  <c r="BG613" i="10"/>
  <c r="AN613" i="10"/>
  <c r="AK613" i="10"/>
  <c r="BB617" i="10"/>
  <c r="AZ617" i="10"/>
  <c r="AF617" i="10"/>
  <c r="AC617" i="10"/>
  <c r="BI617" i="10"/>
  <c r="BG617" i="10"/>
  <c r="AN617" i="10"/>
  <c r="AK617" i="10"/>
  <c r="AZ614" i="10"/>
  <c r="BB614" i="10"/>
  <c r="AH614" i="10"/>
  <c r="AI614" i="10" s="1"/>
  <c r="AF614" i="10"/>
  <c r="BG614" i="10"/>
  <c r="BI614" i="10"/>
  <c r="AZ606" i="10"/>
  <c r="BB606" i="10"/>
  <c r="AH606" i="10"/>
  <c r="AI606" i="10" s="1"/>
  <c r="AF606" i="10"/>
  <c r="BG606" i="10"/>
  <c r="BI606" i="10"/>
  <c r="AN606" i="10"/>
  <c r="AP606" i="10"/>
  <c r="BB589" i="10"/>
  <c r="AZ589" i="10"/>
  <c r="AF589" i="10"/>
  <c r="AC589" i="10"/>
  <c r="BI589" i="10"/>
  <c r="BG589" i="10"/>
  <c r="AN589" i="10"/>
  <c r="AK589" i="10"/>
  <c r="BB616" i="10"/>
  <c r="AZ616" i="10"/>
  <c r="AF616" i="10"/>
  <c r="AC616" i="10"/>
  <c r="BI616" i="10"/>
  <c r="BG616" i="10"/>
  <c r="AN616" i="10"/>
  <c r="AK616" i="10"/>
  <c r="AZ615" i="10"/>
  <c r="BB615" i="10"/>
  <c r="AH615" i="10"/>
  <c r="AI615" i="10"/>
  <c r="AF615" i="10"/>
  <c r="BG615" i="10"/>
  <c r="BI615" i="10"/>
  <c r="AZ620" i="10"/>
  <c r="BB620" i="10"/>
  <c r="AH620" i="10"/>
  <c r="AI620" i="10"/>
  <c r="AF620" i="10"/>
  <c r="BG620" i="10"/>
  <c r="BI620" i="10"/>
  <c r="AP620" i="10"/>
  <c r="AQ620" i="10"/>
  <c r="AN620" i="10"/>
  <c r="BB611" i="10"/>
  <c r="AZ611" i="10"/>
  <c r="AF611" i="10"/>
  <c r="AC611" i="10"/>
  <c r="BI611" i="10"/>
  <c r="BG611" i="10"/>
  <c r="AN611" i="10"/>
  <c r="AK611" i="10"/>
  <c r="AZ612" i="10"/>
  <c r="BB612" i="10"/>
  <c r="AF612" i="10"/>
  <c r="AT612" i="10"/>
  <c r="AS612" i="10"/>
  <c r="R612" i="10" s="1"/>
  <c r="AU612" i="10" s="1"/>
  <c r="BG612" i="10"/>
  <c r="BI612" i="10"/>
  <c r="AZ610" i="10"/>
  <c r="BB610" i="10"/>
  <c r="AH610" i="10"/>
  <c r="AI610" i="10" s="1"/>
  <c r="AF610" i="10"/>
  <c r="BG610" i="10"/>
  <c r="BI610" i="10"/>
  <c r="AZ609" i="10"/>
  <c r="BB609" i="10"/>
  <c r="AH609" i="10"/>
  <c r="AI609" i="10" s="1"/>
  <c r="AF609" i="10"/>
  <c r="BG609" i="10"/>
  <c r="BI609" i="10"/>
  <c r="AZ608" i="10"/>
  <c r="BB608" i="10"/>
  <c r="AH608" i="10"/>
  <c r="AI608" i="10" s="1"/>
  <c r="AF608" i="10"/>
  <c r="BG608" i="10"/>
  <c r="BI608" i="10"/>
  <c r="BB601" i="10"/>
  <c r="AZ601" i="10"/>
  <c r="AH601" i="10"/>
  <c r="AF601" i="10"/>
  <c r="AC601" i="10"/>
  <c r="BI601" i="10"/>
  <c r="BG601" i="10"/>
  <c r="AN601" i="10"/>
  <c r="AK601" i="10"/>
  <c r="BB602" i="10"/>
  <c r="AZ602" i="10"/>
  <c r="AF602" i="10"/>
  <c r="AC602" i="10"/>
  <c r="BI602" i="10"/>
  <c r="BG602" i="10"/>
  <c r="AN602" i="10"/>
  <c r="AK602" i="10"/>
  <c r="BB599" i="10"/>
  <c r="AZ599" i="10"/>
  <c r="AF599" i="10"/>
  <c r="AC599" i="10"/>
  <c r="BI599" i="10"/>
  <c r="BG599" i="10"/>
  <c r="AN599" i="10"/>
  <c r="AK599" i="10"/>
  <c r="AZ598" i="10"/>
  <c r="BB598" i="10"/>
  <c r="AH598" i="10"/>
  <c r="AI598" i="10" s="1"/>
  <c r="AF598" i="10"/>
  <c r="BG598" i="10"/>
  <c r="BI598" i="10"/>
  <c r="AZ577" i="10"/>
  <c r="BB577" i="10"/>
  <c r="AH577" i="10"/>
  <c r="AI577" i="10"/>
  <c r="AF577" i="10"/>
  <c r="BG577" i="10"/>
  <c r="BI577" i="10"/>
  <c r="AP577" i="10"/>
  <c r="AQ577" i="10"/>
  <c r="AN577" i="10"/>
  <c r="AR590" i="10"/>
  <c r="BG590" i="10"/>
  <c r="BI590" i="10"/>
  <c r="AN590" i="10"/>
  <c r="AZ590" i="10"/>
  <c r="BB590" i="10"/>
  <c r="AZ595" i="10"/>
  <c r="BB595" i="10"/>
  <c r="AF595" i="10"/>
  <c r="BG595" i="10"/>
  <c r="BI595" i="10"/>
  <c r="BG587" i="10"/>
  <c r="BI587" i="10"/>
  <c r="AN587" i="10"/>
  <c r="AZ587" i="10"/>
  <c r="BB587" i="10"/>
  <c r="AZ584" i="10"/>
  <c r="BB584" i="10"/>
  <c r="AH584" i="10"/>
  <c r="AI584" i="10" s="1"/>
  <c r="AU584" i="10"/>
  <c r="AR584" i="10"/>
  <c r="J584" i="10" s="1"/>
  <c r="AT584" i="10" s="1"/>
  <c r="AS584" i="10"/>
  <c r="BG584" i="10"/>
  <c r="BI584" i="10"/>
  <c r="AZ586" i="10"/>
  <c r="BB586" i="10"/>
  <c r="AH586" i="10"/>
  <c r="AF586" i="10"/>
  <c r="BG586" i="10"/>
  <c r="BI586" i="10"/>
  <c r="AZ594" i="10"/>
  <c r="BB594" i="10"/>
  <c r="AH594" i="10"/>
  <c r="AI594" i="10" s="1"/>
  <c r="BG594" i="10"/>
  <c r="BI594" i="10"/>
  <c r="AR596" i="10"/>
  <c r="BG596" i="10"/>
  <c r="BI596" i="10"/>
  <c r="AN596" i="10"/>
  <c r="AZ596" i="10"/>
  <c r="BB596" i="10"/>
  <c r="BB604" i="10"/>
  <c r="AZ604" i="10"/>
  <c r="AF604" i="10"/>
  <c r="AC604" i="10"/>
  <c r="BI604" i="10"/>
  <c r="BG604" i="10"/>
  <c r="AP604" i="10"/>
  <c r="AN604" i="10"/>
  <c r="AK604" i="10"/>
  <c r="AR588" i="10"/>
  <c r="BG588" i="10"/>
  <c r="BI588" i="10"/>
  <c r="AN588" i="10"/>
  <c r="AZ588" i="10"/>
  <c r="BB588" i="10"/>
  <c r="AZ593" i="10"/>
  <c r="BB593" i="10"/>
  <c r="AH593" i="10"/>
  <c r="AF593" i="10"/>
  <c r="BG593" i="10"/>
  <c r="BI593" i="10"/>
  <c r="AN593" i="10"/>
  <c r="BB592" i="10"/>
  <c r="AZ592" i="10"/>
  <c r="AH592" i="10"/>
  <c r="AF592" i="10"/>
  <c r="AC592" i="10"/>
  <c r="BI592" i="10"/>
  <c r="BG592" i="10"/>
  <c r="AN592" i="10"/>
  <c r="AZ579" i="10"/>
  <c r="BB579" i="10"/>
  <c r="AH579" i="10"/>
  <c r="AI579" i="10" s="1"/>
  <c r="AF579" i="10"/>
  <c r="BG579" i="10"/>
  <c r="BI579" i="10"/>
  <c r="AN579" i="10"/>
  <c r="AP579" i="10"/>
  <c r="BB585" i="10"/>
  <c r="AZ585" i="10"/>
  <c r="AH585" i="10"/>
  <c r="AF585" i="10"/>
  <c r="AC585" i="10"/>
  <c r="BI585" i="10"/>
  <c r="BG585" i="10"/>
  <c r="AN585" i="10"/>
  <c r="AK585" i="10"/>
  <c r="AZ583" i="10"/>
  <c r="BB583" i="10"/>
  <c r="AH583" i="10"/>
  <c r="AI583" i="10" s="1"/>
  <c r="AF583" i="10"/>
  <c r="BG583" i="10"/>
  <c r="BI583" i="10"/>
  <c r="AZ582" i="10"/>
  <c r="BB582" i="10"/>
  <c r="AH582" i="10"/>
  <c r="AI582" i="10" s="1"/>
  <c r="AF582" i="10"/>
  <c r="BG582" i="10"/>
  <c r="BI582" i="10"/>
  <c r="BB572" i="10"/>
  <c r="AZ572" i="10"/>
  <c r="AF572" i="10"/>
  <c r="AC572" i="10"/>
  <c r="BI572" i="10"/>
  <c r="BG572" i="10"/>
  <c r="AN572" i="10"/>
  <c r="AK572" i="10"/>
  <c r="BB567" i="10"/>
  <c r="AZ567" i="10"/>
  <c r="AH567" i="10"/>
  <c r="AI567" i="10" s="1"/>
  <c r="AF567" i="10"/>
  <c r="AC567" i="10"/>
  <c r="BI567" i="10"/>
  <c r="BG567" i="10"/>
  <c r="AN567" i="10"/>
  <c r="AK567" i="10"/>
  <c r="AZ568" i="10"/>
  <c r="BB568" i="10"/>
  <c r="AF568" i="10"/>
  <c r="BG568" i="10"/>
  <c r="BI568" i="10"/>
  <c r="AZ570" i="10"/>
  <c r="BB570" i="10"/>
  <c r="AH570" i="10"/>
  <c r="AF570" i="10"/>
  <c r="BG570" i="10"/>
  <c r="BI570" i="10"/>
  <c r="AZ566" i="10"/>
  <c r="BB566" i="10"/>
  <c r="AH566" i="10"/>
  <c r="AI566" i="10" s="1"/>
  <c r="AT566" i="10"/>
  <c r="AR566" i="10"/>
  <c r="AS566" i="10"/>
  <c r="R566" i="10" s="1"/>
  <c r="AU566" i="10" s="1"/>
  <c r="BG566" i="10"/>
  <c r="BI566" i="10"/>
  <c r="BB569" i="10"/>
  <c r="AZ569" i="10"/>
  <c r="AH569" i="10"/>
  <c r="AF569" i="10"/>
  <c r="AC569" i="10"/>
  <c r="BI569" i="10"/>
  <c r="BG569" i="10"/>
  <c r="AP569" i="10"/>
  <c r="AN569" i="10"/>
  <c r="AK569" i="10"/>
  <c r="AZ574" i="10"/>
  <c r="BB574" i="10"/>
  <c r="AH574" i="10"/>
  <c r="BG574" i="10"/>
  <c r="BI574" i="10"/>
  <c r="AP574" i="10"/>
  <c r="AN574" i="10"/>
  <c r="AZ565" i="10"/>
  <c r="BB565" i="10"/>
  <c r="BG565" i="10"/>
  <c r="BF565" i="10" s="1"/>
  <c r="BI565" i="10"/>
  <c r="AZ581" i="10"/>
  <c r="BB581" i="10"/>
  <c r="AH581" i="10"/>
  <c r="AI581" i="10" s="1"/>
  <c r="AF581" i="10"/>
  <c r="BG581" i="10"/>
  <c r="BI581" i="10"/>
  <c r="AZ576" i="10"/>
  <c r="BB576" i="10"/>
  <c r="AH576" i="10"/>
  <c r="AI576" i="10" s="1"/>
  <c r="AF576" i="10"/>
  <c r="BG576" i="10"/>
  <c r="BI576" i="10"/>
  <c r="AR563" i="10"/>
  <c r="BG563" i="10"/>
  <c r="BI563" i="10"/>
  <c r="AN563" i="10"/>
  <c r="AZ563" i="10"/>
  <c r="BB563" i="10"/>
  <c r="AZ562" i="10"/>
  <c r="BB562" i="10"/>
  <c r="AH562" i="10"/>
  <c r="AI562" i="10" s="1"/>
  <c r="AF562" i="10"/>
  <c r="BG562" i="10"/>
  <c r="BI562" i="10"/>
  <c r="AZ559" i="10"/>
  <c r="BB559" i="10"/>
  <c r="AH559" i="10"/>
  <c r="AF559" i="10"/>
  <c r="BG559" i="10"/>
  <c r="BI559" i="10"/>
  <c r="AZ561" i="10"/>
  <c r="BB561" i="10"/>
  <c r="AH561" i="10"/>
  <c r="AI561" i="10" s="1"/>
  <c r="AF561" i="10"/>
  <c r="BG561" i="10"/>
  <c r="BI561" i="10"/>
  <c r="AZ560" i="10"/>
  <c r="BB560" i="10"/>
  <c r="AH560" i="10"/>
  <c r="AF560" i="10"/>
  <c r="BG560" i="10"/>
  <c r="BI560" i="10"/>
  <c r="AZ556" i="10"/>
  <c r="BB556" i="10"/>
  <c r="AH556" i="10"/>
  <c r="AI556" i="10" s="1"/>
  <c r="AF556" i="10"/>
  <c r="BG556" i="10"/>
  <c r="BI556" i="10"/>
  <c r="AN556" i="10"/>
  <c r="AP556" i="10"/>
  <c r="BB558" i="10"/>
  <c r="AZ558" i="10"/>
  <c r="AH558" i="10"/>
  <c r="AF558" i="10"/>
  <c r="AC558" i="10"/>
  <c r="BI558" i="10"/>
  <c r="BG558" i="10"/>
  <c r="AN558" i="10"/>
  <c r="AK558" i="10"/>
  <c r="AZ550" i="10"/>
  <c r="BB550" i="10"/>
  <c r="AH550" i="10"/>
  <c r="AF550" i="10"/>
  <c r="BG550" i="10"/>
  <c r="BI550" i="10"/>
  <c r="AZ549" i="10"/>
  <c r="BB549" i="10"/>
  <c r="AH549" i="10"/>
  <c r="AE549" i="10" s="1"/>
  <c r="AS549" i="10" s="1"/>
  <c r="R549" i="10" s="1"/>
  <c r="AU549" i="10" s="1"/>
  <c r="AF549" i="10"/>
  <c r="BG549" i="10"/>
  <c r="BI549" i="10"/>
  <c r="AZ571" i="10"/>
  <c r="BB571" i="10"/>
  <c r="BG571" i="10"/>
  <c r="BI571" i="10"/>
  <c r="AN571" i="10"/>
  <c r="AZ546" i="10"/>
  <c r="BB546" i="10"/>
  <c r="AH546" i="10"/>
  <c r="AI546" i="10" s="1"/>
  <c r="AF546" i="10"/>
  <c r="BG546" i="10"/>
  <c r="BI546" i="10"/>
  <c r="AZ551" i="10"/>
  <c r="BB551" i="10"/>
  <c r="AH551" i="10"/>
  <c r="AI551" i="10" s="1"/>
  <c r="AF551" i="10"/>
  <c r="BG551" i="10"/>
  <c r="BI551" i="10"/>
  <c r="BB445" i="10"/>
  <c r="AZ445" i="10"/>
  <c r="AF445" i="10"/>
  <c r="AC445" i="10"/>
  <c r="BI445" i="10"/>
  <c r="BG445" i="10"/>
  <c r="AN445" i="10"/>
  <c r="AK445" i="10"/>
  <c r="BB446" i="10"/>
  <c r="AZ446" i="10"/>
  <c r="AI446" i="10"/>
  <c r="AH446" i="10"/>
  <c r="AF446" i="10"/>
  <c r="AC446" i="10"/>
  <c r="BI446" i="10"/>
  <c r="BG446" i="10"/>
  <c r="AN446" i="10"/>
  <c r="AK446" i="10"/>
  <c r="AZ548" i="10"/>
  <c r="BB548" i="10"/>
  <c r="AH548" i="10"/>
  <c r="AI548" i="10" s="1"/>
  <c r="AF548" i="10"/>
  <c r="BG548" i="10"/>
  <c r="BI548" i="10"/>
  <c r="AZ545" i="10"/>
  <c r="BB545" i="10"/>
  <c r="AF545" i="10"/>
  <c r="AT545" i="10"/>
  <c r="AS545" i="10"/>
  <c r="R545" i="10" s="1"/>
  <c r="BG545" i="10"/>
  <c r="BI545" i="10"/>
  <c r="AZ547" i="10"/>
  <c r="BB547" i="10"/>
  <c r="AH547" i="10"/>
  <c r="AI547" i="10" s="1"/>
  <c r="AF547" i="10"/>
  <c r="BG547" i="10"/>
  <c r="BI547" i="10"/>
  <c r="AZ552" i="10"/>
  <c r="BB552" i="10"/>
  <c r="AH552" i="10"/>
  <c r="AI552" i="10" s="1"/>
  <c r="AT552" i="10"/>
  <c r="AR552" i="10"/>
  <c r="AS552" i="10"/>
  <c r="R552" i="10" s="1"/>
  <c r="AU552" i="10" s="1"/>
  <c r="BG552" i="10"/>
  <c r="BI552" i="10"/>
  <c r="AZ533" i="10"/>
  <c r="BB533" i="10"/>
  <c r="AH533" i="10"/>
  <c r="AI533" i="10"/>
  <c r="AF533" i="10"/>
  <c r="BG533" i="10"/>
  <c r="BI533" i="10"/>
  <c r="BB543" i="10"/>
  <c r="AZ543" i="10"/>
  <c r="AH543" i="10"/>
  <c r="AF543" i="10"/>
  <c r="AC543" i="10"/>
  <c r="BI543" i="10"/>
  <c r="BG543" i="10"/>
  <c r="AP543" i="10"/>
  <c r="AN543" i="10"/>
  <c r="AK543" i="10"/>
  <c r="BB541" i="10"/>
  <c r="AZ541" i="10"/>
  <c r="AF541" i="10"/>
  <c r="AC541" i="10"/>
  <c r="BI541" i="10"/>
  <c r="BG541" i="10"/>
  <c r="AP541" i="10"/>
  <c r="AQ541" i="10" s="1"/>
  <c r="AN541" i="10"/>
  <c r="AK541" i="10"/>
  <c r="AZ537" i="10"/>
  <c r="BB537" i="10"/>
  <c r="AH537" i="10"/>
  <c r="AI537" i="10" s="1"/>
  <c r="AF537" i="10"/>
  <c r="BG537" i="10"/>
  <c r="BI537" i="10"/>
  <c r="AP537" i="10"/>
  <c r="AQ537" i="10"/>
  <c r="AN537" i="10"/>
  <c r="BG538" i="10"/>
  <c r="BI538" i="10"/>
  <c r="AZ538" i="10"/>
  <c r="BB538" i="10"/>
  <c r="AZ535" i="10"/>
  <c r="BB535" i="10"/>
  <c r="AH535" i="10"/>
  <c r="AI535" i="10" s="1"/>
  <c r="AF535" i="10"/>
  <c r="BG535" i="10"/>
  <c r="BI535" i="10"/>
  <c r="AZ536" i="10"/>
  <c r="BB536" i="10"/>
  <c r="AH536" i="10"/>
  <c r="AI536" i="10" s="1"/>
  <c r="AF536" i="10"/>
  <c r="BG536" i="10"/>
  <c r="BI536" i="10"/>
  <c r="BB534" i="10"/>
  <c r="AZ534" i="10"/>
  <c r="AH534" i="10"/>
  <c r="AF534" i="10"/>
  <c r="AC534" i="10"/>
  <c r="BI534" i="10"/>
  <c r="BG534" i="10"/>
  <c r="AN534" i="10"/>
  <c r="AK534" i="10"/>
  <c r="BB531" i="10"/>
  <c r="AZ531" i="10"/>
  <c r="AH531" i="10"/>
  <c r="AF531" i="10"/>
  <c r="AC531" i="10"/>
  <c r="BI531" i="10"/>
  <c r="BG531" i="10"/>
  <c r="AP531" i="10"/>
  <c r="AQ531" i="10" s="1"/>
  <c r="AN531" i="10"/>
  <c r="AK531" i="10"/>
  <c r="BG529" i="10"/>
  <c r="BF529" i="10" s="1"/>
  <c r="BH529" i="10" s="1"/>
  <c r="BJ529" i="10" s="1"/>
  <c r="BI529" i="10"/>
  <c r="AN529" i="10"/>
  <c r="AZ529" i="10"/>
  <c r="AY529" i="10" s="1"/>
  <c r="BA529" i="10" s="1"/>
  <c r="BB529" i="10"/>
  <c r="AR529" i="10"/>
  <c r="AS526" i="10"/>
  <c r="R526" i="10" s="1"/>
  <c r="BB528" i="10"/>
  <c r="AZ528" i="10"/>
  <c r="AH528" i="10"/>
  <c r="AI528" i="10" s="1"/>
  <c r="AF528" i="10"/>
  <c r="AC528" i="10"/>
  <c r="BI528" i="10"/>
  <c r="BG528" i="10"/>
  <c r="AN528" i="10"/>
  <c r="AK528" i="10"/>
  <c r="BG523" i="10"/>
  <c r="BI523" i="10"/>
  <c r="AN523" i="10"/>
  <c r="AZ523" i="10"/>
  <c r="BB523" i="10"/>
  <c r="AR523" i="10"/>
  <c r="AS523" i="10"/>
  <c r="R523" i="10" s="1"/>
  <c r="AZ522" i="10"/>
  <c r="BB522" i="10"/>
  <c r="AF522" i="10"/>
  <c r="BG522" i="10"/>
  <c r="BI522" i="10"/>
  <c r="AR514" i="10"/>
  <c r="BG514" i="10"/>
  <c r="BI514" i="10"/>
  <c r="AN514" i="10"/>
  <c r="AZ514" i="10"/>
  <c r="BB514" i="10"/>
  <c r="BB521" i="10"/>
  <c r="AZ521" i="10"/>
  <c r="AH521" i="10"/>
  <c r="AI521" i="10" s="1"/>
  <c r="AF521" i="10"/>
  <c r="AC521" i="10"/>
  <c r="BI521" i="10"/>
  <c r="BG521" i="10"/>
  <c r="AN521" i="10"/>
  <c r="AK521" i="10"/>
  <c r="AZ517" i="10"/>
  <c r="BB517" i="10"/>
  <c r="AH517" i="10"/>
  <c r="AI517" i="10" s="1"/>
  <c r="AF517" i="10"/>
  <c r="BG517" i="10"/>
  <c r="BI517" i="10"/>
  <c r="AP517" i="10"/>
  <c r="AQ517" i="10"/>
  <c r="AN517" i="10"/>
  <c r="AZ515" i="10"/>
  <c r="BB515" i="10"/>
  <c r="AF515" i="10"/>
  <c r="BG515" i="10"/>
  <c r="BI515" i="10"/>
  <c r="BB512" i="10"/>
  <c r="AZ512" i="10"/>
  <c r="AH512" i="10"/>
  <c r="AF512" i="10"/>
  <c r="AC512" i="10"/>
  <c r="BI512" i="10"/>
  <c r="BG512" i="10"/>
  <c r="AN512" i="10"/>
  <c r="AK512" i="10"/>
  <c r="BB513" i="10"/>
  <c r="AZ513" i="10"/>
  <c r="AH513" i="10"/>
  <c r="AF513" i="10"/>
  <c r="AC513" i="10"/>
  <c r="BI513" i="10"/>
  <c r="BG513" i="10"/>
  <c r="AN513" i="10"/>
  <c r="AK513" i="10"/>
  <c r="BG510" i="10"/>
  <c r="BI510" i="10"/>
  <c r="AN510" i="10"/>
  <c r="AZ510" i="10"/>
  <c r="BB510" i="10"/>
  <c r="AR510" i="10"/>
  <c r="AS510" i="10"/>
  <c r="R510" i="10" s="1"/>
  <c r="BG507" i="10"/>
  <c r="BI507" i="10"/>
  <c r="AN507" i="10"/>
  <c r="AZ507" i="10"/>
  <c r="BB507" i="10"/>
  <c r="AR507" i="10"/>
  <c r="AZ509" i="10"/>
  <c r="BB509" i="10"/>
  <c r="AH509" i="10"/>
  <c r="AF509" i="10"/>
  <c r="BG509" i="10"/>
  <c r="BI509" i="10"/>
  <c r="AZ506" i="10"/>
  <c r="BB506" i="10"/>
  <c r="AH506" i="10"/>
  <c r="AF506" i="10"/>
  <c r="BG506" i="10"/>
  <c r="BI506" i="10"/>
  <c r="AZ519" i="10"/>
  <c r="BB519" i="10"/>
  <c r="AH519" i="10"/>
  <c r="AI519" i="10" s="1"/>
  <c r="AF519" i="10"/>
  <c r="BG519" i="10"/>
  <c r="BI519" i="10"/>
  <c r="AP519" i="10"/>
  <c r="AQ519" i="10" s="1"/>
  <c r="AN519" i="10"/>
  <c r="AZ497" i="10"/>
  <c r="BB497" i="10"/>
  <c r="AH497" i="10"/>
  <c r="AI497" i="10" s="1"/>
  <c r="AF497" i="10"/>
  <c r="BG497" i="10"/>
  <c r="BI497" i="10"/>
  <c r="AN497" i="10"/>
  <c r="AP497" i="10"/>
  <c r="BG504" i="10"/>
  <c r="BI504" i="10"/>
  <c r="AN504" i="10"/>
  <c r="AZ504" i="10"/>
  <c r="BB504" i="10"/>
  <c r="AR504" i="10"/>
  <c r="AS504" i="10"/>
  <c r="R504" i="10" s="1"/>
  <c r="BG501" i="10"/>
  <c r="BI501" i="10"/>
  <c r="AN501" i="10"/>
  <c r="AZ501" i="10"/>
  <c r="BB501" i="10"/>
  <c r="AR501" i="10"/>
  <c r="AS501" i="10"/>
  <c r="R501" i="10" s="1"/>
  <c r="BG494" i="10"/>
  <c r="BI494" i="10"/>
  <c r="AN494" i="10"/>
  <c r="AZ494" i="10"/>
  <c r="BB494" i="10"/>
  <c r="AR494" i="10"/>
  <c r="J494" i="10" s="1"/>
  <c r="AS494" i="10"/>
  <c r="R494" i="10" s="1"/>
  <c r="AZ496" i="10"/>
  <c r="BB496" i="10"/>
  <c r="AH496" i="10"/>
  <c r="AI496" i="10" s="1"/>
  <c r="AF496" i="10"/>
  <c r="BG496" i="10"/>
  <c r="BI496" i="10"/>
  <c r="AN496" i="10"/>
  <c r="AP496" i="10"/>
  <c r="AZ503" i="10"/>
  <c r="BB503" i="10"/>
  <c r="AH503" i="10"/>
  <c r="AI503" i="10" s="1"/>
  <c r="AT503" i="10"/>
  <c r="AR503" i="10"/>
  <c r="AS503" i="10"/>
  <c r="R503" i="10" s="1"/>
  <c r="AU503" i="10" s="1"/>
  <c r="BG503" i="10"/>
  <c r="BI503" i="10"/>
  <c r="AZ540" i="10"/>
  <c r="BB540" i="10"/>
  <c r="AH540" i="10"/>
  <c r="AI540" i="10" s="1"/>
  <c r="AF540" i="10"/>
  <c r="BG540" i="10"/>
  <c r="BI540" i="10"/>
  <c r="AZ492" i="10"/>
  <c r="BB492" i="10"/>
  <c r="AH492" i="10"/>
  <c r="AI492" i="10"/>
  <c r="AF492" i="10"/>
  <c r="BG492" i="10"/>
  <c r="BI492" i="10"/>
  <c r="BB490" i="10"/>
  <c r="AZ490" i="10"/>
  <c r="AF490" i="10"/>
  <c r="AC490" i="10"/>
  <c r="BI490" i="10"/>
  <c r="BG490" i="10"/>
  <c r="AN490" i="10"/>
  <c r="AK490" i="10"/>
  <c r="BB489" i="10"/>
  <c r="AZ489" i="10"/>
  <c r="AH489" i="10"/>
  <c r="AF489" i="10"/>
  <c r="AC489" i="10"/>
  <c r="BI489" i="10"/>
  <c r="BG489" i="10"/>
  <c r="AN489" i="10"/>
  <c r="AK489" i="10"/>
  <c r="AZ500" i="10"/>
  <c r="BB500" i="10"/>
  <c r="AH500" i="10"/>
  <c r="AI500" i="10" s="1"/>
  <c r="AU500" i="10"/>
  <c r="AR500" i="10"/>
  <c r="J500" i="10" s="1"/>
  <c r="AT500" i="10" s="1"/>
  <c r="AS500" i="10"/>
  <c r="BG500" i="10"/>
  <c r="BI500" i="10"/>
  <c r="BB481" i="10"/>
  <c r="AZ481" i="10"/>
  <c r="AF481" i="10"/>
  <c r="AC481" i="10"/>
  <c r="BI481" i="10"/>
  <c r="BG481" i="10"/>
  <c r="AN481" i="10"/>
  <c r="AK481" i="10"/>
  <c r="AZ477" i="10"/>
  <c r="BB477" i="10"/>
  <c r="AH477" i="10"/>
  <c r="AI477" i="10"/>
  <c r="AF477" i="10"/>
  <c r="BG477" i="10"/>
  <c r="BI477" i="10"/>
  <c r="AP477" i="10"/>
  <c r="AQ477" i="10" s="1"/>
  <c r="AN477" i="10"/>
  <c r="AZ476" i="10"/>
  <c r="BB476" i="10"/>
  <c r="AF476" i="10"/>
  <c r="BG476" i="10"/>
  <c r="BI476" i="10"/>
  <c r="AR472" i="10"/>
  <c r="BG472" i="10"/>
  <c r="BI472" i="10"/>
  <c r="AN472" i="10"/>
  <c r="AZ472" i="10"/>
  <c r="BB472" i="10"/>
  <c r="AX478" i="10"/>
  <c r="BG478" i="10"/>
  <c r="BF478" i="10" s="1"/>
  <c r="BH478" i="10" s="1"/>
  <c r="BJ478" i="10" s="1"/>
  <c r="BI478" i="10"/>
  <c r="AZ478" i="10"/>
  <c r="AY478" i="10" s="1"/>
  <c r="BA478" i="10" s="1"/>
  <c r="BB478" i="10"/>
  <c r="BB480" i="10"/>
  <c r="AZ480" i="10"/>
  <c r="AF480" i="10"/>
  <c r="AC480" i="10"/>
  <c r="BI480" i="10"/>
  <c r="BG480" i="10"/>
  <c r="AN480" i="10"/>
  <c r="AK480" i="10"/>
  <c r="BG473" i="10"/>
  <c r="BF473" i="10" s="1"/>
  <c r="BH473" i="10" s="1"/>
  <c r="BJ473" i="10" s="1"/>
  <c r="BI473" i="10"/>
  <c r="AN473" i="10"/>
  <c r="AZ473" i="10"/>
  <c r="AY473" i="10" s="1"/>
  <c r="BA473" i="10"/>
  <c r="BB473" i="10"/>
  <c r="AZ471" i="10"/>
  <c r="AY471" i="10" s="1"/>
  <c r="BA471" i="10" s="1"/>
  <c r="BC471" i="10" s="1"/>
  <c r="BB471" i="10"/>
  <c r="AF471" i="10"/>
  <c r="AS471" i="10"/>
  <c r="R471" i="10" s="1"/>
  <c r="I472" i="10" s="1"/>
  <c r="BG471" i="10"/>
  <c r="BF471" i="10" s="1"/>
  <c r="BH471" i="10" s="1"/>
  <c r="BI471" i="10"/>
  <c r="BG469" i="10"/>
  <c r="BI469" i="10"/>
  <c r="AN469" i="10"/>
  <c r="AZ469" i="10"/>
  <c r="BB469" i="10"/>
  <c r="AR469" i="10"/>
  <c r="AS469" i="10"/>
  <c r="R469" i="10" s="1"/>
  <c r="H46" i="1"/>
  <c r="F48" i="1"/>
  <c r="BB475" i="10"/>
  <c r="AZ475" i="10"/>
  <c r="AH475" i="10"/>
  <c r="AF475" i="10"/>
  <c r="AC475" i="10"/>
  <c r="BI475" i="10"/>
  <c r="BG475" i="10"/>
  <c r="AN475" i="10"/>
  <c r="AK475" i="10"/>
  <c r="BB493" i="10"/>
  <c r="AZ493" i="10"/>
  <c r="AF493" i="10"/>
  <c r="AC493" i="10"/>
  <c r="BI493" i="10"/>
  <c r="BG493" i="10"/>
  <c r="AN493" i="10"/>
  <c r="AK493" i="10"/>
  <c r="AR466" i="10"/>
  <c r="BG466" i="10"/>
  <c r="BI466" i="10"/>
  <c r="AN466" i="10"/>
  <c r="AZ466" i="10"/>
  <c r="BB466" i="10"/>
  <c r="AZ457" i="10"/>
  <c r="BB457" i="10"/>
  <c r="AH457" i="10"/>
  <c r="AI457" i="10" s="1"/>
  <c r="AF457" i="10"/>
  <c r="BG457" i="10"/>
  <c r="BI457" i="10"/>
  <c r="P38" i="22"/>
  <c r="P34" i="22" s="1"/>
  <c r="AZ465" i="10"/>
  <c r="BB465" i="10"/>
  <c r="AH465" i="10"/>
  <c r="AI465" i="10" s="1"/>
  <c r="AF465" i="10"/>
  <c r="BG465" i="10"/>
  <c r="BI465" i="10"/>
  <c r="AP465" i="10"/>
  <c r="AQ465" i="10" s="1"/>
  <c r="AN465" i="10"/>
  <c r="BG462" i="10"/>
  <c r="BF462" i="10" s="1"/>
  <c r="BH462" i="10" s="1"/>
  <c r="BJ462" i="10" s="1"/>
  <c r="BI462" i="10"/>
  <c r="AZ462" i="10"/>
  <c r="BB462" i="10"/>
  <c r="AZ461" i="10"/>
  <c r="BB461" i="10"/>
  <c r="AH461" i="10"/>
  <c r="AI461" i="10" s="1"/>
  <c r="AF461" i="10"/>
  <c r="BG461" i="10"/>
  <c r="BI461" i="10"/>
  <c r="AZ464" i="10"/>
  <c r="BB464" i="10"/>
  <c r="AH464" i="10"/>
  <c r="AI464" i="10" s="1"/>
  <c r="AT464" i="10"/>
  <c r="AR464" i="10"/>
  <c r="AS464" i="10"/>
  <c r="BG464" i="10"/>
  <c r="BI464" i="10"/>
  <c r="AZ499" i="10"/>
  <c r="BB499" i="10"/>
  <c r="AH499" i="10"/>
  <c r="AI499" i="10" s="1"/>
  <c r="AF499" i="10"/>
  <c r="BG499" i="10"/>
  <c r="BI499" i="10"/>
  <c r="AZ468" i="10"/>
  <c r="BB468" i="10"/>
  <c r="AH468" i="10"/>
  <c r="AI468" i="10" s="1"/>
  <c r="AR468" i="10"/>
  <c r="J468" i="10" s="1"/>
  <c r="AT468" i="10" s="1"/>
  <c r="AS468" i="10"/>
  <c r="R468" i="10" s="1"/>
  <c r="AU468" i="10" s="1"/>
  <c r="BG468" i="10"/>
  <c r="BI468" i="10"/>
  <c r="P40" i="22"/>
  <c r="AZ458" i="10"/>
  <c r="BB458" i="10"/>
  <c r="AH458" i="10"/>
  <c r="AI458" i="10" s="1"/>
  <c r="AF458" i="10"/>
  <c r="BG458" i="10"/>
  <c r="BI458" i="10"/>
  <c r="AP458" i="10"/>
  <c r="AQ458" i="10" s="1"/>
  <c r="AN458" i="10"/>
  <c r="AZ456" i="10"/>
  <c r="BB456" i="10"/>
  <c r="AH456" i="10"/>
  <c r="AI456" i="10" s="1"/>
  <c r="AF456" i="10"/>
  <c r="BG456" i="10"/>
  <c r="BI456" i="10"/>
  <c r="BB455" i="10"/>
  <c r="AZ455" i="10"/>
  <c r="AH455" i="10"/>
  <c r="AF455" i="10"/>
  <c r="AC455" i="10"/>
  <c r="BI455" i="10"/>
  <c r="BG455" i="10"/>
  <c r="AN455" i="10"/>
  <c r="AK455" i="10"/>
  <c r="AZ449" i="10"/>
  <c r="BB449" i="10"/>
  <c r="AH449" i="10"/>
  <c r="AI449" i="10" s="1"/>
  <c r="AF449" i="10"/>
  <c r="BG449" i="10"/>
  <c r="BI449" i="10"/>
  <c r="AZ448" i="10"/>
  <c r="BB448" i="10"/>
  <c r="AH448" i="10"/>
  <c r="AI448" i="10" s="1"/>
  <c r="AT448" i="10"/>
  <c r="AR448" i="10"/>
  <c r="AS448" i="10"/>
  <c r="R448" i="10" s="1"/>
  <c r="BG448" i="10"/>
  <c r="BI448" i="10"/>
  <c r="BG459" i="10"/>
  <c r="BI459" i="10"/>
  <c r="AZ459" i="10"/>
  <c r="BB459" i="10"/>
  <c r="AZ431" i="10"/>
  <c r="BB431" i="10"/>
  <c r="AF431" i="10"/>
  <c r="AT431" i="10"/>
  <c r="AS431" i="10"/>
  <c r="R431" i="10" s="1"/>
  <c r="AU431" i="10" s="1"/>
  <c r="BG431" i="10"/>
  <c r="BI431" i="10"/>
  <c r="AZ443" i="10"/>
  <c r="BB443" i="10"/>
  <c r="AF443" i="10"/>
  <c r="AH443" i="10"/>
  <c r="AE443" i="10" s="1"/>
  <c r="AI443" i="10"/>
  <c r="AQ443" i="10"/>
  <c r="AS443" i="10"/>
  <c r="BG443" i="10"/>
  <c r="BI443" i="10"/>
  <c r="AZ454" i="10"/>
  <c r="BB454" i="10"/>
  <c r="AH454" i="10"/>
  <c r="AI454" i="10" s="1"/>
  <c r="AT454" i="10"/>
  <c r="AR454" i="10"/>
  <c r="AS454" i="10"/>
  <c r="R454" i="10" s="1"/>
  <c r="AU454" i="10" s="1"/>
  <c r="BG454" i="10"/>
  <c r="BI454" i="10"/>
  <c r="BG440" i="10"/>
  <c r="BI440" i="10"/>
  <c r="AN440" i="10"/>
  <c r="AZ440" i="10"/>
  <c r="BB440" i="10"/>
  <c r="AR440" i="10"/>
  <c r="AS440" i="10"/>
  <c r="R440" i="10" s="1"/>
  <c r="AZ427" i="10"/>
  <c r="BB427" i="10"/>
  <c r="AH427" i="10"/>
  <c r="AI427" i="10" s="1"/>
  <c r="AF427" i="10"/>
  <c r="BG427" i="10"/>
  <c r="BI427" i="10"/>
  <c r="AP427" i="10"/>
  <c r="AQ427" i="10" s="1"/>
  <c r="AN427" i="10"/>
  <c r="AZ453" i="10"/>
  <c r="BB453" i="10"/>
  <c r="AH453" i="10"/>
  <c r="AI453" i="10" s="1"/>
  <c r="AF453" i="10"/>
  <c r="BG453" i="10"/>
  <c r="BI453" i="10"/>
  <c r="BG437" i="10"/>
  <c r="BF437" i="10" s="1"/>
  <c r="BH437" i="10"/>
  <c r="BJ437" i="10" s="1"/>
  <c r="BI437" i="10"/>
  <c r="AN437" i="10"/>
  <c r="AZ437" i="10"/>
  <c r="AY437" i="10" s="1"/>
  <c r="BA437" i="10" s="1"/>
  <c r="BB437" i="10"/>
  <c r="AR437" i="10"/>
  <c r="AS401" i="10"/>
  <c r="AR421" i="10"/>
  <c r="AR424" i="10"/>
  <c r="AR428" i="10"/>
  <c r="AZ436" i="10"/>
  <c r="BB436" i="10"/>
  <c r="AF436" i="10"/>
  <c r="AT436" i="10"/>
  <c r="AS436" i="10"/>
  <c r="R436" i="10" s="1"/>
  <c r="AU436" i="10" s="1"/>
  <c r="BG436" i="10"/>
  <c r="BI436" i="10"/>
  <c r="AZ435" i="10"/>
  <c r="BB435" i="10"/>
  <c r="AF435" i="10"/>
  <c r="AT435" i="10"/>
  <c r="AU435" i="10"/>
  <c r="AS435" i="10"/>
  <c r="BG435" i="10"/>
  <c r="BI435" i="10"/>
  <c r="Q297" i="15" a="1"/>
  <c r="Q297" i="15" s="1"/>
  <c r="P297" i="15" a="1"/>
  <c r="P297" i="15" s="1"/>
  <c r="O297" i="15" a="1"/>
  <c r="O297" i="15" s="1"/>
  <c r="N297" i="15" a="1"/>
  <c r="N297" i="15" s="1"/>
  <c r="M297" i="15" a="1"/>
  <c r="M297" i="15" s="1"/>
  <c r="L297" i="15" a="1"/>
  <c r="L297" i="15" s="1"/>
  <c r="Q296" i="15" a="1"/>
  <c r="Q296" i="15" s="1"/>
  <c r="P296" i="15" a="1"/>
  <c r="P296" i="15" s="1"/>
  <c r="O296" i="15" a="1"/>
  <c r="O296" i="15" s="1"/>
  <c r="N296" i="15" a="1"/>
  <c r="N296" i="15" s="1"/>
  <c r="M296" i="15" a="1"/>
  <c r="M296" i="15" s="1"/>
  <c r="L296" i="15" a="1"/>
  <c r="L296" i="15" s="1"/>
  <c r="Q288" i="15" a="1"/>
  <c r="Q288" i="15" s="1"/>
  <c r="P288" i="15" a="1"/>
  <c r="P288" i="15" s="1"/>
  <c r="O288" i="15" a="1"/>
  <c r="O288" i="15" s="1"/>
  <c r="N288" i="15" a="1"/>
  <c r="N288" i="15" s="1"/>
  <c r="M288" i="15" a="1"/>
  <c r="M288" i="15" s="1"/>
  <c r="L288" i="15" a="1"/>
  <c r="L288" i="15" s="1"/>
  <c r="Q287" i="15" a="1"/>
  <c r="Q287" i="15" s="1"/>
  <c r="P287" i="15" a="1"/>
  <c r="P287" i="15" s="1"/>
  <c r="O287" i="15" a="1"/>
  <c r="O287" i="15" s="1"/>
  <c r="N287" i="15" a="1"/>
  <c r="N287" i="15" s="1"/>
  <c r="M287" i="15" a="1"/>
  <c r="M287" i="15" s="1"/>
  <c r="L287" i="15" a="1"/>
  <c r="L287" i="15" s="1"/>
  <c r="Q286" i="15" a="1"/>
  <c r="Q286" i="15" s="1"/>
  <c r="P286" i="15" a="1"/>
  <c r="P286" i="15" s="1"/>
  <c r="O286" i="15" a="1"/>
  <c r="O286" i="15" s="1"/>
  <c r="N286" i="15" a="1"/>
  <c r="N286" i="15" s="1"/>
  <c r="M286" i="15" a="1"/>
  <c r="M286" i="15" s="1"/>
  <c r="L286" i="15" a="1"/>
  <c r="L286" i="15" s="1"/>
  <c r="Q285" i="15" a="1"/>
  <c r="Q285" i="15" s="1"/>
  <c r="P285" i="15" a="1"/>
  <c r="P285" i="15" s="1"/>
  <c r="O285" i="15" a="1"/>
  <c r="O285" i="15" s="1"/>
  <c r="N285" i="15" a="1"/>
  <c r="N285" i="15" s="1"/>
  <c r="M285" i="15" a="1"/>
  <c r="M285" i="15" s="1"/>
  <c r="L285" i="15" a="1"/>
  <c r="L285" i="15" s="1"/>
  <c r="Q284" i="15" a="1"/>
  <c r="Q284" i="15" s="1"/>
  <c r="P284" i="15" a="1"/>
  <c r="P284" i="15" s="1"/>
  <c r="O284" i="15" a="1"/>
  <c r="O284" i="15" s="1"/>
  <c r="N284" i="15" a="1"/>
  <c r="N284" i="15" s="1"/>
  <c r="M284" i="15" a="1"/>
  <c r="M284" i="15" s="1"/>
  <c r="L284" i="15" a="1"/>
  <c r="L284" i="15" s="1"/>
  <c r="Q283" i="15" a="1"/>
  <c r="Q283" i="15" s="1"/>
  <c r="P283" i="15" a="1"/>
  <c r="P283" i="15" s="1"/>
  <c r="O283" i="15" a="1"/>
  <c r="O283" i="15" s="1"/>
  <c r="N283" i="15" a="1"/>
  <c r="N283" i="15" s="1"/>
  <c r="M283" i="15" a="1"/>
  <c r="M283" i="15" s="1"/>
  <c r="L283" i="15" a="1"/>
  <c r="L283" i="15" s="1"/>
  <c r="Q282" i="15" a="1"/>
  <c r="Q282" i="15" s="1"/>
  <c r="P282" i="15" a="1"/>
  <c r="P282" i="15" s="1"/>
  <c r="O282" i="15" a="1"/>
  <c r="O282" i="15" s="1"/>
  <c r="N282" i="15" a="1"/>
  <c r="N282" i="15" s="1"/>
  <c r="M282" i="15" a="1"/>
  <c r="M282" i="15" s="1"/>
  <c r="L282" i="15" a="1"/>
  <c r="L282" i="15" s="1"/>
  <c r="Q281" i="15" a="1"/>
  <c r="Q281" i="15" s="1"/>
  <c r="P281" i="15" a="1"/>
  <c r="P281" i="15" s="1"/>
  <c r="O281" i="15" a="1"/>
  <c r="O281" i="15" s="1"/>
  <c r="N281" i="15" a="1"/>
  <c r="N281" i="15" s="1"/>
  <c r="M281" i="15" a="1"/>
  <c r="M281" i="15" s="1"/>
  <c r="L281" i="15" a="1"/>
  <c r="L281" i="15" s="1"/>
  <c r="Q280" i="15" a="1"/>
  <c r="Q280" i="15" s="1"/>
  <c r="P280" i="15" a="1"/>
  <c r="P280" i="15" s="1"/>
  <c r="O280" i="15" a="1"/>
  <c r="O280" i="15" s="1"/>
  <c r="N280" i="15" a="1"/>
  <c r="N280" i="15" s="1"/>
  <c r="M280" i="15" a="1"/>
  <c r="M280" i="15" s="1"/>
  <c r="Q295" i="15" a="1"/>
  <c r="Q295" i="15" s="1"/>
  <c r="P295" i="15" a="1"/>
  <c r="P295" i="15" s="1"/>
  <c r="O295" i="15" a="1"/>
  <c r="O295" i="15" s="1"/>
  <c r="N295" i="15" a="1"/>
  <c r="N295" i="15" s="1"/>
  <c r="M295" i="15" a="1"/>
  <c r="M295" i="15" s="1"/>
  <c r="L295" i="15" a="1"/>
  <c r="L295" i="15" s="1"/>
  <c r="Q294" i="15" a="1"/>
  <c r="Q294" i="15" s="1"/>
  <c r="P294" i="15" a="1"/>
  <c r="P294" i="15" s="1"/>
  <c r="O294" i="15" a="1"/>
  <c r="O294" i="15" s="1"/>
  <c r="N294" i="15" a="1"/>
  <c r="N294" i="15" s="1"/>
  <c r="M294" i="15" a="1"/>
  <c r="M294" i="15" s="1"/>
  <c r="L294" i="15" a="1"/>
  <c r="L294" i="15" s="1"/>
  <c r="Q293" i="15" a="1"/>
  <c r="Q293" i="15" s="1"/>
  <c r="P293" i="15" a="1"/>
  <c r="P293" i="15" s="1"/>
  <c r="O293" i="15" a="1"/>
  <c r="O293" i="15" s="1"/>
  <c r="N293" i="15" a="1"/>
  <c r="N293" i="15" s="1"/>
  <c r="M293" i="15" a="1"/>
  <c r="M293" i="15" s="1"/>
  <c r="L293" i="15" a="1"/>
  <c r="L293" i="15" s="1"/>
  <c r="Q292" i="15" a="1"/>
  <c r="Q292" i="15" s="1"/>
  <c r="P292" i="15" a="1"/>
  <c r="P292" i="15" s="1"/>
  <c r="O292" i="15" a="1"/>
  <c r="O292" i="15" s="1"/>
  <c r="N292" i="15" a="1"/>
  <c r="N292" i="15" s="1"/>
  <c r="M292" i="15" a="1"/>
  <c r="M292" i="15" s="1"/>
  <c r="L292" i="15" a="1"/>
  <c r="L292" i="15" s="1"/>
  <c r="Q291" i="15" a="1"/>
  <c r="Q291" i="15" s="1"/>
  <c r="P291" i="15" a="1"/>
  <c r="P291" i="15" s="1"/>
  <c r="O291" i="15" a="1"/>
  <c r="O291" i="15" s="1"/>
  <c r="N291" i="15" a="1"/>
  <c r="N291" i="15" s="1"/>
  <c r="M291" i="15" a="1"/>
  <c r="M291" i="15" s="1"/>
  <c r="L291" i="15" a="1"/>
  <c r="L291" i="15" s="1"/>
  <c r="Q290" i="15" a="1"/>
  <c r="Q290" i="15" s="1"/>
  <c r="P290" i="15" a="1"/>
  <c r="P290" i="15" s="1"/>
  <c r="O290" i="15" a="1"/>
  <c r="O290" i="15" s="1"/>
  <c r="N290" i="15" a="1"/>
  <c r="N290" i="15" s="1"/>
  <c r="M290" i="15" a="1"/>
  <c r="M290" i="15" s="1"/>
  <c r="L290" i="15" a="1"/>
  <c r="L290" i="15" s="1"/>
  <c r="Q289" i="15" a="1"/>
  <c r="Q289" i="15" s="1"/>
  <c r="P289" i="15" a="1"/>
  <c r="P289" i="15" s="1"/>
  <c r="O289" i="15" a="1"/>
  <c r="O289" i="15" s="1"/>
  <c r="N289" i="15" a="1"/>
  <c r="N289" i="15" s="1"/>
  <c r="M289" i="15" a="1"/>
  <c r="M289" i="15" s="1"/>
  <c r="L289" i="15" a="1"/>
  <c r="L289" i="15" s="1"/>
  <c r="AF421" i="10"/>
  <c r="AZ428" i="10"/>
  <c r="AF428" i="10"/>
  <c r="AH412" i="10"/>
  <c r="AE412" i="10" s="1"/>
  <c r="AS412" i="10" s="1"/>
  <c r="R412" i="10" s="1"/>
  <c r="AU412" i="10" s="1"/>
  <c r="BF412" i="10" s="1"/>
  <c r="BH412" i="10" s="1"/>
  <c r="AN369" i="10"/>
  <c r="AN388" i="10"/>
  <c r="AZ442" i="10"/>
  <c r="AF424" i="10"/>
  <c r="AF412" i="10"/>
  <c r="AN389" i="10"/>
  <c r="BG442" i="10"/>
  <c r="AN442" i="10"/>
  <c r="AF442" i="10"/>
  <c r="AN407" i="10"/>
  <c r="AE413" i="10"/>
  <c r="AR413" i="10" s="1"/>
  <c r="AZ412" i="10"/>
  <c r="AF389" i="10"/>
  <c r="AR401" i="10"/>
  <c r="J401" i="10" s="1"/>
  <c r="AT401" i="10" s="1"/>
  <c r="AE411" i="10"/>
  <c r="AR411" i="10" s="1"/>
  <c r="J411" i="10" s="1"/>
  <c r="AT411" i="10" s="1"/>
  <c r="AY411" i="10" s="1"/>
  <c r="BB442" i="10"/>
  <c r="BB421" i="10"/>
  <c r="AE420" i="10"/>
  <c r="AS420" i="10" s="1"/>
  <c r="BB424" i="10"/>
  <c r="AE423" i="10"/>
  <c r="AR423" i="10" s="1"/>
  <c r="J423" i="10" s="1"/>
  <c r="AT423" i="10" s="1"/>
  <c r="AY423" i="10" s="1"/>
  <c r="BB428" i="10"/>
  <c r="AE426" i="10"/>
  <c r="AS426" i="10" s="1"/>
  <c r="AE414" i="10"/>
  <c r="AS414" i="10" s="1"/>
  <c r="R414" i="10" s="1"/>
  <c r="AU414" i="10" s="1"/>
  <c r="BF414" i="10" s="1"/>
  <c r="BH414" i="10" s="1"/>
  <c r="BI413" i="10"/>
  <c r="AZ413" i="10"/>
  <c r="AU420" i="10"/>
  <c r="BF420" i="10" s="1"/>
  <c r="BH420" i="10" s="1"/>
  <c r="AR414" i="10"/>
  <c r="J414" i="10" s="1"/>
  <c r="I413" i="10" s="1"/>
  <c r="AI414" i="10"/>
  <c r="AU423" i="10"/>
  <c r="BF423" i="10" s="1"/>
  <c r="BH423" i="10" s="1"/>
  <c r="AR420" i="10"/>
  <c r="J420" i="10" s="1"/>
  <c r="AT420" i="10" s="1"/>
  <c r="AI411" i="10"/>
  <c r="AS423" i="10"/>
  <c r="AR400" i="10"/>
  <c r="J400" i="10" s="1"/>
  <c r="AI426" i="10"/>
  <c r="AR362" i="10"/>
  <c r="AS424" i="10"/>
  <c r="R424" i="10" s="1"/>
  <c r="AY424" i="10" s="1"/>
  <c r="BA424" i="10" s="1"/>
  <c r="AI423" i="10"/>
  <c r="AI413" i="10"/>
  <c r="AS421" i="10"/>
  <c r="R421" i="10" s="1"/>
  <c r="BF421" i="10" s="1"/>
  <c r="BH421" i="10" s="1"/>
  <c r="BJ421" i="10" s="1"/>
  <c r="AI420" i="10"/>
  <c r="AZ439" i="10"/>
  <c r="BB439" i="10"/>
  <c r="AH439" i="10"/>
  <c r="AI439" i="10" s="1"/>
  <c r="AT439" i="10"/>
  <c r="G8" i="23" s="1" a="1"/>
  <c r="G8" i="23" s="1"/>
  <c r="AR439" i="10"/>
  <c r="AS439" i="10"/>
  <c r="R439" i="10" s="1"/>
  <c r="AU439" i="10" s="1"/>
  <c r="BG439" i="10"/>
  <c r="BI439" i="10"/>
  <c r="BG433" i="10"/>
  <c r="BI433" i="10"/>
  <c r="AN433" i="10"/>
  <c r="AZ433" i="10"/>
  <c r="BB433" i="10"/>
  <c r="AR433" i="10"/>
  <c r="AZ432" i="10"/>
  <c r="BB432" i="10"/>
  <c r="AH432" i="10"/>
  <c r="AI432" i="10" s="1"/>
  <c r="AF432" i="10"/>
  <c r="BG432" i="10"/>
  <c r="BI432" i="10"/>
  <c r="AZ430" i="10"/>
  <c r="BB430" i="10"/>
  <c r="AF430" i="10"/>
  <c r="AT430" i="10"/>
  <c r="AS430" i="10"/>
  <c r="R430" i="10" s="1"/>
  <c r="AU430" i="10" s="1"/>
  <c r="BG430" i="10"/>
  <c r="BI430" i="10"/>
  <c r="AS415" i="10"/>
  <c r="R415" i="10" s="1"/>
  <c r="J415" i="10"/>
  <c r="BG415" i="10"/>
  <c r="BI415" i="10"/>
  <c r="AN415" i="10"/>
  <c r="AZ415" i="10"/>
  <c r="BB415" i="10"/>
  <c r="AR415" i="10"/>
  <c r="BG418" i="10"/>
  <c r="BI418" i="10"/>
  <c r="AN418" i="10"/>
  <c r="AZ418" i="10"/>
  <c r="BB418" i="10"/>
  <c r="AR418" i="10"/>
  <c r="AS418" i="10"/>
  <c r="R418" i="10" s="1"/>
  <c r="AZ408" i="10"/>
  <c r="BB408" i="10"/>
  <c r="AH408" i="10"/>
  <c r="AI408" i="10" s="1"/>
  <c r="AF408" i="10"/>
  <c r="BG408" i="10"/>
  <c r="BI408" i="10"/>
  <c r="BG409" i="10"/>
  <c r="BI409" i="10"/>
  <c r="AN409" i="10"/>
  <c r="AZ409" i="10"/>
  <c r="BB409" i="10"/>
  <c r="AR409" i="10"/>
  <c r="AS409" i="10"/>
  <c r="R409" i="10" s="1"/>
  <c r="AZ407" i="10"/>
  <c r="BB407" i="10"/>
  <c r="AH407" i="10"/>
  <c r="AI407" i="10" s="1"/>
  <c r="AF407" i="10"/>
  <c r="BG407" i="10"/>
  <c r="BI407" i="10"/>
  <c r="BG405" i="10"/>
  <c r="BI405" i="10"/>
  <c r="AN405" i="10"/>
  <c r="AZ405" i="10"/>
  <c r="BB405" i="10"/>
  <c r="AR405" i="10"/>
  <c r="AS405" i="10"/>
  <c r="R405" i="10" s="1"/>
  <c r="AZ404" i="10"/>
  <c r="BB404" i="10"/>
  <c r="AH404" i="10"/>
  <c r="AI404" i="10" s="1"/>
  <c r="AF404" i="10"/>
  <c r="BG404" i="10"/>
  <c r="BI404" i="10"/>
  <c r="AZ417" i="10"/>
  <c r="BB417" i="10"/>
  <c r="AH417" i="10"/>
  <c r="AI417" i="10" s="1"/>
  <c r="AU417" i="10"/>
  <c r="AF417" i="10"/>
  <c r="BG417" i="10"/>
  <c r="BI417" i="10"/>
  <c r="BG402" i="10"/>
  <c r="BI402" i="10"/>
  <c r="AN402" i="10"/>
  <c r="AZ402" i="10"/>
  <c r="BB402" i="10"/>
  <c r="AR402" i="10"/>
  <c r="J402" i="10" s="1"/>
  <c r="AS402" i="10"/>
  <c r="R402" i="10" s="1"/>
  <c r="AZ401" i="10"/>
  <c r="BB401" i="10"/>
  <c r="AF401" i="10"/>
  <c r="AU401" i="10"/>
  <c r="BG401" i="10"/>
  <c r="BI401" i="10"/>
  <c r="AZ400" i="10"/>
  <c r="BB400" i="10"/>
  <c r="AF400" i="10"/>
  <c r="AU400" i="10"/>
  <c r="AS400" i="10"/>
  <c r="BG400" i="10"/>
  <c r="BI400" i="10"/>
  <c r="J398" i="10"/>
  <c r="BB398" i="10"/>
  <c r="AZ398" i="10"/>
  <c r="AF398" i="10"/>
  <c r="AC398" i="10"/>
  <c r="BI398" i="10"/>
  <c r="BG398" i="10"/>
  <c r="AN398" i="10"/>
  <c r="AK398" i="10"/>
  <c r="AZ397" i="10"/>
  <c r="BB397" i="10"/>
  <c r="AH397" i="10"/>
  <c r="AI397" i="10" s="1"/>
  <c r="AF397" i="10"/>
  <c r="BG397" i="10"/>
  <c r="BI397" i="10"/>
  <c r="BB393" i="10"/>
  <c r="AZ393" i="10"/>
  <c r="AF393" i="10"/>
  <c r="AC393" i="10"/>
  <c r="BI393" i="10"/>
  <c r="BG393" i="10"/>
  <c r="AN393" i="10"/>
  <c r="AK393" i="10"/>
  <c r="BB392" i="10"/>
  <c r="AZ392" i="10"/>
  <c r="AH392" i="10"/>
  <c r="AF392" i="10"/>
  <c r="AC392" i="10"/>
  <c r="BI392" i="10"/>
  <c r="BG392" i="10"/>
  <c r="AN392" i="10"/>
  <c r="AK392" i="10"/>
  <c r="BG395" i="10"/>
  <c r="BI395" i="10"/>
  <c r="AZ395" i="10"/>
  <c r="AY395" i="10" s="1"/>
  <c r="BB395" i="10"/>
  <c r="BB390" i="10"/>
  <c r="AZ390" i="10"/>
  <c r="AF390" i="10"/>
  <c r="AC390" i="10"/>
  <c r="BI390" i="10"/>
  <c r="BG390" i="10"/>
  <c r="AN390" i="10"/>
  <c r="AK390" i="10"/>
  <c r="BB385" i="10"/>
  <c r="AZ385" i="10"/>
  <c r="AF385" i="10"/>
  <c r="AC385" i="10"/>
  <c r="BI385" i="10"/>
  <c r="BG385" i="10"/>
  <c r="AN385" i="10"/>
  <c r="AK385" i="10"/>
  <c r="BB386" i="10"/>
  <c r="AZ386" i="10"/>
  <c r="AF386" i="10"/>
  <c r="AC386" i="10"/>
  <c r="BI386" i="10"/>
  <c r="BG386" i="10"/>
  <c r="AN386" i="10"/>
  <c r="AK386" i="10"/>
  <c r="BB382" i="10"/>
  <c r="AZ382" i="10"/>
  <c r="AF382" i="10"/>
  <c r="AC382" i="10"/>
  <c r="BI382" i="10"/>
  <c r="BG382" i="10"/>
  <c r="AN382" i="10"/>
  <c r="AK382" i="10"/>
  <c r="BB383" i="10"/>
  <c r="AZ383" i="10"/>
  <c r="AF383" i="10"/>
  <c r="AC383" i="10"/>
  <c r="BI383" i="10"/>
  <c r="BG383" i="10"/>
  <c r="AN383" i="10"/>
  <c r="AK383" i="10"/>
  <c r="BB379" i="10"/>
  <c r="AZ379" i="10"/>
  <c r="AF379" i="10"/>
  <c r="AC379" i="10"/>
  <c r="BI379" i="10"/>
  <c r="BG379" i="10"/>
  <c r="AN379" i="10"/>
  <c r="AK379" i="10"/>
  <c r="BB380" i="10"/>
  <c r="AZ380" i="10"/>
  <c r="AF380" i="10"/>
  <c r="AC380" i="10"/>
  <c r="BI380" i="10"/>
  <c r="BG380" i="10"/>
  <c r="AN380" i="10"/>
  <c r="AK380" i="10"/>
  <c r="AZ348" i="10"/>
  <c r="BB348" i="10"/>
  <c r="AH348" i="10"/>
  <c r="AE348" i="10" s="1"/>
  <c r="AT348" i="10" s="1"/>
  <c r="AF348" i="10"/>
  <c r="BG348" i="10"/>
  <c r="BI348" i="10"/>
  <c r="BB377" i="10"/>
  <c r="AZ377" i="10"/>
  <c r="AF377" i="10"/>
  <c r="AC377" i="10"/>
  <c r="BI377" i="10"/>
  <c r="BG377" i="10"/>
  <c r="AN377" i="10"/>
  <c r="AK377" i="10"/>
  <c r="AZ388" i="10"/>
  <c r="BB388" i="10"/>
  <c r="AH388" i="10"/>
  <c r="AE388" i="10" s="1"/>
  <c r="AT388" i="10" s="1"/>
  <c r="AF388" i="10"/>
  <c r="BG388" i="10"/>
  <c r="BI388" i="10"/>
  <c r="AZ389" i="10"/>
  <c r="BB389" i="10"/>
  <c r="AU389" i="10"/>
  <c r="AR389" i="10"/>
  <c r="J389" i="10" s="1"/>
  <c r="AS389" i="10"/>
  <c r="BG389" i="10"/>
  <c r="BI389" i="10"/>
  <c r="AZ370" i="10"/>
  <c r="BB370" i="10"/>
  <c r="AH370" i="10"/>
  <c r="AE370" i="10" s="1"/>
  <c r="AT370" i="10" s="1"/>
  <c r="AF370" i="10"/>
  <c r="BG370" i="10"/>
  <c r="BI370" i="10"/>
  <c r="BB374" i="10"/>
  <c r="AZ374" i="10"/>
  <c r="AF374" i="10"/>
  <c r="AC374" i="10"/>
  <c r="BI374" i="10"/>
  <c r="BG374" i="10"/>
  <c r="AN374" i="10"/>
  <c r="AK374" i="10"/>
  <c r="AZ369" i="10"/>
  <c r="BB369" i="10"/>
  <c r="AH369" i="10"/>
  <c r="AE369" i="10" s="1"/>
  <c r="AT369" i="10" s="1"/>
  <c r="AF369" i="10"/>
  <c r="BG369" i="10"/>
  <c r="BI369" i="10"/>
  <c r="AZ373" i="10"/>
  <c r="BB373" i="10"/>
  <c r="AH373" i="10"/>
  <c r="AE373" i="10" s="1"/>
  <c r="AR373" i="10" s="1"/>
  <c r="AF373" i="10"/>
  <c r="BG373" i="10"/>
  <c r="BI373" i="10"/>
  <c r="BB366" i="10"/>
  <c r="AZ366" i="10"/>
  <c r="AF366" i="10"/>
  <c r="AC366" i="10"/>
  <c r="BI366" i="10"/>
  <c r="BG366" i="10"/>
  <c r="AN366" i="10"/>
  <c r="AK366" i="10"/>
  <c r="AZ362" i="10"/>
  <c r="AY362" i="10" s="1"/>
  <c r="BA362" i="10" s="1"/>
  <c r="BC362" i="10" s="1"/>
  <c r="BB362" i="10"/>
  <c r="AF362" i="10"/>
  <c r="AS362" i="10"/>
  <c r="R362" i="10" s="1"/>
  <c r="BG362" i="10"/>
  <c r="BF362" i="10" s="1"/>
  <c r="BH362" i="10" s="1"/>
  <c r="BI362" i="10"/>
  <c r="BB363" i="10"/>
  <c r="AZ363" i="10"/>
  <c r="AF363" i="10"/>
  <c r="AC363" i="10"/>
  <c r="BI363" i="10"/>
  <c r="BG363" i="10"/>
  <c r="AN363" i="10"/>
  <c r="AK363" i="10"/>
  <c r="BI190" i="10"/>
  <c r="AP190" i="10"/>
  <c r="AQ190" i="10" s="1"/>
  <c r="AN368" i="10"/>
  <c r="BB360" i="10"/>
  <c r="AZ360" i="10"/>
  <c r="AY360" i="10" s="1"/>
  <c r="BA360" i="10" s="1"/>
  <c r="BC360" i="10" s="1"/>
  <c r="AF360" i="10"/>
  <c r="AC360" i="10"/>
  <c r="BI360" i="10"/>
  <c r="BG360" i="10"/>
  <c r="BF360" i="10" s="1"/>
  <c r="AN360" i="10"/>
  <c r="AK360" i="10"/>
  <c r="AZ356" i="10"/>
  <c r="BB356" i="10"/>
  <c r="AH356" i="10"/>
  <c r="AE356" i="10" s="1"/>
  <c r="AT356" i="10" s="1"/>
  <c r="AF356" i="10"/>
  <c r="BG356" i="10"/>
  <c r="BI356" i="10"/>
  <c r="AZ355" i="10"/>
  <c r="BB355" i="10"/>
  <c r="AH355" i="10"/>
  <c r="AE355" i="10" s="1"/>
  <c r="AT355" i="10" s="1"/>
  <c r="AF355" i="10"/>
  <c r="BG355" i="10"/>
  <c r="BI355" i="10"/>
  <c r="AZ352" i="10"/>
  <c r="BB352" i="10"/>
  <c r="AH352" i="10"/>
  <c r="AE352" i="10" s="1"/>
  <c r="AT352" i="10" s="1"/>
  <c r="AF352" i="10"/>
  <c r="BG352" i="10"/>
  <c r="BI352" i="10"/>
  <c r="AZ354" i="10"/>
  <c r="BB354" i="10"/>
  <c r="AH354" i="10"/>
  <c r="AE354" i="10" s="1"/>
  <c r="AT354" i="10" s="1"/>
  <c r="AF354" i="10"/>
  <c r="BG354" i="10"/>
  <c r="BI354" i="10"/>
  <c r="AZ245" i="10"/>
  <c r="AN206" i="10"/>
  <c r="AP206" i="10"/>
  <c r="AQ206" i="10" s="1"/>
  <c r="AK206" i="10"/>
  <c r="AC345" i="10"/>
  <c r="AE345" i="10" s="1"/>
  <c r="AS345" i="10" s="1"/>
  <c r="R345" i="10" s="1"/>
  <c r="BG190" i="10"/>
  <c r="AK190" i="10"/>
  <c r="BI206" i="10"/>
  <c r="AK376" i="10"/>
  <c r="AM376" i="10" s="1"/>
  <c r="BB358" i="10"/>
  <c r="AZ358" i="10"/>
  <c r="AF358" i="10"/>
  <c r="AC358" i="10"/>
  <c r="BI358" i="10"/>
  <c r="BG358" i="10"/>
  <c r="AN358" i="10"/>
  <c r="AK358" i="10"/>
  <c r="BI147" i="10"/>
  <c r="AH371" i="10"/>
  <c r="AI371" i="10" s="1"/>
  <c r="AN351" i="10"/>
  <c r="AC349" i="10"/>
  <c r="AE349" i="10" s="1"/>
  <c r="AR349" i="10" s="1"/>
  <c r="AZ372" i="10"/>
  <c r="BB371" i="10"/>
  <c r="AC371" i="10"/>
  <c r="BI372" i="10"/>
  <c r="AN372" i="10"/>
  <c r="AH372" i="10"/>
  <c r="AI372" i="10" s="1"/>
  <c r="BG372" i="10"/>
  <c r="AZ371" i="10"/>
  <c r="AQ126" i="10"/>
  <c r="AK218" i="10"/>
  <c r="AM218" i="10" s="1"/>
  <c r="AK347" i="10"/>
  <c r="AM347" i="10" s="1"/>
  <c r="BI371" i="10"/>
  <c r="C17" i="12" a="1"/>
  <c r="C17" i="12" s="1"/>
  <c r="F16" i="12" a="1"/>
  <c r="F16" i="12" s="1"/>
  <c r="H15" i="12" a="1"/>
  <c r="H15" i="12" s="1"/>
  <c r="G16" i="12" a="1"/>
  <c r="G16" i="12" s="1"/>
  <c r="D16" i="12" a="1"/>
  <c r="D16" i="12" s="1"/>
  <c r="F15" i="12" a="1"/>
  <c r="F15" i="12" s="1"/>
  <c r="C13" i="12" a="1"/>
  <c r="C13" i="12" s="1"/>
  <c r="F12" i="12" a="1"/>
  <c r="F12" i="12" s="1"/>
  <c r="C10" i="12" a="1"/>
  <c r="C10" i="12" s="1"/>
  <c r="C7" i="12" a="1"/>
  <c r="C7" i="12" s="1"/>
  <c r="D5" i="12" a="1"/>
  <c r="D5" i="12" s="1"/>
  <c r="C16" i="12" a="1"/>
  <c r="C16" i="12" s="1"/>
  <c r="G15" i="12" a="1"/>
  <c r="G15" i="12" s="1"/>
  <c r="C15" i="12" a="1"/>
  <c r="C15" i="12" s="1"/>
  <c r="G12" i="12" a="1"/>
  <c r="G12" i="12" s="1"/>
  <c r="C12" i="12" a="1"/>
  <c r="C12" i="12" s="1"/>
  <c r="H16" i="12" a="1"/>
  <c r="H16" i="12" s="1"/>
  <c r="D15" i="12" a="1"/>
  <c r="D15" i="12" s="1"/>
  <c r="H12" i="12" a="1"/>
  <c r="H12" i="12" s="1"/>
  <c r="D12" i="12" a="1"/>
  <c r="D12" i="12" s="1"/>
  <c r="AC344" i="10"/>
  <c r="AC336" i="10"/>
  <c r="AK345" i="10"/>
  <c r="AK371" i="10"/>
  <c r="AM371" i="10" s="1"/>
  <c r="BG371" i="10"/>
  <c r="AI368" i="10"/>
  <c r="AF368" i="10"/>
  <c r="AZ368" i="10"/>
  <c r="AC368" i="10"/>
  <c r="BB368" i="10"/>
  <c r="AK353" i="10"/>
  <c r="AM353" i="10" s="1"/>
  <c r="AQ81" i="10"/>
  <c r="AK132" i="10"/>
  <c r="AK328" i="10"/>
  <c r="AK344" i="10"/>
  <c r="AM344" i="10" s="1"/>
  <c r="AK336" i="10"/>
  <c r="AM336" i="10" s="1"/>
  <c r="AC347" i="10"/>
  <c r="AN347" i="10"/>
  <c r="AK349" i="10"/>
  <c r="AK361" i="10"/>
  <c r="AM361" i="10" s="1"/>
  <c r="AR361" i="10" s="1"/>
  <c r="AR351" i="10"/>
  <c r="J351" i="10" s="1"/>
  <c r="AT351" i="10" s="1"/>
  <c r="AC361" i="10"/>
  <c r="BB372" i="10"/>
  <c r="AC372" i="10"/>
  <c r="BG368" i="10"/>
  <c r="AK368" i="10"/>
  <c r="AM368" i="10" s="1"/>
  <c r="AC353" i="10"/>
  <c r="AK156" i="10"/>
  <c r="AC156" i="10"/>
  <c r="AE156" i="10" s="1"/>
  <c r="AR156" i="10" s="1"/>
  <c r="AK147" i="10"/>
  <c r="AC147" i="10"/>
  <c r="AE147" i="10" s="1"/>
  <c r="AN146" i="10"/>
  <c r="AC146" i="10"/>
  <c r="AE146" i="10" s="1"/>
  <c r="AK149" i="10"/>
  <c r="AC149" i="10"/>
  <c r="AE149" i="10" s="1"/>
  <c r="AR149" i="10" s="1"/>
  <c r="AK131" i="10"/>
  <c r="AC131" i="10"/>
  <c r="AE131" i="10" s="1"/>
  <c r="AS131" i="10" s="1"/>
  <c r="R131" i="10" s="1"/>
  <c r="AU131" i="10" s="1"/>
  <c r="AC141" i="10"/>
  <c r="AN141" i="10"/>
  <c r="AK150" i="10"/>
  <c r="AC150" i="10"/>
  <c r="AE150" i="10" s="1"/>
  <c r="AR150" i="10" s="1"/>
  <c r="AC166" i="10"/>
  <c r="AN166" i="10"/>
  <c r="AN153" i="10"/>
  <c r="AC153" i="10"/>
  <c r="AC143" i="10"/>
  <c r="AK143" i="10"/>
  <c r="AK243" i="10"/>
  <c r="AF243" i="10"/>
  <c r="AC160" i="10"/>
  <c r="AK160" i="10"/>
  <c r="AC163" i="10"/>
  <c r="AK163" i="10"/>
  <c r="AK173" i="10"/>
  <c r="AM173" i="10" s="1"/>
  <c r="BI172" i="10"/>
  <c r="AQ172" i="10"/>
  <c r="AC200" i="10"/>
  <c r="AE200" i="10" s="1"/>
  <c r="AT200" i="10" s="1"/>
  <c r="AK200" i="10"/>
  <c r="AM200" i="10" s="1"/>
  <c r="AK167" i="10"/>
  <c r="AC167" i="10"/>
  <c r="AE167" i="10" s="1"/>
  <c r="AR167" i="10" s="1"/>
  <c r="AK185" i="10"/>
  <c r="AC186" i="10"/>
  <c r="AK186" i="10"/>
  <c r="AC184" i="10"/>
  <c r="AK184" i="10"/>
  <c r="AC132" i="10"/>
  <c r="AC140" i="10"/>
  <c r="AK140" i="10"/>
  <c r="AK176" i="10"/>
  <c r="AF176" i="10"/>
  <c r="AK177" i="10"/>
  <c r="AF177" i="10"/>
  <c r="AC180" i="10"/>
  <c r="AK180" i="10"/>
  <c r="AM180" i="10" s="1"/>
  <c r="AR180" i="10" s="1"/>
  <c r="J180" i="10" s="1"/>
  <c r="AT180" i="10" s="1"/>
  <c r="AC181" i="10"/>
  <c r="AK181" i="10"/>
  <c r="AM181" i="10" s="1"/>
  <c r="AR181" i="10" s="1"/>
  <c r="AC203" i="10"/>
  <c r="AK203" i="10"/>
  <c r="AM203" i="10" s="1"/>
  <c r="AC179" i="10"/>
  <c r="AK179" i="10"/>
  <c r="AM179" i="10" s="1"/>
  <c r="AK191" i="10"/>
  <c r="AC190" i="10"/>
  <c r="AC199" i="10"/>
  <c r="AK199" i="10"/>
  <c r="AM199" i="10" s="1"/>
  <c r="AS199" i="10" s="1"/>
  <c r="R199" i="10" s="1"/>
  <c r="AK197" i="10"/>
  <c r="AM197" i="10" s="1"/>
  <c r="BI196" i="10"/>
  <c r="AQ196" i="10"/>
  <c r="AK182" i="10"/>
  <c r="AF182" i="10"/>
  <c r="AK198" i="10"/>
  <c r="AM198" i="10" s="1"/>
  <c r="AC202" i="10"/>
  <c r="AK202" i="10"/>
  <c r="AM202" i="10" s="1"/>
  <c r="AC188" i="10"/>
  <c r="AC201" i="10"/>
  <c r="AK201" i="10"/>
  <c r="AM201" i="10" s="1"/>
  <c r="AK208" i="10"/>
  <c r="AM208" i="10" s="1"/>
  <c r="AC208" i="10"/>
  <c r="AE208" i="10" s="1"/>
  <c r="AK209" i="10"/>
  <c r="AF209" i="10"/>
  <c r="AK210" i="10"/>
  <c r="AF210" i="10"/>
  <c r="AK211" i="10"/>
  <c r="AF211" i="10"/>
  <c r="AK212" i="10"/>
  <c r="AF212" i="10"/>
  <c r="BI228" i="10"/>
  <c r="BB228" i="10"/>
  <c r="AK225" i="10"/>
  <c r="AM225" i="10" s="1"/>
  <c r="AS225" i="10" s="1"/>
  <c r="AC225" i="10"/>
  <c r="AC230" i="10"/>
  <c r="AK230" i="10"/>
  <c r="AM230" i="10" s="1"/>
  <c r="AC227" i="10"/>
  <c r="AN227" i="10"/>
  <c r="AC229" i="10"/>
  <c r="AK229" i="10"/>
  <c r="AM229" i="10" s="1"/>
  <c r="AK232" i="10"/>
  <c r="AM232" i="10" s="1"/>
  <c r="AC232" i="10"/>
  <c r="AE232" i="10" s="1"/>
  <c r="AC224" i="10"/>
  <c r="AE224" i="10" s="1"/>
  <c r="AN224" i="10"/>
  <c r="AC216" i="10"/>
  <c r="AK216" i="10"/>
  <c r="AM216" i="10" s="1"/>
  <c r="AC220" i="10"/>
  <c r="AK220" i="10"/>
  <c r="AM220" i="10" s="1"/>
  <c r="AR220" i="10" s="1"/>
  <c r="AC218" i="10"/>
  <c r="AE218" i="10" s="1"/>
  <c r="AN218" i="10"/>
  <c r="AC252" i="10"/>
  <c r="AE252" i="10" s="1"/>
  <c r="AK252" i="10"/>
  <c r="AM252" i="10" s="1"/>
  <c r="AK217" i="10"/>
  <c r="AF217" i="10"/>
  <c r="AK221" i="10"/>
  <c r="AC231" i="10"/>
  <c r="AN231" i="10"/>
  <c r="AK233" i="10"/>
  <c r="AF233" i="10"/>
  <c r="AC253" i="10"/>
  <c r="AN253" i="10"/>
  <c r="AC247" i="10"/>
  <c r="AK246" i="10"/>
  <c r="AM246" i="10" s="1"/>
  <c r="AH246" i="10"/>
  <c r="AI246" i="10" s="1"/>
  <c r="AK245" i="10"/>
  <c r="AM245" i="10" s="1"/>
  <c r="AC245" i="10"/>
  <c r="AE245" i="10" s="1"/>
  <c r="AI245" i="10"/>
  <c r="AC226" i="10"/>
  <c r="AK226" i="10"/>
  <c r="AM226" i="10" s="1"/>
  <c r="AR226" i="10" s="1"/>
  <c r="AK254" i="10"/>
  <c r="AC256" i="10"/>
  <c r="AC206" i="10"/>
  <c r="AC235" i="10"/>
  <c r="AK235" i="10"/>
  <c r="AM235" i="10" s="1"/>
  <c r="AU235" i="10" s="1"/>
  <c r="AK213" i="10"/>
  <c r="AC213" i="10"/>
  <c r="AE213" i="10" s="1"/>
  <c r="AS213" i="10" s="1"/>
  <c r="R213" i="10" s="1"/>
  <c r="AK258" i="10"/>
  <c r="AC258" i="10"/>
  <c r="AI258" i="10"/>
  <c r="AN257" i="10"/>
  <c r="AC257" i="10"/>
  <c r="AK205" i="10"/>
  <c r="BG237" i="10"/>
  <c r="AC237" i="10"/>
  <c r="AC236" i="10"/>
  <c r="AK239" i="10"/>
  <c r="AM239" i="10" s="1"/>
  <c r="AF239" i="10"/>
  <c r="AC238" i="10"/>
  <c r="AK207" i="10"/>
  <c r="AK214" i="10"/>
  <c r="AK259" i="10"/>
  <c r="AC259" i="10"/>
  <c r="AE259" i="10" s="1"/>
  <c r="AR259" i="10" s="1"/>
  <c r="AC241" i="10"/>
  <c r="AN249" i="10"/>
  <c r="AC264" i="10"/>
  <c r="AN264" i="10"/>
  <c r="AN261" i="10"/>
  <c r="AC262" i="10"/>
  <c r="AC263" i="10"/>
  <c r="AK263" i="10"/>
  <c r="AM263" i="10" s="1"/>
  <c r="AC193" i="10"/>
  <c r="AK194" i="10"/>
  <c r="AC271" i="10"/>
  <c r="AK271" i="10"/>
  <c r="AM271" i="10" s="1"/>
  <c r="AF272" i="10"/>
  <c r="AC295" i="10"/>
  <c r="AC285" i="10"/>
  <c r="AN285" i="10"/>
  <c r="AK283" i="10"/>
  <c r="AN282" i="10"/>
  <c r="AC286" i="10"/>
  <c r="AE286" i="10" s="1"/>
  <c r="AR286" i="10" s="1"/>
  <c r="AC288" i="10"/>
  <c r="AK288" i="10"/>
  <c r="AM288" i="10" s="1"/>
  <c r="AR288" i="10" s="1"/>
  <c r="AC248" i="10"/>
  <c r="AK248" i="10"/>
  <c r="AM248" i="10" s="1"/>
  <c r="AR248" i="10" s="1"/>
  <c r="AC289" i="10"/>
  <c r="AE289" i="10" s="1"/>
  <c r="AR289" i="10" s="1"/>
  <c r="AK291" i="10"/>
  <c r="AM291" i="10" s="1"/>
  <c r="AR291" i="10" s="1"/>
  <c r="AK293" i="10"/>
  <c r="AF293" i="10"/>
  <c r="AC292" i="10"/>
  <c r="AK292" i="10"/>
  <c r="AC298" i="10"/>
  <c r="AK298" i="10"/>
  <c r="AM298" i="10" s="1"/>
  <c r="AK296" i="10"/>
  <c r="AC296" i="10"/>
  <c r="AE296" i="10" s="1"/>
  <c r="AR296" i="10" s="1"/>
  <c r="AK300" i="10"/>
  <c r="AC300" i="10"/>
  <c r="AE300" i="10" s="1"/>
  <c r="AR300" i="10" s="1"/>
  <c r="AC304" i="10"/>
  <c r="AK304" i="10"/>
  <c r="AM304" i="10" s="1"/>
  <c r="AU304" i="10" s="1"/>
  <c r="AK307" i="10"/>
  <c r="AC307" i="10"/>
  <c r="AE307" i="10" s="1"/>
  <c r="AS307" i="10" s="1"/>
  <c r="R307" i="10" s="1"/>
  <c r="AC306" i="10"/>
  <c r="AE306" i="10" s="1"/>
  <c r="AR306" i="10" s="1"/>
  <c r="AK308" i="10"/>
  <c r="AF308" i="10"/>
  <c r="AK305" i="10"/>
  <c r="AC299" i="10"/>
  <c r="AK311" i="10"/>
  <c r="AP310" i="10"/>
  <c r="AQ310" i="10" s="1"/>
  <c r="AC310" i="10"/>
  <c r="AN314" i="10"/>
  <c r="AZ313" i="10"/>
  <c r="AK324" i="10"/>
  <c r="AN334" i="10"/>
  <c r="AC319" i="10"/>
  <c r="AE319" i="10" s="1"/>
  <c r="AS319" i="10" s="1"/>
  <c r="R319" i="10" s="1"/>
  <c r="AK322" i="10"/>
  <c r="AF322" i="10"/>
  <c r="AN326" i="10"/>
  <c r="AK327" i="10"/>
  <c r="AK333" i="10"/>
  <c r="AM333" i="10" s="1"/>
  <c r="AS333" i="10" s="1"/>
  <c r="AK330" i="10"/>
  <c r="AM330" i="10" s="1"/>
  <c r="AC337" i="10"/>
  <c r="AK331" i="10"/>
  <c r="AC331" i="10"/>
  <c r="AE331" i="10" s="1"/>
  <c r="AR331" i="10" s="1"/>
  <c r="AC335" i="10"/>
  <c r="AN338" i="10"/>
  <c r="AC341" i="10"/>
  <c r="AE341" i="10" s="1"/>
  <c r="AN341" i="10"/>
  <c r="AK340" i="10"/>
  <c r="AN339" i="10"/>
  <c r="AZ376" i="10"/>
  <c r="BB376" i="10"/>
  <c r="AF376" i="10"/>
  <c r="BG376" i="10"/>
  <c r="BI376" i="10"/>
  <c r="AZ351" i="10"/>
  <c r="BB351" i="10"/>
  <c r="AF351" i="10"/>
  <c r="AU351" i="10"/>
  <c r="AS351" i="10"/>
  <c r="BG351" i="10"/>
  <c r="BI351" i="10"/>
  <c r="AZ353" i="10"/>
  <c r="BB353" i="10"/>
  <c r="AH353" i="10"/>
  <c r="AI353" i="10" s="1"/>
  <c r="AF353" i="10"/>
  <c r="BG353" i="10"/>
  <c r="BI353" i="10"/>
  <c r="AZ361" i="10"/>
  <c r="AY361" i="10" s="1"/>
  <c r="BA361" i="10" s="1"/>
  <c r="BC361" i="10" s="1"/>
  <c r="BB361" i="10"/>
  <c r="AF361" i="10"/>
  <c r="BG361" i="10"/>
  <c r="BF361" i="10" s="1"/>
  <c r="BI361" i="10"/>
  <c r="BB357" i="10"/>
  <c r="AZ357" i="10"/>
  <c r="AF357" i="10"/>
  <c r="AC357" i="10"/>
  <c r="BI357" i="10"/>
  <c r="BG357" i="10"/>
  <c r="AP357" i="10"/>
  <c r="AQ357" i="10" s="1"/>
  <c r="AN357" i="10"/>
  <c r="AK357" i="10"/>
  <c r="BG349" i="10"/>
  <c r="BI349" i="10"/>
  <c r="AN349" i="10"/>
  <c r="AZ349" i="10"/>
  <c r="BB349" i="10"/>
  <c r="AZ347" i="10"/>
  <c r="BB347" i="10"/>
  <c r="AH347" i="10"/>
  <c r="AI347" i="10" s="1"/>
  <c r="AF347" i="10"/>
  <c r="BG347" i="10"/>
  <c r="BI347" i="10"/>
  <c r="BG345" i="10"/>
  <c r="BI345" i="10"/>
  <c r="AN345" i="10"/>
  <c r="AZ345" i="10"/>
  <c r="BB345" i="10"/>
  <c r="AZ336" i="10"/>
  <c r="BB336" i="10"/>
  <c r="AH336" i="10"/>
  <c r="AF336" i="10"/>
  <c r="BG336" i="10"/>
  <c r="BI336" i="10"/>
  <c r="BI237" i="10"/>
  <c r="AK141" i="10"/>
  <c r="AM141" i="10" s="1"/>
  <c r="AS141" i="10" s="1"/>
  <c r="AN180" i="10"/>
  <c r="AN197" i="10"/>
  <c r="AF228" i="10"/>
  <c r="AZ225" i="10"/>
  <c r="AF225" i="10"/>
  <c r="AF224" i="10"/>
  <c r="AN237" i="10"/>
  <c r="AH237" i="10"/>
  <c r="AI237" i="10" s="1"/>
  <c r="AF259" i="10"/>
  <c r="AN263" i="10"/>
  <c r="AN271" i="10"/>
  <c r="AN288" i="10"/>
  <c r="AN248" i="10"/>
  <c r="AF296" i="10"/>
  <c r="BG310" i="10"/>
  <c r="BB147" i="10"/>
  <c r="AF147" i="10"/>
  <c r="AK146" i="10"/>
  <c r="AN173" i="10"/>
  <c r="AN203" i="10"/>
  <c r="AN179" i="10"/>
  <c r="AN199" i="10"/>
  <c r="AC198" i="10"/>
  <c r="AE198" i="10" s="1"/>
  <c r="AK253" i="10"/>
  <c r="AM253" i="10" s="1"/>
  <c r="BG311" i="10"/>
  <c r="AK310" i="10"/>
  <c r="AN333" i="10"/>
  <c r="AN232" i="10"/>
  <c r="BI245" i="10"/>
  <c r="AN245" i="10"/>
  <c r="AN235" i="10"/>
  <c r="AP258" i="10"/>
  <c r="AQ258" i="10" s="1"/>
  <c r="AZ236" i="10"/>
  <c r="AH236" i="10"/>
  <c r="AI236" i="10" s="1"/>
  <c r="AN239" i="10"/>
  <c r="AZ311" i="10"/>
  <c r="AH311" i="10"/>
  <c r="BB310" i="10"/>
  <c r="AN216" i="10"/>
  <c r="BI146" i="10"/>
  <c r="BI173" i="10"/>
  <c r="AF172" i="10"/>
  <c r="AF200" i="10"/>
  <c r="AN181" i="10"/>
  <c r="BI197" i="10"/>
  <c r="AF198" i="10"/>
  <c r="AK224" i="10"/>
  <c r="AM224" i="10" s="1"/>
  <c r="AN252" i="10"/>
  <c r="AK231" i="10"/>
  <c r="AM231" i="10" s="1"/>
  <c r="AS231" i="10" s="1"/>
  <c r="AN246" i="10"/>
  <c r="BG245" i="10"/>
  <c r="AZ237" i="10"/>
  <c r="AF236" i="10"/>
  <c r="AF289" i="10"/>
  <c r="AN291" i="10"/>
  <c r="AF306" i="10"/>
  <c r="AF311" i="10"/>
  <c r="AH310" i="10"/>
  <c r="AI310" i="10" s="1"/>
  <c r="AF149" i="10"/>
  <c r="AF150" i="10"/>
  <c r="AH185" i="10"/>
  <c r="BB191" i="10"/>
  <c r="AH191" i="10"/>
  <c r="AF197" i="10"/>
  <c r="BB196" i="10"/>
  <c r="AF208" i="10"/>
  <c r="BB225" i="10"/>
  <c r="AF218" i="10"/>
  <c r="AC217" i="10"/>
  <c r="AE217" i="10" s="1"/>
  <c r="AR217" i="10" s="1"/>
  <c r="AC233" i="10"/>
  <c r="AE233" i="10" s="1"/>
  <c r="AR233" i="10" s="1"/>
  <c r="AF206" i="10"/>
  <c r="BB258" i="10"/>
  <c r="AH258" i="10"/>
  <c r="AF341" i="10"/>
  <c r="AF156" i="10"/>
  <c r="AF131" i="10"/>
  <c r="AF173" i="10"/>
  <c r="BB172" i="10"/>
  <c r="AF196" i="10"/>
  <c r="AF252" i="10"/>
  <c r="AF245" i="10"/>
  <c r="BB206" i="10"/>
  <c r="AH206" i="10"/>
  <c r="AI206" i="10" s="1"/>
  <c r="AF213" i="10"/>
  <c r="BB236" i="10"/>
  <c r="AF300" i="10"/>
  <c r="AF310" i="10"/>
  <c r="AZ344" i="10"/>
  <c r="BB344" i="10"/>
  <c r="AH344" i="10"/>
  <c r="AF344" i="10"/>
  <c r="BG344" i="10"/>
  <c r="BI344" i="10"/>
  <c r="AF146" i="10"/>
  <c r="AK166" i="10"/>
  <c r="AM166" i="10" s="1"/>
  <c r="AU166" i="10" s="1"/>
  <c r="AH153" i="10"/>
  <c r="AC172" i="10"/>
  <c r="AH132" i="10"/>
  <c r="AI132" i="10" s="1"/>
  <c r="AH190" i="10"/>
  <c r="AI190" i="10" s="1"/>
  <c r="AC196" i="10"/>
  <c r="AN202" i="10"/>
  <c r="AN201" i="10"/>
  <c r="AK228" i="10"/>
  <c r="AM228" i="10" s="1"/>
  <c r="AR228" i="10" s="1"/>
  <c r="J228" i="10" s="1"/>
  <c r="AT228" i="10" s="1"/>
  <c r="AN228" i="10"/>
  <c r="AC228" i="10"/>
  <c r="AZ246" i="10"/>
  <c r="AC254" i="10"/>
  <c r="AE254" i="10" s="1"/>
  <c r="AR254" i="10" s="1"/>
  <c r="AF254" i="10"/>
  <c r="AN262" i="10"/>
  <c r="AK262" i="10"/>
  <c r="AM262" i="10" s="1"/>
  <c r="AC283" i="10"/>
  <c r="AE283" i="10" s="1"/>
  <c r="AR283" i="10" s="1"/>
  <c r="BB283" i="10"/>
  <c r="AN318" i="10"/>
  <c r="AK318" i="10"/>
  <c r="AM318" i="10" s="1"/>
  <c r="AU318" i="10" s="1"/>
  <c r="AC327" i="10"/>
  <c r="AN337" i="10"/>
  <c r="AK337" i="10"/>
  <c r="AM337" i="10" s="1"/>
  <c r="AF221" i="10"/>
  <c r="AC221" i="10"/>
  <c r="AE221" i="10" s="1"/>
  <c r="AR221" i="10" s="1"/>
  <c r="AK247" i="10"/>
  <c r="AM247" i="10" s="1"/>
  <c r="AR247" i="10" s="1"/>
  <c r="AN247" i="10"/>
  <c r="AF246" i="10"/>
  <c r="AC246" i="10"/>
  <c r="BB246" i="10"/>
  <c r="AF214" i="10"/>
  <c r="AC214" i="10"/>
  <c r="AE214" i="10" s="1"/>
  <c r="AR214" i="10" s="1"/>
  <c r="AZ283" i="10"/>
  <c r="AF282" i="10"/>
  <c r="BB282" i="10"/>
  <c r="BB314" i="10"/>
  <c r="AC314" i="10"/>
  <c r="AZ314" i="10"/>
  <c r="AN335" i="10"/>
  <c r="AK335" i="10"/>
  <c r="AM335" i="10" s="1"/>
  <c r="BG173" i="10"/>
  <c r="AN172" i="10"/>
  <c r="AP185" i="10"/>
  <c r="AQ185" i="10" s="1"/>
  <c r="AC185" i="10"/>
  <c r="BI191" i="10"/>
  <c r="AP191" i="10"/>
  <c r="AC191" i="10"/>
  <c r="BG197" i="10"/>
  <c r="AN196" i="10"/>
  <c r="AN225" i="10"/>
  <c r="BG225" i="10"/>
  <c r="AN230" i="10"/>
  <c r="AN229" i="10"/>
  <c r="AF232" i="10"/>
  <c r="AN220" i="10"/>
  <c r="AK256" i="10"/>
  <c r="AM256" i="10" s="1"/>
  <c r="AU256" i="10" s="1"/>
  <c r="AN256" i="10"/>
  <c r="AK236" i="10"/>
  <c r="AN236" i="10"/>
  <c r="AF250" i="10"/>
  <c r="AC250" i="10"/>
  <c r="AE250" i="10" s="1"/>
  <c r="AR250" i="10" s="1"/>
  <c r="AF283" i="10"/>
  <c r="BG282" i="10"/>
  <c r="BF282" i="10" s="1"/>
  <c r="AK282" i="10"/>
  <c r="AM282" i="10" s="1"/>
  <c r="AS282" i="10" s="1"/>
  <c r="R282" i="10" s="1"/>
  <c r="I283" i="10" s="1"/>
  <c r="AR264" i="10"/>
  <c r="J264" i="10" s="1"/>
  <c r="AT264" i="10" s="1"/>
  <c r="BI258" i="10"/>
  <c r="AN258" i="10"/>
  <c r="BI257" i="10"/>
  <c r="AN298" i="10"/>
  <c r="AC305" i="10"/>
  <c r="BB311" i="10"/>
  <c r="AC311" i="10"/>
  <c r="AZ310" i="10"/>
  <c r="AF331" i="10"/>
  <c r="R191" i="10"/>
  <c r="AN147" i="10"/>
  <c r="AZ146" i="10"/>
  <c r="AF153" i="10"/>
  <c r="AZ173" i="10"/>
  <c r="AY173" i="10" s="1"/>
  <c r="AN185" i="10"/>
  <c r="AF186" i="10"/>
  <c r="AN186" i="10"/>
  <c r="AF132" i="10"/>
  <c r="AN191" i="10"/>
  <c r="AZ190" i="10"/>
  <c r="AF190" i="10"/>
  <c r="AZ197" i="10"/>
  <c r="AY197" i="10" s="1"/>
  <c r="BI246" i="10"/>
  <c r="BB245" i="10"/>
  <c r="AZ206" i="10"/>
  <c r="BG258" i="10"/>
  <c r="AZ258" i="10"/>
  <c r="BB257" i="10"/>
  <c r="AH257" i="10"/>
  <c r="AC205" i="10"/>
  <c r="AK237" i="10"/>
  <c r="AP237" i="10"/>
  <c r="AQ237" i="10" s="1"/>
  <c r="AF237" i="10"/>
  <c r="BB237" i="10"/>
  <c r="BI236" i="10"/>
  <c r="AP236" i="10"/>
  <c r="AQ236" i="10" s="1"/>
  <c r="AC239" i="10"/>
  <c r="AE239" i="10" s="1"/>
  <c r="AK241" i="10"/>
  <c r="AK250" i="10"/>
  <c r="AK261" i="10"/>
  <c r="AM261" i="10" s="1"/>
  <c r="AC194" i="10"/>
  <c r="AK295" i="10"/>
  <c r="AM295" i="10" s="1"/>
  <c r="AR295" i="10" s="1"/>
  <c r="BI283" i="10"/>
  <c r="AK286" i="10"/>
  <c r="BG147" i="10"/>
  <c r="AZ147" i="10"/>
  <c r="BB146" i="10"/>
  <c r="AF166" i="10"/>
  <c r="BB173" i="10"/>
  <c r="AC173" i="10"/>
  <c r="BG172" i="10"/>
  <c r="AZ172" i="10"/>
  <c r="AK172" i="10"/>
  <c r="AF185" i="10"/>
  <c r="BG191" i="10"/>
  <c r="AZ191" i="10"/>
  <c r="AF191" i="10"/>
  <c r="BB190" i="10"/>
  <c r="BB197" i="10"/>
  <c r="AC197" i="10"/>
  <c r="BG196" i="10"/>
  <c r="BF196" i="10" s="1"/>
  <c r="AZ196" i="10"/>
  <c r="AY196" i="10" s="1"/>
  <c r="BA196" i="10" s="1"/>
  <c r="BC196" i="10" s="1"/>
  <c r="AK196" i="10"/>
  <c r="BG228" i="10"/>
  <c r="AZ228" i="10"/>
  <c r="BI225" i="10"/>
  <c r="AR227" i="10"/>
  <c r="BG246" i="10"/>
  <c r="AF258" i="10"/>
  <c r="BG236" i="10"/>
  <c r="AC207" i="10"/>
  <c r="AK249" i="10"/>
  <c r="AM249" i="10" s="1"/>
  <c r="AC261" i="10"/>
  <c r="AK272" i="10"/>
  <c r="AM272" i="10" s="1"/>
  <c r="AN295" i="10"/>
  <c r="BG283" i="10"/>
  <c r="AC282" i="10"/>
  <c r="AZ282" i="10"/>
  <c r="AY282" i="10" s="1"/>
  <c r="BA282" i="10" s="1"/>
  <c r="BC282" i="10" s="1"/>
  <c r="AF286" i="10"/>
  <c r="AC291" i="10"/>
  <c r="AC293" i="10"/>
  <c r="AE293" i="10" s="1"/>
  <c r="AR293" i="10" s="1"/>
  <c r="J293" i="10" s="1"/>
  <c r="AK306" i="10"/>
  <c r="AC308" i="10"/>
  <c r="AE308" i="10" s="1"/>
  <c r="AR308" i="10" s="1"/>
  <c r="AK313" i="10"/>
  <c r="BG313" i="10"/>
  <c r="AN313" i="10"/>
  <c r="AP313" i="10"/>
  <c r="AM313" i="10" s="1"/>
  <c r="BI313" i="10"/>
  <c r="AK257" i="10"/>
  <c r="AM257" i="10" s="1"/>
  <c r="BG257" i="10"/>
  <c r="AF257" i="10"/>
  <c r="AZ257" i="10"/>
  <c r="AK238" i="10"/>
  <c r="AC249" i="10"/>
  <c r="AC272" i="10"/>
  <c r="AE272" i="10" s="1"/>
  <c r="AK285" i="10"/>
  <c r="AM285" i="10" s="1"/>
  <c r="AR285" i="10" s="1"/>
  <c r="J285" i="10" s="1"/>
  <c r="AT285" i="10" s="1"/>
  <c r="AK299" i="10"/>
  <c r="AM299" i="10" s="1"/>
  <c r="AN299" i="10"/>
  <c r="AF313" i="10"/>
  <c r="AC313" i="10"/>
  <c r="BB313" i="10"/>
  <c r="AH313" i="10"/>
  <c r="AI313" i="10" s="1"/>
  <c r="AC334" i="10"/>
  <c r="AE334" i="10" s="1"/>
  <c r="AT334" i="10" s="1"/>
  <c r="AK326" i="10"/>
  <c r="AM326" i="10" s="1"/>
  <c r="AC333" i="10"/>
  <c r="AK338" i="10"/>
  <c r="AM338" i="10" s="1"/>
  <c r="AC339" i="10"/>
  <c r="AN311" i="10"/>
  <c r="BI311" i="10"/>
  <c r="AK314" i="10"/>
  <c r="BG314" i="10"/>
  <c r="AF314" i="10"/>
  <c r="AC324" i="10"/>
  <c r="AF334" i="10"/>
  <c r="AK319" i="10"/>
  <c r="AC326" i="10"/>
  <c r="AC328" i="10"/>
  <c r="AK339" i="10"/>
  <c r="AM339" i="10" s="1"/>
  <c r="AP311" i="10"/>
  <c r="AN310" i="10"/>
  <c r="BI310" i="10"/>
  <c r="BI314" i="10"/>
  <c r="AP314" i="10"/>
  <c r="AH314" i="10"/>
  <c r="AK334" i="10"/>
  <c r="AM334" i="10" s="1"/>
  <c r="AC318" i="10"/>
  <c r="AF319" i="10"/>
  <c r="AC322" i="10"/>
  <c r="AE322" i="10" s="1"/>
  <c r="AR322" i="10" s="1"/>
  <c r="AC330" i="10"/>
  <c r="AE330" i="10" s="1"/>
  <c r="AC338" i="10"/>
  <c r="AK341" i="10"/>
  <c r="AM341" i="10" s="1"/>
  <c r="AU341" i="10" s="1"/>
  <c r="AC340" i="10"/>
  <c r="AC128" i="10"/>
  <c r="AK126" i="10"/>
  <c r="AM126" i="10" s="1"/>
  <c r="AN125" i="10"/>
  <c r="AN127" i="10"/>
  <c r="AC127" i="10"/>
  <c r="AE127" i="10" s="1"/>
  <c r="AT127" i="10" s="1"/>
  <c r="AN165" i="10"/>
  <c r="AC130" i="10"/>
  <c r="AE130" i="10" s="1"/>
  <c r="AR130" i="10" s="1"/>
  <c r="J130" i="10" s="1"/>
  <c r="AF133" i="10"/>
  <c r="AK134" i="10"/>
  <c r="AF134" i="10"/>
  <c r="AC137" i="10"/>
  <c r="AC138" i="10"/>
  <c r="AN138" i="10"/>
  <c r="AN136" i="10"/>
  <c r="AC139" i="10"/>
  <c r="AK139" i="10"/>
  <c r="AM139" i="10" s="1"/>
  <c r="AS139" i="10" s="1"/>
  <c r="AC243" i="10"/>
  <c r="AC176" i="10"/>
  <c r="AE176" i="10" s="1"/>
  <c r="AR176" i="10" s="1"/>
  <c r="AC177" i="10"/>
  <c r="AE177" i="10" s="1"/>
  <c r="AR177" i="10" s="1"/>
  <c r="AC209" i="10"/>
  <c r="AE209" i="10" s="1"/>
  <c r="AR209" i="10" s="1"/>
  <c r="AC210" i="10"/>
  <c r="AE210" i="10" s="1"/>
  <c r="AR210" i="10" s="1"/>
  <c r="AC211" i="10"/>
  <c r="AE211" i="10" s="1"/>
  <c r="AR211" i="10" s="1"/>
  <c r="AC212" i="10"/>
  <c r="AE212" i="10" s="1"/>
  <c r="AR212" i="10" s="1"/>
  <c r="AZ340" i="10"/>
  <c r="BB340" i="10"/>
  <c r="AH340" i="10"/>
  <c r="AI340" i="10" s="1"/>
  <c r="AF340" i="10"/>
  <c r="BG340" i="10"/>
  <c r="BI340" i="10"/>
  <c r="AP340" i="10"/>
  <c r="AQ340" i="10" s="1"/>
  <c r="AN340" i="10"/>
  <c r="AZ339" i="10"/>
  <c r="BB339" i="10"/>
  <c r="AH339" i="10"/>
  <c r="AI339" i="10" s="1"/>
  <c r="AF339" i="10"/>
  <c r="BG339" i="10"/>
  <c r="BI339" i="10"/>
  <c r="AZ341" i="10"/>
  <c r="BB341" i="10"/>
  <c r="BG341" i="10"/>
  <c r="BI341" i="10"/>
  <c r="AZ338" i="10"/>
  <c r="BB338" i="10"/>
  <c r="AH338" i="10"/>
  <c r="AI338" i="10" s="1"/>
  <c r="AF338" i="10"/>
  <c r="BG338" i="10"/>
  <c r="BI338" i="10"/>
  <c r="AZ335" i="10"/>
  <c r="BB335" i="10"/>
  <c r="AH335" i="10"/>
  <c r="AI335" i="10" s="1"/>
  <c r="AF335" i="10"/>
  <c r="BG335" i="10"/>
  <c r="BI335" i="10"/>
  <c r="BB342" i="10"/>
  <c r="AZ342" i="10"/>
  <c r="AF342" i="10"/>
  <c r="AC342" i="10"/>
  <c r="BI342" i="10"/>
  <c r="BG342" i="10"/>
  <c r="AN342" i="10"/>
  <c r="AK342" i="10"/>
  <c r="BG331" i="10"/>
  <c r="BI331" i="10"/>
  <c r="AN331" i="10"/>
  <c r="AZ331" i="10"/>
  <c r="BB331" i="10"/>
  <c r="AZ337" i="10"/>
  <c r="BB337" i="10"/>
  <c r="AH337" i="10"/>
  <c r="AI337" i="10" s="1"/>
  <c r="AF337" i="10"/>
  <c r="BG337" i="10"/>
  <c r="BI337" i="10"/>
  <c r="BB365" i="10"/>
  <c r="AZ365" i="10"/>
  <c r="AF365" i="10"/>
  <c r="AC365" i="10"/>
  <c r="AE365" i="10" s="1"/>
  <c r="BI365" i="10"/>
  <c r="BG365" i="10"/>
  <c r="AN365" i="10"/>
  <c r="AK365" i="10"/>
  <c r="AZ330" i="10"/>
  <c r="BB330" i="10"/>
  <c r="AF330" i="10"/>
  <c r="BG330" i="10"/>
  <c r="BI330" i="10"/>
  <c r="AN330" i="10"/>
  <c r="AZ333" i="10"/>
  <c r="BB333" i="10"/>
  <c r="AF333" i="10"/>
  <c r="BG333" i="10"/>
  <c r="BI333" i="10"/>
  <c r="AZ327" i="10"/>
  <c r="BB327" i="10"/>
  <c r="AF327" i="10"/>
  <c r="AH327" i="10"/>
  <c r="BG327" i="10"/>
  <c r="BI327" i="10"/>
  <c r="AP327" i="10"/>
  <c r="AN327" i="10"/>
  <c r="AZ328" i="10"/>
  <c r="BB328" i="10"/>
  <c r="AH328" i="10"/>
  <c r="AI328" i="10" s="1"/>
  <c r="AF328" i="10"/>
  <c r="BG328" i="10"/>
  <c r="BI328" i="10"/>
  <c r="AN328" i="10"/>
  <c r="AP328" i="10"/>
  <c r="AZ326" i="10"/>
  <c r="BB326" i="10"/>
  <c r="AH326" i="10"/>
  <c r="AI326" i="10" s="1"/>
  <c r="AF326" i="10"/>
  <c r="BG326" i="10"/>
  <c r="BI326" i="10"/>
  <c r="BG322" i="10"/>
  <c r="BI322" i="10"/>
  <c r="AN322" i="10"/>
  <c r="AZ322" i="10"/>
  <c r="BB322" i="10"/>
  <c r="BB321" i="10"/>
  <c r="AZ321" i="10"/>
  <c r="AF321" i="10"/>
  <c r="AC321" i="10"/>
  <c r="BI321" i="10"/>
  <c r="BG321" i="10"/>
  <c r="AN321" i="10"/>
  <c r="AK321" i="10"/>
  <c r="BG319" i="10"/>
  <c r="BI319" i="10"/>
  <c r="AN319" i="10"/>
  <c r="AZ319" i="10"/>
  <c r="BB319" i="10"/>
  <c r="AZ318" i="10"/>
  <c r="BB318" i="10"/>
  <c r="AH318" i="10"/>
  <c r="AI318" i="10" s="1"/>
  <c r="AF318" i="10"/>
  <c r="BG318" i="10"/>
  <c r="BI318" i="10"/>
  <c r="BB317" i="10"/>
  <c r="AZ317" i="10"/>
  <c r="AF317" i="10"/>
  <c r="AC317" i="10"/>
  <c r="BI317" i="10"/>
  <c r="BG317" i="10"/>
  <c r="AN317" i="10"/>
  <c r="AK317" i="10"/>
  <c r="BB316" i="10"/>
  <c r="AZ316" i="10"/>
  <c r="AT316" i="10"/>
  <c r="AF316" i="10"/>
  <c r="AC316" i="10"/>
  <c r="BI316" i="10"/>
  <c r="BG316" i="10"/>
  <c r="AN316" i="10"/>
  <c r="AK316" i="10"/>
  <c r="AZ334" i="10"/>
  <c r="BB334" i="10"/>
  <c r="BG334" i="10"/>
  <c r="BI334" i="10"/>
  <c r="AZ324" i="10"/>
  <c r="BB324" i="10"/>
  <c r="AH324" i="10"/>
  <c r="AI324" i="10" s="1"/>
  <c r="AF324" i="10"/>
  <c r="BG324" i="10"/>
  <c r="BI324" i="10"/>
  <c r="AN324" i="10"/>
  <c r="AP324" i="10"/>
  <c r="AZ299" i="10"/>
  <c r="BB299" i="10"/>
  <c r="AH299" i="10"/>
  <c r="AI299" i="10" s="1"/>
  <c r="AF299" i="10"/>
  <c r="BG299" i="10"/>
  <c r="BI299" i="10"/>
  <c r="AZ305" i="10"/>
  <c r="BB305" i="10"/>
  <c r="AH305" i="10"/>
  <c r="AF305" i="10"/>
  <c r="BG305" i="10"/>
  <c r="BI305" i="10"/>
  <c r="AP305" i="10"/>
  <c r="AQ305" i="10" s="1"/>
  <c r="AN305" i="10"/>
  <c r="BG308" i="10"/>
  <c r="BI308" i="10"/>
  <c r="AN308" i="10"/>
  <c r="AZ308" i="10"/>
  <c r="BB308" i="10"/>
  <c r="J306" i="10"/>
  <c r="BG306" i="10"/>
  <c r="BI306" i="10"/>
  <c r="AN306" i="10"/>
  <c r="AZ306" i="10"/>
  <c r="BB306" i="10"/>
  <c r="BG307" i="10"/>
  <c r="BI307" i="10"/>
  <c r="AN307" i="10"/>
  <c r="AZ307" i="10"/>
  <c r="BB307" i="10"/>
  <c r="AZ304" i="10"/>
  <c r="BB304" i="10"/>
  <c r="AH304" i="10"/>
  <c r="AI304" i="10" s="1"/>
  <c r="AF304" i="10"/>
  <c r="BG304" i="10"/>
  <c r="BI304" i="10"/>
  <c r="BG300" i="10"/>
  <c r="BI300" i="10"/>
  <c r="AN300" i="10"/>
  <c r="AZ300" i="10"/>
  <c r="BB300" i="10"/>
  <c r="BG296" i="10"/>
  <c r="BI296" i="10"/>
  <c r="AN296" i="10"/>
  <c r="AZ296" i="10"/>
  <c r="BB296" i="10"/>
  <c r="AZ298" i="10"/>
  <c r="BB298" i="10"/>
  <c r="AH298" i="10"/>
  <c r="AI298" i="10" s="1"/>
  <c r="AF298" i="10"/>
  <c r="BG298" i="10"/>
  <c r="BI298" i="10"/>
  <c r="AZ292" i="10"/>
  <c r="BB292" i="10"/>
  <c r="AH292" i="10"/>
  <c r="AI292" i="10" s="1"/>
  <c r="AF292" i="10"/>
  <c r="BG292" i="10"/>
  <c r="BI292" i="10"/>
  <c r="AP292" i="10"/>
  <c r="AQ292" i="10" s="1"/>
  <c r="AN292" i="10"/>
  <c r="BG293" i="10"/>
  <c r="BF293" i="10" s="1"/>
  <c r="BH293" i="10" s="1"/>
  <c r="BJ293" i="10" s="1"/>
  <c r="BI293" i="10"/>
  <c r="AN293" i="10"/>
  <c r="AZ293" i="10"/>
  <c r="AY293" i="10" s="1"/>
  <c r="BB293" i="10"/>
  <c r="AZ291" i="10"/>
  <c r="AY291" i="10" s="1"/>
  <c r="BA291" i="10" s="1"/>
  <c r="BC291" i="10" s="1"/>
  <c r="BB291" i="10"/>
  <c r="AF291" i="10"/>
  <c r="BG291" i="10"/>
  <c r="BF291" i="10" s="1"/>
  <c r="BI291" i="10"/>
  <c r="BG289" i="10"/>
  <c r="BI289" i="10"/>
  <c r="AN289" i="10"/>
  <c r="AZ289" i="10"/>
  <c r="BB289" i="10"/>
  <c r="AZ248" i="10"/>
  <c r="BB248" i="10"/>
  <c r="AF248" i="10"/>
  <c r="AT248" i="10"/>
  <c r="BG248" i="10"/>
  <c r="BI248" i="10"/>
  <c r="AZ288" i="10"/>
  <c r="AY288" i="10" s="1"/>
  <c r="BA288" i="10" s="1"/>
  <c r="BC288" i="10" s="1"/>
  <c r="BB288" i="10"/>
  <c r="AF288" i="10"/>
  <c r="BG288" i="10"/>
  <c r="BF288" i="10" s="1"/>
  <c r="BI288" i="10"/>
  <c r="BG286" i="10"/>
  <c r="BI286" i="10"/>
  <c r="AN286" i="10"/>
  <c r="AZ286" i="10"/>
  <c r="BB286" i="10"/>
  <c r="AZ285" i="10"/>
  <c r="BB285" i="10"/>
  <c r="AF285" i="10"/>
  <c r="BG285" i="10"/>
  <c r="BI285" i="10"/>
  <c r="BB280" i="10"/>
  <c r="AZ280" i="10"/>
  <c r="AF280" i="10"/>
  <c r="AC280" i="10"/>
  <c r="BI280" i="10"/>
  <c r="BG280" i="10"/>
  <c r="AN280" i="10"/>
  <c r="AK280" i="10"/>
  <c r="BB279" i="10"/>
  <c r="AZ279" i="10"/>
  <c r="AH279" i="10"/>
  <c r="AI279" i="10" s="1"/>
  <c r="AF279" i="10"/>
  <c r="AC279" i="10"/>
  <c r="BI279" i="10"/>
  <c r="BG279" i="10"/>
  <c r="AN279" i="10"/>
  <c r="AK279" i="10"/>
  <c r="AZ295" i="10"/>
  <c r="AY295" i="10" s="1"/>
  <c r="BA295" i="10" s="1"/>
  <c r="BC295" i="10" s="1"/>
  <c r="BB295" i="10"/>
  <c r="AF295" i="10"/>
  <c r="BG295" i="10"/>
  <c r="BF295" i="10" s="1"/>
  <c r="BI295" i="10"/>
  <c r="BB277" i="10"/>
  <c r="AZ277" i="10"/>
  <c r="AF277" i="10"/>
  <c r="AC277" i="10"/>
  <c r="BI277" i="10"/>
  <c r="BG277" i="10"/>
  <c r="AN277" i="10"/>
  <c r="AK277" i="10"/>
  <c r="BB276" i="10"/>
  <c r="AZ276" i="10"/>
  <c r="AH276" i="10"/>
  <c r="AI276" i="10" s="1"/>
  <c r="AF276" i="10"/>
  <c r="AC276" i="10"/>
  <c r="BI276" i="10"/>
  <c r="BG276" i="10"/>
  <c r="AN276" i="10"/>
  <c r="AK276" i="10"/>
  <c r="BB273" i="10"/>
  <c r="AZ273" i="10"/>
  <c r="AH273" i="10"/>
  <c r="AI273" i="10" s="1"/>
  <c r="AF273" i="10"/>
  <c r="AC273" i="10"/>
  <c r="BI273" i="10"/>
  <c r="BG273" i="10"/>
  <c r="AP273" i="10"/>
  <c r="AQ273" i="10" s="1"/>
  <c r="AN273" i="10"/>
  <c r="AK273" i="10"/>
  <c r="BB274" i="10"/>
  <c r="AZ274" i="10"/>
  <c r="AU274" i="10"/>
  <c r="AF274" i="10"/>
  <c r="AC274" i="10"/>
  <c r="BI274" i="10"/>
  <c r="BG274" i="10"/>
  <c r="AN274" i="10"/>
  <c r="AK274" i="10"/>
  <c r="AZ272" i="10"/>
  <c r="BB272" i="10"/>
  <c r="BG272" i="10"/>
  <c r="BI272" i="10"/>
  <c r="AZ271" i="10"/>
  <c r="BB271" i="10"/>
  <c r="AH271" i="10"/>
  <c r="AI271" i="10" s="1"/>
  <c r="AF271" i="10"/>
  <c r="BG271" i="10"/>
  <c r="BI271" i="10"/>
  <c r="R194" i="10"/>
  <c r="AZ194" i="10"/>
  <c r="BB194" i="10"/>
  <c r="AF194" i="10"/>
  <c r="AH194" i="10"/>
  <c r="BG194" i="10"/>
  <c r="BI194" i="10"/>
  <c r="AP194" i="10"/>
  <c r="AQ194" i="10" s="1"/>
  <c r="AN194" i="10"/>
  <c r="AZ193" i="10"/>
  <c r="BB193" i="10"/>
  <c r="AH193" i="10"/>
  <c r="AI193" i="10" s="1"/>
  <c r="AF193" i="10"/>
  <c r="BG193" i="10"/>
  <c r="BI193" i="10"/>
  <c r="AP193" i="10"/>
  <c r="AM193" i="10" s="1"/>
  <c r="AN193" i="10"/>
  <c r="BB269" i="10"/>
  <c r="AZ269" i="10"/>
  <c r="AF269" i="10"/>
  <c r="AC269" i="10"/>
  <c r="BI269" i="10"/>
  <c r="BG269" i="10"/>
  <c r="AN269" i="10"/>
  <c r="AK269" i="10"/>
  <c r="BB267" i="10"/>
  <c r="AZ267" i="10"/>
  <c r="AY267" i="10" s="1"/>
  <c r="BA267" i="10" s="1"/>
  <c r="BC267" i="10" s="1"/>
  <c r="AF267" i="10"/>
  <c r="AC267" i="10"/>
  <c r="BI267" i="10"/>
  <c r="BG267" i="10"/>
  <c r="BF267" i="10" s="1"/>
  <c r="AN267" i="10"/>
  <c r="AK267" i="10"/>
  <c r="BB268" i="10"/>
  <c r="AZ268" i="10"/>
  <c r="AY268" i="10" s="1"/>
  <c r="BA268" i="10" s="1"/>
  <c r="BC268" i="10" s="1"/>
  <c r="AF268" i="10"/>
  <c r="AC268" i="10"/>
  <c r="BI268" i="10"/>
  <c r="BG268" i="10"/>
  <c r="BF268" i="10" s="1"/>
  <c r="AN268" i="10"/>
  <c r="AK268" i="10"/>
  <c r="J265" i="10"/>
  <c r="BB265" i="10"/>
  <c r="AZ265" i="10"/>
  <c r="AF265" i="10"/>
  <c r="AC265" i="10"/>
  <c r="BI265" i="10"/>
  <c r="BG265" i="10"/>
  <c r="AN265" i="10"/>
  <c r="AK265" i="10"/>
  <c r="AZ263" i="10"/>
  <c r="BB263" i="10"/>
  <c r="AH263" i="10"/>
  <c r="AI263" i="10" s="1"/>
  <c r="AF263" i="10"/>
  <c r="BG263" i="10"/>
  <c r="BI263" i="10"/>
  <c r="AZ262" i="10"/>
  <c r="BB262" i="10"/>
  <c r="AH262" i="10"/>
  <c r="AI262" i="10" s="1"/>
  <c r="AF262" i="10"/>
  <c r="BG262" i="10"/>
  <c r="BI262" i="10"/>
  <c r="AZ261" i="10"/>
  <c r="BB261" i="10"/>
  <c r="AH261" i="10"/>
  <c r="AI261" i="10" s="1"/>
  <c r="AF261" i="10"/>
  <c r="BG261" i="10"/>
  <c r="BI261" i="10"/>
  <c r="AZ264" i="10"/>
  <c r="BB264" i="10"/>
  <c r="AF264" i="10"/>
  <c r="AS264" i="10"/>
  <c r="R264" i="10" s="1"/>
  <c r="AU264" i="10" s="1"/>
  <c r="BG264" i="10"/>
  <c r="BI264" i="10"/>
  <c r="BG250" i="10"/>
  <c r="BI250" i="10"/>
  <c r="AN250" i="10"/>
  <c r="AZ250" i="10"/>
  <c r="BB250" i="10"/>
  <c r="R303" i="10"/>
  <c r="BB302" i="10"/>
  <c r="AZ302" i="10"/>
  <c r="AH302" i="10"/>
  <c r="AI302" i="10" s="1"/>
  <c r="AF302" i="10"/>
  <c r="AC302" i="10"/>
  <c r="BI302" i="10"/>
  <c r="BG302" i="10"/>
  <c r="AN302" i="10"/>
  <c r="AK302" i="10"/>
  <c r="BB303" i="10"/>
  <c r="AZ303" i="10"/>
  <c r="AH303" i="10"/>
  <c r="AF303" i="10"/>
  <c r="AC303" i="10"/>
  <c r="BI303" i="10"/>
  <c r="BG303" i="10"/>
  <c r="AP303" i="10"/>
  <c r="AQ303" i="10" s="1"/>
  <c r="AN303" i="10"/>
  <c r="AK303" i="10"/>
  <c r="AZ249" i="10"/>
  <c r="BB249" i="10"/>
  <c r="AH249" i="10"/>
  <c r="AI249" i="10" s="1"/>
  <c r="AF249" i="10"/>
  <c r="BG249" i="10"/>
  <c r="BI249" i="10"/>
  <c r="AZ241" i="10"/>
  <c r="BB241" i="10"/>
  <c r="AH241" i="10"/>
  <c r="AI241" i="10" s="1"/>
  <c r="AF241" i="10"/>
  <c r="BG241" i="10"/>
  <c r="BI241" i="10"/>
  <c r="AN241" i="10"/>
  <c r="AP241" i="10"/>
  <c r="BG259" i="10"/>
  <c r="BI259" i="10"/>
  <c r="AN259" i="10"/>
  <c r="AZ259" i="10"/>
  <c r="BB259" i="10"/>
  <c r="BG214" i="10"/>
  <c r="BI214" i="10"/>
  <c r="AN214" i="10"/>
  <c r="AZ214" i="10"/>
  <c r="BB214" i="10"/>
  <c r="AZ207" i="10"/>
  <c r="BB207" i="10"/>
  <c r="AH207" i="10"/>
  <c r="AI207" i="10" s="1"/>
  <c r="AF207" i="10"/>
  <c r="BG207" i="10"/>
  <c r="BF207" i="10" s="1"/>
  <c r="BI207" i="10"/>
  <c r="AP207" i="10"/>
  <c r="AQ207" i="10" s="1"/>
  <c r="AN207" i="10"/>
  <c r="AZ238" i="10"/>
  <c r="BB238" i="10"/>
  <c r="AH238" i="10"/>
  <c r="AI238" i="10" s="1"/>
  <c r="AF238" i="10"/>
  <c r="BG238" i="10"/>
  <c r="BF238" i="10" s="1"/>
  <c r="BI238" i="10"/>
  <c r="AP238" i="10"/>
  <c r="AQ238" i="10" s="1"/>
  <c r="AN238" i="10"/>
  <c r="BG239" i="10"/>
  <c r="BI239" i="10"/>
  <c r="AZ239" i="10"/>
  <c r="BB239" i="10"/>
  <c r="Q206" i="10"/>
  <c r="I236" i="10"/>
  <c r="I205" i="10"/>
  <c r="AZ205" i="10"/>
  <c r="BB205" i="10"/>
  <c r="AH205" i="10"/>
  <c r="AI205" i="10" s="1"/>
  <c r="AF205" i="10"/>
  <c r="BG205" i="10"/>
  <c r="BI205" i="10"/>
  <c r="AP205" i="10"/>
  <c r="AQ205" i="10" s="1"/>
  <c r="AN205" i="10"/>
  <c r="BG213" i="10"/>
  <c r="BI213" i="10"/>
  <c r="AN213" i="10"/>
  <c r="AZ213" i="10"/>
  <c r="BB213" i="10"/>
  <c r="AZ235" i="10"/>
  <c r="BB235" i="10"/>
  <c r="AH235" i="10"/>
  <c r="AI235" i="10" s="1"/>
  <c r="AF235" i="10"/>
  <c r="BG235" i="10"/>
  <c r="BI235" i="10"/>
  <c r="AZ256" i="10"/>
  <c r="BB256" i="10"/>
  <c r="AH256" i="10"/>
  <c r="AI256" i="10" s="1"/>
  <c r="AF256" i="10"/>
  <c r="BG256" i="10"/>
  <c r="BI256" i="10"/>
  <c r="BG254" i="10"/>
  <c r="BI254" i="10"/>
  <c r="AN254" i="10"/>
  <c r="AZ254" i="10"/>
  <c r="BB254" i="10"/>
  <c r="AZ226" i="10"/>
  <c r="BB226" i="10"/>
  <c r="AF226" i="10"/>
  <c r="AT226" i="10"/>
  <c r="BG226" i="10"/>
  <c r="BI226" i="10"/>
  <c r="AZ247" i="10"/>
  <c r="BB247" i="10"/>
  <c r="AT247" i="10"/>
  <c r="AF247" i="10"/>
  <c r="BG247" i="10"/>
  <c r="BI247" i="10"/>
  <c r="AZ253" i="10"/>
  <c r="BB253" i="10"/>
  <c r="AH253" i="10"/>
  <c r="AF253" i="10"/>
  <c r="BG253" i="10"/>
  <c r="BI253" i="10"/>
  <c r="BG233" i="10"/>
  <c r="BI233" i="10"/>
  <c r="AN233" i="10"/>
  <c r="AZ233" i="10"/>
  <c r="BB233" i="10"/>
  <c r="AZ231" i="10"/>
  <c r="BB231" i="10"/>
  <c r="AF231" i="10"/>
  <c r="BG231" i="10"/>
  <c r="BI231" i="10"/>
  <c r="BG217" i="10"/>
  <c r="BI217" i="10"/>
  <c r="AN217" i="10"/>
  <c r="AZ217" i="10"/>
  <c r="BB217" i="10"/>
  <c r="BG221" i="10"/>
  <c r="BI221" i="10"/>
  <c r="AN221" i="10"/>
  <c r="AZ221" i="10"/>
  <c r="BB221" i="10"/>
  <c r="AZ252" i="10"/>
  <c r="BB252" i="10"/>
  <c r="BG252" i="10"/>
  <c r="BI252" i="10"/>
  <c r="BB222" i="10"/>
  <c r="AZ222" i="10"/>
  <c r="AY222" i="10" s="1"/>
  <c r="AF222" i="10"/>
  <c r="AC222" i="10"/>
  <c r="BI222" i="10"/>
  <c r="BG222" i="10"/>
  <c r="BF222" i="10" s="1"/>
  <c r="BH222" i="10" s="1"/>
  <c r="BJ222" i="10" s="1"/>
  <c r="AN222" i="10"/>
  <c r="AK222" i="10"/>
  <c r="AZ218" i="10"/>
  <c r="BB218" i="10"/>
  <c r="BG218" i="10"/>
  <c r="BI218" i="10"/>
  <c r="AZ220" i="10"/>
  <c r="AY220" i="10" s="1"/>
  <c r="BA220" i="10" s="1"/>
  <c r="BC220" i="10" s="1"/>
  <c r="BB220" i="10"/>
  <c r="AF220" i="10"/>
  <c r="BG220" i="10"/>
  <c r="BF220" i="10" s="1"/>
  <c r="BI220" i="10"/>
  <c r="AZ216" i="10"/>
  <c r="BB216" i="10"/>
  <c r="AH216" i="10"/>
  <c r="AI216" i="10" s="1"/>
  <c r="AF216" i="10"/>
  <c r="BG216" i="10"/>
  <c r="BI216" i="10"/>
  <c r="AZ224" i="10"/>
  <c r="BB224" i="10"/>
  <c r="BG224" i="10"/>
  <c r="BI224" i="10"/>
  <c r="BG232" i="10"/>
  <c r="BI232" i="10"/>
  <c r="AZ232" i="10"/>
  <c r="BB232" i="10"/>
  <c r="AZ229" i="10"/>
  <c r="BB229" i="10"/>
  <c r="AH229" i="10"/>
  <c r="AI229" i="10" s="1"/>
  <c r="AF229" i="10"/>
  <c r="BG229" i="10"/>
  <c r="BI229" i="10"/>
  <c r="AZ227" i="10"/>
  <c r="BB227" i="10"/>
  <c r="AF227" i="10"/>
  <c r="AT227" i="10"/>
  <c r="AS227" i="10"/>
  <c r="R227" i="10" s="1"/>
  <c r="BG227" i="10"/>
  <c r="BI227" i="10"/>
  <c r="AZ230" i="10"/>
  <c r="BB230" i="10"/>
  <c r="AH230" i="10"/>
  <c r="AI230" i="10" s="1"/>
  <c r="AF230" i="10"/>
  <c r="BG230" i="10"/>
  <c r="BI230" i="10"/>
  <c r="AZ212" i="10"/>
  <c r="BB212" i="10"/>
  <c r="BG212" i="10"/>
  <c r="BI212" i="10"/>
  <c r="AN212" i="10"/>
  <c r="AZ211" i="10"/>
  <c r="BB211" i="10"/>
  <c r="BG211" i="10"/>
  <c r="BI211" i="10"/>
  <c r="AN211" i="10"/>
  <c r="AZ210" i="10"/>
  <c r="BB210" i="10"/>
  <c r="BG210" i="10"/>
  <c r="BI210" i="10"/>
  <c r="AN210" i="10"/>
  <c r="AZ209" i="10"/>
  <c r="BB209" i="10"/>
  <c r="BG209" i="10"/>
  <c r="BI209" i="10"/>
  <c r="AN209" i="10"/>
  <c r="BG208" i="10"/>
  <c r="BI208" i="10"/>
  <c r="AN208" i="10"/>
  <c r="AZ208" i="10"/>
  <c r="BB208" i="10"/>
  <c r="AZ201" i="10"/>
  <c r="BB201" i="10"/>
  <c r="AH201" i="10"/>
  <c r="AI201" i="10" s="1"/>
  <c r="AF201" i="10"/>
  <c r="BG201" i="10"/>
  <c r="BI201" i="10"/>
  <c r="AZ188" i="10"/>
  <c r="BB188" i="10"/>
  <c r="AH188" i="10"/>
  <c r="AI188" i="10" s="1"/>
  <c r="AF188" i="10"/>
  <c r="BG188" i="10"/>
  <c r="BI188" i="10"/>
  <c r="AN188" i="10"/>
  <c r="AP188" i="10"/>
  <c r="AM188" i="10" s="1"/>
  <c r="AZ202" i="10"/>
  <c r="BB202" i="10"/>
  <c r="AH202" i="10"/>
  <c r="AI202" i="10" s="1"/>
  <c r="AF202" i="10"/>
  <c r="BG202" i="10"/>
  <c r="BI202" i="10"/>
  <c r="BG198" i="10"/>
  <c r="BI198" i="10"/>
  <c r="AZ198" i="10"/>
  <c r="AY198" i="10" s="1"/>
  <c r="BB198" i="10"/>
  <c r="BG182" i="10"/>
  <c r="BI182" i="10"/>
  <c r="AN182" i="10"/>
  <c r="AZ182" i="10"/>
  <c r="BB182" i="10"/>
  <c r="AR182" i="10"/>
  <c r="AS182" i="10"/>
  <c r="R182" i="10" s="1"/>
  <c r="AZ199" i="10"/>
  <c r="AY199" i="10" s="1"/>
  <c r="BA199" i="10" s="1"/>
  <c r="BC199" i="10" s="1"/>
  <c r="BB199" i="10"/>
  <c r="AF199" i="10"/>
  <c r="BG199" i="10"/>
  <c r="BF199" i="10" s="1"/>
  <c r="BI199" i="10"/>
  <c r="AZ179" i="10"/>
  <c r="BB179" i="10"/>
  <c r="AH179" i="10"/>
  <c r="AF179" i="10"/>
  <c r="BG179" i="10"/>
  <c r="BI179" i="10"/>
  <c r="AZ203" i="10"/>
  <c r="BB203" i="10"/>
  <c r="AH203" i="10"/>
  <c r="AI203" i="10" s="1"/>
  <c r="AF203" i="10"/>
  <c r="BG203" i="10"/>
  <c r="BI203" i="10"/>
  <c r="AZ181" i="10"/>
  <c r="BB181" i="10"/>
  <c r="AF181" i="10"/>
  <c r="AT181" i="10"/>
  <c r="BG181" i="10"/>
  <c r="BI181" i="10"/>
  <c r="AZ180" i="10"/>
  <c r="BB180" i="10"/>
  <c r="AF180" i="10"/>
  <c r="BG180" i="10"/>
  <c r="BI180" i="10"/>
  <c r="BG176" i="10"/>
  <c r="BI176" i="10"/>
  <c r="AN176" i="10"/>
  <c r="AZ176" i="10"/>
  <c r="BB176" i="10"/>
  <c r="BG177" i="10"/>
  <c r="BI177" i="10"/>
  <c r="AN177" i="10"/>
  <c r="AZ177" i="10"/>
  <c r="BB177" i="10"/>
  <c r="AZ140" i="10"/>
  <c r="BB140" i="10"/>
  <c r="AH140" i="10"/>
  <c r="AI140" i="10" s="1"/>
  <c r="AF140" i="10"/>
  <c r="BG140" i="10"/>
  <c r="BI140" i="10"/>
  <c r="AP140" i="10"/>
  <c r="AQ140" i="10" s="1"/>
  <c r="AN140" i="10"/>
  <c r="Q141" i="10"/>
  <c r="Q132" i="10"/>
  <c r="BG132" i="10"/>
  <c r="BI132" i="10"/>
  <c r="AN132" i="10"/>
  <c r="AP132" i="10"/>
  <c r="AQ132" i="10" s="1"/>
  <c r="AZ132" i="10"/>
  <c r="BB132" i="10"/>
  <c r="BB204" i="10"/>
  <c r="AZ204" i="10"/>
  <c r="AF204" i="10"/>
  <c r="AC204" i="10"/>
  <c r="BI204" i="10"/>
  <c r="BG204" i="10"/>
  <c r="AN204" i="10"/>
  <c r="AK204" i="10"/>
  <c r="BB170" i="10"/>
  <c r="AZ170" i="10"/>
  <c r="AF170" i="10"/>
  <c r="AC170" i="10"/>
  <c r="BI170" i="10"/>
  <c r="BG170" i="10"/>
  <c r="AN170" i="10"/>
  <c r="AK170" i="10"/>
  <c r="AZ184" i="10"/>
  <c r="BB184" i="10"/>
  <c r="AH184" i="10"/>
  <c r="AF184" i="10"/>
  <c r="BG184" i="10"/>
  <c r="BI184" i="10"/>
  <c r="AN184" i="10"/>
  <c r="R162" i="10"/>
  <c r="BB162" i="10"/>
  <c r="AZ162" i="10"/>
  <c r="AF162" i="10"/>
  <c r="AC162" i="10"/>
  <c r="BI162" i="10"/>
  <c r="BG162" i="10"/>
  <c r="AN162" i="10"/>
  <c r="AK162" i="10"/>
  <c r="BB144" i="10"/>
  <c r="AZ144" i="10"/>
  <c r="AF144" i="10"/>
  <c r="AC144" i="10"/>
  <c r="BI144" i="10"/>
  <c r="BG144" i="10"/>
  <c r="AN144" i="10"/>
  <c r="AK144" i="10"/>
  <c r="AZ186" i="10"/>
  <c r="BB186" i="10"/>
  <c r="BG186" i="10"/>
  <c r="BI186" i="10"/>
  <c r="BG185" i="10"/>
  <c r="BI185" i="10"/>
  <c r="AZ185" i="10"/>
  <c r="BB185" i="10"/>
  <c r="BG167" i="10"/>
  <c r="BI167" i="10"/>
  <c r="AN167" i="10"/>
  <c r="AZ167" i="10"/>
  <c r="BB167" i="10"/>
  <c r="AZ200" i="10"/>
  <c r="BB200" i="10"/>
  <c r="BG200" i="10"/>
  <c r="BI200" i="10"/>
  <c r="AZ163" i="10"/>
  <c r="BB163" i="10"/>
  <c r="AF163" i="10"/>
  <c r="BG163" i="10"/>
  <c r="BI163" i="10"/>
  <c r="AN163" i="10"/>
  <c r="AP163" i="10"/>
  <c r="AZ160" i="10"/>
  <c r="BB160" i="10"/>
  <c r="AH160" i="10"/>
  <c r="AI160" i="10" s="1"/>
  <c r="AF160" i="10"/>
  <c r="BG160" i="10"/>
  <c r="BI160" i="10"/>
  <c r="AN160" i="10"/>
  <c r="AP160" i="10"/>
  <c r="BG243" i="10"/>
  <c r="BI243" i="10"/>
  <c r="AN243" i="10"/>
  <c r="AZ243" i="10"/>
  <c r="BB243" i="10"/>
  <c r="AZ143" i="10"/>
  <c r="AY143" i="10" s="1"/>
  <c r="BB143" i="10"/>
  <c r="AH143" i="10"/>
  <c r="AI143" i="10" s="1"/>
  <c r="AF143" i="10"/>
  <c r="BG143" i="10"/>
  <c r="BI143" i="10"/>
  <c r="AP143" i="10"/>
  <c r="AQ143" i="10" s="1"/>
  <c r="AN143" i="10"/>
  <c r="BG153" i="10"/>
  <c r="BI153" i="10"/>
  <c r="AZ153" i="10"/>
  <c r="BB153" i="10"/>
  <c r="AZ166" i="10"/>
  <c r="BB166" i="10"/>
  <c r="AH166" i="10"/>
  <c r="BG166" i="10"/>
  <c r="BI166" i="10"/>
  <c r="BB151" i="10"/>
  <c r="AZ151" i="10"/>
  <c r="AF151" i="10"/>
  <c r="AC151" i="10"/>
  <c r="BI151" i="10"/>
  <c r="BG151" i="10"/>
  <c r="AN151" i="10"/>
  <c r="AK151" i="10"/>
  <c r="BB142" i="10"/>
  <c r="AZ142" i="10"/>
  <c r="AH142" i="10"/>
  <c r="AI142" i="10" s="1"/>
  <c r="AF142" i="10"/>
  <c r="AC142" i="10"/>
  <c r="BI142" i="10"/>
  <c r="BG142" i="10"/>
  <c r="AP142" i="10"/>
  <c r="AQ142" i="10" s="1"/>
  <c r="AN142" i="10"/>
  <c r="AK142" i="10"/>
  <c r="BB158" i="10"/>
  <c r="AZ158" i="10"/>
  <c r="AF158" i="10"/>
  <c r="AC158" i="10"/>
  <c r="BI158" i="10"/>
  <c r="BG158" i="10"/>
  <c r="AP158" i="10"/>
  <c r="AQ158" i="10" s="1"/>
  <c r="AN158" i="10"/>
  <c r="AK158" i="10"/>
  <c r="BG150" i="10"/>
  <c r="BI150" i="10"/>
  <c r="AN150" i="10"/>
  <c r="AZ150" i="10"/>
  <c r="BB150" i="10"/>
  <c r="AZ141" i="10"/>
  <c r="BB141" i="10"/>
  <c r="AF141" i="10"/>
  <c r="BG141" i="10"/>
  <c r="BI141" i="10"/>
  <c r="BG131" i="10"/>
  <c r="BI131" i="10"/>
  <c r="AN131" i="10"/>
  <c r="AZ131" i="10"/>
  <c r="BB131" i="10"/>
  <c r="BG149" i="10"/>
  <c r="BI149" i="10"/>
  <c r="AN149" i="10"/>
  <c r="AZ149" i="10"/>
  <c r="BB149" i="10"/>
  <c r="AC134" i="10"/>
  <c r="AE134" i="10" s="1"/>
  <c r="AR134" i="10" s="1"/>
  <c r="BG156" i="10"/>
  <c r="BI156" i="10"/>
  <c r="AN156" i="10"/>
  <c r="AZ156" i="10"/>
  <c r="BB156" i="10"/>
  <c r="AK138" i="10"/>
  <c r="AM138" i="10" s="1"/>
  <c r="AN139" i="10"/>
  <c r="AC133" i="10"/>
  <c r="AE133" i="10" s="1"/>
  <c r="AR133" i="10" s="1"/>
  <c r="AC155" i="10"/>
  <c r="AK137" i="10"/>
  <c r="AM137" i="10" s="1"/>
  <c r="AU137" i="10" s="1"/>
  <c r="AC169" i="10"/>
  <c r="AK130" i="10"/>
  <c r="AN155" i="10"/>
  <c r="AN137" i="10"/>
  <c r="AK136" i="10"/>
  <c r="AM136" i="10" s="1"/>
  <c r="AN169" i="10"/>
  <c r="AF130" i="10"/>
  <c r="AK133" i="10"/>
  <c r="AK155" i="10"/>
  <c r="AM155" i="10" s="1"/>
  <c r="AR155" i="10" s="1"/>
  <c r="AC136" i="10"/>
  <c r="AK169" i="10"/>
  <c r="AM169" i="10" s="1"/>
  <c r="AR169" i="10" s="1"/>
  <c r="AK148" i="10"/>
  <c r="AM148" i="10" s="1"/>
  <c r="AC116" i="10"/>
  <c r="AC145" i="10"/>
  <c r="AE145" i="10" s="1"/>
  <c r="AC119" i="10"/>
  <c r="AK128" i="10"/>
  <c r="BI126" i="10"/>
  <c r="AC125" i="10"/>
  <c r="AK125" i="10"/>
  <c r="AM125" i="10" s="1"/>
  <c r="AK127" i="10"/>
  <c r="AM127" i="10" s="1"/>
  <c r="BB127" i="10"/>
  <c r="AC129" i="10"/>
  <c r="AK129" i="10"/>
  <c r="AF165" i="10"/>
  <c r="AK165" i="10"/>
  <c r="AM165" i="10" s="1"/>
  <c r="AU165" i="10" s="1"/>
  <c r="AZ169" i="10"/>
  <c r="BB169" i="10"/>
  <c r="AT169" i="10"/>
  <c r="AF169" i="10"/>
  <c r="BG169" i="10"/>
  <c r="BI169" i="10"/>
  <c r="AZ139" i="10"/>
  <c r="BB139" i="10"/>
  <c r="AF139" i="10"/>
  <c r="BG139" i="10"/>
  <c r="BI139" i="10"/>
  <c r="AZ136" i="10"/>
  <c r="BB136" i="10"/>
  <c r="AH136" i="10"/>
  <c r="AI136" i="10" s="1"/>
  <c r="AF136" i="10"/>
  <c r="BG136" i="10"/>
  <c r="BI136" i="10"/>
  <c r="AZ138" i="10"/>
  <c r="BB138" i="10"/>
  <c r="AF138" i="10"/>
  <c r="BG138" i="10"/>
  <c r="BI138" i="10"/>
  <c r="AZ137" i="10"/>
  <c r="BB137" i="10"/>
  <c r="AF137" i="10"/>
  <c r="BG137" i="10"/>
  <c r="BI137" i="10"/>
  <c r="AZ155" i="10"/>
  <c r="AY155" i="10" s="1"/>
  <c r="BA155" i="10" s="1"/>
  <c r="BC155" i="10" s="1"/>
  <c r="BB155" i="10"/>
  <c r="AF155" i="10"/>
  <c r="BG155" i="10"/>
  <c r="BF155" i="10" s="1"/>
  <c r="BI155" i="10"/>
  <c r="AC165" i="10"/>
  <c r="AE165" i="10" s="1"/>
  <c r="BG133" i="10"/>
  <c r="BI133" i="10"/>
  <c r="AN133" i="10"/>
  <c r="AZ133" i="10"/>
  <c r="BB133" i="10"/>
  <c r="BG134" i="10"/>
  <c r="BI134" i="10"/>
  <c r="AN134" i="10"/>
  <c r="AZ134" i="10"/>
  <c r="BB134" i="10"/>
  <c r="AC126" i="10"/>
  <c r="AF127" i="10"/>
  <c r="BG130" i="10"/>
  <c r="BF130" i="10" s="1"/>
  <c r="BH130" i="10" s="1"/>
  <c r="BJ130" i="10" s="1"/>
  <c r="BI130" i="10"/>
  <c r="AN130" i="10"/>
  <c r="AZ130" i="10"/>
  <c r="AY130" i="10" s="1"/>
  <c r="BB130" i="10"/>
  <c r="AZ165" i="10"/>
  <c r="BB165" i="10"/>
  <c r="BG165" i="10"/>
  <c r="BI165" i="10"/>
  <c r="AZ129" i="10"/>
  <c r="BB129" i="10"/>
  <c r="AH129" i="10"/>
  <c r="AI129" i="10" s="1"/>
  <c r="AF129" i="10"/>
  <c r="BG129" i="10"/>
  <c r="BI129" i="10"/>
  <c r="AP129" i="10"/>
  <c r="AQ129" i="10" s="1"/>
  <c r="AN129" i="10"/>
  <c r="BG127" i="10"/>
  <c r="BI127" i="10"/>
  <c r="AZ127" i="10"/>
  <c r="AY127" i="10" s="1"/>
  <c r="AZ125" i="10"/>
  <c r="BB125" i="10"/>
  <c r="AH125" i="10"/>
  <c r="AI125" i="10" s="1"/>
  <c r="AF125" i="10"/>
  <c r="BG125" i="10"/>
  <c r="BI125" i="10"/>
  <c r="I30" i="3"/>
  <c r="F17" i="3"/>
  <c r="I29" i="3"/>
  <c r="BB126" i="10"/>
  <c r="I27" i="3"/>
  <c r="I25" i="3"/>
  <c r="I28" i="3"/>
  <c r="I26" i="3"/>
  <c r="AZ126" i="10"/>
  <c r="AF126" i="10"/>
  <c r="BG126" i="10"/>
  <c r="AN126" i="10"/>
  <c r="J175" i="10"/>
  <c r="BB175" i="10"/>
  <c r="AZ175" i="10"/>
  <c r="AF175" i="10"/>
  <c r="AC175" i="10"/>
  <c r="BI175" i="10"/>
  <c r="BG175" i="10"/>
  <c r="AN175" i="10"/>
  <c r="AK175" i="10"/>
  <c r="BB124" i="10"/>
  <c r="AZ124" i="10"/>
  <c r="AF124" i="10"/>
  <c r="AC124" i="10"/>
  <c r="BI124" i="10"/>
  <c r="BG124" i="10"/>
  <c r="AN124" i="10"/>
  <c r="AK124" i="10"/>
  <c r="AZ128" i="10"/>
  <c r="BB128" i="10"/>
  <c r="AF128" i="10"/>
  <c r="BG128" i="10"/>
  <c r="BI128" i="10"/>
  <c r="AN128" i="10"/>
  <c r="AP128" i="10"/>
  <c r="AQ128" i="10" s="1"/>
  <c r="BB122" i="10"/>
  <c r="AZ122" i="10"/>
  <c r="AF122" i="10"/>
  <c r="AC122" i="10"/>
  <c r="BI122" i="10"/>
  <c r="BG122" i="10"/>
  <c r="AN122" i="10"/>
  <c r="AK122" i="10"/>
  <c r="AK119" i="10"/>
  <c r="AC111" i="10"/>
  <c r="AE111" i="10" s="1"/>
  <c r="AS111" i="10" s="1"/>
  <c r="R111" i="10" s="1"/>
  <c r="AK116" i="10"/>
  <c r="AK145" i="10"/>
  <c r="AF145" i="10"/>
  <c r="AF111" i="10"/>
  <c r="AZ119" i="10"/>
  <c r="BB119" i="10"/>
  <c r="AH119" i="10"/>
  <c r="AI119" i="10" s="1"/>
  <c r="AF119" i="10"/>
  <c r="BG119" i="10"/>
  <c r="BI119" i="10"/>
  <c r="AN119" i="10"/>
  <c r="AP119" i="10"/>
  <c r="AQ119" i="10" s="1"/>
  <c r="BB174" i="10"/>
  <c r="AZ174" i="10"/>
  <c r="AF174" i="10"/>
  <c r="AC174" i="10"/>
  <c r="BI174" i="10"/>
  <c r="BG174" i="10"/>
  <c r="AN174" i="10"/>
  <c r="AK174" i="10"/>
  <c r="BB121" i="10"/>
  <c r="AZ121" i="10"/>
  <c r="AF121" i="10"/>
  <c r="AC121" i="10"/>
  <c r="BI121" i="10"/>
  <c r="BG121" i="10"/>
  <c r="AN121" i="10"/>
  <c r="AK121" i="10"/>
  <c r="AK111" i="10"/>
  <c r="BI80" i="10"/>
  <c r="AF99" i="10"/>
  <c r="BI114" i="10"/>
  <c r="AH114" i="10"/>
  <c r="AK113" i="10"/>
  <c r="AH113" i="10"/>
  <c r="AI113" i="10" s="1"/>
  <c r="BB117" i="10"/>
  <c r="AZ117" i="10"/>
  <c r="AF117" i="10"/>
  <c r="AC117" i="10"/>
  <c r="BI117" i="10"/>
  <c r="BG117" i="10"/>
  <c r="AN117" i="10"/>
  <c r="AK117" i="10"/>
  <c r="BG145" i="10"/>
  <c r="BI145" i="10"/>
  <c r="AN145" i="10"/>
  <c r="AZ145" i="10"/>
  <c r="BB145" i="10"/>
  <c r="AZ116" i="10"/>
  <c r="BB116" i="10"/>
  <c r="AH116" i="10"/>
  <c r="AI116" i="10" s="1"/>
  <c r="AF116" i="10"/>
  <c r="BG116" i="10"/>
  <c r="BI116" i="10"/>
  <c r="AP116" i="10"/>
  <c r="AQ116" i="10" s="1"/>
  <c r="AN116" i="10"/>
  <c r="AZ113" i="10"/>
  <c r="AK80" i="10"/>
  <c r="AM80" i="10" s="1"/>
  <c r="AN114" i="10"/>
  <c r="BG111" i="10"/>
  <c r="BI111" i="10"/>
  <c r="AN111" i="10"/>
  <c r="AZ111" i="10"/>
  <c r="BB111" i="10"/>
  <c r="BB113" i="10"/>
  <c r="BG113" i="10"/>
  <c r="AP113" i="10"/>
  <c r="AQ113" i="10" s="1"/>
  <c r="BB35" i="10"/>
  <c r="AN113" i="10"/>
  <c r="BI113" i="10"/>
  <c r="AF114" i="10"/>
  <c r="AZ114" i="10"/>
  <c r="AC114" i="10"/>
  <c r="AP114" i="10"/>
  <c r="AQ114" i="10" s="1"/>
  <c r="BB114" i="10"/>
  <c r="AH35" i="10"/>
  <c r="AF113" i="10"/>
  <c r="BG114" i="10"/>
  <c r="AK114" i="10"/>
  <c r="AC113" i="10"/>
  <c r="AC37" i="10"/>
  <c r="AN37" i="10"/>
  <c r="BI35" i="10"/>
  <c r="AC45" i="10"/>
  <c r="AN45" i="10"/>
  <c r="AN81" i="10"/>
  <c r="AN80" i="10"/>
  <c r="AN68" i="10"/>
  <c r="AC69" i="10"/>
  <c r="AN69" i="10"/>
  <c r="AC66" i="10"/>
  <c r="AE66" i="10" s="1"/>
  <c r="AR66" i="10" s="1"/>
  <c r="AC70" i="10"/>
  <c r="AK70" i="10"/>
  <c r="AM70" i="10" s="1"/>
  <c r="AC71" i="10"/>
  <c r="AK71" i="10"/>
  <c r="AM71" i="10" s="1"/>
  <c r="AC74" i="10"/>
  <c r="AE74" i="10" s="1"/>
  <c r="AR74" i="10" s="1"/>
  <c r="AK78" i="10"/>
  <c r="AF78" i="10"/>
  <c r="AK15" i="10"/>
  <c r="AC82" i="10"/>
  <c r="AK82" i="10"/>
  <c r="AK83" i="10"/>
  <c r="AC83" i="10"/>
  <c r="AE83" i="10" s="1"/>
  <c r="AS83" i="10" s="1"/>
  <c r="R83" i="10" s="1"/>
  <c r="AN88" i="10"/>
  <c r="AC85" i="10"/>
  <c r="AK85" i="10"/>
  <c r="AM85" i="10" s="1"/>
  <c r="AR85" i="10" s="1"/>
  <c r="J85" i="10" s="1"/>
  <c r="AT85" i="10" s="1"/>
  <c r="AK86" i="10"/>
  <c r="AK89" i="10"/>
  <c r="AM89" i="10" s="1"/>
  <c r="AC90" i="10"/>
  <c r="AE90" i="10" s="1"/>
  <c r="AS90" i="10" s="1"/>
  <c r="R90" i="10" s="1"/>
  <c r="AF93" i="10"/>
  <c r="AC96" i="10"/>
  <c r="AE96" i="10" s="1"/>
  <c r="AS96" i="10" s="1"/>
  <c r="R96" i="10" s="1"/>
  <c r="AF98" i="10"/>
  <c r="AK99" i="10"/>
  <c r="AN107" i="10"/>
  <c r="AC106" i="10"/>
  <c r="AN106" i="10"/>
  <c r="AK101" i="10"/>
  <c r="AF101" i="10"/>
  <c r="AN105" i="10"/>
  <c r="AC110" i="10"/>
  <c r="AN110" i="10"/>
  <c r="AN148" i="10"/>
  <c r="AC148" i="10"/>
  <c r="AE148" i="10" s="1"/>
  <c r="AK108" i="10"/>
  <c r="AF108" i="10"/>
  <c r="AC102" i="10"/>
  <c r="AK102" i="10"/>
  <c r="AM102" i="10" s="1"/>
  <c r="AN123" i="10"/>
  <c r="BG81" i="10"/>
  <c r="BF81" i="10" s="1"/>
  <c r="AK81" i="10"/>
  <c r="AM81" i="10" s="1"/>
  <c r="AU81" i="10" s="1"/>
  <c r="BG80" i="10"/>
  <c r="AK45" i="10"/>
  <c r="AM45" i="10" s="1"/>
  <c r="AZ81" i="10"/>
  <c r="AF81" i="10"/>
  <c r="AF80" i="10"/>
  <c r="AF66" i="10"/>
  <c r="AN70" i="10"/>
  <c r="AN71" i="10"/>
  <c r="AF74" i="10"/>
  <c r="AN85" i="10"/>
  <c r="AN89" i="10"/>
  <c r="AC93" i="10"/>
  <c r="AE93" i="10" s="1"/>
  <c r="AR93" i="10" s="1"/>
  <c r="AK106" i="10"/>
  <c r="AM106" i="10" s="1"/>
  <c r="AS106" i="10" s="1"/>
  <c r="AC101" i="10"/>
  <c r="AK110" i="10"/>
  <c r="AM110" i="10" s="1"/>
  <c r="AF148" i="10"/>
  <c r="AN102" i="10"/>
  <c r="BI81" i="10"/>
  <c r="AH81" i="10"/>
  <c r="AF83" i="10"/>
  <c r="AZ80" i="10"/>
  <c r="AY80" i="10" s="1"/>
  <c r="AC78" i="10"/>
  <c r="AE78" i="10" s="1"/>
  <c r="AR78" i="10" s="1"/>
  <c r="AF90" i="10"/>
  <c r="AC108" i="10"/>
  <c r="AE108" i="10" s="1"/>
  <c r="AS108" i="10" s="1"/>
  <c r="R108" i="10" s="1"/>
  <c r="AC88" i="10"/>
  <c r="AE88" i="10" s="1"/>
  <c r="AT88" i="10" s="1"/>
  <c r="AC86" i="10"/>
  <c r="AE86" i="10" s="1"/>
  <c r="AS86" i="10" s="1"/>
  <c r="R86" i="10" s="1"/>
  <c r="AC92" i="10"/>
  <c r="AE92" i="10" s="1"/>
  <c r="AK104" i="10"/>
  <c r="AM104" i="10" s="1"/>
  <c r="AF86" i="10"/>
  <c r="AC89" i="10"/>
  <c r="AE89" i="10" s="1"/>
  <c r="AF92" i="10"/>
  <c r="AN92" i="10"/>
  <c r="AK96" i="10"/>
  <c r="AK98" i="10"/>
  <c r="AM98" i="10" s="1"/>
  <c r="BB81" i="10"/>
  <c r="AC81" i="10"/>
  <c r="BB80" i="10"/>
  <c r="AC80" i="10"/>
  <c r="AC68" i="10"/>
  <c r="AK68" i="10"/>
  <c r="AM68" i="10" s="1"/>
  <c r="AK69" i="10"/>
  <c r="AM69" i="10" s="1"/>
  <c r="AR69" i="10" s="1"/>
  <c r="J69" i="10" s="1"/>
  <c r="AK66" i="10"/>
  <c r="AK74" i="10"/>
  <c r="AC15" i="10"/>
  <c r="AF88" i="10"/>
  <c r="AK88" i="10"/>
  <c r="AM88" i="10" s="1"/>
  <c r="AF89" i="10"/>
  <c r="AK92" i="10"/>
  <c r="AM92" i="10" s="1"/>
  <c r="AU92" i="10" s="1"/>
  <c r="AK90" i="10"/>
  <c r="AK93" i="10"/>
  <c r="AF96" i="10"/>
  <c r="AC98" i="10"/>
  <c r="AE98" i="10" s="1"/>
  <c r="AN98" i="10"/>
  <c r="AK107" i="10"/>
  <c r="AM107" i="10" s="1"/>
  <c r="AR107" i="10" s="1"/>
  <c r="J107" i="10" s="1"/>
  <c r="AT107" i="10" s="1"/>
  <c r="AC104" i="10"/>
  <c r="AN104" i="10"/>
  <c r="AC99" i="10"/>
  <c r="AE99" i="10" s="1"/>
  <c r="AS99" i="10" s="1"/>
  <c r="R99" i="10" s="1"/>
  <c r="AC107" i="10"/>
  <c r="AC105" i="10"/>
  <c r="AK105" i="10"/>
  <c r="AM105" i="10" s="1"/>
  <c r="AC123" i="10"/>
  <c r="AK123" i="10"/>
  <c r="AM123" i="10" s="1"/>
  <c r="AN31" i="10"/>
  <c r="AC26" i="10"/>
  <c r="AE26" i="10" s="1"/>
  <c r="AS26" i="10" s="1"/>
  <c r="R26" i="10" s="1"/>
  <c r="AN13" i="10"/>
  <c r="AF29" i="10"/>
  <c r="AF32" i="10"/>
  <c r="AK37" i="10"/>
  <c r="AM37" i="10" s="1"/>
  <c r="AS37" i="10" s="1"/>
  <c r="AN51" i="10"/>
  <c r="AK47" i="10"/>
  <c r="AM47" i="10" s="1"/>
  <c r="AR47" i="10" s="1"/>
  <c r="J47" i="10" s="1"/>
  <c r="AT47" i="10" s="1"/>
  <c r="AN35" i="10"/>
  <c r="AP34" i="10"/>
  <c r="AQ34" i="10" s="1"/>
  <c r="AF34" i="10"/>
  <c r="AC65" i="10"/>
  <c r="AK65" i="10"/>
  <c r="AM65" i="10" s="1"/>
  <c r="AR65" i="10" s="1"/>
  <c r="AC44" i="10"/>
  <c r="AK44" i="10"/>
  <c r="AM44" i="10" s="1"/>
  <c r="AK38" i="10"/>
  <c r="AC38" i="10"/>
  <c r="AE38" i="10" s="1"/>
  <c r="AR38" i="10" s="1"/>
  <c r="AK77" i="10"/>
  <c r="AK76" i="10"/>
  <c r="AM76" i="10" s="1"/>
  <c r="AC76" i="10"/>
  <c r="AF40" i="10"/>
  <c r="AK40" i="10"/>
  <c r="AM40" i="10" s="1"/>
  <c r="AC50" i="10"/>
  <c r="AE50" i="10" s="1"/>
  <c r="AT50" i="10" s="1"/>
  <c r="AK50" i="10"/>
  <c r="AM50" i="10" s="1"/>
  <c r="AC48" i="10"/>
  <c r="AK48" i="10"/>
  <c r="AM48" i="10" s="1"/>
  <c r="AC55" i="10"/>
  <c r="AK55" i="10"/>
  <c r="AC49" i="10"/>
  <c r="AK49" i="10"/>
  <c r="AM49" i="10" s="1"/>
  <c r="AK53" i="10"/>
  <c r="AC53" i="10"/>
  <c r="AE53" i="10" s="1"/>
  <c r="AR53" i="10" s="1"/>
  <c r="AK46" i="10"/>
  <c r="AM46" i="10" s="1"/>
  <c r="AC46" i="10"/>
  <c r="AC42" i="10"/>
  <c r="AK42" i="10"/>
  <c r="AM42" i="10" s="1"/>
  <c r="AC43" i="10"/>
  <c r="AK43" i="10"/>
  <c r="AC57" i="10"/>
  <c r="AK57" i="10"/>
  <c r="AM57" i="10" s="1"/>
  <c r="AC58" i="10"/>
  <c r="AK58" i="10"/>
  <c r="AM58" i="10" s="1"/>
  <c r="AF59" i="10"/>
  <c r="AN59" i="10"/>
  <c r="AK60" i="10"/>
  <c r="AC60" i="10"/>
  <c r="AE60" i="10" s="1"/>
  <c r="AR60" i="10" s="1"/>
  <c r="AC62" i="10"/>
  <c r="AK62" i="10"/>
  <c r="AM62" i="10" s="1"/>
  <c r="AR62" i="10" s="1"/>
  <c r="AK63" i="10"/>
  <c r="AC63" i="10"/>
  <c r="AE63" i="10" s="1"/>
  <c r="AS63" i="10" s="1"/>
  <c r="AZ123" i="10"/>
  <c r="BB123" i="10"/>
  <c r="AH123" i="10"/>
  <c r="AI123" i="10" s="1"/>
  <c r="AF123" i="10"/>
  <c r="BG123" i="10"/>
  <c r="BI123" i="10"/>
  <c r="AZ102" i="10"/>
  <c r="BB102" i="10"/>
  <c r="AH102" i="10"/>
  <c r="AI102" i="10" s="1"/>
  <c r="AF102" i="10"/>
  <c r="BG102" i="10"/>
  <c r="BI102" i="10"/>
  <c r="BG108" i="10"/>
  <c r="BI108" i="10"/>
  <c r="AN108" i="10"/>
  <c r="AZ108" i="10"/>
  <c r="BB108" i="10"/>
  <c r="BG148" i="10"/>
  <c r="BI148" i="10"/>
  <c r="AZ148" i="10"/>
  <c r="BB148" i="10"/>
  <c r="AZ110" i="10"/>
  <c r="BB110" i="10"/>
  <c r="AH110" i="10"/>
  <c r="AI110" i="10" s="1"/>
  <c r="AF110" i="10"/>
  <c r="BG110" i="10"/>
  <c r="BI110" i="10"/>
  <c r="AZ105" i="10"/>
  <c r="BB105" i="10"/>
  <c r="AH105" i="10"/>
  <c r="AI105" i="10" s="1"/>
  <c r="AF105" i="10"/>
  <c r="BG105" i="10"/>
  <c r="BI105" i="10"/>
  <c r="AZ104" i="10"/>
  <c r="BB104" i="10"/>
  <c r="AF104" i="10"/>
  <c r="BG104" i="10"/>
  <c r="BI104" i="10"/>
  <c r="BG101" i="10"/>
  <c r="BI101" i="10"/>
  <c r="AN101" i="10"/>
  <c r="AP101" i="10"/>
  <c r="AQ101" i="10" s="1"/>
  <c r="AZ101" i="10"/>
  <c r="BB101" i="10"/>
  <c r="AZ106" i="10"/>
  <c r="BB106" i="10"/>
  <c r="AF106" i="10"/>
  <c r="BG106" i="10"/>
  <c r="BI106" i="10"/>
  <c r="AZ107" i="10"/>
  <c r="BB107" i="10"/>
  <c r="AF107" i="10"/>
  <c r="BG107" i="10"/>
  <c r="BI107" i="10"/>
  <c r="BG99" i="10"/>
  <c r="BI99" i="10"/>
  <c r="AN99" i="10"/>
  <c r="AZ99" i="10"/>
  <c r="BB99" i="10"/>
  <c r="AZ98" i="10"/>
  <c r="BB98" i="10"/>
  <c r="BG98" i="10"/>
  <c r="BI98" i="10"/>
  <c r="BG96" i="10"/>
  <c r="BI96" i="10"/>
  <c r="AN96" i="10"/>
  <c r="AZ96" i="10"/>
  <c r="BB96" i="10"/>
  <c r="BG93" i="10"/>
  <c r="BI93" i="10"/>
  <c r="AN93" i="10"/>
  <c r="AZ93" i="10"/>
  <c r="BB93" i="10"/>
  <c r="BG90" i="10"/>
  <c r="BI90" i="10"/>
  <c r="AN90" i="10"/>
  <c r="AZ90" i="10"/>
  <c r="BB90" i="10"/>
  <c r="AZ92" i="10"/>
  <c r="BB92" i="10"/>
  <c r="BG92" i="10"/>
  <c r="BI92" i="10"/>
  <c r="BG89" i="10"/>
  <c r="BI89" i="10"/>
  <c r="AZ89" i="10"/>
  <c r="AY89" i="10" s="1"/>
  <c r="BB89" i="10"/>
  <c r="BG86" i="10"/>
  <c r="BI86" i="10"/>
  <c r="AN86" i="10"/>
  <c r="AZ86" i="10"/>
  <c r="BB86" i="10"/>
  <c r="AZ85" i="10"/>
  <c r="BB85" i="10"/>
  <c r="AF85" i="10"/>
  <c r="BG85" i="10"/>
  <c r="BI85" i="10"/>
  <c r="AZ88" i="10"/>
  <c r="BB88" i="10"/>
  <c r="BG88" i="10"/>
  <c r="BI88" i="10"/>
  <c r="BG83" i="10"/>
  <c r="BI83" i="10"/>
  <c r="AN83" i="10"/>
  <c r="AZ83" i="10"/>
  <c r="BB83" i="10"/>
  <c r="AZ82" i="10"/>
  <c r="BB82" i="10"/>
  <c r="AH82" i="10"/>
  <c r="AI82" i="10" s="1"/>
  <c r="AF82" i="10"/>
  <c r="BG82" i="10"/>
  <c r="BF82" i="10" s="1"/>
  <c r="BI82" i="10"/>
  <c r="AP82" i="10"/>
  <c r="AQ82" i="10" s="1"/>
  <c r="AN82" i="10"/>
  <c r="AZ15" i="10"/>
  <c r="BB15" i="10"/>
  <c r="AH15" i="10"/>
  <c r="AI15" i="10" s="1"/>
  <c r="AF15" i="10"/>
  <c r="BG15" i="10"/>
  <c r="BI15" i="10"/>
  <c r="AP15" i="10"/>
  <c r="AQ15" i="10" s="1"/>
  <c r="AN15" i="10"/>
  <c r="AH77" i="10"/>
  <c r="BG78" i="10"/>
  <c r="BI78" i="10"/>
  <c r="AN78" i="10"/>
  <c r="AZ78" i="10"/>
  <c r="BB78" i="10"/>
  <c r="BG74" i="10"/>
  <c r="BI74" i="10"/>
  <c r="AN74" i="10"/>
  <c r="AZ74" i="10"/>
  <c r="BB74" i="10"/>
  <c r="AZ71" i="10"/>
  <c r="BB71" i="10"/>
  <c r="AH71" i="10"/>
  <c r="AI71" i="10" s="1"/>
  <c r="AF71" i="10"/>
  <c r="BG71" i="10"/>
  <c r="BI71" i="10"/>
  <c r="AZ70" i="10"/>
  <c r="BB70" i="10"/>
  <c r="AH70" i="10"/>
  <c r="AI70" i="10" s="1"/>
  <c r="AF70" i="10"/>
  <c r="BG70" i="10"/>
  <c r="BI70" i="10"/>
  <c r="BG66" i="10"/>
  <c r="BI66" i="10"/>
  <c r="AN66" i="10"/>
  <c r="AZ66" i="10"/>
  <c r="BB66" i="10"/>
  <c r="AZ69" i="10"/>
  <c r="BB69" i="10"/>
  <c r="AF69" i="10"/>
  <c r="BG69" i="10"/>
  <c r="BI69" i="10"/>
  <c r="AZ68" i="10"/>
  <c r="BB68" i="10"/>
  <c r="AH68" i="10"/>
  <c r="AI68" i="10" s="1"/>
  <c r="AF68" i="10"/>
  <c r="BG68" i="10"/>
  <c r="BI68" i="10"/>
  <c r="AC40" i="10"/>
  <c r="AE40" i="10" s="1"/>
  <c r="AT40" i="10" s="1"/>
  <c r="AN50" i="10"/>
  <c r="AN62" i="10"/>
  <c r="BB46" i="10"/>
  <c r="J52" i="10"/>
  <c r="BB52" i="10"/>
  <c r="AZ52" i="10"/>
  <c r="AH52" i="10"/>
  <c r="AI52" i="10" s="1"/>
  <c r="AF52" i="10"/>
  <c r="AC52" i="10"/>
  <c r="BI52" i="10"/>
  <c r="BG52" i="10"/>
  <c r="AP52" i="10"/>
  <c r="AQ52" i="10" s="1"/>
  <c r="AN52" i="10"/>
  <c r="AK52" i="10"/>
  <c r="AP35" i="10"/>
  <c r="AQ35" i="10" s="1"/>
  <c r="AF38" i="10"/>
  <c r="BG77" i="10"/>
  <c r="BI46" i="10"/>
  <c r="AH46" i="10"/>
  <c r="AI46" i="10" s="1"/>
  <c r="AN42" i="10"/>
  <c r="BG35" i="10"/>
  <c r="AK35" i="10"/>
  <c r="AF35" i="10"/>
  <c r="AN65" i="10"/>
  <c r="AN44" i="10"/>
  <c r="AN77" i="10"/>
  <c r="AN76" i="10"/>
  <c r="AN40" i="10"/>
  <c r="AN49" i="10"/>
  <c r="AZ46" i="10"/>
  <c r="AF46" i="10"/>
  <c r="AN58" i="10"/>
  <c r="BI34" i="10"/>
  <c r="AF50" i="10"/>
  <c r="AZ45" i="10"/>
  <c r="BB45" i="10"/>
  <c r="AH45" i="10"/>
  <c r="AI45" i="10" s="1"/>
  <c r="AF45" i="10"/>
  <c r="BG45" i="10"/>
  <c r="BI45" i="10"/>
  <c r="AN47" i="10"/>
  <c r="AZ35" i="10"/>
  <c r="AC35" i="10"/>
  <c r="BB34" i="10"/>
  <c r="AH34" i="10"/>
  <c r="AI34" i="10" s="1"/>
  <c r="BI77" i="10"/>
  <c r="BI76" i="10"/>
  <c r="AH76" i="10"/>
  <c r="AI76" i="10" s="1"/>
  <c r="AN48" i="10"/>
  <c r="AF53" i="10"/>
  <c r="BG46" i="10"/>
  <c r="AN46" i="10"/>
  <c r="AN57" i="10"/>
  <c r="AC34" i="10"/>
  <c r="BG76" i="10"/>
  <c r="AF60" i="10"/>
  <c r="AF63" i="10"/>
  <c r="AC51" i="10"/>
  <c r="AE51" i="10" s="1"/>
  <c r="AT51" i="10" s="1"/>
  <c r="AK51" i="10"/>
  <c r="AM51" i="10" s="1"/>
  <c r="AF51" i="10"/>
  <c r="AC47" i="10"/>
  <c r="AN34" i="10"/>
  <c r="AK34" i="10"/>
  <c r="BG34" i="10"/>
  <c r="AZ34" i="10"/>
  <c r="BB77" i="10"/>
  <c r="AP77" i="10"/>
  <c r="AQ77" i="10" s="1"/>
  <c r="AC77" i="10"/>
  <c r="BB76" i="10"/>
  <c r="AZ77" i="10"/>
  <c r="AF77" i="10"/>
  <c r="AZ76" i="10"/>
  <c r="AF76" i="10"/>
  <c r="AK59" i="10"/>
  <c r="AM59" i="10" s="1"/>
  <c r="AF4" i="10"/>
  <c r="AC31" i="10"/>
  <c r="AE31" i="10" s="1"/>
  <c r="AK31" i="10"/>
  <c r="AM31" i="10" s="1"/>
  <c r="AU31" i="10" s="1"/>
  <c r="AC25" i="10"/>
  <c r="AN25" i="10"/>
  <c r="AK26" i="10"/>
  <c r="AF26" i="10"/>
  <c r="AC13" i="10"/>
  <c r="AK13" i="10"/>
  <c r="AM13" i="10" s="1"/>
  <c r="AK29" i="10"/>
  <c r="AC29" i="10"/>
  <c r="AE29" i="10" s="1"/>
  <c r="AR29" i="10" s="1"/>
  <c r="AK32" i="10"/>
  <c r="AC32" i="10"/>
  <c r="AE32" i="10" s="1"/>
  <c r="AS32" i="10" s="1"/>
  <c r="R32" i="10" s="1"/>
  <c r="AC28" i="10"/>
  <c r="AK28" i="10"/>
  <c r="AM28" i="10" s="1"/>
  <c r="AS28" i="10" s="1"/>
  <c r="R28" i="10" s="1"/>
  <c r="I29" i="10" s="1"/>
  <c r="AC19" i="10"/>
  <c r="AK19" i="10"/>
  <c r="AM19" i="10" s="1"/>
  <c r="AC14" i="10"/>
  <c r="AK14" i="10"/>
  <c r="AC59" i="10"/>
  <c r="AE59" i="10" s="1"/>
  <c r="AT59" i="10" s="1"/>
  <c r="BG63" i="10"/>
  <c r="BF63" i="10" s="1"/>
  <c r="BH63" i="10" s="1"/>
  <c r="BJ63" i="10" s="1"/>
  <c r="BI63" i="10"/>
  <c r="AN63" i="10"/>
  <c r="AZ63" i="10"/>
  <c r="AY63" i="10" s="1"/>
  <c r="BB63" i="10"/>
  <c r="AZ62" i="10"/>
  <c r="AY62" i="10" s="1"/>
  <c r="BA62" i="10" s="1"/>
  <c r="BC62" i="10" s="1"/>
  <c r="BB62" i="10"/>
  <c r="AF62" i="10"/>
  <c r="BG62" i="10"/>
  <c r="BF62" i="10" s="1"/>
  <c r="BI62" i="10"/>
  <c r="BG60" i="10"/>
  <c r="BI60" i="10"/>
  <c r="AN60" i="10"/>
  <c r="AZ60" i="10"/>
  <c r="BB60" i="10"/>
  <c r="AZ59" i="10"/>
  <c r="BB59" i="10"/>
  <c r="BG59" i="10"/>
  <c r="BI59" i="10"/>
  <c r="AZ58" i="10"/>
  <c r="BB58" i="10"/>
  <c r="AF58" i="10"/>
  <c r="BG58" i="10"/>
  <c r="BI58" i="10"/>
  <c r="AZ57" i="10"/>
  <c r="BB57" i="10"/>
  <c r="AF57" i="10"/>
  <c r="BG57" i="10"/>
  <c r="BI57" i="10"/>
  <c r="AZ43" i="10"/>
  <c r="BB43" i="10"/>
  <c r="AH43" i="10"/>
  <c r="AI43" i="10" s="1"/>
  <c r="AF43" i="10"/>
  <c r="BG43" i="10"/>
  <c r="BI43" i="10"/>
  <c r="AP43" i="10"/>
  <c r="AQ43" i="10" s="1"/>
  <c r="AN43" i="10"/>
  <c r="AZ42" i="10"/>
  <c r="BB42" i="10"/>
  <c r="AH42" i="10"/>
  <c r="AI42" i="10" s="1"/>
  <c r="AF42" i="10"/>
  <c r="BG42" i="10"/>
  <c r="BI42" i="10"/>
  <c r="AF31" i="10"/>
  <c r="AF13" i="10"/>
  <c r="AK25" i="10"/>
  <c r="AM25" i="10" s="1"/>
  <c r="AR25" i="10" s="1"/>
  <c r="J25" i="10" s="1"/>
  <c r="AN28" i="10"/>
  <c r="AN19" i="10"/>
  <c r="BG53" i="10"/>
  <c r="BI53" i="10"/>
  <c r="AN53" i="10"/>
  <c r="AZ53" i="10"/>
  <c r="BB53" i="10"/>
  <c r="AZ49" i="10"/>
  <c r="BB49" i="10"/>
  <c r="AH49" i="10"/>
  <c r="AI49" i="10" s="1"/>
  <c r="AF49" i="10"/>
  <c r="BG49" i="10"/>
  <c r="BI49" i="10"/>
  <c r="AZ55" i="10"/>
  <c r="BB55" i="10"/>
  <c r="AH55" i="10"/>
  <c r="AI55" i="10" s="1"/>
  <c r="AF55" i="10"/>
  <c r="BG55" i="10"/>
  <c r="BI55" i="10"/>
  <c r="AP55" i="10"/>
  <c r="AQ55" i="10" s="1"/>
  <c r="AN55" i="10"/>
  <c r="AZ48" i="10"/>
  <c r="BB48" i="10"/>
  <c r="AH48" i="10"/>
  <c r="AI48" i="10" s="1"/>
  <c r="AF48" i="10"/>
  <c r="BG48" i="10"/>
  <c r="BI48" i="10"/>
  <c r="AZ50" i="10"/>
  <c r="BB50" i="10"/>
  <c r="BG50" i="10"/>
  <c r="BI50" i="10"/>
  <c r="AZ40" i="10"/>
  <c r="BB40" i="10"/>
  <c r="BG40" i="10"/>
  <c r="BI40" i="10"/>
  <c r="BG38" i="10"/>
  <c r="BI38" i="10"/>
  <c r="AN38" i="10"/>
  <c r="AZ38" i="10"/>
  <c r="BB38" i="10"/>
  <c r="AZ44" i="10"/>
  <c r="BB44" i="10"/>
  <c r="AH44" i="10"/>
  <c r="AI44" i="10" s="1"/>
  <c r="AF44" i="10"/>
  <c r="BG44" i="10"/>
  <c r="BI44" i="10"/>
  <c r="AZ65" i="10"/>
  <c r="AY65" i="10" s="1"/>
  <c r="BA65" i="10" s="1"/>
  <c r="BC65" i="10" s="1"/>
  <c r="BB65" i="10"/>
  <c r="AF65" i="10"/>
  <c r="BG65" i="10"/>
  <c r="BF65" i="10" s="1"/>
  <c r="BI65" i="10"/>
  <c r="AZ47" i="10"/>
  <c r="BB47" i="10"/>
  <c r="AF47" i="10"/>
  <c r="BG47" i="10"/>
  <c r="BI47" i="10"/>
  <c r="AZ51" i="10"/>
  <c r="BB51" i="10"/>
  <c r="BG51" i="10"/>
  <c r="BI51" i="10"/>
  <c r="AZ37" i="10"/>
  <c r="BB37" i="10"/>
  <c r="AF37" i="10"/>
  <c r="BG37" i="10"/>
  <c r="BI37" i="10"/>
  <c r="AC72" i="10"/>
  <c r="AN73" i="10"/>
  <c r="AC21" i="10"/>
  <c r="AE21" i="10" s="1"/>
  <c r="AK21" i="10"/>
  <c r="AM21" i="10" s="1"/>
  <c r="AC4" i="10"/>
  <c r="AK4" i="10"/>
  <c r="AM4" i="10" s="1"/>
  <c r="AN5" i="10"/>
  <c r="AN3" i="10"/>
  <c r="AC12" i="10"/>
  <c r="AN12" i="10"/>
  <c r="AK10" i="10"/>
  <c r="AF10" i="10"/>
  <c r="AC6" i="10"/>
  <c r="AC17" i="10"/>
  <c r="AN17" i="10"/>
  <c r="AC18" i="10"/>
  <c r="AN18" i="10"/>
  <c r="AC22" i="10"/>
  <c r="AN22" i="10"/>
  <c r="AK23" i="10"/>
  <c r="AF23" i="10"/>
  <c r="AN20" i="10"/>
  <c r="AZ14" i="10"/>
  <c r="BB14" i="10"/>
  <c r="AH14" i="10"/>
  <c r="AI14" i="10" s="1"/>
  <c r="AF14" i="10"/>
  <c r="BG14" i="10"/>
  <c r="BI14" i="10"/>
  <c r="AP14" i="10"/>
  <c r="AQ14" i="10" s="1"/>
  <c r="AN14" i="10"/>
  <c r="AZ19" i="10"/>
  <c r="BB19" i="10"/>
  <c r="AH19" i="10"/>
  <c r="AI19" i="10" s="1"/>
  <c r="AF19" i="10"/>
  <c r="BG19" i="10"/>
  <c r="BI19" i="10"/>
  <c r="AZ28" i="10"/>
  <c r="AY28" i="10" s="1"/>
  <c r="BA28" i="10" s="1"/>
  <c r="BC28" i="10" s="1"/>
  <c r="BB28" i="10"/>
  <c r="AF28" i="10"/>
  <c r="BG28" i="10"/>
  <c r="BF28" i="10" s="1"/>
  <c r="BI28" i="10"/>
  <c r="BG32" i="10"/>
  <c r="BI32" i="10"/>
  <c r="AN32" i="10"/>
  <c r="AZ32" i="10"/>
  <c r="BB32" i="10"/>
  <c r="BG29" i="10"/>
  <c r="BI29" i="10"/>
  <c r="AN29" i="10"/>
  <c r="AZ29" i="10"/>
  <c r="BB29" i="10"/>
  <c r="AZ13" i="10"/>
  <c r="BB13" i="10"/>
  <c r="BG13" i="10"/>
  <c r="BI13" i="10"/>
  <c r="BG26" i="10"/>
  <c r="BI26" i="10"/>
  <c r="AN26" i="10"/>
  <c r="AZ26" i="10"/>
  <c r="BB26" i="10"/>
  <c r="AK18" i="10"/>
  <c r="AM18" i="10" s="1"/>
  <c r="AK17" i="10"/>
  <c r="AM17" i="10" s="1"/>
  <c r="AF21" i="10"/>
  <c r="AC10" i="10"/>
  <c r="AE10" i="10" s="1"/>
  <c r="AR10" i="10" s="1"/>
  <c r="AK12" i="10"/>
  <c r="AM12" i="10" s="1"/>
  <c r="AR12" i="10" s="1"/>
  <c r="J12" i="10" s="1"/>
  <c r="AK22" i="10"/>
  <c r="AM22" i="10" s="1"/>
  <c r="AZ73" i="10"/>
  <c r="AZ25" i="10"/>
  <c r="BB25" i="10"/>
  <c r="AF25" i="10"/>
  <c r="BG25" i="10"/>
  <c r="BI25" i="10"/>
  <c r="AZ31" i="10"/>
  <c r="BB31" i="10"/>
  <c r="BG31" i="10"/>
  <c r="BI31" i="10"/>
  <c r="AH73" i="10"/>
  <c r="AN21" i="10"/>
  <c r="AN4" i="10"/>
  <c r="BI73" i="10"/>
  <c r="AK20" i="10"/>
  <c r="AM20" i="10" s="1"/>
  <c r="BB73" i="10"/>
  <c r="AP73" i="10"/>
  <c r="AQ73" i="10" s="1"/>
  <c r="AC73" i="10"/>
  <c r="AK6" i="10"/>
  <c r="AC20" i="10"/>
  <c r="BG73" i="10"/>
  <c r="AK73" i="10"/>
  <c r="AF73" i="10"/>
  <c r="AC5" i="10"/>
  <c r="AK5" i="10"/>
  <c r="AM5" i="10" s="1"/>
  <c r="AC3" i="10"/>
  <c r="AK3" i="10"/>
  <c r="AM3" i="10" s="1"/>
  <c r="AC23" i="10"/>
  <c r="AE23" i="10" s="1"/>
  <c r="AR23" i="10" s="1"/>
  <c r="AN72" i="10"/>
  <c r="AZ20" i="10"/>
  <c r="BB20" i="10"/>
  <c r="AH20" i="10"/>
  <c r="AI20" i="10" s="1"/>
  <c r="AF20" i="10"/>
  <c r="BG20" i="10"/>
  <c r="BI20" i="10"/>
  <c r="BG23" i="10"/>
  <c r="BI23" i="10"/>
  <c r="AN23" i="10"/>
  <c r="AZ23" i="10"/>
  <c r="BB23" i="10"/>
  <c r="AZ22" i="10"/>
  <c r="BB22" i="10"/>
  <c r="AF22" i="10"/>
  <c r="BG22" i="10"/>
  <c r="BI22" i="10"/>
  <c r="AZ18" i="10"/>
  <c r="BB18" i="10"/>
  <c r="AH18" i="10"/>
  <c r="AI18" i="10" s="1"/>
  <c r="AF18" i="10"/>
  <c r="BG18" i="10"/>
  <c r="BI18" i="10"/>
  <c r="AZ17" i="10"/>
  <c r="BB17" i="10"/>
  <c r="AH17" i="10"/>
  <c r="AI17" i="10" s="1"/>
  <c r="AF17" i="10"/>
  <c r="BG17" i="10"/>
  <c r="BI17" i="10"/>
  <c r="AZ6" i="10"/>
  <c r="BB6" i="10"/>
  <c r="AH6" i="10"/>
  <c r="AI6" i="10" s="1"/>
  <c r="AF6" i="10"/>
  <c r="BG6" i="10"/>
  <c r="BI6" i="10"/>
  <c r="AP6" i="10"/>
  <c r="AQ6" i="10" s="1"/>
  <c r="AN6" i="10"/>
  <c r="BG10" i="10"/>
  <c r="BI10" i="10"/>
  <c r="AN10" i="10"/>
  <c r="AZ10" i="10"/>
  <c r="BB10" i="10"/>
  <c r="BB9" i="10"/>
  <c r="AZ9" i="10"/>
  <c r="AF9" i="10"/>
  <c r="AC9" i="10"/>
  <c r="BI9" i="10"/>
  <c r="BG9" i="10"/>
  <c r="AN9" i="10"/>
  <c r="AK9" i="10"/>
  <c r="BB7" i="10"/>
  <c r="AZ7" i="10"/>
  <c r="AF7" i="10"/>
  <c r="AC7" i="10"/>
  <c r="BI7" i="10"/>
  <c r="BG7" i="10"/>
  <c r="AN7" i="10"/>
  <c r="AK7" i="10"/>
  <c r="AZ12" i="10"/>
  <c r="BB12" i="10"/>
  <c r="AF12" i="10"/>
  <c r="BG12" i="10"/>
  <c r="BI12" i="10"/>
  <c r="AK72" i="10"/>
  <c r="AM72" i="10" s="1"/>
  <c r="AZ3" i="10"/>
  <c r="BB3" i="10"/>
  <c r="AH3" i="10"/>
  <c r="AI3" i="10" s="1"/>
  <c r="AF3" i="10"/>
  <c r="BG3" i="10"/>
  <c r="BI3" i="10"/>
  <c r="AZ5" i="10"/>
  <c r="BB5" i="10"/>
  <c r="AH5" i="10"/>
  <c r="AI5" i="10" s="1"/>
  <c r="AF5" i="10"/>
  <c r="BG5" i="10"/>
  <c r="BI5" i="10"/>
  <c r="AZ4" i="10"/>
  <c r="BB4" i="10"/>
  <c r="BG4" i="10"/>
  <c r="BI4" i="10"/>
  <c r="AZ21" i="10"/>
  <c r="BB21" i="10"/>
  <c r="BG21" i="10"/>
  <c r="BI21" i="10"/>
  <c r="R73" i="10"/>
  <c r="AZ72" i="10"/>
  <c r="BB72" i="10"/>
  <c r="AH72" i="10"/>
  <c r="AI72" i="10" s="1"/>
  <c r="AF72" i="10"/>
  <c r="BG72" i="10"/>
  <c r="BI72" i="10"/>
  <c r="I32" i="23"/>
  <c r="I31" i="23"/>
  <c r="I27" i="23"/>
  <c r="I35" i="23"/>
  <c r="I26" i="23"/>
  <c r="I28" i="23"/>
  <c r="I36" i="23"/>
  <c r="I29" i="23"/>
  <c r="I37" i="23"/>
  <c r="BH689" i="10" l="1"/>
  <c r="BJ689" i="10" s="1"/>
  <c r="BF622" i="10"/>
  <c r="BH622" i="10" s="1"/>
  <c r="AQ662" i="10"/>
  <c r="BH486" i="10"/>
  <c r="BJ486" i="10" s="1"/>
  <c r="BK486" i="10" s="1"/>
  <c r="AR412" i="10"/>
  <c r="J412" i="10" s="1"/>
  <c r="AT412" i="10" s="1"/>
  <c r="AI549" i="10"/>
  <c r="AS633" i="10"/>
  <c r="R633" i="10" s="1"/>
  <c r="Q632" i="10" s="1"/>
  <c r="BH688" i="10"/>
  <c r="BJ688" i="10" s="1"/>
  <c r="BK688" i="10" s="1"/>
  <c r="BL688" i="10" s="1"/>
  <c r="AI593" i="10"/>
  <c r="AI633" i="10"/>
  <c r="AY462" i="10"/>
  <c r="BA462" i="10" s="1"/>
  <c r="AY525" i="10"/>
  <c r="BA525" i="10" s="1"/>
  <c r="BC525" i="10" s="1"/>
  <c r="BD525" i="10" s="1"/>
  <c r="BE525" i="10" s="1"/>
  <c r="BF486" i="10"/>
  <c r="AV462" i="10"/>
  <c r="AX486" i="10"/>
  <c r="AV626" i="10"/>
  <c r="BF658" i="10"/>
  <c r="BH658" i="10" s="1"/>
  <c r="BF389" i="10"/>
  <c r="BH389" i="10" s="1"/>
  <c r="AX626" i="10"/>
  <c r="AY627" i="10"/>
  <c r="BA627" i="10" s="1"/>
  <c r="AS411" i="10"/>
  <c r="R411" i="10" s="1"/>
  <c r="AU411" i="10" s="1"/>
  <c r="BF411" i="10" s="1"/>
  <c r="BH411" i="10" s="1"/>
  <c r="AS594" i="10"/>
  <c r="R594" i="10" s="1"/>
  <c r="AU594" i="10" s="1"/>
  <c r="BF594" i="10" s="1"/>
  <c r="BH594" i="10" s="1"/>
  <c r="AS574" i="10"/>
  <c r="BF627" i="10"/>
  <c r="BH627" i="10" s="1"/>
  <c r="BJ627" i="10" s="1"/>
  <c r="BK627" i="10" s="1"/>
  <c r="BL627" i="10" s="1"/>
  <c r="AV627" i="10"/>
  <c r="BF584" i="10"/>
  <c r="BH584" i="10" s="1"/>
  <c r="AX627" i="10"/>
  <c r="AS662" i="10"/>
  <c r="R662" i="10" s="1"/>
  <c r="AU662" i="10" s="1"/>
  <c r="AX662" i="10" s="1"/>
  <c r="AX420" i="10"/>
  <c r="BF500" i="10"/>
  <c r="BH500" i="10" s="1"/>
  <c r="AY626" i="10"/>
  <c r="BA626" i="10" s="1"/>
  <c r="BF487" i="10"/>
  <c r="BH487" i="10" s="1"/>
  <c r="BJ487" i="10" s="1"/>
  <c r="BK659" i="10"/>
  <c r="BL659" i="10" s="1"/>
  <c r="AY662" i="10"/>
  <c r="BA662" i="10" s="1"/>
  <c r="AE653" i="10"/>
  <c r="AE652" i="10"/>
  <c r="AE651" i="10"/>
  <c r="I42" i="22"/>
  <c r="I34" i="22"/>
  <c r="H34" i="22"/>
  <c r="I33" i="22"/>
  <c r="AE654" i="10"/>
  <c r="AM655" i="10"/>
  <c r="AE649" i="10"/>
  <c r="AX693" i="10"/>
  <c r="AV693" i="10"/>
  <c r="AY693" i="10"/>
  <c r="BA693" i="10" s="1"/>
  <c r="BC693" i="10" s="1"/>
  <c r="AM650" i="10"/>
  <c r="AE650" i="10"/>
  <c r="AI650" i="10"/>
  <c r="AM691" i="10"/>
  <c r="AI691" i="10"/>
  <c r="AM648" i="10"/>
  <c r="AE648" i="10"/>
  <c r="AI648" i="10"/>
  <c r="AY646" i="10"/>
  <c r="BA646" i="10" s="1"/>
  <c r="BF646" i="10"/>
  <c r="BH646" i="10" s="1"/>
  <c r="BJ646" i="10" s="1"/>
  <c r="BK689" i="10"/>
  <c r="BL689" i="10" s="1"/>
  <c r="AE689" i="10"/>
  <c r="AE688" i="10"/>
  <c r="BK687" i="10"/>
  <c r="BL687" i="10" s="1"/>
  <c r="AE687" i="10"/>
  <c r="AM663" i="10"/>
  <c r="AQ663" i="10"/>
  <c r="AE663" i="10"/>
  <c r="AX658" i="10"/>
  <c r="AV658" i="10"/>
  <c r="AY658" i="10"/>
  <c r="BA658" i="10" s="1"/>
  <c r="BC658" i="10" s="1"/>
  <c r="AM657" i="10"/>
  <c r="AE657" i="10"/>
  <c r="AI657" i="10"/>
  <c r="AM685" i="10"/>
  <c r="AE685" i="10"/>
  <c r="AI685" i="10"/>
  <c r="AM683" i="10"/>
  <c r="AE683" i="10"/>
  <c r="AE661" i="10"/>
  <c r="AE586" i="10"/>
  <c r="AI586" i="10"/>
  <c r="AE570" i="10"/>
  <c r="AS570" i="10" s="1"/>
  <c r="R570" i="10" s="1"/>
  <c r="AU570" i="10" s="1"/>
  <c r="BF570" i="10" s="1"/>
  <c r="BH570" i="10" s="1"/>
  <c r="AI570" i="10"/>
  <c r="AE560" i="10"/>
  <c r="AS560" i="10" s="1"/>
  <c r="R560" i="10" s="1"/>
  <c r="AU560" i="10" s="1"/>
  <c r="BF560" i="10" s="1"/>
  <c r="BH560" i="10" s="1"/>
  <c r="AI560" i="10"/>
  <c r="AM556" i="10"/>
  <c r="AU556" i="10" s="1"/>
  <c r="BF556" i="10" s="1"/>
  <c r="AQ556" i="10"/>
  <c r="AT549" i="10"/>
  <c r="AR549" i="10"/>
  <c r="BF645" i="10"/>
  <c r="BH645" i="10" s="1"/>
  <c r="BF612" i="10"/>
  <c r="BH612" i="10" s="1"/>
  <c r="AR483" i="10"/>
  <c r="AS483" i="10"/>
  <c r="R483" i="10" s="1"/>
  <c r="AU483" i="10" s="1"/>
  <c r="AM579" i="10"/>
  <c r="AU579" i="10" s="1"/>
  <c r="BF579" i="10" s="1"/>
  <c r="AQ579" i="10"/>
  <c r="AY484" i="10"/>
  <c r="BA484" i="10" s="1"/>
  <c r="BC484" i="10" s="1"/>
  <c r="AX484" i="10"/>
  <c r="AV484" i="10"/>
  <c r="BK484" i="10"/>
  <c r="BL484" i="10" s="1"/>
  <c r="BF552" i="10"/>
  <c r="BH552" i="10" s="1"/>
  <c r="BF549" i="10"/>
  <c r="BH549" i="10" s="1"/>
  <c r="BF503" i="10"/>
  <c r="BH503" i="10" s="1"/>
  <c r="BF431" i="10"/>
  <c r="BH431" i="10" s="1"/>
  <c r="BF566" i="10"/>
  <c r="BH566" i="10" s="1"/>
  <c r="BF468" i="10"/>
  <c r="BH468" i="10" s="1"/>
  <c r="BF436" i="10"/>
  <c r="BH436" i="10" s="1"/>
  <c r="BF435" i="10"/>
  <c r="BH435" i="10" s="1"/>
  <c r="BM486" i="10"/>
  <c r="BL486" i="10"/>
  <c r="BN486" i="10" s="1"/>
  <c r="AM606" i="10"/>
  <c r="AQ606" i="10"/>
  <c r="AE559" i="10"/>
  <c r="AS559" i="10" s="1"/>
  <c r="R559" i="10" s="1"/>
  <c r="AU559" i="10" s="1"/>
  <c r="BF559" i="10" s="1"/>
  <c r="BH559" i="10" s="1"/>
  <c r="AI559" i="10"/>
  <c r="AE550" i="10"/>
  <c r="AS550" i="10" s="1"/>
  <c r="R550" i="10" s="1"/>
  <c r="AU550" i="10" s="1"/>
  <c r="BF550" i="10" s="1"/>
  <c r="BH550" i="10" s="1"/>
  <c r="AI550" i="10"/>
  <c r="AE509" i="10"/>
  <c r="AS509" i="10" s="1"/>
  <c r="R509" i="10" s="1"/>
  <c r="AU509" i="10" s="1"/>
  <c r="BF509" i="10" s="1"/>
  <c r="BH509" i="10" s="1"/>
  <c r="AI509" i="10"/>
  <c r="AE506" i="10"/>
  <c r="AS506" i="10" s="1"/>
  <c r="R506" i="10" s="1"/>
  <c r="AI506" i="10"/>
  <c r="AM497" i="10"/>
  <c r="AQ497" i="10"/>
  <c r="AM496" i="10"/>
  <c r="AQ496" i="10"/>
  <c r="AE623" i="10"/>
  <c r="AS623" i="10" s="1"/>
  <c r="R623" i="10" s="1"/>
  <c r="AU623" i="10" s="1"/>
  <c r="BF623" i="10" s="1"/>
  <c r="BH623" i="10" s="1"/>
  <c r="AX487" i="10"/>
  <c r="AV487" i="10"/>
  <c r="BK487" i="10"/>
  <c r="BL487" i="10" s="1"/>
  <c r="AY487" i="10"/>
  <c r="BA487" i="10" s="1"/>
  <c r="BC487" i="10" s="1"/>
  <c r="BF454" i="10"/>
  <c r="BH454" i="10" s="1"/>
  <c r="AM681" i="10"/>
  <c r="AY643" i="10"/>
  <c r="BA643" i="10" s="1"/>
  <c r="BF643" i="10"/>
  <c r="BH643" i="10" s="1"/>
  <c r="BJ643" i="10" s="1"/>
  <c r="AX642" i="10"/>
  <c r="AV642" i="10"/>
  <c r="AY642" i="10"/>
  <c r="BA642" i="10" s="1"/>
  <c r="BC642" i="10" s="1"/>
  <c r="AX645" i="10"/>
  <c r="AV645" i="10"/>
  <c r="AY645" i="10"/>
  <c r="BA645" i="10" s="1"/>
  <c r="BC645" i="10" s="1"/>
  <c r="AY633" i="10"/>
  <c r="AM678" i="10"/>
  <c r="AM640" i="10"/>
  <c r="AE624" i="10"/>
  <c r="AE639" i="10"/>
  <c r="AE636" i="10"/>
  <c r="AM635" i="10"/>
  <c r="AQ635" i="10"/>
  <c r="AE635" i="10"/>
  <c r="AE630" i="10"/>
  <c r="AE631" i="10"/>
  <c r="AE629" i="10"/>
  <c r="AM634" i="10"/>
  <c r="AE625" i="10"/>
  <c r="BK626" i="10"/>
  <c r="BL626" i="10" s="1"/>
  <c r="AX622" i="10"/>
  <c r="AV622" i="10"/>
  <c r="AY622" i="10"/>
  <c r="BA622" i="10" s="1"/>
  <c r="BC622" i="10" s="1"/>
  <c r="AM613" i="10"/>
  <c r="AE613" i="10"/>
  <c r="AI613" i="10"/>
  <c r="AE617" i="10"/>
  <c r="AE614" i="10"/>
  <c r="AU606" i="10"/>
  <c r="BF606" i="10" s="1"/>
  <c r="BH606" i="10" s="1"/>
  <c r="BJ606" i="10" s="1"/>
  <c r="AE606" i="10"/>
  <c r="AE589" i="10"/>
  <c r="AE615" i="10"/>
  <c r="AE620" i="10"/>
  <c r="AM611" i="10"/>
  <c r="AE611" i="10"/>
  <c r="AX612" i="10"/>
  <c r="AV612" i="10"/>
  <c r="AY612" i="10"/>
  <c r="BA612" i="10" s="1"/>
  <c r="BC612" i="10" s="1"/>
  <c r="AE610" i="10"/>
  <c r="AE609" i="10"/>
  <c r="AE608" i="10"/>
  <c r="AE602" i="10"/>
  <c r="AM601" i="10"/>
  <c r="AE601" i="10"/>
  <c r="AI601" i="10"/>
  <c r="AE599" i="10"/>
  <c r="AE598" i="10"/>
  <c r="AE577" i="10"/>
  <c r="AX584" i="10"/>
  <c r="AV584" i="10"/>
  <c r="AY584" i="10"/>
  <c r="BA584" i="10" s="1"/>
  <c r="BC584" i="10" s="1"/>
  <c r="AX594" i="10"/>
  <c r="AY594" i="10"/>
  <c r="BA594" i="10" s="1"/>
  <c r="BC594" i="10" s="1"/>
  <c r="AM604" i="10"/>
  <c r="AQ604" i="10"/>
  <c r="AE593" i="10"/>
  <c r="AM592" i="10"/>
  <c r="AE592" i="10"/>
  <c r="AI592" i="10"/>
  <c r="AE579" i="10"/>
  <c r="AM585" i="10"/>
  <c r="AE585" i="10"/>
  <c r="AI585" i="10"/>
  <c r="AE583" i="10"/>
  <c r="AE582" i="10"/>
  <c r="AE572" i="10"/>
  <c r="AE567" i="10"/>
  <c r="AX566" i="10"/>
  <c r="AV566" i="10"/>
  <c r="AY566" i="10"/>
  <c r="BA566" i="10" s="1"/>
  <c r="BC566" i="10" s="1"/>
  <c r="AM569" i="10"/>
  <c r="AQ569" i="10"/>
  <c r="AE569" i="10"/>
  <c r="AI569" i="10"/>
  <c r="AY565" i="10"/>
  <c r="BA565" i="10" s="1"/>
  <c r="BC565" i="10" s="1"/>
  <c r="AE581" i="10"/>
  <c r="AE576" i="10"/>
  <c r="AE562" i="10"/>
  <c r="AE561" i="10"/>
  <c r="AE556" i="10"/>
  <c r="AM558" i="10"/>
  <c r="AE558" i="10"/>
  <c r="AI558" i="10"/>
  <c r="AU545" i="10"/>
  <c r="AX549" i="10"/>
  <c r="AV549" i="10"/>
  <c r="AY549" i="10"/>
  <c r="BA549" i="10" s="1"/>
  <c r="BC549" i="10" s="1"/>
  <c r="AE546" i="10"/>
  <c r="AE551" i="10"/>
  <c r="AE446" i="10"/>
  <c r="AM445" i="10"/>
  <c r="AE548" i="10"/>
  <c r="AY545" i="10"/>
  <c r="BA545" i="10" s="1"/>
  <c r="BC545" i="10" s="1"/>
  <c r="AE547" i="10"/>
  <c r="AX552" i="10"/>
  <c r="AV552" i="10"/>
  <c r="AY552" i="10"/>
  <c r="BA552" i="10" s="1"/>
  <c r="BC552" i="10" s="1"/>
  <c r="AE533" i="10"/>
  <c r="AM543" i="10"/>
  <c r="AQ543" i="10"/>
  <c r="AE543" i="10"/>
  <c r="AI543" i="10"/>
  <c r="AM541" i="10"/>
  <c r="AE541" i="10"/>
  <c r="AE537" i="10"/>
  <c r="AE535" i="10"/>
  <c r="AE536" i="10"/>
  <c r="AM534" i="10"/>
  <c r="AE534" i="10"/>
  <c r="AI534" i="10"/>
  <c r="AE531" i="10"/>
  <c r="AI531" i="10"/>
  <c r="BK529" i="10"/>
  <c r="BL529" i="10" s="1"/>
  <c r="BF526" i="10"/>
  <c r="BH526" i="10" s="1"/>
  <c r="BJ526" i="10" s="1"/>
  <c r="AY526" i="10"/>
  <c r="BA526" i="10" s="1"/>
  <c r="AM528" i="10"/>
  <c r="AE528" i="10"/>
  <c r="AY523" i="10"/>
  <c r="BA523" i="10" s="1"/>
  <c r="BF523" i="10"/>
  <c r="BH523" i="10" s="1"/>
  <c r="BJ523" i="10" s="1"/>
  <c r="AM521" i="10"/>
  <c r="AE521" i="10"/>
  <c r="AM517" i="10"/>
  <c r="AE517" i="10"/>
  <c r="AE515" i="10"/>
  <c r="AM513" i="10"/>
  <c r="AE513" i="10"/>
  <c r="AI513" i="10"/>
  <c r="AM512" i="10"/>
  <c r="AE512" i="10"/>
  <c r="AI512" i="10"/>
  <c r="AY510" i="10"/>
  <c r="BA510" i="10" s="1"/>
  <c r="BF510" i="10"/>
  <c r="BH510" i="10" s="1"/>
  <c r="BJ510" i="10" s="1"/>
  <c r="AM519" i="10"/>
  <c r="AE519" i="10"/>
  <c r="AE497" i="10"/>
  <c r="AY504" i="10"/>
  <c r="BA504" i="10" s="1"/>
  <c r="BF504" i="10"/>
  <c r="BH504" i="10" s="1"/>
  <c r="BJ504" i="10" s="1"/>
  <c r="AY501" i="10"/>
  <c r="BA501" i="10" s="1"/>
  <c r="BF501" i="10"/>
  <c r="BH501" i="10" s="1"/>
  <c r="BJ501" i="10" s="1"/>
  <c r="AY494" i="10"/>
  <c r="BA494" i="10" s="1"/>
  <c r="BF494" i="10"/>
  <c r="BH494" i="10" s="1"/>
  <c r="BJ494" i="10" s="1"/>
  <c r="AE496" i="10"/>
  <c r="AX503" i="10"/>
  <c r="AV503" i="10"/>
  <c r="AY503" i="10"/>
  <c r="BA503" i="10" s="1"/>
  <c r="BC503" i="10" s="1"/>
  <c r="AE540" i="10"/>
  <c r="AE492" i="10"/>
  <c r="AE490" i="10"/>
  <c r="AM489" i="10"/>
  <c r="AE489" i="10"/>
  <c r="AI489" i="10"/>
  <c r="AX500" i="10"/>
  <c r="AV500" i="10"/>
  <c r="AY500" i="10"/>
  <c r="BA500" i="10" s="1"/>
  <c r="BC500" i="10" s="1"/>
  <c r="AM481" i="10"/>
  <c r="AE477" i="10"/>
  <c r="AS472" i="10"/>
  <c r="R472" i="10" s="1"/>
  <c r="AU472" i="10" s="1"/>
  <c r="BF472" i="10" s="1"/>
  <c r="BH472" i="10" s="1"/>
  <c r="BJ472" i="10" s="1"/>
  <c r="J472" i="10"/>
  <c r="BK478" i="10"/>
  <c r="BL478" i="10" s="1"/>
  <c r="AM480" i="10"/>
  <c r="BK473" i="10"/>
  <c r="BL473" i="10" s="1"/>
  <c r="BD471" i="10"/>
  <c r="AY469" i="10"/>
  <c r="BA469" i="10" s="1"/>
  <c r="BF469" i="10"/>
  <c r="BH469" i="10" s="1"/>
  <c r="BJ469" i="10" s="1"/>
  <c r="H48" i="1"/>
  <c r="F50" i="1"/>
  <c r="H50" i="1" s="1"/>
  <c r="AM475" i="10"/>
  <c r="AE475" i="10"/>
  <c r="AI475" i="10"/>
  <c r="AM493" i="10"/>
  <c r="Q41" i="22"/>
  <c r="Q42" i="22"/>
  <c r="AE457" i="10"/>
  <c r="R464" i="10"/>
  <c r="AE465" i="10"/>
  <c r="BK462" i="10"/>
  <c r="BL462" i="10" s="1"/>
  <c r="AE461" i="10"/>
  <c r="AY464" i="10"/>
  <c r="BA464" i="10" s="1"/>
  <c r="BC464" i="10" s="1"/>
  <c r="AE499" i="10"/>
  <c r="AX468" i="10"/>
  <c r="AV468" i="10"/>
  <c r="AY468" i="10"/>
  <c r="BA468" i="10" s="1"/>
  <c r="BC468" i="10" s="1"/>
  <c r="AE458" i="10"/>
  <c r="AU448" i="10"/>
  <c r="BF448" i="10" s="1"/>
  <c r="BH448" i="10" s="1"/>
  <c r="I450" i="10"/>
  <c r="AE456" i="10"/>
  <c r="AM455" i="10"/>
  <c r="AE455" i="10"/>
  <c r="AI455" i="10"/>
  <c r="AE449" i="10"/>
  <c r="AV448" i="10"/>
  <c r="AY448" i="10"/>
  <c r="BA448" i="10" s="1"/>
  <c r="BC448" i="10" s="1"/>
  <c r="AX431" i="10"/>
  <c r="AV431" i="10"/>
  <c r="AY431" i="10"/>
  <c r="BA431" i="10" s="1"/>
  <c r="BC431" i="10" s="1"/>
  <c r="AX454" i="10"/>
  <c r="AV454" i="10"/>
  <c r="AY454" i="10"/>
  <c r="BA454" i="10" s="1"/>
  <c r="BC454" i="10" s="1"/>
  <c r="AY440" i="10"/>
  <c r="BA440" i="10" s="1"/>
  <c r="BF440" i="10"/>
  <c r="BH440" i="10" s="1"/>
  <c r="BJ440" i="10" s="1"/>
  <c r="AE427" i="10"/>
  <c r="AE453" i="10"/>
  <c r="BK437" i="10"/>
  <c r="BL437" i="10" s="1"/>
  <c r="AX436" i="10"/>
  <c r="AV436" i="10"/>
  <c r="AY436" i="10"/>
  <c r="BA436" i="10" s="1"/>
  <c r="BC436" i="10" s="1"/>
  <c r="AX435" i="10"/>
  <c r="AV435" i="10"/>
  <c r="AY435" i="10"/>
  <c r="BA435" i="10" s="1"/>
  <c r="BC435" i="10" s="1"/>
  <c r="AI412" i="10"/>
  <c r="AV412" i="10"/>
  <c r="AS413" i="10"/>
  <c r="R413" i="10" s="1"/>
  <c r="AU413" i="10" s="1"/>
  <c r="BF413" i="10" s="1"/>
  <c r="BH413" i="10" s="1"/>
  <c r="J413" i="10"/>
  <c r="AT413" i="10" s="1"/>
  <c r="AT414" i="10"/>
  <c r="AY414" i="10" s="1"/>
  <c r="BA414" i="10" s="1"/>
  <c r="BC414" i="10" s="1"/>
  <c r="BD414" i="10" s="1"/>
  <c r="BE414" i="10" s="1"/>
  <c r="AV420" i="10"/>
  <c r="AT400" i="10"/>
  <c r="AY420" i="10"/>
  <c r="BA420" i="10" s="1"/>
  <c r="BC420" i="10" s="1"/>
  <c r="BA411" i="10"/>
  <c r="BC411" i="10" s="1"/>
  <c r="BD411" i="10" s="1"/>
  <c r="BE411" i="10" s="1"/>
  <c r="BA423" i="10"/>
  <c r="BC423" i="10" s="1"/>
  <c r="BF401" i="10"/>
  <c r="BH401" i="10" s="1"/>
  <c r="BF400" i="10"/>
  <c r="BH400" i="10" s="1"/>
  <c r="AY415" i="10"/>
  <c r="BA415" i="10" s="1"/>
  <c r="BF415" i="10"/>
  <c r="BH415" i="10" s="1"/>
  <c r="BJ415" i="10" s="1"/>
  <c r="BK415" i="10" s="1"/>
  <c r="BL415" i="10" s="1"/>
  <c r="BF424" i="10"/>
  <c r="BH424" i="10" s="1"/>
  <c r="BJ424" i="10" s="1"/>
  <c r="AY412" i="10"/>
  <c r="AY421" i="10"/>
  <c r="BA421" i="10" s="1"/>
  <c r="AX412" i="10"/>
  <c r="AV423" i="10"/>
  <c r="AX423" i="10"/>
  <c r="BF417" i="10"/>
  <c r="BH417" i="10" s="1"/>
  <c r="BF439" i="10"/>
  <c r="BH439" i="10" s="1"/>
  <c r="BK421" i="10"/>
  <c r="BL421" i="10" s="1"/>
  <c r="BF430" i="10"/>
  <c r="BH430" i="10" s="1"/>
  <c r="AU307" i="10"/>
  <c r="BF307" i="10" s="1"/>
  <c r="BH307" i="10" s="1"/>
  <c r="BJ307" i="10" s="1"/>
  <c r="AT389" i="10"/>
  <c r="AV389" i="10" s="1"/>
  <c r="BK424" i="10"/>
  <c r="BL424" i="10" s="1"/>
  <c r="AX439" i="10"/>
  <c r="F5" i="12" s="1" a="1"/>
  <c r="F5" i="12" s="1"/>
  <c r="AV439" i="10"/>
  <c r="AY439" i="10"/>
  <c r="BA439" i="10" s="1"/>
  <c r="BC439" i="10" s="1"/>
  <c r="AE432" i="10"/>
  <c r="AX430" i="10"/>
  <c r="AV430" i="10"/>
  <c r="AY430" i="10"/>
  <c r="BA430" i="10" s="1"/>
  <c r="BC430" i="10" s="1"/>
  <c r="AY418" i="10"/>
  <c r="BA418" i="10" s="1"/>
  <c r="BF418" i="10"/>
  <c r="BH418" i="10" s="1"/>
  <c r="BJ418" i="10" s="1"/>
  <c r="AE408" i="10"/>
  <c r="AY409" i="10"/>
  <c r="BA409" i="10" s="1"/>
  <c r="BF409" i="10"/>
  <c r="BH409" i="10" s="1"/>
  <c r="BJ409" i="10" s="1"/>
  <c r="AE407" i="10"/>
  <c r="AY405" i="10"/>
  <c r="BA405" i="10" s="1"/>
  <c r="BF405" i="10"/>
  <c r="BH405" i="10" s="1"/>
  <c r="BJ405" i="10" s="1"/>
  <c r="AE404" i="10"/>
  <c r="AE417" i="10"/>
  <c r="AY402" i="10"/>
  <c r="BA402" i="10" s="1"/>
  <c r="BF402" i="10"/>
  <c r="BH402" i="10" s="1"/>
  <c r="BJ402" i="10" s="1"/>
  <c r="AX401" i="10"/>
  <c r="AV401" i="10"/>
  <c r="AY401" i="10"/>
  <c r="BA401" i="10" s="1"/>
  <c r="BC401" i="10" s="1"/>
  <c r="AE398" i="10"/>
  <c r="AE397" i="10"/>
  <c r="AE393" i="10"/>
  <c r="AE392" i="10"/>
  <c r="AI392" i="10"/>
  <c r="AM392" i="10"/>
  <c r="AE390" i="10"/>
  <c r="AE386" i="10"/>
  <c r="AM385" i="10"/>
  <c r="AE383" i="10"/>
  <c r="AM382" i="10"/>
  <c r="AE380" i="10"/>
  <c r="AM379" i="10"/>
  <c r="AS348" i="10"/>
  <c r="R348" i="10" s="1"/>
  <c r="AU348" i="10" s="1"/>
  <c r="AI348" i="10"/>
  <c r="AY348" i="10"/>
  <c r="AR348" i="10"/>
  <c r="AE377" i="10"/>
  <c r="AS388" i="10"/>
  <c r="R388" i="10" s="1"/>
  <c r="AU388" i="10" s="1"/>
  <c r="AI388" i="10"/>
  <c r="AY388" i="10"/>
  <c r="AR388" i="10"/>
  <c r="AS370" i="10"/>
  <c r="R370" i="10" s="1"/>
  <c r="AU370" i="10" s="1"/>
  <c r="AX370" i="10" s="1"/>
  <c r="AI370" i="10"/>
  <c r="AY370" i="10"/>
  <c r="AR370" i="10"/>
  <c r="AM190" i="10"/>
  <c r="AE371" i="10"/>
  <c r="AT371" i="10" s="1"/>
  <c r="AY371" i="10" s="1"/>
  <c r="BA371" i="10" s="1"/>
  <c r="BC371" i="10" s="1"/>
  <c r="AE184" i="10"/>
  <c r="AT184" i="10" s="1"/>
  <c r="AY184" i="10" s="1"/>
  <c r="AS349" i="10"/>
  <c r="R349" i="10" s="1"/>
  <c r="AY349" i="10" s="1"/>
  <c r="BA349" i="10" s="1"/>
  <c r="AM324" i="10"/>
  <c r="AM327" i="10"/>
  <c r="AE374" i="10"/>
  <c r="AE179" i="10"/>
  <c r="AR345" i="10"/>
  <c r="AS369" i="10"/>
  <c r="R369" i="10" s="1"/>
  <c r="AU369" i="10" s="1"/>
  <c r="AX369" i="10" s="1"/>
  <c r="AI369" i="10"/>
  <c r="AY369" i="10"/>
  <c r="AR369" i="10"/>
  <c r="AS373" i="10"/>
  <c r="R373" i="10" s="1"/>
  <c r="AU373" i="10" s="1"/>
  <c r="BF373" i="10" s="1"/>
  <c r="BH373" i="10" s="1"/>
  <c r="AT373" i="10"/>
  <c r="AY373" i="10" s="1"/>
  <c r="AI373" i="10"/>
  <c r="AE366" i="10"/>
  <c r="BD362" i="10"/>
  <c r="AE363" i="10"/>
  <c r="AM241" i="10"/>
  <c r="AU241" i="10" s="1"/>
  <c r="BF241" i="10" s="1"/>
  <c r="AM311" i="10"/>
  <c r="AE166" i="10"/>
  <c r="AS166" i="10" s="1"/>
  <c r="AM160" i="10"/>
  <c r="AU160" i="10" s="1"/>
  <c r="BF160" i="10" s="1"/>
  <c r="BD360" i="10"/>
  <c r="AM360" i="10"/>
  <c r="AS355" i="10"/>
  <c r="R355" i="10" s="1"/>
  <c r="AU355" i="10" s="1"/>
  <c r="BF355" i="10" s="1"/>
  <c r="BH355" i="10" s="1"/>
  <c r="AS356" i="10"/>
  <c r="R356" i="10" s="1"/>
  <c r="AU356" i="10" s="1"/>
  <c r="BF356" i="10" s="1"/>
  <c r="BH356" i="10" s="1"/>
  <c r="AS354" i="10"/>
  <c r="R354" i="10" s="1"/>
  <c r="AU354" i="10" s="1"/>
  <c r="AV354" i="10" s="1"/>
  <c r="AI354" i="10"/>
  <c r="AS352" i="10"/>
  <c r="R352" i="10" s="1"/>
  <c r="AU352" i="10" s="1"/>
  <c r="AV352" i="10" s="1"/>
  <c r="AI352" i="10"/>
  <c r="AI356" i="10"/>
  <c r="AY356" i="10"/>
  <c r="AR356" i="10"/>
  <c r="AI355" i="10"/>
  <c r="AY355" i="10"/>
  <c r="AR355" i="10"/>
  <c r="AY354" i="10"/>
  <c r="AY352" i="10"/>
  <c r="AR354" i="10"/>
  <c r="AR352" i="10"/>
  <c r="AE194" i="10"/>
  <c r="AE305" i="10"/>
  <c r="AM328" i="10"/>
  <c r="AU328" i="10" s="1"/>
  <c r="BF328" i="10" s="1"/>
  <c r="AE327" i="10"/>
  <c r="AM314" i="10"/>
  <c r="AE258" i="10"/>
  <c r="AT131" i="10"/>
  <c r="AV131" i="10" s="1"/>
  <c r="AR131" i="10"/>
  <c r="AU181" i="10"/>
  <c r="AX181" i="10" s="1"/>
  <c r="AS220" i="10"/>
  <c r="R220" i="10" s="1"/>
  <c r="AS200" i="10"/>
  <c r="R200" i="10" s="1"/>
  <c r="AU200" i="10" s="1"/>
  <c r="BF200" i="10" s="1"/>
  <c r="BH200" i="10" s="1"/>
  <c r="AS218" i="10"/>
  <c r="R218" i="10" s="1"/>
  <c r="AU218" i="10" s="1"/>
  <c r="BF218" i="10" s="1"/>
  <c r="BH199" i="10"/>
  <c r="AS181" i="10"/>
  <c r="BH220" i="10"/>
  <c r="BH288" i="10"/>
  <c r="AR307" i="10"/>
  <c r="J307" i="10" s="1"/>
  <c r="AT307" i="10" s="1"/>
  <c r="AV307" i="10" s="1"/>
  <c r="AR245" i="10"/>
  <c r="AR232" i="10"/>
  <c r="J232" i="10" s="1"/>
  <c r="AT232" i="10" s="1"/>
  <c r="AY232" i="10" s="1"/>
  <c r="BA232" i="10" s="1"/>
  <c r="AS288" i="10"/>
  <c r="R288" i="10" s="1"/>
  <c r="I289" i="10" s="1"/>
  <c r="AS289" i="10" s="1"/>
  <c r="R289" i="10" s="1"/>
  <c r="AY289" i="10" s="1"/>
  <c r="BA289" i="10" s="1"/>
  <c r="AS208" i="10"/>
  <c r="R208" i="10" s="1"/>
  <c r="AS167" i="10"/>
  <c r="R167" i="10" s="1"/>
  <c r="AY167" i="10" s="1"/>
  <c r="BA167" i="10" s="1"/>
  <c r="AR213" i="10"/>
  <c r="J213" i="10" s="1"/>
  <c r="I214" i="10" s="1"/>
  <c r="J214" i="10" s="1"/>
  <c r="AS248" i="10"/>
  <c r="R248" i="10" s="1"/>
  <c r="AU248" i="10" s="1"/>
  <c r="BF248" i="10" s="1"/>
  <c r="BH248" i="10" s="1"/>
  <c r="AR199" i="10"/>
  <c r="AE153" i="10"/>
  <c r="AR153" i="10" s="1"/>
  <c r="AE344" i="10"/>
  <c r="AT344" i="10" s="1"/>
  <c r="AY344" i="10" s="1"/>
  <c r="AR252" i="10"/>
  <c r="J252" i="10" s="1"/>
  <c r="AT252" i="10" s="1"/>
  <c r="AY252" i="10" s="1"/>
  <c r="AR141" i="10"/>
  <c r="J141" i="10" s="1"/>
  <c r="AT141" i="10" s="1"/>
  <c r="BA198" i="10"/>
  <c r="BC198" i="10" s="1"/>
  <c r="AU232" i="10"/>
  <c r="BF232" i="10" s="1"/>
  <c r="AR224" i="10"/>
  <c r="J224" i="10" s="1"/>
  <c r="AT224" i="10" s="1"/>
  <c r="AY224" i="10" s="1"/>
  <c r="AS361" i="10"/>
  <c r="R361" i="10" s="1"/>
  <c r="AE206" i="10"/>
  <c r="AS206" i="10" s="1"/>
  <c r="BH291" i="10"/>
  <c r="AE358" i="10"/>
  <c r="AE253" i="10"/>
  <c r="AT253" i="10" s="1"/>
  <c r="AY253" i="10" s="1"/>
  <c r="AM163" i="10"/>
  <c r="AE336" i="10"/>
  <c r="AT336" i="10" s="1"/>
  <c r="AY336" i="10" s="1"/>
  <c r="BF351" i="10"/>
  <c r="BH351" i="10" s="1"/>
  <c r="AE310" i="10"/>
  <c r="AR208" i="10"/>
  <c r="J208" i="10" s="1"/>
  <c r="AS331" i="10"/>
  <c r="R331" i="10" s="1"/>
  <c r="BF331" i="10" s="1"/>
  <c r="BH331" i="10" s="1"/>
  <c r="BJ331" i="10" s="1"/>
  <c r="AE311" i="10"/>
  <c r="BK130" i="10"/>
  <c r="BL130" i="10" s="1"/>
  <c r="AR218" i="10"/>
  <c r="J218" i="10" s="1"/>
  <c r="AT218" i="10" s="1"/>
  <c r="AY218" i="10" s="1"/>
  <c r="BA218" i="10" s="1"/>
  <c r="AU228" i="10"/>
  <c r="BF228" i="10" s="1"/>
  <c r="BH228" i="10" s="1"/>
  <c r="AE257" i="10"/>
  <c r="AT257" i="10" s="1"/>
  <c r="AY257" i="10" s="1"/>
  <c r="AM191" i="10"/>
  <c r="AU191" i="10" s="1"/>
  <c r="BF191" i="10" s="1"/>
  <c r="AE191" i="10"/>
  <c r="AS180" i="10"/>
  <c r="AS286" i="10"/>
  <c r="R286" i="10" s="1"/>
  <c r="BF286" i="10" s="1"/>
  <c r="BH286" i="10" s="1"/>
  <c r="BJ286" i="10" s="1"/>
  <c r="AS306" i="10"/>
  <c r="R306" i="10" s="1"/>
  <c r="BF306" i="10" s="1"/>
  <c r="BH306" i="10" s="1"/>
  <c r="BJ306" i="10" s="1"/>
  <c r="BK306" i="10" s="1"/>
  <c r="BL306" i="10" s="1"/>
  <c r="AM185" i="10"/>
  <c r="AU185" i="10" s="1"/>
  <c r="BF185" i="10" s="1"/>
  <c r="BH185" i="10" s="1"/>
  <c r="BJ185" i="10" s="1"/>
  <c r="BK185" i="10" s="1"/>
  <c r="BL185" i="10" s="1"/>
  <c r="AU180" i="10"/>
  <c r="BF180" i="10" s="1"/>
  <c r="BH180" i="10" s="1"/>
  <c r="AS291" i="10"/>
  <c r="R291" i="10" s="1"/>
  <c r="Q292" i="10" s="1"/>
  <c r="AS232" i="10"/>
  <c r="AS283" i="10"/>
  <c r="R283" i="10" s="1"/>
  <c r="AY283" i="10" s="1"/>
  <c r="BA283" i="10" s="1"/>
  <c r="AS239" i="10"/>
  <c r="R239" i="10" s="1"/>
  <c r="AU239" i="10" s="1"/>
  <c r="BF239" i="10" s="1"/>
  <c r="AU224" i="10"/>
  <c r="AS226" i="10"/>
  <c r="R226" i="10" s="1"/>
  <c r="Q225" i="10" s="1"/>
  <c r="AR319" i="10"/>
  <c r="J283" i="10"/>
  <c r="AM258" i="10"/>
  <c r="AU258" i="10" s="1"/>
  <c r="BF258" i="10" s="1"/>
  <c r="BH258" i="10" s="1"/>
  <c r="BJ258" i="10" s="1"/>
  <c r="BH361" i="10"/>
  <c r="AS252" i="10"/>
  <c r="R252" i="10" s="1"/>
  <c r="AU252" i="10" s="1"/>
  <c r="BF252" i="10" s="1"/>
  <c r="BH252" i="10" s="1"/>
  <c r="AR200" i="10"/>
  <c r="AS224" i="10"/>
  <c r="AU333" i="10"/>
  <c r="BF333" i="10" s="1"/>
  <c r="BH333" i="10" s="1"/>
  <c r="AR333" i="10"/>
  <c r="J333" i="10" s="1"/>
  <c r="AT333" i="10" s="1"/>
  <c r="AE237" i="10"/>
  <c r="AS237" i="10" s="1"/>
  <c r="AR239" i="10"/>
  <c r="J239" i="10" s="1"/>
  <c r="AT239" i="10" s="1"/>
  <c r="AR282" i="10"/>
  <c r="AM310" i="10"/>
  <c r="AQ311" i="10"/>
  <c r="AS250" i="10"/>
  <c r="R250" i="10" s="1"/>
  <c r="AY250" i="10" s="1"/>
  <c r="BA250" i="10" s="1"/>
  <c r="BH282" i="10"/>
  <c r="AE132" i="10"/>
  <c r="AS132" i="10" s="1"/>
  <c r="AE246" i="10"/>
  <c r="AR246" i="10" s="1"/>
  <c r="AR198" i="10"/>
  <c r="AQ314" i="10"/>
  <c r="AI253" i="10"/>
  <c r="AQ313" i="10"/>
  <c r="AI336" i="10"/>
  <c r="AR341" i="10"/>
  <c r="J341" i="10" s="1"/>
  <c r="AT341" i="10" s="1"/>
  <c r="AV341" i="10" s="1"/>
  <c r="AS334" i="10"/>
  <c r="R334" i="10" s="1"/>
  <c r="AU334" i="10" s="1"/>
  <c r="BF334" i="10" s="1"/>
  <c r="BH334" i="10" s="1"/>
  <c r="AE236" i="10"/>
  <c r="AR236" i="10" s="1"/>
  <c r="AI257" i="10"/>
  <c r="AQ191" i="10"/>
  <c r="AQ163" i="10"/>
  <c r="AQ193" i="10"/>
  <c r="AE372" i="10"/>
  <c r="AQ328" i="10"/>
  <c r="AI344" i="10"/>
  <c r="AQ241" i="10"/>
  <c r="AQ188" i="10"/>
  <c r="AE368" i="10"/>
  <c r="AS368" i="10" s="1"/>
  <c r="R368" i="10" s="1"/>
  <c r="AU368" i="10" s="1"/>
  <c r="AS295" i="10"/>
  <c r="R295" i="10" s="1"/>
  <c r="I296" i="10" s="1"/>
  <c r="J296" i="10" s="1"/>
  <c r="AE314" i="10"/>
  <c r="AE190" i="10"/>
  <c r="AT198" i="10"/>
  <c r="AQ327" i="10"/>
  <c r="AQ324" i="10"/>
  <c r="AI179" i="10"/>
  <c r="AI184" i="10"/>
  <c r="AQ160" i="10"/>
  <c r="AI153" i="10"/>
  <c r="AI166" i="10"/>
  <c r="AX351" i="10"/>
  <c r="AV351" i="10"/>
  <c r="AY351" i="10"/>
  <c r="BA351" i="10" s="1"/>
  <c r="BC351" i="10" s="1"/>
  <c r="AE353" i="10"/>
  <c r="BD361" i="10"/>
  <c r="AM357" i="10"/>
  <c r="AE347" i="10"/>
  <c r="AE185" i="10"/>
  <c r="AS198" i="10"/>
  <c r="R198" i="10" s="1"/>
  <c r="AU198" i="10" s="1"/>
  <c r="BF198" i="10" s="1"/>
  <c r="BH198" i="10" s="1"/>
  <c r="AY345" i="10"/>
  <c r="BA345" i="10" s="1"/>
  <c r="BF345" i="10"/>
  <c r="BH345" i="10" s="1"/>
  <c r="BJ345" i="10" s="1"/>
  <c r="BA293" i="10"/>
  <c r="AU139" i="10"/>
  <c r="BF139" i="10" s="1"/>
  <c r="BH139" i="10" s="1"/>
  <c r="AS247" i="10"/>
  <c r="R247" i="10" s="1"/>
  <c r="AU247" i="10" s="1"/>
  <c r="AX247" i="10" s="1"/>
  <c r="BH295" i="10"/>
  <c r="AS272" i="10"/>
  <c r="R272" i="10" s="1"/>
  <c r="AU272" i="10" s="1"/>
  <c r="AS228" i="10"/>
  <c r="AY228" i="10"/>
  <c r="BA228" i="10" s="1"/>
  <c r="BC228" i="10" s="1"/>
  <c r="BD228" i="10" s="1"/>
  <c r="BE228" i="10" s="1"/>
  <c r="BA130" i="10"/>
  <c r="AE313" i="10"/>
  <c r="AR313" i="10" s="1"/>
  <c r="AS127" i="10"/>
  <c r="R127" i="10" s="1"/>
  <c r="AU127" i="10" s="1"/>
  <c r="BF127" i="10" s="1"/>
  <c r="BH127" i="10" s="1"/>
  <c r="AR139" i="10"/>
  <c r="J139" i="10" s="1"/>
  <c r="AT139" i="10" s="1"/>
  <c r="AS130" i="10"/>
  <c r="AU285" i="10"/>
  <c r="AX285" i="10" s="1"/>
  <c r="AY213" i="10"/>
  <c r="BA213" i="10" s="1"/>
  <c r="BF213" i="10"/>
  <c r="BH213" i="10" s="1"/>
  <c r="BJ213" i="10" s="1"/>
  <c r="BK213" i="10" s="1"/>
  <c r="BL213" i="10" s="1"/>
  <c r="AY319" i="10"/>
  <c r="BA319" i="10" s="1"/>
  <c r="BA127" i="10"/>
  <c r="BF319" i="10"/>
  <c r="BH319" i="10" s="1"/>
  <c r="BJ319" i="10" s="1"/>
  <c r="BK319" i="10" s="1"/>
  <c r="BL319" i="10" s="1"/>
  <c r="AR272" i="10"/>
  <c r="J272" i="10" s="1"/>
  <c r="AS293" i="10"/>
  <c r="AS285" i="10"/>
  <c r="AR334" i="10"/>
  <c r="BF341" i="10"/>
  <c r="AS341" i="10"/>
  <c r="AS322" i="10"/>
  <c r="R322" i="10" s="1"/>
  <c r="BF322" i="10" s="1"/>
  <c r="BH322" i="10" s="1"/>
  <c r="BJ322" i="10" s="1"/>
  <c r="BD282" i="10"/>
  <c r="BE282" i="10" s="1"/>
  <c r="AM172" i="10"/>
  <c r="AE173" i="10"/>
  <c r="AS245" i="10"/>
  <c r="R245" i="10" s="1"/>
  <c r="AU245" i="10" s="1"/>
  <c r="BF245" i="10" s="1"/>
  <c r="BH245" i="10" s="1"/>
  <c r="AM196" i="10"/>
  <c r="AE197" i="10"/>
  <c r="AT245" i="10"/>
  <c r="BD196" i="10"/>
  <c r="BE196" i="10" s="1"/>
  <c r="AE339" i="10"/>
  <c r="AE340" i="10"/>
  <c r="AE338" i="10"/>
  <c r="AE335" i="10"/>
  <c r="AM342" i="10"/>
  <c r="AE342" i="10"/>
  <c r="AE337" i="10"/>
  <c r="AM365" i="10"/>
  <c r="AS330" i="10"/>
  <c r="R330" i="10" s="1"/>
  <c r="AU330" i="10" s="1"/>
  <c r="AR330" i="10"/>
  <c r="J330" i="10" s="1"/>
  <c r="AT330" i="10" s="1"/>
  <c r="AE328" i="10"/>
  <c r="AE326" i="10"/>
  <c r="AM321" i="10"/>
  <c r="BF318" i="10"/>
  <c r="BH318" i="10" s="1"/>
  <c r="AE318" i="10"/>
  <c r="AM317" i="10"/>
  <c r="AY316" i="10"/>
  <c r="BA316" i="10" s="1"/>
  <c r="BC316" i="10" s="1"/>
  <c r="AM316" i="10"/>
  <c r="AY334" i="10"/>
  <c r="AE324" i="10"/>
  <c r="BF304" i="10"/>
  <c r="BH304" i="10" s="1"/>
  <c r="AE299" i="10"/>
  <c r="AM305" i="10"/>
  <c r="AE304" i="10"/>
  <c r="AE298" i="10"/>
  <c r="AE292" i="10"/>
  <c r="BK293" i="10"/>
  <c r="BL293" i="10" s="1"/>
  <c r="BD291" i="10"/>
  <c r="AY248" i="10"/>
  <c r="BA248" i="10" s="1"/>
  <c r="BC248" i="10" s="1"/>
  <c r="BD288" i="10"/>
  <c r="AY285" i="10"/>
  <c r="BA285" i="10" s="1"/>
  <c r="BC285" i="10" s="1"/>
  <c r="AE280" i="10"/>
  <c r="AM279" i="10"/>
  <c r="AE279" i="10"/>
  <c r="BD295" i="10"/>
  <c r="AE277" i="10"/>
  <c r="AE276" i="10"/>
  <c r="AM276" i="10"/>
  <c r="BF274" i="10"/>
  <c r="BH274" i="10" s="1"/>
  <c r="BJ274" i="10" s="1"/>
  <c r="BK274" i="10" s="1"/>
  <c r="BL274" i="10" s="1"/>
  <c r="AE273" i="10"/>
  <c r="AE274" i="10"/>
  <c r="AE271" i="10"/>
  <c r="AM194" i="10"/>
  <c r="AE193" i="10"/>
  <c r="BD267" i="10"/>
  <c r="BE267" i="10" s="1"/>
  <c r="BD268" i="10"/>
  <c r="BE268" i="10" s="1"/>
  <c r="AE269" i="10"/>
  <c r="AM268" i="10"/>
  <c r="AM267" i="10"/>
  <c r="AE265" i="10"/>
  <c r="BF264" i="10"/>
  <c r="BH264" i="10" s="1"/>
  <c r="AE263" i="10"/>
  <c r="AE262" i="10"/>
  <c r="AE261" i="10"/>
  <c r="AY264" i="10"/>
  <c r="BA264" i="10" s="1"/>
  <c r="BC264" i="10" s="1"/>
  <c r="AX264" i="10"/>
  <c r="AV264" i="10"/>
  <c r="AM303" i="10"/>
  <c r="AE303" i="10"/>
  <c r="AE302" i="10"/>
  <c r="AM302" i="10"/>
  <c r="AE249" i="10"/>
  <c r="BH207" i="10"/>
  <c r="BJ207" i="10" s="1"/>
  <c r="BK207" i="10" s="1"/>
  <c r="BL207" i="10" s="1"/>
  <c r="BH238" i="10"/>
  <c r="BJ238" i="10" s="1"/>
  <c r="BK238" i="10" s="1"/>
  <c r="BL238" i="10" s="1"/>
  <c r="AE241" i="10"/>
  <c r="AE207" i="10"/>
  <c r="AE238" i="10"/>
  <c r="J236" i="10"/>
  <c r="AE205" i="10"/>
  <c r="AS205" i="10" s="1"/>
  <c r="R205" i="10" s="1"/>
  <c r="J205" i="10"/>
  <c r="R206" i="10"/>
  <c r="BF206" i="10" s="1"/>
  <c r="BH206" i="10" s="1"/>
  <c r="BJ206" i="10" s="1"/>
  <c r="BK206" i="10" s="1"/>
  <c r="BL206" i="10" s="1"/>
  <c r="BF235" i="10"/>
  <c r="BH235" i="10" s="1"/>
  <c r="AE235" i="10"/>
  <c r="BF256" i="10"/>
  <c r="BH256" i="10" s="1"/>
  <c r="AE256" i="10"/>
  <c r="AY226" i="10"/>
  <c r="BA226" i="10" s="1"/>
  <c r="BC226" i="10" s="1"/>
  <c r="AY247" i="10"/>
  <c r="BA247" i="10" s="1"/>
  <c r="BC247" i="10" s="1"/>
  <c r="BK222" i="10"/>
  <c r="BL222" i="10" s="1"/>
  <c r="AE222" i="10"/>
  <c r="BD220" i="10"/>
  <c r="AE216" i="10"/>
  <c r="AE229" i="10"/>
  <c r="AU227" i="10"/>
  <c r="BF227" i="10" s="1"/>
  <c r="BH227" i="10" s="1"/>
  <c r="AY227" i="10"/>
  <c r="BA227" i="10" s="1"/>
  <c r="BC227" i="10" s="1"/>
  <c r="AE230" i="10"/>
  <c r="AE201" i="10"/>
  <c r="AU188" i="10"/>
  <c r="BF188" i="10" s="1"/>
  <c r="AE188" i="10"/>
  <c r="AE202" i="10"/>
  <c r="R141" i="10"/>
  <c r="AU141" i="10" s="1"/>
  <c r="BF141" i="10" s="1"/>
  <c r="BH141" i="10" s="1"/>
  <c r="AY182" i="10"/>
  <c r="BA182" i="10" s="1"/>
  <c r="BF182" i="10"/>
  <c r="BH182" i="10" s="1"/>
  <c r="BJ182" i="10" s="1"/>
  <c r="AH173" i="10"/>
  <c r="AH197" i="10"/>
  <c r="AH196" i="10"/>
  <c r="AP196" i="10"/>
  <c r="AU196" i="10"/>
  <c r="BD199" i="10"/>
  <c r="AE203" i="10"/>
  <c r="AY181" i="10"/>
  <c r="BA181" i="10" s="1"/>
  <c r="BC181" i="10" s="1"/>
  <c r="AY180" i="10"/>
  <c r="BA180" i="10" s="1"/>
  <c r="BC180" i="10" s="1"/>
  <c r="R132" i="10"/>
  <c r="I140" i="10" s="1"/>
  <c r="AE140" i="10"/>
  <c r="AM204" i="10"/>
  <c r="AE204" i="10"/>
  <c r="BF166" i="10"/>
  <c r="BH166" i="10" s="1"/>
  <c r="AE170" i="10"/>
  <c r="AM162" i="10"/>
  <c r="AE144" i="10"/>
  <c r="AY200" i="10"/>
  <c r="AH126" i="10"/>
  <c r="AE126" i="10" s="1"/>
  <c r="AH172" i="10"/>
  <c r="AP172" i="10"/>
  <c r="AE160" i="10"/>
  <c r="AE143" i="10"/>
  <c r="AE151" i="10"/>
  <c r="AE142" i="10"/>
  <c r="AS142" i="10" s="1"/>
  <c r="R142" i="10" s="1"/>
  <c r="AM158" i="10"/>
  <c r="AM128" i="10"/>
  <c r="AU128" i="10" s="1"/>
  <c r="BF128" i="10" s="1"/>
  <c r="BF131" i="10"/>
  <c r="BH131" i="10" s="1"/>
  <c r="BJ131" i="10" s="1"/>
  <c r="AE125" i="10"/>
  <c r="AT125" i="10" s="1"/>
  <c r="AY125" i="10" s="1"/>
  <c r="AE119" i="10"/>
  <c r="AS137" i="10"/>
  <c r="AR137" i="10"/>
  <c r="J137" i="10" s="1"/>
  <c r="AT137" i="10" s="1"/>
  <c r="AV137" i="10" s="1"/>
  <c r="BF137" i="10"/>
  <c r="BH137" i="10" s="1"/>
  <c r="AS165" i="10"/>
  <c r="AS155" i="10"/>
  <c r="R155" i="10" s="1"/>
  <c r="I156" i="10" s="1"/>
  <c r="AE116" i="10"/>
  <c r="AS116" i="10" s="1"/>
  <c r="R116" i="10" s="1"/>
  <c r="I117" i="10" s="1"/>
  <c r="AE129" i="10"/>
  <c r="AS129" i="10" s="1"/>
  <c r="R129" i="10" s="1"/>
  <c r="BF129" i="10" s="1"/>
  <c r="BH129" i="10" s="1"/>
  <c r="BJ129" i="10" s="1"/>
  <c r="BK129" i="10" s="1"/>
  <c r="BL129" i="10" s="1"/>
  <c r="AR127" i="10"/>
  <c r="AS169" i="10"/>
  <c r="R169" i="10" s="1"/>
  <c r="AU169" i="10" s="1"/>
  <c r="BH155" i="10"/>
  <c r="AR111" i="10"/>
  <c r="AY169" i="10"/>
  <c r="BA169" i="10" s="1"/>
  <c r="BC169" i="10" s="1"/>
  <c r="AE136" i="10"/>
  <c r="AR165" i="10"/>
  <c r="J165" i="10" s="1"/>
  <c r="AT165" i="10" s="1"/>
  <c r="AX165" i="10" s="1"/>
  <c r="BF165" i="10"/>
  <c r="BH165" i="10" s="1"/>
  <c r="BD155" i="10"/>
  <c r="AH127" i="10"/>
  <c r="AR126" i="10"/>
  <c r="AP126" i="10"/>
  <c r="AS126" i="10"/>
  <c r="R126" i="10" s="1"/>
  <c r="AU126" i="10" s="1"/>
  <c r="J126" i="10"/>
  <c r="AT126" i="10" s="1"/>
  <c r="AM175" i="10"/>
  <c r="AM124" i="10"/>
  <c r="AM122" i="10"/>
  <c r="AM119" i="10"/>
  <c r="AE45" i="10"/>
  <c r="AS45" i="10" s="1"/>
  <c r="R45" i="10" s="1"/>
  <c r="AU45" i="10" s="1"/>
  <c r="BF45" i="10" s="1"/>
  <c r="BH45" i="10" s="1"/>
  <c r="AM174" i="10"/>
  <c r="AM121" i="10"/>
  <c r="AE114" i="10"/>
  <c r="AM113" i="10"/>
  <c r="AE117" i="10"/>
  <c r="AS88" i="10"/>
  <c r="R88" i="10" s="1"/>
  <c r="AU88" i="10" s="1"/>
  <c r="BF88" i="10" s="1"/>
  <c r="BH88" i="10" s="1"/>
  <c r="AS69" i="10"/>
  <c r="AS74" i="10"/>
  <c r="R74" i="10" s="1"/>
  <c r="AY74" i="10" s="1"/>
  <c r="BA74" i="10" s="1"/>
  <c r="AS92" i="10"/>
  <c r="AY111" i="10"/>
  <c r="BA111" i="10" s="1"/>
  <c r="BF111" i="10"/>
  <c r="BH111" i="10" s="1"/>
  <c r="BJ111" i="10" s="1"/>
  <c r="AR96" i="10"/>
  <c r="AR83" i="10"/>
  <c r="AR90" i="10"/>
  <c r="AS93" i="10"/>
  <c r="R93" i="10" s="1"/>
  <c r="BF93" i="10" s="1"/>
  <c r="BH93" i="10" s="1"/>
  <c r="BJ93" i="10" s="1"/>
  <c r="AR88" i="10"/>
  <c r="AE35" i="10"/>
  <c r="AR86" i="10"/>
  <c r="AR98" i="10"/>
  <c r="J98" i="10" s="1"/>
  <c r="AT98" i="10" s="1"/>
  <c r="AR89" i="10"/>
  <c r="AS85" i="10"/>
  <c r="R85" i="10" s="1"/>
  <c r="AU85" i="10" s="1"/>
  <c r="BF85" i="10" s="1"/>
  <c r="BH85" i="10" s="1"/>
  <c r="AR108" i="10"/>
  <c r="AE102" i="10"/>
  <c r="AT102" i="10" s="1"/>
  <c r="AY102" i="10" s="1"/>
  <c r="AM55" i="10"/>
  <c r="AM114" i="10"/>
  <c r="AU69" i="10"/>
  <c r="BF69" i="10" s="1"/>
  <c r="BH69" i="10" s="1"/>
  <c r="BA89" i="10"/>
  <c r="BC89" i="10" s="1"/>
  <c r="AU106" i="10"/>
  <c r="BF106" i="10" s="1"/>
  <c r="BH106" i="10" s="1"/>
  <c r="AM101" i="10"/>
  <c r="AU101" i="10" s="1"/>
  <c r="BF101" i="10" s="1"/>
  <c r="AE113" i="10"/>
  <c r="BH81" i="10"/>
  <c r="BJ81" i="10" s="1"/>
  <c r="BK81" i="10" s="1"/>
  <c r="BL81" i="10" s="1"/>
  <c r="AS98" i="10"/>
  <c r="AR92" i="10"/>
  <c r="J92" i="10" s="1"/>
  <c r="AT92" i="10" s="1"/>
  <c r="AU98" i="10"/>
  <c r="BF98" i="10" s="1"/>
  <c r="BH98" i="10" s="1"/>
  <c r="AR106" i="10"/>
  <c r="J106" i="10" s="1"/>
  <c r="BF92" i="10"/>
  <c r="BH92" i="10" s="1"/>
  <c r="AE81" i="10"/>
  <c r="AS81" i="10" s="1"/>
  <c r="AS38" i="10"/>
  <c r="R38" i="10" s="1"/>
  <c r="BF38" i="10" s="1"/>
  <c r="BH38" i="10" s="1"/>
  <c r="BJ38" i="10" s="1"/>
  <c r="BK38" i="10" s="1"/>
  <c r="BL38" i="10" s="1"/>
  <c r="AS47" i="10"/>
  <c r="AU47" i="10" s="1"/>
  <c r="BF47" i="10" s="1"/>
  <c r="BH47" i="10" s="1"/>
  <c r="AR26" i="10"/>
  <c r="AS40" i="10"/>
  <c r="R40" i="10" s="1"/>
  <c r="AU40" i="10" s="1"/>
  <c r="AX40" i="10" s="1"/>
  <c r="BH62" i="10"/>
  <c r="AR37" i="10"/>
  <c r="J37" i="10" s="1"/>
  <c r="AY37" i="10" s="1"/>
  <c r="BA37" i="10" s="1"/>
  <c r="BC37" i="10" s="1"/>
  <c r="BD37" i="10" s="1"/>
  <c r="AS65" i="10"/>
  <c r="R65" i="10" s="1"/>
  <c r="I66" i="10" s="1"/>
  <c r="J66" i="10" s="1"/>
  <c r="BH65" i="10"/>
  <c r="AS62" i="10"/>
  <c r="R62" i="10" s="1"/>
  <c r="AR63" i="10"/>
  <c r="J63" i="10" s="1"/>
  <c r="AR99" i="10"/>
  <c r="AR50" i="10"/>
  <c r="AR40" i="10"/>
  <c r="AR148" i="10"/>
  <c r="J148" i="10" s="1"/>
  <c r="BA63" i="10"/>
  <c r="AU107" i="10"/>
  <c r="AX107" i="10" s="1"/>
  <c r="AE76" i="10"/>
  <c r="AS76" i="10" s="1"/>
  <c r="R76" i="10" s="1"/>
  <c r="AS148" i="10"/>
  <c r="R148" i="10" s="1"/>
  <c r="AU148" i="10" s="1"/>
  <c r="AM35" i="10"/>
  <c r="AU35" i="10" s="1"/>
  <c r="BF35" i="10" s="1"/>
  <c r="AS50" i="10"/>
  <c r="R50" i="10" s="1"/>
  <c r="AU50" i="10" s="1"/>
  <c r="BF50" i="10" s="1"/>
  <c r="BH50" i="10" s="1"/>
  <c r="AT89" i="10"/>
  <c r="AE46" i="10"/>
  <c r="AS46" i="10" s="1"/>
  <c r="R46" i="10" s="1"/>
  <c r="AU46" i="10" s="1"/>
  <c r="BF46" i="10" s="1"/>
  <c r="BH46" i="10" s="1"/>
  <c r="AT69" i="10"/>
  <c r="AS60" i="10"/>
  <c r="R60" i="10" s="1"/>
  <c r="BF60" i="10" s="1"/>
  <c r="BH60" i="10" s="1"/>
  <c r="BJ60" i="10" s="1"/>
  <c r="AS89" i="10"/>
  <c r="R89" i="10" s="1"/>
  <c r="AU89" i="10" s="1"/>
  <c r="BF89" i="10" s="1"/>
  <c r="BH89" i="10" s="1"/>
  <c r="AS107" i="10"/>
  <c r="AE80" i="10"/>
  <c r="AE123" i="10"/>
  <c r="AY108" i="10"/>
  <c r="BA108" i="10" s="1"/>
  <c r="BF108" i="10"/>
  <c r="BH108" i="10" s="1"/>
  <c r="BJ108" i="10" s="1"/>
  <c r="AE110" i="10"/>
  <c r="AE105" i="10"/>
  <c r="AY107" i="10"/>
  <c r="BA107" i="10" s="1"/>
  <c r="BC107" i="10" s="1"/>
  <c r="AY99" i="10"/>
  <c r="BA99" i="10" s="1"/>
  <c r="BF99" i="10"/>
  <c r="BH99" i="10" s="1"/>
  <c r="BJ99" i="10" s="1"/>
  <c r="AY96" i="10"/>
  <c r="BA96" i="10" s="1"/>
  <c r="BF96" i="10"/>
  <c r="BH96" i="10" s="1"/>
  <c r="BJ96" i="10" s="1"/>
  <c r="AY90" i="10"/>
  <c r="BA90" i="10" s="1"/>
  <c r="BF90" i="10"/>
  <c r="BH90" i="10" s="1"/>
  <c r="BJ90" i="10" s="1"/>
  <c r="AY86" i="10"/>
  <c r="BA86" i="10" s="1"/>
  <c r="BF86" i="10"/>
  <c r="BH86" i="10" s="1"/>
  <c r="BJ86" i="10" s="1"/>
  <c r="AY85" i="10"/>
  <c r="BA85" i="10" s="1"/>
  <c r="BC85" i="10" s="1"/>
  <c r="AY88" i="10"/>
  <c r="BA88" i="10" s="1"/>
  <c r="BC88" i="10" s="1"/>
  <c r="BH82" i="10"/>
  <c r="BJ82" i="10" s="1"/>
  <c r="BK82" i="10" s="1"/>
  <c r="BL82" i="10" s="1"/>
  <c r="AY83" i="10"/>
  <c r="BA83" i="10" s="1"/>
  <c r="BF83" i="10"/>
  <c r="BH83" i="10" s="1"/>
  <c r="BJ83" i="10" s="1"/>
  <c r="AE82" i="10"/>
  <c r="AE15" i="10"/>
  <c r="AE71" i="10"/>
  <c r="AE70" i="10"/>
  <c r="AE68" i="10"/>
  <c r="AY52" i="10"/>
  <c r="AE52" i="10"/>
  <c r="AE34" i="10"/>
  <c r="AT34" i="10" s="1"/>
  <c r="AY34" i="10" s="1"/>
  <c r="BA34" i="10" s="1"/>
  <c r="BC34" i="10" s="1"/>
  <c r="AS51" i="10"/>
  <c r="R51" i="10" s="1"/>
  <c r="AU51" i="10" s="1"/>
  <c r="AX51" i="10" s="1"/>
  <c r="AS25" i="10"/>
  <c r="AR32" i="10"/>
  <c r="AS59" i="10"/>
  <c r="R59" i="10" s="1"/>
  <c r="AU59" i="10" s="1"/>
  <c r="BF59" i="10" s="1"/>
  <c r="BH59" i="10" s="1"/>
  <c r="AR51" i="10"/>
  <c r="AS31" i="10"/>
  <c r="AR28" i="10"/>
  <c r="AR31" i="10"/>
  <c r="J31" i="10" s="1"/>
  <c r="AT31" i="10" s="1"/>
  <c r="AV31" i="10" s="1"/>
  <c r="BF31" i="10"/>
  <c r="BH31" i="10" s="1"/>
  <c r="BH28" i="10"/>
  <c r="BJ28" i="10" s="1"/>
  <c r="AS29" i="10"/>
  <c r="R29" i="10" s="1"/>
  <c r="BF29" i="10" s="1"/>
  <c r="BH29" i="10" s="1"/>
  <c r="BJ29" i="10" s="1"/>
  <c r="AR59" i="10"/>
  <c r="AE77" i="10"/>
  <c r="AT12" i="10"/>
  <c r="AM77" i="10"/>
  <c r="AM34" i="10"/>
  <c r="BK63" i="10"/>
  <c r="BL63" i="10" s="1"/>
  <c r="BD62" i="10"/>
  <c r="AY59" i="10"/>
  <c r="AE43" i="10"/>
  <c r="AE42" i="10"/>
  <c r="AE49" i="10"/>
  <c r="AE55" i="10"/>
  <c r="AE48" i="10"/>
  <c r="AY50" i="10"/>
  <c r="AY40" i="10"/>
  <c r="AE44" i="10"/>
  <c r="BD65" i="10"/>
  <c r="AY47" i="10"/>
  <c r="BA47" i="10" s="1"/>
  <c r="BC47" i="10" s="1"/>
  <c r="AY51" i="10"/>
  <c r="AE73" i="10"/>
  <c r="AR21" i="10"/>
  <c r="AU12" i="10"/>
  <c r="AS21" i="10"/>
  <c r="R21" i="10" s="1"/>
  <c r="AU21" i="10" s="1"/>
  <c r="AT21" i="10"/>
  <c r="AY21" i="10" s="1"/>
  <c r="AS12" i="10"/>
  <c r="J29" i="10"/>
  <c r="AE5" i="10"/>
  <c r="AT5" i="10" s="1"/>
  <c r="AY5" i="10" s="1"/>
  <c r="AE3" i="10"/>
  <c r="AT3" i="10" s="1"/>
  <c r="AY3" i="10" s="1"/>
  <c r="AE14" i="10"/>
  <c r="AE19" i="10"/>
  <c r="BD28" i="10"/>
  <c r="AY32" i="10"/>
  <c r="BA32" i="10" s="1"/>
  <c r="BF32" i="10"/>
  <c r="BH32" i="10" s="1"/>
  <c r="BJ32" i="10" s="1"/>
  <c r="AY26" i="10"/>
  <c r="BA26" i="10" s="1"/>
  <c r="BF26" i="10"/>
  <c r="BH26" i="10" s="1"/>
  <c r="BJ26" i="10" s="1"/>
  <c r="BK26" i="10" s="1"/>
  <c r="BL26" i="10" s="1"/>
  <c r="BF25" i="10"/>
  <c r="BH25" i="10" s="1"/>
  <c r="AY25" i="10"/>
  <c r="BA25" i="10" s="1"/>
  <c r="BC25" i="10" s="1"/>
  <c r="AS23" i="10"/>
  <c r="R23" i="10" s="1"/>
  <c r="AY23" i="10" s="1"/>
  <c r="BA23" i="10" s="1"/>
  <c r="AM73" i="10"/>
  <c r="AE20" i="10"/>
  <c r="AE18" i="10"/>
  <c r="AE17" i="10"/>
  <c r="AE6" i="10"/>
  <c r="AM9" i="10"/>
  <c r="AE7" i="10"/>
  <c r="AE4" i="10"/>
  <c r="AE72" i="10"/>
  <c r="BA633" i="10" l="1"/>
  <c r="BC633" i="10" s="1"/>
  <c r="AV594" i="10"/>
  <c r="BH579" i="10"/>
  <c r="BJ579" i="10" s="1"/>
  <c r="AX448" i="10"/>
  <c r="AU633" i="10"/>
  <c r="AS327" i="10"/>
  <c r="AX411" i="10"/>
  <c r="AV411" i="10"/>
  <c r="AV662" i="10"/>
  <c r="BF662" i="10"/>
  <c r="BH662" i="10" s="1"/>
  <c r="BJ662" i="10" s="1"/>
  <c r="BK662" i="10" s="1"/>
  <c r="BL662" i="10" s="1"/>
  <c r="AT560" i="10"/>
  <c r="AV560" i="10" s="1"/>
  <c r="AR560" i="10"/>
  <c r="AT653" i="10"/>
  <c r="AR653" i="10"/>
  <c r="AS653" i="10"/>
  <c r="R653" i="10" s="1"/>
  <c r="AU653" i="10" s="1"/>
  <c r="BF653" i="10" s="1"/>
  <c r="BH653" i="10" s="1"/>
  <c r="AT652" i="10"/>
  <c r="AR652" i="10"/>
  <c r="AS652" i="10"/>
  <c r="R652" i="10" s="1"/>
  <c r="AU652" i="10" s="1"/>
  <c r="BF652" i="10" s="1"/>
  <c r="BH652" i="10" s="1"/>
  <c r="AT651" i="10"/>
  <c r="AR651" i="10"/>
  <c r="AS651" i="10"/>
  <c r="R651" i="10" s="1"/>
  <c r="AU651" i="10" s="1"/>
  <c r="BF651" i="10" s="1"/>
  <c r="BH651" i="10" s="1"/>
  <c r="AT654" i="10"/>
  <c r="AR654" i="10"/>
  <c r="AS654" i="10"/>
  <c r="R654" i="10" s="1"/>
  <c r="AU654" i="10" s="1"/>
  <c r="BF654" i="10" s="1"/>
  <c r="BH654" i="10" s="1"/>
  <c r="AR655" i="10"/>
  <c r="AT649" i="10"/>
  <c r="AR649" i="10"/>
  <c r="AS649" i="10"/>
  <c r="R649" i="10" s="1"/>
  <c r="AU649" i="10" s="1"/>
  <c r="BF649" i="10" s="1"/>
  <c r="BH649" i="10" s="1"/>
  <c r="BD693" i="10"/>
  <c r="AR648" i="10"/>
  <c r="AT648" i="10"/>
  <c r="AS648" i="10"/>
  <c r="R648" i="10" s="1"/>
  <c r="AU691" i="10"/>
  <c r="BF691" i="10" s="1"/>
  <c r="BH691" i="10" s="1"/>
  <c r="BJ691" i="10" s="1"/>
  <c r="BK691" i="10" s="1"/>
  <c r="AR650" i="10"/>
  <c r="AT650" i="10"/>
  <c r="AS650" i="10"/>
  <c r="R650" i="10" s="1"/>
  <c r="AU650" i="10" s="1"/>
  <c r="BF650" i="10" s="1"/>
  <c r="BH650" i="10" s="1"/>
  <c r="BK646" i="10"/>
  <c r="BL646" i="10" s="1"/>
  <c r="AR689" i="10"/>
  <c r="J689" i="10" s="1"/>
  <c r="AS689" i="10"/>
  <c r="AR688" i="10"/>
  <c r="J688" i="10" s="1"/>
  <c r="AS688" i="10"/>
  <c r="AR687" i="10"/>
  <c r="J687" i="10" s="1"/>
  <c r="AS687" i="10"/>
  <c r="AR663" i="10"/>
  <c r="J663" i="10" s="1"/>
  <c r="AT663" i="10" s="1"/>
  <c r="AS663" i="10"/>
  <c r="AU663" i="10"/>
  <c r="BF663" i="10" s="1"/>
  <c r="BH663" i="10" s="1"/>
  <c r="BJ663" i="10" s="1"/>
  <c r="BK663" i="10" s="1"/>
  <c r="BD658" i="10"/>
  <c r="AR657" i="10"/>
  <c r="J657" i="10" s="1"/>
  <c r="AT657" i="10"/>
  <c r="AS657" i="10"/>
  <c r="AU657" i="10" s="1"/>
  <c r="BF657" i="10" s="1"/>
  <c r="BH657" i="10" s="1"/>
  <c r="AR685" i="10"/>
  <c r="AT685" i="10"/>
  <c r="AS685" i="10"/>
  <c r="R685" i="10" s="1"/>
  <c r="AU685" i="10" s="1"/>
  <c r="BF685" i="10" s="1"/>
  <c r="BH685" i="10"/>
  <c r="BJ685" i="10" s="1"/>
  <c r="BK685" i="10"/>
  <c r="AR683" i="10"/>
  <c r="J683" i="10" s="1"/>
  <c r="AT683" i="10" s="1"/>
  <c r="AS683" i="10"/>
  <c r="R683" i="10" s="1"/>
  <c r="AU683" i="10" s="1"/>
  <c r="BF683" i="10" s="1"/>
  <c r="BH683" i="10" s="1"/>
  <c r="BJ683" i="10" s="1"/>
  <c r="BK683" i="10" s="1"/>
  <c r="AT661" i="10"/>
  <c r="AR661" i="10"/>
  <c r="AS661" i="10"/>
  <c r="R661" i="10" s="1"/>
  <c r="AU661" i="10" s="1"/>
  <c r="BF661" i="10" s="1"/>
  <c r="BH661" i="10" s="1"/>
  <c r="AS586" i="10"/>
  <c r="R586" i="10" s="1"/>
  <c r="AU586" i="10" s="1"/>
  <c r="BF586" i="10" s="1"/>
  <c r="BH586" i="10" s="1"/>
  <c r="AT586" i="10"/>
  <c r="AR586" i="10"/>
  <c r="AT570" i="10"/>
  <c r="AR570" i="10"/>
  <c r="BH556" i="10"/>
  <c r="BJ556" i="10" s="1"/>
  <c r="BA412" i="10"/>
  <c r="BC412" i="10" s="1"/>
  <c r="BD412" i="10" s="1"/>
  <c r="AX560" i="10"/>
  <c r="AV413" i="10"/>
  <c r="AY413" i="10"/>
  <c r="BA413" i="10" s="1"/>
  <c r="BC413" i="10" s="1"/>
  <c r="BD423" i="10"/>
  <c r="BE423" i="10" s="1"/>
  <c r="AV483" i="10"/>
  <c r="BF483" i="10"/>
  <c r="BH483" i="10" s="1"/>
  <c r="BJ483" i="10" s="1"/>
  <c r="AX483" i="10"/>
  <c r="I507" i="10"/>
  <c r="AS507" i="10" s="1"/>
  <c r="R507" i="10" s="1"/>
  <c r="AU506" i="10"/>
  <c r="BF506" i="10" s="1"/>
  <c r="BH506" i="10" s="1"/>
  <c r="BD484" i="10"/>
  <c r="AT559" i="10"/>
  <c r="AR559" i="10"/>
  <c r="AT550" i="10"/>
  <c r="AR550" i="10"/>
  <c r="AT509" i="10"/>
  <c r="AR509" i="10"/>
  <c r="AT506" i="10"/>
  <c r="AR506" i="10"/>
  <c r="BF545" i="10"/>
  <c r="BH545" i="10" s="1"/>
  <c r="AX545" i="10"/>
  <c r="AV545" i="10"/>
  <c r="AX348" i="10"/>
  <c r="BF348" i="10"/>
  <c r="BH348" i="10" s="1"/>
  <c r="AX388" i="10"/>
  <c r="BF388" i="10"/>
  <c r="BH388" i="10" s="1"/>
  <c r="AS179" i="10"/>
  <c r="R179" i="10" s="1"/>
  <c r="AU179" i="10" s="1"/>
  <c r="BF179" i="10" s="1"/>
  <c r="BH179" i="10" s="1"/>
  <c r="AR179" i="10"/>
  <c r="AR623" i="10"/>
  <c r="AT623" i="10"/>
  <c r="BD487" i="10"/>
  <c r="AX400" i="10"/>
  <c r="AV400" i="10"/>
  <c r="AY400" i="10"/>
  <c r="BA400" i="10" s="1"/>
  <c r="BC400" i="10" s="1"/>
  <c r="BD400" i="10" s="1"/>
  <c r="AU681" i="10"/>
  <c r="BF681" i="10" s="1"/>
  <c r="BH681" i="10" s="1"/>
  <c r="BJ681" i="10" s="1"/>
  <c r="AS681" i="10"/>
  <c r="AR681" i="10"/>
  <c r="J681" i="10" s="1"/>
  <c r="AT681" i="10" s="1"/>
  <c r="BK643" i="10"/>
  <c r="BL643" i="10" s="1"/>
  <c r="BD642" i="10"/>
  <c r="AR632" i="10"/>
  <c r="J632" i="10" s="1"/>
  <c r="AT632" i="10" s="1"/>
  <c r="R632" i="10"/>
  <c r="BD645" i="10"/>
  <c r="BD633" i="10"/>
  <c r="AS678" i="10"/>
  <c r="R678" i="10" s="1"/>
  <c r="AR678" i="10"/>
  <c r="J678" i="10" s="1"/>
  <c r="AR640" i="10"/>
  <c r="AT624" i="10"/>
  <c r="AR624" i="10"/>
  <c r="AS624" i="10"/>
  <c r="R624" i="10" s="1"/>
  <c r="AT639" i="10"/>
  <c r="AR639" i="10"/>
  <c r="AS639" i="10"/>
  <c r="R639" i="10" s="1"/>
  <c r="AR636" i="10"/>
  <c r="AR635" i="10"/>
  <c r="J635" i="10" s="1"/>
  <c r="AT635" i="10" s="1"/>
  <c r="AS635" i="10"/>
  <c r="AU635" i="10"/>
  <c r="BF635" i="10" s="1"/>
  <c r="BH635" i="10" s="1"/>
  <c r="BJ635" i="10" s="1"/>
  <c r="BK635" i="10" s="1"/>
  <c r="AT630" i="10"/>
  <c r="AR630" i="10"/>
  <c r="AS630" i="10"/>
  <c r="R630" i="10" s="1"/>
  <c r="AU630" i="10" s="1"/>
  <c r="BF630" i="10" s="1"/>
  <c r="BH630" i="10" s="1"/>
  <c r="AT631" i="10"/>
  <c r="AR631" i="10"/>
  <c r="AS631" i="10"/>
  <c r="R631" i="10" s="1"/>
  <c r="AU631" i="10" s="1"/>
  <c r="BF631" i="10" s="1"/>
  <c r="BH631" i="10" s="1"/>
  <c r="AT629" i="10"/>
  <c r="AR629" i="10"/>
  <c r="AS629" i="10"/>
  <c r="R629" i="10" s="1"/>
  <c r="AS634" i="10"/>
  <c r="AR625" i="10"/>
  <c r="BD622" i="10"/>
  <c r="AR613" i="10"/>
  <c r="AT613" i="10"/>
  <c r="AS613" i="10"/>
  <c r="R613" i="10" s="1"/>
  <c r="AU613" i="10" s="1"/>
  <c r="BF613" i="10" s="1"/>
  <c r="BH613" i="10" s="1"/>
  <c r="AR617" i="10"/>
  <c r="AR614" i="10"/>
  <c r="J614" i="10" s="1"/>
  <c r="AT614" i="10" s="1"/>
  <c r="AS614" i="10"/>
  <c r="R614" i="10" s="1"/>
  <c r="AR606" i="10"/>
  <c r="J606" i="10" s="1"/>
  <c r="AT606" i="10" s="1"/>
  <c r="AS606" i="10"/>
  <c r="BK606" i="10"/>
  <c r="BL606" i="10" s="1"/>
  <c r="AR589" i="10"/>
  <c r="AT615" i="10"/>
  <c r="AR615" i="10"/>
  <c r="AS615" i="10"/>
  <c r="R615" i="10" s="1"/>
  <c r="AU615" i="10" s="1"/>
  <c r="BF615" i="10" s="1"/>
  <c r="BH615" i="10" s="1"/>
  <c r="AR620" i="10"/>
  <c r="J620" i="10" s="1"/>
  <c r="AS620" i="10"/>
  <c r="R620" i="10" s="1"/>
  <c r="AR611" i="10"/>
  <c r="J611" i="10" s="1"/>
  <c r="AS611" i="10"/>
  <c r="R611" i="10" s="1"/>
  <c r="BD612" i="10"/>
  <c r="AT610" i="10"/>
  <c r="AR610" i="10"/>
  <c r="AS610" i="10"/>
  <c r="R610" i="10" s="1"/>
  <c r="AU610" i="10" s="1"/>
  <c r="BF610" i="10" s="1"/>
  <c r="BH610" i="10" s="1"/>
  <c r="AT609" i="10"/>
  <c r="AR609" i="10"/>
  <c r="AS609" i="10"/>
  <c r="R609" i="10" s="1"/>
  <c r="AU609" i="10" s="1"/>
  <c r="BF609" i="10" s="1"/>
  <c r="BH609" i="10" s="1"/>
  <c r="AT608" i="10"/>
  <c r="AR608" i="10"/>
  <c r="AS608" i="10"/>
  <c r="R608" i="10" s="1"/>
  <c r="AR601" i="10"/>
  <c r="AT601" i="10"/>
  <c r="AS601" i="10"/>
  <c r="R601" i="10" s="1"/>
  <c r="AU601" i="10" s="1"/>
  <c r="BF601" i="10" s="1"/>
  <c r="BH601" i="10" s="1"/>
  <c r="AS602" i="10"/>
  <c r="R602" i="10" s="1"/>
  <c r="AR602" i="10"/>
  <c r="AS599" i="10"/>
  <c r="R599" i="10" s="1"/>
  <c r="AR599" i="10"/>
  <c r="J599" i="10" s="1"/>
  <c r="AT598" i="10"/>
  <c r="AR598" i="10"/>
  <c r="AS598" i="10"/>
  <c r="R598" i="10" s="1"/>
  <c r="AU598" i="10" s="1"/>
  <c r="BF598" i="10" s="1"/>
  <c r="BH598" i="10" s="1"/>
  <c r="BD584" i="10"/>
  <c r="BD594" i="10"/>
  <c r="AR592" i="10"/>
  <c r="AT592" i="10"/>
  <c r="AS592" i="10"/>
  <c r="R592" i="10" s="1"/>
  <c r="AR579" i="10"/>
  <c r="J579" i="10" s="1"/>
  <c r="AT579" i="10" s="1"/>
  <c r="AS579" i="10"/>
  <c r="BK579" i="10"/>
  <c r="BL579" i="10" s="1"/>
  <c r="AR585" i="10"/>
  <c r="AT585" i="10"/>
  <c r="AS585" i="10"/>
  <c r="R585" i="10" s="1"/>
  <c r="AR583" i="10"/>
  <c r="J583" i="10" s="1"/>
  <c r="AT583" i="10" s="1"/>
  <c r="AS583" i="10"/>
  <c r="R583" i="10" s="1"/>
  <c r="AS582" i="10"/>
  <c r="R582" i="10" s="1"/>
  <c r="AU582" i="10" s="1"/>
  <c r="BF582" i="10" s="1"/>
  <c r="BH582" i="10" s="1"/>
  <c r="AT582" i="10"/>
  <c r="AR582" i="10"/>
  <c r="AR572" i="10"/>
  <c r="BD566" i="10"/>
  <c r="AR569" i="10"/>
  <c r="J569" i="10" s="1"/>
  <c r="AT569" i="10" s="1"/>
  <c r="AS569" i="10"/>
  <c r="R569" i="10" s="1"/>
  <c r="AU569" i="10" s="1"/>
  <c r="BF569" i="10" s="1"/>
  <c r="BH569" i="10" s="1"/>
  <c r="BJ569" i="10" s="1"/>
  <c r="BK569" i="10" s="1"/>
  <c r="BD565" i="10"/>
  <c r="AT581" i="10"/>
  <c r="AR581" i="10"/>
  <c r="AS581" i="10"/>
  <c r="AR576" i="10"/>
  <c r="J576" i="10" s="1"/>
  <c r="AT576" i="10" s="1"/>
  <c r="AS576" i="10"/>
  <c r="R576" i="10" s="1"/>
  <c r="I577" i="10" s="1"/>
  <c r="AS577" i="10" s="1"/>
  <c r="AT562" i="10"/>
  <c r="AR562" i="10"/>
  <c r="AS562" i="10"/>
  <c r="R562" i="10" s="1"/>
  <c r="AU562" i="10" s="1"/>
  <c r="BF562" i="10" s="1"/>
  <c r="BH562" i="10" s="1"/>
  <c r="AT561" i="10"/>
  <c r="AR561" i="10"/>
  <c r="AS561" i="10"/>
  <c r="R561" i="10" s="1"/>
  <c r="AU561" i="10" s="1"/>
  <c r="BF561" i="10" s="1"/>
  <c r="BH561" i="10" s="1"/>
  <c r="AR556" i="10"/>
  <c r="J556" i="10" s="1"/>
  <c r="AT556" i="10" s="1"/>
  <c r="AS556" i="10"/>
  <c r="BK556" i="10"/>
  <c r="BL556" i="10" s="1"/>
  <c r="AR558" i="10"/>
  <c r="AT558" i="10"/>
  <c r="AS558" i="10"/>
  <c r="R558" i="10" s="1"/>
  <c r="BD549" i="10"/>
  <c r="AR546" i="10"/>
  <c r="J546" i="10" s="1"/>
  <c r="AT546" i="10" s="1"/>
  <c r="AS546" i="10"/>
  <c r="R546" i="10" s="1"/>
  <c r="AT551" i="10"/>
  <c r="AR551" i="10"/>
  <c r="AS551" i="10"/>
  <c r="R551" i="10" s="1"/>
  <c r="AU445" i="10"/>
  <c r="BF445" i="10" s="1"/>
  <c r="BH445" i="10" s="1"/>
  <c r="AR548" i="10"/>
  <c r="J548" i="10" s="1"/>
  <c r="AT548" i="10" s="1"/>
  <c r="AS548" i="10"/>
  <c r="R548" i="10" s="1"/>
  <c r="AU548" i="10" s="1"/>
  <c r="BF548" i="10" s="1"/>
  <c r="BH548" i="10" s="1"/>
  <c r="BD545" i="10"/>
  <c r="AT547" i="10"/>
  <c r="AR547" i="10"/>
  <c r="AS547" i="10"/>
  <c r="R547" i="10" s="1"/>
  <c r="AU547" i="10" s="1"/>
  <c r="BF547" i="10" s="1"/>
  <c r="BH547" i="10" s="1"/>
  <c r="BD552" i="10"/>
  <c r="AT533" i="10"/>
  <c r="AR533" i="10"/>
  <c r="AS533" i="10"/>
  <c r="R533" i="10" s="1"/>
  <c r="AU533" i="10" s="1"/>
  <c r="BF533" i="10" s="1"/>
  <c r="BH533" i="10" s="1"/>
  <c r="AR543" i="10"/>
  <c r="J543" i="10" s="1"/>
  <c r="AT543" i="10" s="1"/>
  <c r="AS543" i="10"/>
  <c r="R543" i="10" s="1"/>
  <c r="AU543" i="10" s="1"/>
  <c r="BF543" i="10" s="1"/>
  <c r="BH543" i="10" s="1"/>
  <c r="BJ543" i="10" s="1"/>
  <c r="BK543" i="10" s="1"/>
  <c r="AS541" i="10"/>
  <c r="AS537" i="10"/>
  <c r="AT535" i="10"/>
  <c r="AR535" i="10"/>
  <c r="AS535" i="10"/>
  <c r="R535" i="10" s="1"/>
  <c r="AU535" i="10" s="1"/>
  <c r="BF535" i="10" s="1"/>
  <c r="BH535" i="10" s="1"/>
  <c r="AT536" i="10"/>
  <c r="AR536" i="10"/>
  <c r="AS536" i="10"/>
  <c r="R536" i="10" s="1"/>
  <c r="AR534" i="10"/>
  <c r="AT534" i="10"/>
  <c r="AS534" i="10"/>
  <c r="R534" i="10" s="1"/>
  <c r="AU534" i="10" s="1"/>
  <c r="BF534" i="10" s="1"/>
  <c r="BH534" i="10" s="1"/>
  <c r="AS531" i="10"/>
  <c r="R531" i="10" s="1"/>
  <c r="AR531" i="10"/>
  <c r="J531" i="10" s="1"/>
  <c r="AY531" i="10" s="1"/>
  <c r="BA531" i="10" s="1"/>
  <c r="BC531" i="10" s="1"/>
  <c r="BD531" i="10" s="1"/>
  <c r="BK526" i="10"/>
  <c r="BL526" i="10" s="1"/>
  <c r="AR528" i="10"/>
  <c r="AT528" i="10"/>
  <c r="AS528" i="10"/>
  <c r="R528" i="10" s="1"/>
  <c r="AU528" i="10" s="1"/>
  <c r="BF528" i="10" s="1"/>
  <c r="BH528" i="10" s="1"/>
  <c r="BK523" i="10"/>
  <c r="BL523" i="10" s="1"/>
  <c r="AR521" i="10"/>
  <c r="J521" i="10" s="1"/>
  <c r="AT521" i="10" s="1"/>
  <c r="AS521" i="10"/>
  <c r="AU521" i="10"/>
  <c r="BF521" i="10" s="1"/>
  <c r="BH521" i="10"/>
  <c r="AR517" i="10"/>
  <c r="J517" i="10" s="1"/>
  <c r="AS517" i="10"/>
  <c r="R517" i="10" s="1"/>
  <c r="AR512" i="10"/>
  <c r="AT512" i="10"/>
  <c r="AS512" i="10"/>
  <c r="AR513" i="10"/>
  <c r="AT513" i="10"/>
  <c r="AS513" i="10"/>
  <c r="R513" i="10" s="1"/>
  <c r="AU513" i="10" s="1"/>
  <c r="BF513" i="10" s="1"/>
  <c r="BH513" i="10" s="1"/>
  <c r="BK510" i="10"/>
  <c r="BL510" i="10" s="1"/>
  <c r="AT519" i="10"/>
  <c r="AR519" i="10"/>
  <c r="AS519" i="10"/>
  <c r="R519" i="10" s="1"/>
  <c r="AU519" i="10" s="1"/>
  <c r="BF519" i="10" s="1"/>
  <c r="BH519" i="10" s="1"/>
  <c r="BJ519" i="10" s="1"/>
  <c r="AR497" i="10"/>
  <c r="J497" i="10" s="1"/>
  <c r="AT497" i="10" s="1"/>
  <c r="AS497" i="10"/>
  <c r="R497" i="10" s="1"/>
  <c r="AU497" i="10" s="1"/>
  <c r="BF497" i="10" s="1"/>
  <c r="BH497" i="10" s="1"/>
  <c r="BJ497" i="10" s="1"/>
  <c r="BK497" i="10" s="1"/>
  <c r="BL497" i="10" s="1"/>
  <c r="BK504" i="10"/>
  <c r="BL504" i="10" s="1"/>
  <c r="BK501" i="10"/>
  <c r="BL501" i="10" s="1"/>
  <c r="BK494" i="10"/>
  <c r="BL494" i="10" s="1"/>
  <c r="AR496" i="10"/>
  <c r="J496" i="10" s="1"/>
  <c r="AT496" i="10" s="1"/>
  <c r="AS496" i="10"/>
  <c r="R496" i="10" s="1"/>
  <c r="BD503" i="10"/>
  <c r="AR540" i="10"/>
  <c r="J540" i="10" s="1"/>
  <c r="AS540" i="10"/>
  <c r="R540" i="10" s="1"/>
  <c r="AU540" i="10" s="1"/>
  <c r="BF540" i="10" s="1"/>
  <c r="BH540" i="10" s="1"/>
  <c r="AT492" i="10"/>
  <c r="AR492" i="10"/>
  <c r="AS492" i="10"/>
  <c r="R492" i="10" s="1"/>
  <c r="AU492" i="10" s="1"/>
  <c r="BF492" i="10" s="1"/>
  <c r="BH492" i="10" s="1"/>
  <c r="AS490" i="10"/>
  <c r="R490" i="10" s="1"/>
  <c r="AR490" i="10"/>
  <c r="AR489" i="10"/>
  <c r="AT489" i="10"/>
  <c r="AS489" i="10"/>
  <c r="R489" i="10" s="1"/>
  <c r="BD500" i="10"/>
  <c r="AS477" i="10"/>
  <c r="AT472" i="10"/>
  <c r="AY472" i="10" s="1"/>
  <c r="BA472" i="10" s="1"/>
  <c r="BC472" i="10" s="1"/>
  <c r="BD472" i="10" s="1"/>
  <c r="Q476" i="10"/>
  <c r="BK472" i="10"/>
  <c r="BL472" i="10" s="1"/>
  <c r="AX472" i="10"/>
  <c r="AV472" i="10"/>
  <c r="AS480" i="10"/>
  <c r="AR480" i="10"/>
  <c r="J480" i="10" s="1"/>
  <c r="BE471" i="10"/>
  <c r="BK469" i="10"/>
  <c r="BL469" i="10" s="1"/>
  <c r="AR475" i="10"/>
  <c r="AT475" i="10"/>
  <c r="AS475" i="10"/>
  <c r="R475" i="10" s="1"/>
  <c r="AS493" i="10"/>
  <c r="AR493" i="10"/>
  <c r="J493" i="10" s="1"/>
  <c r="AT493" i="10" s="1"/>
  <c r="AY493" i="10" s="1"/>
  <c r="BA493" i="10" s="1"/>
  <c r="BC493" i="10" s="1"/>
  <c r="BD493" i="10" s="1"/>
  <c r="AU493" i="10"/>
  <c r="AU464" i="10"/>
  <c r="AT457" i="10"/>
  <c r="AR457" i="10"/>
  <c r="AS457" i="10"/>
  <c r="R457" i="10" s="1"/>
  <c r="AU457" i="10" s="1"/>
  <c r="BF457" i="10" s="1"/>
  <c r="BH457" i="10" s="1"/>
  <c r="AR465" i="10"/>
  <c r="AT461" i="10"/>
  <c r="AR461" i="10"/>
  <c r="AS461" i="10"/>
  <c r="R461" i="10" s="1"/>
  <c r="BD464" i="10"/>
  <c r="AT499" i="10"/>
  <c r="AR499" i="10"/>
  <c r="AS499" i="10"/>
  <c r="R499" i="10" s="1"/>
  <c r="AU499" i="10" s="1"/>
  <c r="BD468" i="10"/>
  <c r="AR458" i="10"/>
  <c r="AS450" i="10"/>
  <c r="R450" i="10" s="1"/>
  <c r="AU450" i="10" s="1"/>
  <c r="J450" i="10"/>
  <c r="AT450" i="10" s="1"/>
  <c r="AT456" i="10"/>
  <c r="AR456" i="10"/>
  <c r="AS456" i="10"/>
  <c r="R456" i="10" s="1"/>
  <c r="AU456" i="10" s="1"/>
  <c r="BF456" i="10" s="1"/>
  <c r="BH456" i="10" s="1"/>
  <c r="AR455" i="10"/>
  <c r="AT455" i="10"/>
  <c r="AS455" i="10"/>
  <c r="R455" i="10" s="1"/>
  <c r="AU455" i="10" s="1"/>
  <c r="BF455" i="10" s="1"/>
  <c r="BH455" i="10" s="1"/>
  <c r="AR449" i="10"/>
  <c r="J449" i="10" s="1"/>
  <c r="AT449" i="10" s="1"/>
  <c r="AS449" i="10"/>
  <c r="R449" i="10" s="1"/>
  <c r="BD448" i="10"/>
  <c r="BD431" i="10"/>
  <c r="BD454" i="10"/>
  <c r="BK440" i="10"/>
  <c r="BL440" i="10" s="1"/>
  <c r="AS427" i="10"/>
  <c r="R427" i="10" s="1"/>
  <c r="Q426" i="10" s="1"/>
  <c r="AR427" i="10"/>
  <c r="J427" i="10" s="1"/>
  <c r="AT453" i="10"/>
  <c r="AR453" i="10"/>
  <c r="AS453" i="10"/>
  <c r="BD436" i="10"/>
  <c r="BD435" i="10"/>
  <c r="AX413" i="10"/>
  <c r="AX389" i="10"/>
  <c r="AY389" i="10"/>
  <c r="AX414" i="10"/>
  <c r="AV414" i="10"/>
  <c r="AS214" i="10"/>
  <c r="R214" i="10" s="1"/>
  <c r="BD420" i="10"/>
  <c r="BE420" i="10" s="1"/>
  <c r="BD439" i="10"/>
  <c r="AT432" i="10"/>
  <c r="AR432" i="10"/>
  <c r="AS432" i="10"/>
  <c r="R432" i="10" s="1"/>
  <c r="BD413" i="10"/>
  <c r="BE413" i="10" s="1"/>
  <c r="BD430" i="10"/>
  <c r="BK418" i="10"/>
  <c r="BL418" i="10" s="1"/>
  <c r="AR408" i="10"/>
  <c r="J408" i="10" s="1"/>
  <c r="AT408" i="10" s="1"/>
  <c r="AS408" i="10"/>
  <c r="R408" i="10" s="1"/>
  <c r="AU408" i="10" s="1"/>
  <c r="BF408" i="10" s="1"/>
  <c r="BH408" i="10" s="1"/>
  <c r="BK409" i="10"/>
  <c r="BL409" i="10" s="1"/>
  <c r="AS407" i="10"/>
  <c r="AU407" i="10" s="1"/>
  <c r="BF407" i="10" s="1"/>
  <c r="BH407" i="10" s="1"/>
  <c r="AR407" i="10"/>
  <c r="J407" i="10" s="1"/>
  <c r="BK405" i="10"/>
  <c r="BL405" i="10" s="1"/>
  <c r="AS404" i="10"/>
  <c r="R404" i="10" s="1"/>
  <c r="AU404" i="10" s="1"/>
  <c r="BF404" i="10" s="1"/>
  <c r="BH404" i="10" s="1"/>
  <c r="AR404" i="10"/>
  <c r="J404" i="10" s="1"/>
  <c r="AT404" i="10" s="1"/>
  <c r="AR417" i="10"/>
  <c r="J417" i="10" s="1"/>
  <c r="AS417" i="10"/>
  <c r="BK402" i="10"/>
  <c r="BL402" i="10" s="1"/>
  <c r="BD401" i="10"/>
  <c r="AS398" i="10"/>
  <c r="R398" i="10" s="1"/>
  <c r="AR398" i="10"/>
  <c r="AT397" i="10"/>
  <c r="AR397" i="10"/>
  <c r="AS397" i="10"/>
  <c r="R397" i="10" s="1"/>
  <c r="AU397" i="10" s="1"/>
  <c r="BF397" i="10" s="1"/>
  <c r="BH397" i="10" s="1"/>
  <c r="AR393" i="10"/>
  <c r="AS392" i="10"/>
  <c r="R392" i="10" s="1"/>
  <c r="AT392" i="10"/>
  <c r="AR392" i="10"/>
  <c r="AS390" i="10"/>
  <c r="R390" i="10" s="1"/>
  <c r="AR390" i="10"/>
  <c r="BF370" i="10"/>
  <c r="BH370" i="10" s="1"/>
  <c r="AS371" i="10"/>
  <c r="R371" i="10" s="1"/>
  <c r="AU371" i="10" s="1"/>
  <c r="AV371" i="10" s="1"/>
  <c r="AV348" i="10"/>
  <c r="AS386" i="10"/>
  <c r="R386" i="10" s="1"/>
  <c r="AR386" i="10"/>
  <c r="AS383" i="10"/>
  <c r="R383" i="10" s="1"/>
  <c r="AR383" i="10"/>
  <c r="AS380" i="10"/>
  <c r="R380" i="10" s="1"/>
  <c r="AR380" i="10"/>
  <c r="BA348" i="10"/>
  <c r="BC348" i="10" s="1"/>
  <c r="BD348" i="10" s="1"/>
  <c r="BF349" i="10"/>
  <c r="BH349" i="10" s="1"/>
  <c r="BJ349" i="10" s="1"/>
  <c r="BK349" i="10" s="1"/>
  <c r="BL349" i="10" s="1"/>
  <c r="AS377" i="10"/>
  <c r="R377" i="10" s="1"/>
  <c r="AR377" i="10"/>
  <c r="AR190" i="10"/>
  <c r="AV388" i="10"/>
  <c r="BA388" i="10"/>
  <c r="BC388" i="10" s="1"/>
  <c r="BD388" i="10" s="1"/>
  <c r="AV224" i="10"/>
  <c r="AS257" i="10"/>
  <c r="R257" i="10" s="1"/>
  <c r="I259" i="10" s="1"/>
  <c r="AS259" i="10" s="1"/>
  <c r="R259" i="10" s="1"/>
  <c r="AY259" i="10" s="1"/>
  <c r="BA259" i="10" s="1"/>
  <c r="BF132" i="10"/>
  <c r="BH132" i="10" s="1"/>
  <c r="BJ132" i="10" s="1"/>
  <c r="BK132" i="10" s="1"/>
  <c r="BL132" i="10" s="1"/>
  <c r="AV181" i="10"/>
  <c r="BF181" i="10"/>
  <c r="BH181" i="10" s="1"/>
  <c r="AS153" i="10"/>
  <c r="R153" i="10" s="1"/>
  <c r="AU153" i="10" s="1"/>
  <c r="BF153" i="10" s="1"/>
  <c r="AR185" i="10"/>
  <c r="J185" i="10" s="1"/>
  <c r="AT185" i="10" s="1"/>
  <c r="AY185" i="10" s="1"/>
  <c r="BA185" i="10" s="1"/>
  <c r="BC185" i="10" s="1"/>
  <c r="BD185" i="10" s="1"/>
  <c r="BM185" i="10" s="1"/>
  <c r="AR371" i="10"/>
  <c r="AV370" i="10"/>
  <c r="BA370" i="10"/>
  <c r="BC370" i="10" s="1"/>
  <c r="BD370" i="10" s="1"/>
  <c r="AR336" i="10"/>
  <c r="AS314" i="10"/>
  <c r="AR166" i="10"/>
  <c r="J166" i="10" s="1"/>
  <c r="AT166" i="10" s="1"/>
  <c r="AY166" i="10" s="1"/>
  <c r="BA166" i="10" s="1"/>
  <c r="BC166" i="10" s="1"/>
  <c r="BD166" i="10" s="1"/>
  <c r="AS374" i="10"/>
  <c r="R374" i="10" s="1"/>
  <c r="AR374" i="10"/>
  <c r="BF368" i="10"/>
  <c r="BH368" i="10" s="1"/>
  <c r="AX355" i="10"/>
  <c r="AT179" i="10"/>
  <c r="AY179" i="10" s="1"/>
  <c r="BA179" i="10" s="1"/>
  <c r="BC179" i="10" s="1"/>
  <c r="BD179" i="10" s="1"/>
  <c r="AY331" i="10"/>
  <c r="BA331" i="10" s="1"/>
  <c r="AX341" i="10"/>
  <c r="AS253" i="10"/>
  <c r="R253" i="10" s="1"/>
  <c r="AU253" i="10" s="1"/>
  <c r="BF253" i="10" s="1"/>
  <c r="BH253" i="10" s="1"/>
  <c r="AY307" i="10"/>
  <c r="BA307" i="10" s="1"/>
  <c r="AR253" i="10"/>
  <c r="AY306" i="10"/>
  <c r="BA306" i="10" s="1"/>
  <c r="AV228" i="10"/>
  <c r="BF167" i="10"/>
  <c r="BH167" i="10" s="1"/>
  <c r="BJ167" i="10" s="1"/>
  <c r="BK167" i="10" s="1"/>
  <c r="BL167" i="10" s="1"/>
  <c r="AR206" i="10"/>
  <c r="J206" i="10" s="1"/>
  <c r="AY206" i="10" s="1"/>
  <c r="BA206" i="10" s="1"/>
  <c r="BC206" i="10" s="1"/>
  <c r="BD206" i="10" s="1"/>
  <c r="BM206" i="10" s="1"/>
  <c r="AX131" i="10"/>
  <c r="AS236" i="10"/>
  <c r="R236" i="10" s="1"/>
  <c r="BF236" i="10" s="1"/>
  <c r="BH236" i="10" s="1"/>
  <c r="BJ236" i="10" s="1"/>
  <c r="AR191" i="10"/>
  <c r="J191" i="10" s="1"/>
  <c r="AT191" i="10" s="1"/>
  <c r="AV191" i="10" s="1"/>
  <c r="AX228" i="10"/>
  <c r="AS296" i="10"/>
  <c r="R296" i="10" s="1"/>
  <c r="AY296" i="10" s="1"/>
  <c r="BA296" i="10" s="1"/>
  <c r="AT190" i="10"/>
  <c r="AY190" i="10" s="1"/>
  <c r="BA190" i="10" s="1"/>
  <c r="BC190" i="10" s="1"/>
  <c r="BD190" i="10" s="1"/>
  <c r="BE190" i="10" s="1"/>
  <c r="AS190" i="10"/>
  <c r="R190" i="10" s="1"/>
  <c r="AU190" i="10" s="1"/>
  <c r="BF190" i="10" s="1"/>
  <c r="BH190" i="10" s="1"/>
  <c r="BJ190" i="10" s="1"/>
  <c r="BK190" i="10" s="1"/>
  <c r="BL190" i="10" s="1"/>
  <c r="AR132" i="10"/>
  <c r="J132" i="10" s="1"/>
  <c r="AY132" i="10" s="1"/>
  <c r="BA132" i="10" s="1"/>
  <c r="BC132" i="10" s="1"/>
  <c r="BD132" i="10" s="1"/>
  <c r="AX224" i="10"/>
  <c r="AV218" i="10"/>
  <c r="J289" i="10"/>
  <c r="AT153" i="10"/>
  <c r="AY153" i="10" s="1"/>
  <c r="BA153" i="10" s="1"/>
  <c r="BC153" i="10" s="1"/>
  <c r="BD153" i="10" s="1"/>
  <c r="AS311" i="10"/>
  <c r="BF369" i="10"/>
  <c r="BH369" i="10" s="1"/>
  <c r="AV369" i="10"/>
  <c r="AV355" i="10"/>
  <c r="BA369" i="10"/>
  <c r="BC369" i="10" s="1"/>
  <c r="BD369" i="10" s="1"/>
  <c r="AV373" i="10"/>
  <c r="AX373" i="10"/>
  <c r="BA373" i="10"/>
  <c r="BC373" i="10" s="1"/>
  <c r="BD373" i="10" s="1"/>
  <c r="AY131" i="10"/>
  <c r="BA131" i="10" s="1"/>
  <c r="BC131" i="10" s="1"/>
  <c r="BD131" i="10" s="1"/>
  <c r="BE131" i="10" s="1"/>
  <c r="AS336" i="10"/>
  <c r="R336" i="10" s="1"/>
  <c r="AU336" i="10" s="1"/>
  <c r="BF336" i="10" s="1"/>
  <c r="BH336" i="10" s="1"/>
  <c r="AX354" i="10"/>
  <c r="BF354" i="10"/>
  <c r="BH354" i="10" s="1"/>
  <c r="AX180" i="10"/>
  <c r="AU226" i="10"/>
  <c r="AX226" i="10" s="1"/>
  <c r="BF250" i="10"/>
  <c r="BH250" i="10" s="1"/>
  <c r="BJ250" i="10" s="1"/>
  <c r="BK250" i="10" s="1"/>
  <c r="BL250" i="10" s="1"/>
  <c r="AS258" i="10"/>
  <c r="AS366" i="10"/>
  <c r="R366" i="10" s="1"/>
  <c r="AR366" i="10"/>
  <c r="J366" i="10" s="1"/>
  <c r="BE362" i="10"/>
  <c r="BA356" i="10"/>
  <c r="BC356" i="10" s="1"/>
  <c r="BD356" i="10" s="1"/>
  <c r="BA354" i="10"/>
  <c r="BC354" i="10" s="1"/>
  <c r="BD354" i="10" s="1"/>
  <c r="AV356" i="10"/>
  <c r="AX356" i="10"/>
  <c r="AR363" i="10"/>
  <c r="J363" i="10" s="1"/>
  <c r="AS363" i="10"/>
  <c r="R363" i="10" s="1"/>
  <c r="AX139" i="10"/>
  <c r="BF352" i="10"/>
  <c r="BH352" i="10" s="1"/>
  <c r="AS360" i="10"/>
  <c r="R360" i="10" s="1"/>
  <c r="BH360" i="10"/>
  <c r="AR360" i="10"/>
  <c r="BE360" i="10"/>
  <c r="AX352" i="10"/>
  <c r="BA352" i="10"/>
  <c r="BC352" i="10" s="1"/>
  <c r="BD352" i="10" s="1"/>
  <c r="AS344" i="10"/>
  <c r="R344" i="10" s="1"/>
  <c r="AU344" i="10" s="1"/>
  <c r="BF344" i="10" s="1"/>
  <c r="BH344" i="10" s="1"/>
  <c r="BA355" i="10"/>
  <c r="BC355" i="10" s="1"/>
  <c r="BD355" i="10" s="1"/>
  <c r="BE355" i="10" s="1"/>
  <c r="AY286" i="10"/>
  <c r="BA286" i="10" s="1"/>
  <c r="AV248" i="10"/>
  <c r="AR258" i="10"/>
  <c r="J258" i="10" s="1"/>
  <c r="AT258" i="10" s="1"/>
  <c r="AX258" i="10" s="1"/>
  <c r="AR344" i="10"/>
  <c r="BH191" i="10"/>
  <c r="BJ191" i="10" s="1"/>
  <c r="BK191" i="10" s="1"/>
  <c r="BL191" i="10" s="1"/>
  <c r="AX232" i="10"/>
  <c r="AX248" i="10"/>
  <c r="AY341" i="10"/>
  <c r="BA341" i="10" s="1"/>
  <c r="BF283" i="10"/>
  <c r="BH283" i="10" s="1"/>
  <c r="BJ283" i="10" s="1"/>
  <c r="BK283" i="10" s="1"/>
  <c r="BL283" i="10" s="1"/>
  <c r="AV180" i="10"/>
  <c r="AS191" i="10"/>
  <c r="AV232" i="10"/>
  <c r="AX252" i="10"/>
  <c r="AX239" i="10"/>
  <c r="AY322" i="10"/>
  <c r="BA322" i="10" s="1"/>
  <c r="AV139" i="10"/>
  <c r="AS358" i="10"/>
  <c r="R358" i="10" s="1"/>
  <c r="AR358" i="10"/>
  <c r="J358" i="10" s="1"/>
  <c r="AX218" i="10"/>
  <c r="AV252" i="10"/>
  <c r="BF285" i="10"/>
  <c r="BH285" i="10" s="1"/>
  <c r="BF224" i="10"/>
  <c r="BH224" i="10" s="1"/>
  <c r="AR310" i="10"/>
  <c r="AV239" i="10"/>
  <c r="AR257" i="10"/>
  <c r="AS185" i="10"/>
  <c r="AY139" i="10"/>
  <c r="BA139" i="10" s="1"/>
  <c r="BC139" i="10" s="1"/>
  <c r="BD139" i="10" s="1"/>
  <c r="AY333" i="10"/>
  <c r="BA333" i="10" s="1"/>
  <c r="BC333" i="10" s="1"/>
  <c r="BD333" i="10" s="1"/>
  <c r="AX333" i="10"/>
  <c r="AV333" i="10"/>
  <c r="BA257" i="10"/>
  <c r="BC257" i="10" s="1"/>
  <c r="BD257" i="10" s="1"/>
  <c r="BE257" i="10" s="1"/>
  <c r="AX198" i="10"/>
  <c r="AV285" i="10"/>
  <c r="AY239" i="10"/>
  <c r="BA239" i="10" s="1"/>
  <c r="BD371" i="10"/>
  <c r="BE371" i="10" s="1"/>
  <c r="BF247" i="10"/>
  <c r="BH247" i="10" s="1"/>
  <c r="AR368" i="10"/>
  <c r="AT368" i="10"/>
  <c r="AT372" i="10"/>
  <c r="AR372" i="10"/>
  <c r="AS372" i="10"/>
  <c r="R372" i="10" s="1"/>
  <c r="AU372" i="10" s="1"/>
  <c r="BF372" i="10" s="1"/>
  <c r="BH372" i="10" s="1"/>
  <c r="AT272" i="10"/>
  <c r="AY272" i="10" s="1"/>
  <c r="BD351" i="10"/>
  <c r="AS353" i="10"/>
  <c r="R353" i="10" s="1"/>
  <c r="AU353" i="10" s="1"/>
  <c r="AR353" i="10"/>
  <c r="AT353" i="10"/>
  <c r="BE361" i="10"/>
  <c r="AU357" i="10"/>
  <c r="AT347" i="10"/>
  <c r="AR347" i="10"/>
  <c r="AS347" i="10"/>
  <c r="R347" i="10" s="1"/>
  <c r="AU347" i="10" s="1"/>
  <c r="BF347" i="10" s="1"/>
  <c r="BH347" i="10" s="1"/>
  <c r="BA336" i="10"/>
  <c r="BC336" i="10" s="1"/>
  <c r="BD336" i="10" s="1"/>
  <c r="BE336" i="10" s="1"/>
  <c r="AV198" i="10"/>
  <c r="BK345" i="10"/>
  <c r="BL345" i="10" s="1"/>
  <c r="AV247" i="10"/>
  <c r="BF272" i="10"/>
  <c r="BH272" i="10" s="1"/>
  <c r="BH328" i="10"/>
  <c r="BJ328" i="10" s="1"/>
  <c r="BK328" i="10" s="1"/>
  <c r="BL328" i="10" s="1"/>
  <c r="BA344" i="10"/>
  <c r="BC344" i="10" s="1"/>
  <c r="BD344" i="10" s="1"/>
  <c r="AX334" i="10"/>
  <c r="BF330" i="10"/>
  <c r="BH330" i="10" s="1"/>
  <c r="BK258" i="10"/>
  <c r="BL258" i="10" s="1"/>
  <c r="AV334" i="10"/>
  <c r="AS197" i="10"/>
  <c r="R197" i="10" s="1"/>
  <c r="BA197" i="10"/>
  <c r="BC197" i="10" s="1"/>
  <c r="AR197" i="10"/>
  <c r="AT197" i="10"/>
  <c r="AS196" i="10"/>
  <c r="AR196" i="10"/>
  <c r="J196" i="10" s="1"/>
  <c r="BH196" i="10"/>
  <c r="BJ196" i="10" s="1"/>
  <c r="BK196" i="10" s="1"/>
  <c r="BM196" i="10" s="1"/>
  <c r="AS173" i="10"/>
  <c r="R173" i="10" s="1"/>
  <c r="BA173" i="10"/>
  <c r="BC173" i="10" s="1"/>
  <c r="BD173" i="10" s="1"/>
  <c r="AR173" i="10"/>
  <c r="AT173" i="10"/>
  <c r="AR172" i="10"/>
  <c r="J172" i="10" s="1"/>
  <c r="AT172" i="10" s="1"/>
  <c r="AS172" i="10"/>
  <c r="R172" i="10" s="1"/>
  <c r="AV245" i="10"/>
  <c r="AX245" i="10"/>
  <c r="AY245" i="10"/>
  <c r="BA245" i="10" s="1"/>
  <c r="BC245" i="10" s="1"/>
  <c r="AS340" i="10"/>
  <c r="AT339" i="10"/>
  <c r="AR339" i="10"/>
  <c r="AS339" i="10"/>
  <c r="R339" i="10" s="1"/>
  <c r="AU339" i="10" s="1"/>
  <c r="BF339" i="10" s="1"/>
  <c r="BH339" i="10" s="1"/>
  <c r="AT338" i="10"/>
  <c r="AR338" i="10"/>
  <c r="AS338" i="10"/>
  <c r="R338" i="10" s="1"/>
  <c r="AU338" i="10" s="1"/>
  <c r="BF338" i="10" s="1"/>
  <c r="BH338" i="10" s="1"/>
  <c r="AT335" i="10"/>
  <c r="AR335" i="10"/>
  <c r="AS335" i="10"/>
  <c r="R335" i="10" s="1"/>
  <c r="AR342" i="10"/>
  <c r="J342" i="10" s="1"/>
  <c r="AT342" i="10" s="1"/>
  <c r="AS342" i="10"/>
  <c r="AU342" i="10"/>
  <c r="BK331" i="10"/>
  <c r="BL331" i="10" s="1"/>
  <c r="AT337" i="10"/>
  <c r="AR337" i="10"/>
  <c r="AS337" i="10"/>
  <c r="R337" i="10" s="1"/>
  <c r="AU337" i="10" s="1"/>
  <c r="BF337" i="10" s="1"/>
  <c r="BH337" i="10" s="1"/>
  <c r="AR365" i="10"/>
  <c r="AT365" i="10"/>
  <c r="AS365" i="10"/>
  <c r="R365" i="10" s="1"/>
  <c r="AU365" i="10" s="1"/>
  <c r="BF365" i="10" s="1"/>
  <c r="BH365" i="10" s="1"/>
  <c r="AV330" i="10"/>
  <c r="AX330" i="10"/>
  <c r="AY330" i="10"/>
  <c r="AR328" i="10"/>
  <c r="J328" i="10" s="1"/>
  <c r="AT328" i="10" s="1"/>
  <c r="AS328" i="10"/>
  <c r="AR326" i="10"/>
  <c r="J326" i="10" s="1"/>
  <c r="AS326" i="10"/>
  <c r="R326" i="10" s="1"/>
  <c r="BK322" i="10"/>
  <c r="BL322" i="10" s="1"/>
  <c r="AS321" i="10"/>
  <c r="R321" i="10" s="1"/>
  <c r="AU321" i="10" s="1"/>
  <c r="BF321" i="10" s="1"/>
  <c r="BH321" i="10" s="1"/>
  <c r="AR321" i="10"/>
  <c r="J321" i="10" s="1"/>
  <c r="AT321" i="10" s="1"/>
  <c r="AY321" i="10" s="1"/>
  <c r="BA321" i="10" s="1"/>
  <c r="BC321" i="10" s="1"/>
  <c r="I149" i="10"/>
  <c r="AR318" i="10"/>
  <c r="J318" i="10" s="1"/>
  <c r="AT318" i="10" s="1"/>
  <c r="AS318" i="10"/>
  <c r="AS317" i="10"/>
  <c r="AR317" i="10"/>
  <c r="J317" i="10" s="1"/>
  <c r="AT317" i="10" s="1"/>
  <c r="AU317" i="10"/>
  <c r="BF317" i="10" s="1"/>
  <c r="BH317" i="10" s="1"/>
  <c r="AS316" i="10"/>
  <c r="R316" i="10" s="1"/>
  <c r="AU316" i="10" s="1"/>
  <c r="AR316" i="10"/>
  <c r="BD316" i="10"/>
  <c r="AT324" i="10"/>
  <c r="AR324" i="10"/>
  <c r="AS324" i="10"/>
  <c r="R324" i="10" s="1"/>
  <c r="AU324" i="10" s="1"/>
  <c r="BF289" i="10"/>
  <c r="BH289" i="10" s="1"/>
  <c r="BJ289" i="10" s="1"/>
  <c r="BK289" i="10" s="1"/>
  <c r="BL289" i="10" s="1"/>
  <c r="AR299" i="10"/>
  <c r="J299" i="10" s="1"/>
  <c r="AT299" i="10" s="1"/>
  <c r="AS299" i="10"/>
  <c r="R299" i="10" s="1"/>
  <c r="AU299" i="10" s="1"/>
  <c r="BF299" i="10" s="1"/>
  <c r="BH299" i="10" s="1"/>
  <c r="AS305" i="10"/>
  <c r="BK307" i="10"/>
  <c r="BL307" i="10" s="1"/>
  <c r="AR304" i="10"/>
  <c r="J304" i="10" s="1"/>
  <c r="AS304" i="10"/>
  <c r="AR298" i="10"/>
  <c r="J298" i="10" s="1"/>
  <c r="AT298" i="10" s="1"/>
  <c r="AS298" i="10"/>
  <c r="R298" i="10" s="1"/>
  <c r="AS292" i="10"/>
  <c r="R292" i="10" s="1"/>
  <c r="AR292" i="10"/>
  <c r="J292" i="10" s="1"/>
  <c r="BE291" i="10"/>
  <c r="BD248" i="10"/>
  <c r="BE288" i="10"/>
  <c r="BK286" i="10"/>
  <c r="BL286" i="10" s="1"/>
  <c r="BD285" i="10"/>
  <c r="AS280" i="10"/>
  <c r="R280" i="10" s="1"/>
  <c r="AR280" i="10"/>
  <c r="AR279" i="10"/>
  <c r="AT279" i="10"/>
  <c r="AS279" i="10"/>
  <c r="R279" i="10" s="1"/>
  <c r="AU279" i="10" s="1"/>
  <c r="BF279" i="10" s="1"/>
  <c r="BH279" i="10" s="1"/>
  <c r="BE295" i="10"/>
  <c r="AS277" i="10"/>
  <c r="R277" i="10" s="1"/>
  <c r="AR277" i="10"/>
  <c r="AS276" i="10"/>
  <c r="R276" i="10" s="1"/>
  <c r="AU276" i="10" s="1"/>
  <c r="BF276" i="10" s="1"/>
  <c r="BH276" i="10" s="1"/>
  <c r="AR276" i="10"/>
  <c r="AT276" i="10"/>
  <c r="AS273" i="10"/>
  <c r="AS274" i="10"/>
  <c r="AR274" i="10"/>
  <c r="J274" i="10" s="1"/>
  <c r="AT274" i="10" s="1"/>
  <c r="AT271" i="10"/>
  <c r="AR271" i="10"/>
  <c r="AS271" i="10"/>
  <c r="R271" i="10" s="1"/>
  <c r="AU194" i="10"/>
  <c r="BF194" i="10" s="1"/>
  <c r="BH194" i="10" s="1"/>
  <c r="BJ194" i="10" s="1"/>
  <c r="AS194" i="10"/>
  <c r="AR194" i="10"/>
  <c r="J194" i="10" s="1"/>
  <c r="AT194" i="10" s="1"/>
  <c r="AT193" i="10"/>
  <c r="AR193" i="10"/>
  <c r="AS193" i="10"/>
  <c r="R193" i="10" s="1"/>
  <c r="AU193" i="10" s="1"/>
  <c r="BF193" i="10" s="1"/>
  <c r="BH193" i="10" s="1"/>
  <c r="BJ193" i="10" s="1"/>
  <c r="AR269" i="10"/>
  <c r="AS267" i="10"/>
  <c r="R267" i="10" s="1"/>
  <c r="AR267" i="10"/>
  <c r="BH267" i="10"/>
  <c r="BJ267" i="10" s="1"/>
  <c r="BK267" i="10" s="1"/>
  <c r="BM267" i="10" s="1"/>
  <c r="AS268" i="10"/>
  <c r="R268" i="10" s="1"/>
  <c r="AR268" i="10"/>
  <c r="BH268" i="10"/>
  <c r="BJ268" i="10" s="1"/>
  <c r="BK268" i="10" s="1"/>
  <c r="BM268" i="10" s="1"/>
  <c r="AS265" i="10"/>
  <c r="R265" i="10" s="1"/>
  <c r="AR265" i="10"/>
  <c r="AS263" i="10"/>
  <c r="AR262" i="10"/>
  <c r="J262" i="10" s="1"/>
  <c r="AT262" i="10" s="1"/>
  <c r="AS262" i="10"/>
  <c r="R262" i="10" s="1"/>
  <c r="AU262" i="10" s="1"/>
  <c r="BF262" i="10" s="1"/>
  <c r="BH262" i="10" s="1"/>
  <c r="AR261" i="10"/>
  <c r="J261" i="10" s="1"/>
  <c r="AT261" i="10" s="1"/>
  <c r="AS261" i="10"/>
  <c r="R261" i="10" s="1"/>
  <c r="BD264" i="10"/>
  <c r="BH160" i="10"/>
  <c r="BJ160" i="10" s="1"/>
  <c r="BK160" i="10" s="1"/>
  <c r="BL160" i="10" s="1"/>
  <c r="BH241" i="10"/>
  <c r="BJ241" i="10" s="1"/>
  <c r="BK241" i="10" s="1"/>
  <c r="BL241" i="10" s="1"/>
  <c r="AS302" i="10"/>
  <c r="R302" i="10" s="1"/>
  <c r="I308" i="10" s="1"/>
  <c r="AR302" i="10"/>
  <c r="AT302" i="10"/>
  <c r="AR303" i="10"/>
  <c r="J303" i="10" s="1"/>
  <c r="AT303" i="10" s="1"/>
  <c r="AS303" i="10"/>
  <c r="AU303" i="10"/>
  <c r="AT249" i="10"/>
  <c r="AR249" i="10"/>
  <c r="AS249" i="10"/>
  <c r="R249" i="10" s="1"/>
  <c r="AU249" i="10" s="1"/>
  <c r="BF249" i="10" s="1"/>
  <c r="BH249" i="10" s="1"/>
  <c r="AR241" i="10"/>
  <c r="J241" i="10" s="1"/>
  <c r="AT241" i="10" s="1"/>
  <c r="AS241" i="10"/>
  <c r="AS207" i="10"/>
  <c r="AR207" i="10"/>
  <c r="J207" i="10" s="1"/>
  <c r="AS238" i="10"/>
  <c r="AR238" i="10"/>
  <c r="J238" i="10" s="1"/>
  <c r="AY236" i="10"/>
  <c r="BA236" i="10" s="1"/>
  <c r="BC236" i="10" s="1"/>
  <c r="AY205" i="10"/>
  <c r="BA205" i="10" s="1"/>
  <c r="BC205" i="10" s="1"/>
  <c r="BF205" i="10"/>
  <c r="BH205" i="10" s="1"/>
  <c r="BJ205" i="10" s="1"/>
  <c r="AR205" i="10"/>
  <c r="AR235" i="10"/>
  <c r="J235" i="10" s="1"/>
  <c r="AT235" i="10" s="1"/>
  <c r="AS235" i="10"/>
  <c r="AR256" i="10"/>
  <c r="J256" i="10" s="1"/>
  <c r="AT256" i="10" s="1"/>
  <c r="AS256" i="10"/>
  <c r="BD226" i="10"/>
  <c r="BA253" i="10"/>
  <c r="BC253" i="10" s="1"/>
  <c r="BD253" i="10" s="1"/>
  <c r="BD247" i="10"/>
  <c r="AV141" i="10"/>
  <c r="AS222" i="10"/>
  <c r="AR222" i="10"/>
  <c r="J222" i="10" s="1"/>
  <c r="I221" i="10" s="1"/>
  <c r="BA222" i="10"/>
  <c r="BE220" i="10"/>
  <c r="AT216" i="10"/>
  <c r="AR216" i="10"/>
  <c r="AS216" i="10"/>
  <c r="R216" i="10" s="1"/>
  <c r="I217" i="10" s="1"/>
  <c r="AV227" i="10"/>
  <c r="AX227" i="10"/>
  <c r="AT229" i="10"/>
  <c r="AR229" i="10"/>
  <c r="AS229" i="10"/>
  <c r="R229" i="10" s="1"/>
  <c r="AU229" i="10" s="1"/>
  <c r="R225" i="10"/>
  <c r="AR225" i="10"/>
  <c r="J225" i="10" s="1"/>
  <c r="AT225" i="10" s="1"/>
  <c r="BD227" i="10"/>
  <c r="AT230" i="10"/>
  <c r="AR230" i="10"/>
  <c r="AS230" i="10"/>
  <c r="R230" i="10" s="1"/>
  <c r="AU230" i="10" s="1"/>
  <c r="BF230" i="10" s="1"/>
  <c r="BH230" i="10" s="1"/>
  <c r="AV200" i="10"/>
  <c r="AX141" i="10"/>
  <c r="AX200" i="10"/>
  <c r="AY141" i="10"/>
  <c r="BA141" i="10" s="1"/>
  <c r="BC141" i="10" s="1"/>
  <c r="BD141" i="10" s="1"/>
  <c r="BH188" i="10"/>
  <c r="BJ188" i="10" s="1"/>
  <c r="BK188" i="10" s="1"/>
  <c r="BL188" i="10" s="1"/>
  <c r="AR201" i="10"/>
  <c r="J201" i="10" s="1"/>
  <c r="AT201" i="10" s="1"/>
  <c r="AS201" i="10"/>
  <c r="R201" i="10" s="1"/>
  <c r="AR188" i="10"/>
  <c r="J188" i="10" s="1"/>
  <c r="AT188" i="10" s="1"/>
  <c r="AS188" i="10"/>
  <c r="AT202" i="10"/>
  <c r="AR202" i="10"/>
  <c r="AS202" i="10"/>
  <c r="R202" i="10" s="1"/>
  <c r="AU202" i="10" s="1"/>
  <c r="BF202" i="10" s="1"/>
  <c r="BH202" i="10" s="1"/>
  <c r="BD198" i="10"/>
  <c r="BK182" i="10"/>
  <c r="BL182" i="10" s="1"/>
  <c r="BE199" i="10"/>
  <c r="AT203" i="10"/>
  <c r="AR203" i="10"/>
  <c r="AS203" i="10"/>
  <c r="R203" i="10" s="1"/>
  <c r="BD181" i="10"/>
  <c r="BD180" i="10"/>
  <c r="AS140" i="10"/>
  <c r="R140" i="10" s="1"/>
  <c r="AR140" i="10"/>
  <c r="J140" i="10" s="1"/>
  <c r="BA184" i="10"/>
  <c r="BC184" i="10" s="1"/>
  <c r="BD184" i="10" s="1"/>
  <c r="AR204" i="10"/>
  <c r="AT204" i="10"/>
  <c r="AS204" i="10"/>
  <c r="R204" i="10" s="1"/>
  <c r="AU204" i="10" s="1"/>
  <c r="BF204" i="10" s="1"/>
  <c r="BH204" i="10" s="1"/>
  <c r="AS170" i="10"/>
  <c r="R170" i="10" s="1"/>
  <c r="AR170" i="10"/>
  <c r="AR162" i="10"/>
  <c r="J162" i="10" s="1"/>
  <c r="AT162" i="10" s="1"/>
  <c r="AS162" i="10"/>
  <c r="AU162" i="10"/>
  <c r="BF162" i="10" s="1"/>
  <c r="BH162" i="10" s="1"/>
  <c r="AS144" i="10"/>
  <c r="R144" i="10" s="1"/>
  <c r="AU144" i="10" s="1"/>
  <c r="BF144" i="10" s="1"/>
  <c r="BH144" i="10" s="1"/>
  <c r="BJ144" i="10" s="1"/>
  <c r="AR144" i="10"/>
  <c r="AT144" i="10"/>
  <c r="BF148" i="10"/>
  <c r="AV169" i="10"/>
  <c r="BF169" i="10"/>
  <c r="BH169" i="10" s="1"/>
  <c r="AR160" i="10"/>
  <c r="J160" i="10" s="1"/>
  <c r="AT160" i="10" s="1"/>
  <c r="AS160" i="10"/>
  <c r="AS143" i="10"/>
  <c r="R143" i="10" s="1"/>
  <c r="AR143" i="10"/>
  <c r="BA143" i="10"/>
  <c r="BC143" i="10" s="1"/>
  <c r="AR142" i="10"/>
  <c r="J142" i="10" s="1"/>
  <c r="AY142" i="10" s="1"/>
  <c r="BA142" i="10" s="1"/>
  <c r="BC142" i="10" s="1"/>
  <c r="BD142" i="10" s="1"/>
  <c r="BF142" i="10"/>
  <c r="BH142" i="10" s="1"/>
  <c r="BJ142" i="10" s="1"/>
  <c r="BK142" i="10" s="1"/>
  <c r="AR151" i="10"/>
  <c r="AU158" i="10"/>
  <c r="AR125" i="10"/>
  <c r="AS125" i="10"/>
  <c r="R125" i="10" s="1"/>
  <c r="AU125" i="10" s="1"/>
  <c r="BF125" i="10" s="1"/>
  <c r="BH125" i="10" s="1"/>
  <c r="BK131" i="10"/>
  <c r="BL131" i="10" s="1"/>
  <c r="AT148" i="10"/>
  <c r="AV148" i="10" s="1"/>
  <c r="AR119" i="10"/>
  <c r="J119" i="10" s="1"/>
  <c r="AT119" i="10" s="1"/>
  <c r="AY119" i="10" s="1"/>
  <c r="BA119" i="10" s="1"/>
  <c r="BC119" i="10" s="1"/>
  <c r="BD119" i="10" s="1"/>
  <c r="BF116" i="10"/>
  <c r="BH116" i="10" s="1"/>
  <c r="BJ116" i="10" s="1"/>
  <c r="BK116" i="10" s="1"/>
  <c r="BL116" i="10" s="1"/>
  <c r="AR116" i="10"/>
  <c r="J116" i="10" s="1"/>
  <c r="AY116" i="10" s="1"/>
  <c r="BA116" i="10" s="1"/>
  <c r="BC116" i="10" s="1"/>
  <c r="BD116" i="10" s="1"/>
  <c r="BE116" i="10" s="1"/>
  <c r="AX137" i="10"/>
  <c r="AY137" i="10"/>
  <c r="BA137" i="10" s="1"/>
  <c r="BC137" i="10" s="1"/>
  <c r="BD137" i="10" s="1"/>
  <c r="AX169" i="10"/>
  <c r="AR129" i="10"/>
  <c r="J129" i="10" s="1"/>
  <c r="AY129" i="10" s="1"/>
  <c r="BA129" i="10" s="1"/>
  <c r="BC129" i="10" s="1"/>
  <c r="AS156" i="10"/>
  <c r="R156" i="10" s="1"/>
  <c r="J156" i="10"/>
  <c r="BD169" i="10"/>
  <c r="AT136" i="10"/>
  <c r="AR136" i="10"/>
  <c r="AS136" i="10"/>
  <c r="R136" i="10" s="1"/>
  <c r="AY165" i="10"/>
  <c r="AV165" i="10"/>
  <c r="BE155" i="10"/>
  <c r="AX127" i="10"/>
  <c r="AV127" i="10"/>
  <c r="AT106" i="10"/>
  <c r="AY106" i="10" s="1"/>
  <c r="BA106" i="10" s="1"/>
  <c r="BC106" i="10" s="1"/>
  <c r="BD106" i="10" s="1"/>
  <c r="BA125" i="10"/>
  <c r="BC125" i="10" s="1"/>
  <c r="BD125" i="10" s="1"/>
  <c r="BF126" i="10"/>
  <c r="BH126" i="10" s="1"/>
  <c r="BJ126" i="10" s="1"/>
  <c r="AX126" i="10"/>
  <c r="AY126" i="10"/>
  <c r="BA126" i="10" s="1"/>
  <c r="AS119" i="10"/>
  <c r="AU119" i="10"/>
  <c r="AT45" i="10"/>
  <c r="AV45" i="10" s="1"/>
  <c r="AS124" i="10"/>
  <c r="AR124" i="10"/>
  <c r="J124" i="10" s="1"/>
  <c r="AT124" i="10" s="1"/>
  <c r="AU124" i="10"/>
  <c r="BF124" i="10" s="1"/>
  <c r="BH124" i="10" s="1"/>
  <c r="BH128" i="10"/>
  <c r="BJ128" i="10" s="1"/>
  <c r="BK128" i="10" s="1"/>
  <c r="BL128" i="10" s="1"/>
  <c r="AS122" i="10"/>
  <c r="R122" i="10" s="1"/>
  <c r="AU122" i="10" s="1"/>
  <c r="BF122" i="10" s="1"/>
  <c r="BH122" i="10" s="1"/>
  <c r="AR122" i="10"/>
  <c r="J122" i="10" s="1"/>
  <c r="AT122" i="10" s="1"/>
  <c r="AR45" i="10"/>
  <c r="AS121" i="10"/>
  <c r="R121" i="10" s="1"/>
  <c r="AR121" i="10"/>
  <c r="J121" i="10" s="1"/>
  <c r="AT121" i="10" s="1"/>
  <c r="AY93" i="10"/>
  <c r="BA93" i="10" s="1"/>
  <c r="AR117" i="10"/>
  <c r="J117" i="10" s="1"/>
  <c r="AT117" i="10" s="1"/>
  <c r="AS117" i="10"/>
  <c r="R117" i="10" s="1"/>
  <c r="AU117" i="10" s="1"/>
  <c r="AT46" i="10"/>
  <c r="AY46" i="10" s="1"/>
  <c r="BA46" i="10" s="1"/>
  <c r="BC46" i="10" s="1"/>
  <c r="AR35" i="10"/>
  <c r="J35" i="10" s="1"/>
  <c r="AT35" i="10" s="1"/>
  <c r="AV35" i="10" s="1"/>
  <c r="AX47" i="10"/>
  <c r="AS35" i="10"/>
  <c r="AV47" i="10"/>
  <c r="BF74" i="10"/>
  <c r="BH74" i="10" s="1"/>
  <c r="BJ74" i="10" s="1"/>
  <c r="BK74" i="10" s="1"/>
  <c r="BL74" i="10" s="1"/>
  <c r="BH35" i="10"/>
  <c r="BJ35" i="10" s="1"/>
  <c r="BK35" i="10" s="1"/>
  <c r="BL35" i="10" s="1"/>
  <c r="AR102" i="10"/>
  <c r="AV98" i="10"/>
  <c r="AV85" i="10"/>
  <c r="AY98" i="10"/>
  <c r="AX85" i="10"/>
  <c r="AV69" i="10"/>
  <c r="AS102" i="10"/>
  <c r="R102" i="10" s="1"/>
  <c r="BK111" i="10"/>
  <c r="BL111" i="10" s="1"/>
  <c r="AR113" i="10"/>
  <c r="AT113" i="10"/>
  <c r="AS113" i="10"/>
  <c r="R113" i="10" s="1"/>
  <c r="AU113" i="10" s="1"/>
  <c r="AS114" i="10"/>
  <c r="AR114" i="10"/>
  <c r="J114" i="10" s="1"/>
  <c r="AT114" i="10" s="1"/>
  <c r="AU114" i="10"/>
  <c r="BF114" i="10" s="1"/>
  <c r="BH114" i="10" s="1"/>
  <c r="BJ114" i="10" s="1"/>
  <c r="AX98" i="10"/>
  <c r="AV59" i="10"/>
  <c r="AR46" i="10"/>
  <c r="AX50" i="10"/>
  <c r="AV92" i="10"/>
  <c r="AY38" i="10"/>
  <c r="BA38" i="10" s="1"/>
  <c r="AS66" i="10"/>
  <c r="R66" i="10" s="1"/>
  <c r="BF66" i="10" s="1"/>
  <c r="BH66" i="10" s="1"/>
  <c r="BJ66" i="10" s="1"/>
  <c r="AV107" i="10"/>
  <c r="AY69" i="10"/>
  <c r="BA69" i="10" s="1"/>
  <c r="BC69" i="10" s="1"/>
  <c r="BD69" i="10" s="1"/>
  <c r="BF37" i="10"/>
  <c r="BH37" i="10" s="1"/>
  <c r="AR81" i="10"/>
  <c r="J81" i="10" s="1"/>
  <c r="AT81" i="10" s="1"/>
  <c r="AX81" i="10" s="1"/>
  <c r="BF107" i="10"/>
  <c r="BH107" i="10" s="1"/>
  <c r="BF51" i="10"/>
  <c r="BH51" i="10" s="1"/>
  <c r="AX88" i="10"/>
  <c r="BH101" i="10"/>
  <c r="BJ101" i="10" s="1"/>
  <c r="BK101" i="10" s="1"/>
  <c r="BL101" i="10" s="1"/>
  <c r="BA102" i="10"/>
  <c r="AV51" i="10"/>
  <c r="AV50" i="10"/>
  <c r="AY60" i="10"/>
  <c r="BA60" i="10" s="1"/>
  <c r="AR76" i="10"/>
  <c r="J76" i="10" s="1"/>
  <c r="AT76" i="10" s="1"/>
  <c r="AX69" i="10"/>
  <c r="AY31" i="10"/>
  <c r="AS77" i="10"/>
  <c r="AX31" i="10"/>
  <c r="AX59" i="10"/>
  <c r="AV88" i="10"/>
  <c r="AR80" i="10"/>
  <c r="BA80" i="10"/>
  <c r="BC80" i="10" s="1"/>
  <c r="BD80" i="10" s="1"/>
  <c r="AS80" i="10"/>
  <c r="R80" i="10" s="1"/>
  <c r="AU80" i="10" s="1"/>
  <c r="BF80" i="10" s="1"/>
  <c r="BH80" i="10" s="1"/>
  <c r="AT80" i="10"/>
  <c r="AX92" i="10"/>
  <c r="AY92" i="10"/>
  <c r="AX89" i="10"/>
  <c r="AV89" i="10"/>
  <c r="AT123" i="10"/>
  <c r="AR123" i="10"/>
  <c r="AS123" i="10"/>
  <c r="R123" i="10" s="1"/>
  <c r="BK108" i="10"/>
  <c r="BL108" i="10" s="1"/>
  <c r="AT110" i="10"/>
  <c r="AR110" i="10"/>
  <c r="AS110" i="10"/>
  <c r="R110" i="10" s="1"/>
  <c r="AU110" i="10" s="1"/>
  <c r="AS105" i="10"/>
  <c r="R105" i="10" s="1"/>
  <c r="AU105" i="10" s="1"/>
  <c r="AT105" i="10"/>
  <c r="AR105" i="10"/>
  <c r="BD107" i="10"/>
  <c r="BK99" i="10"/>
  <c r="BL99" i="10" s="1"/>
  <c r="BK96" i="10"/>
  <c r="BL96" i="10" s="1"/>
  <c r="BK93" i="10"/>
  <c r="BL93" i="10" s="1"/>
  <c r="BK90" i="10"/>
  <c r="BL90" i="10" s="1"/>
  <c r="BD89" i="10"/>
  <c r="BK86" i="10"/>
  <c r="BL86" i="10" s="1"/>
  <c r="BD85" i="10"/>
  <c r="BD88" i="10"/>
  <c r="AR34" i="10"/>
  <c r="BK83" i="10"/>
  <c r="BL83" i="10" s="1"/>
  <c r="AS82" i="10"/>
  <c r="AR82" i="10"/>
  <c r="J82" i="10" s="1"/>
  <c r="AR15" i="10"/>
  <c r="AU76" i="10"/>
  <c r="BF76" i="10" s="1"/>
  <c r="BH76" i="10" s="1"/>
  <c r="I78" i="10"/>
  <c r="AT71" i="10"/>
  <c r="AR71" i="10"/>
  <c r="AS71" i="10"/>
  <c r="R71" i="10" s="1"/>
  <c r="AU71" i="10" s="1"/>
  <c r="BF71" i="10" s="1"/>
  <c r="BH71" i="10" s="1"/>
  <c r="AT70" i="10"/>
  <c r="AR70" i="10"/>
  <c r="AS70" i="10"/>
  <c r="R70" i="10" s="1"/>
  <c r="AU70" i="10" s="1"/>
  <c r="AT68" i="10"/>
  <c r="AR68" i="10"/>
  <c r="AS68" i="10"/>
  <c r="R68" i="10" s="1"/>
  <c r="AU68" i="10" s="1"/>
  <c r="BF68" i="10" s="1"/>
  <c r="BH68" i="10" s="1"/>
  <c r="AS52" i="10"/>
  <c r="R52" i="10" s="1"/>
  <c r="AR52" i="10"/>
  <c r="BA52" i="10"/>
  <c r="BC52" i="10" s="1"/>
  <c r="AY12" i="10"/>
  <c r="BA12" i="10" s="1"/>
  <c r="BC12" i="10" s="1"/>
  <c r="BD12" i="10" s="1"/>
  <c r="AY29" i="10"/>
  <c r="BA29" i="10" s="1"/>
  <c r="BK29" i="10"/>
  <c r="BL29" i="10" s="1"/>
  <c r="BD34" i="10"/>
  <c r="AV40" i="10"/>
  <c r="AS34" i="10"/>
  <c r="R34" i="10" s="1"/>
  <c r="AU34" i="10" s="1"/>
  <c r="BE62" i="10"/>
  <c r="BK60" i="10"/>
  <c r="BL60" i="10" s="1"/>
  <c r="BF40" i="10"/>
  <c r="BH40" i="10" s="1"/>
  <c r="AV12" i="10"/>
  <c r="AR43" i="10"/>
  <c r="AR42" i="10"/>
  <c r="J42" i="10" s="1"/>
  <c r="AS42" i="10"/>
  <c r="R42" i="10" s="1"/>
  <c r="AR49" i="10"/>
  <c r="J49" i="10" s="1"/>
  <c r="AT49" i="10" s="1"/>
  <c r="AS49" i="10"/>
  <c r="R49" i="10" s="1"/>
  <c r="AU49" i="10" s="1"/>
  <c r="BF49" i="10" s="1"/>
  <c r="BH49" i="10" s="1"/>
  <c r="AR55" i="10"/>
  <c r="J55" i="10" s="1"/>
  <c r="AT55" i="10" s="1"/>
  <c r="AS55" i="10"/>
  <c r="R55" i="10" s="1"/>
  <c r="AU55" i="10" s="1"/>
  <c r="BF55" i="10" s="1"/>
  <c r="BH55" i="10" s="1"/>
  <c r="BJ55" i="10" s="1"/>
  <c r="BK55" i="10" s="1"/>
  <c r="BL55" i="10" s="1"/>
  <c r="AT48" i="10"/>
  <c r="AR48" i="10"/>
  <c r="AS48" i="10"/>
  <c r="R48" i="10" s="1"/>
  <c r="AU48" i="10" s="1"/>
  <c r="BF48" i="10" s="1"/>
  <c r="BH48" i="10" s="1"/>
  <c r="AR44" i="10"/>
  <c r="AR5" i="10"/>
  <c r="BE65" i="10"/>
  <c r="BD47" i="10"/>
  <c r="AX21" i="10"/>
  <c r="AS5" i="10"/>
  <c r="R5" i="10" s="1"/>
  <c r="AU5" i="10" s="1"/>
  <c r="AV5" i="10" s="1"/>
  <c r="BE37" i="10"/>
  <c r="AS3" i="10"/>
  <c r="R3" i="10" s="1"/>
  <c r="AU3" i="10" s="1"/>
  <c r="AV3" i="10" s="1"/>
  <c r="AX12" i="10"/>
  <c r="BF12" i="10"/>
  <c r="BH12" i="10" s="1"/>
  <c r="BF21" i="10"/>
  <c r="BH21" i="10" s="1"/>
  <c r="AR3" i="10"/>
  <c r="AR14" i="10"/>
  <c r="AT19" i="10"/>
  <c r="AR19" i="10"/>
  <c r="AS19" i="10"/>
  <c r="R19" i="10" s="1"/>
  <c r="AU19" i="10" s="1"/>
  <c r="BF19" i="10" s="1"/>
  <c r="BH19" i="10" s="1"/>
  <c r="BE28" i="10"/>
  <c r="BK28" i="10"/>
  <c r="BK32" i="10"/>
  <c r="BL32" i="10" s="1"/>
  <c r="AV21" i="10"/>
  <c r="BD25" i="10"/>
  <c r="BF23" i="10"/>
  <c r="BH23" i="10" s="1"/>
  <c r="BJ23" i="10" s="1"/>
  <c r="BK23" i="10" s="1"/>
  <c r="BL23" i="10" s="1"/>
  <c r="AS73" i="10"/>
  <c r="AR73" i="10"/>
  <c r="J73" i="10" s="1"/>
  <c r="AT73" i="10" s="1"/>
  <c r="AU73" i="10"/>
  <c r="AT20" i="10"/>
  <c r="AR20" i="10"/>
  <c r="AS20" i="10"/>
  <c r="R20" i="10" s="1"/>
  <c r="AU20" i="10" s="1"/>
  <c r="BF20" i="10" s="1"/>
  <c r="BH20" i="10" s="1"/>
  <c r="AT18" i="10"/>
  <c r="AR18" i="10"/>
  <c r="AS18" i="10"/>
  <c r="R18" i="10" s="1"/>
  <c r="AU18" i="10" s="1"/>
  <c r="BF18" i="10" s="1"/>
  <c r="BH18" i="10" s="1"/>
  <c r="AT17" i="10"/>
  <c r="AR17" i="10"/>
  <c r="AS17" i="10"/>
  <c r="R17" i="10" s="1"/>
  <c r="AU17" i="10" s="1"/>
  <c r="BF17" i="10" s="1"/>
  <c r="BH17" i="10" s="1"/>
  <c r="AR6" i="10"/>
  <c r="AS9" i="10"/>
  <c r="R9" i="10" s="1"/>
  <c r="I10" i="10" s="1"/>
  <c r="AR9" i="10"/>
  <c r="AS7" i="10"/>
  <c r="R7" i="10" s="1"/>
  <c r="AR7" i="10"/>
  <c r="J7" i="10" s="1"/>
  <c r="BA5" i="10"/>
  <c r="BC5" i="10" s="1"/>
  <c r="BD5" i="10" s="1"/>
  <c r="BA3" i="10"/>
  <c r="BC3" i="10" s="1"/>
  <c r="AS4" i="10"/>
  <c r="R4" i="10" s="1"/>
  <c r="AR4" i="10"/>
  <c r="J4" i="10" s="1"/>
  <c r="AT4" i="10" s="1"/>
  <c r="AT72" i="10"/>
  <c r="AR72" i="10"/>
  <c r="AS72" i="10"/>
  <c r="R72" i="10" s="1"/>
  <c r="BE412" i="10" l="1"/>
  <c r="BF633" i="10"/>
  <c r="BH633" i="10" s="1"/>
  <c r="AX633" i="10"/>
  <c r="AV633" i="10"/>
  <c r="J507" i="10"/>
  <c r="AY560" i="10"/>
  <c r="BA560" i="10" s="1"/>
  <c r="BC560" i="10" s="1"/>
  <c r="BD560" i="10" s="1"/>
  <c r="I618" i="10"/>
  <c r="I637" i="10"/>
  <c r="AX653" i="10"/>
  <c r="AV653" i="10"/>
  <c r="AY653" i="10"/>
  <c r="BA653" i="10" s="1"/>
  <c r="BC653" i="10" s="1"/>
  <c r="AX652" i="10"/>
  <c r="AV652" i="10"/>
  <c r="AY652" i="10"/>
  <c r="BA652" i="10" s="1"/>
  <c r="BC652" i="10" s="1"/>
  <c r="AX651" i="10"/>
  <c r="AV651" i="10"/>
  <c r="AY651" i="10"/>
  <c r="BA651" i="10" s="1"/>
  <c r="BC651" i="10" s="1"/>
  <c r="AX654" i="10"/>
  <c r="AV654" i="10"/>
  <c r="AY654" i="10"/>
  <c r="BA654" i="10" s="1"/>
  <c r="BC654" i="10" s="1"/>
  <c r="AU648" i="10"/>
  <c r="BF648" i="10" s="1"/>
  <c r="BH648" i="10" s="1"/>
  <c r="AX649" i="10"/>
  <c r="AV649" i="10"/>
  <c r="AY649" i="10"/>
  <c r="BA649" i="10" s="1"/>
  <c r="BC649" i="10" s="1"/>
  <c r="BE693" i="10"/>
  <c r="AX650" i="10"/>
  <c r="AV650" i="10"/>
  <c r="AY650" i="10"/>
  <c r="BA650" i="10" s="1"/>
  <c r="BC650" i="10" s="1"/>
  <c r="BL691" i="10"/>
  <c r="AY691" i="10"/>
  <c r="AY648" i="10"/>
  <c r="BA648" i="10" s="1"/>
  <c r="BC648" i="10" s="1"/>
  <c r="AY689" i="10"/>
  <c r="BA689" i="10" s="1"/>
  <c r="BC689" i="10" s="1"/>
  <c r="AY688" i="10"/>
  <c r="BA688" i="10" s="1"/>
  <c r="BC688" i="10" s="1"/>
  <c r="AY687" i="10"/>
  <c r="BA687" i="10" s="1"/>
  <c r="BC687" i="10" s="1"/>
  <c r="BL663" i="10"/>
  <c r="AX663" i="10"/>
  <c r="AV663" i="10"/>
  <c r="AY663" i="10"/>
  <c r="BA663" i="10" s="1"/>
  <c r="BC663" i="10" s="1"/>
  <c r="BE658" i="10"/>
  <c r="AX657" i="10"/>
  <c r="AV657" i="10"/>
  <c r="AY657" i="10"/>
  <c r="BA657" i="10" s="1"/>
  <c r="BC657" i="10" s="1"/>
  <c r="BF678" i="10"/>
  <c r="BH678" i="10" s="1"/>
  <c r="AY678" i="10"/>
  <c r="BA678" i="10" s="1"/>
  <c r="BC678" i="10" s="1"/>
  <c r="BL685" i="10"/>
  <c r="AX685" i="10"/>
  <c r="AV685" i="10"/>
  <c r="AY685" i="10"/>
  <c r="BA685" i="10" s="1"/>
  <c r="BC685" i="10" s="1"/>
  <c r="BL683" i="10"/>
  <c r="AX683" i="10"/>
  <c r="AV683" i="10"/>
  <c r="AY683" i="10"/>
  <c r="BA683" i="10" s="1"/>
  <c r="BC683" i="10" s="1"/>
  <c r="AX661" i="10"/>
  <c r="AV661" i="10"/>
  <c r="AY661" i="10"/>
  <c r="BA661" i="10" s="1"/>
  <c r="BC661" i="10" s="1"/>
  <c r="AY586" i="10"/>
  <c r="BA586" i="10" s="1"/>
  <c r="BC586" i="10" s="1"/>
  <c r="BD586" i="10" s="1"/>
  <c r="AV586" i="10"/>
  <c r="AX586" i="10"/>
  <c r="BK483" i="10"/>
  <c r="AV570" i="10"/>
  <c r="AX570" i="10"/>
  <c r="AY570" i="10"/>
  <c r="BA570" i="10" s="1"/>
  <c r="BC570" i="10" s="1"/>
  <c r="BD570" i="10" s="1"/>
  <c r="AY214" i="10"/>
  <c r="BA214" i="10" s="1"/>
  <c r="BF214" i="10"/>
  <c r="BH214" i="10" s="1"/>
  <c r="BJ214" i="10" s="1"/>
  <c r="BK214" i="10" s="1"/>
  <c r="BL214" i="10" s="1"/>
  <c r="AX559" i="10"/>
  <c r="AY559" i="10"/>
  <c r="BA559" i="10" s="1"/>
  <c r="BC559" i="10" s="1"/>
  <c r="AV559" i="10"/>
  <c r="AX550" i="10"/>
  <c r="AY550" i="10"/>
  <c r="BA550" i="10" s="1"/>
  <c r="BC550" i="10" s="1"/>
  <c r="AV550" i="10"/>
  <c r="AY509" i="10"/>
  <c r="BA509" i="10" s="1"/>
  <c r="BC509" i="10" s="1"/>
  <c r="BD509" i="10" s="1"/>
  <c r="AV509" i="10"/>
  <c r="AX509" i="10"/>
  <c r="AY506" i="10"/>
  <c r="BA506" i="10" s="1"/>
  <c r="BC506" i="10" s="1"/>
  <c r="BD506" i="10" s="1"/>
  <c r="AV506" i="10"/>
  <c r="AX506" i="10"/>
  <c r="BM484" i="10"/>
  <c r="BE484" i="10"/>
  <c r="BN484" i="10" s="1"/>
  <c r="AX623" i="10"/>
  <c r="AY623" i="10"/>
  <c r="BA623" i="10" s="1"/>
  <c r="BC623" i="10" s="1"/>
  <c r="AV623" i="10"/>
  <c r="BM487" i="10"/>
  <c r="BE487" i="10"/>
  <c r="BN487" i="10" s="1"/>
  <c r="BK681" i="10"/>
  <c r="BL681" i="10" s="1"/>
  <c r="AX681" i="10"/>
  <c r="AV681" i="10"/>
  <c r="AY681" i="10"/>
  <c r="BA681" i="10" s="1"/>
  <c r="BC681" i="10" s="1"/>
  <c r="BE642" i="10"/>
  <c r="AU614" i="10"/>
  <c r="BF614" i="10" s="1"/>
  <c r="BH614" i="10" s="1"/>
  <c r="AU632" i="10"/>
  <c r="BF632" i="10" s="1"/>
  <c r="BH632" i="10" s="1"/>
  <c r="AS637" i="10"/>
  <c r="R637" i="10" s="1"/>
  <c r="AU637" i="10" s="1"/>
  <c r="BF637" i="10" s="1"/>
  <c r="BH637" i="10" s="1"/>
  <c r="BJ637" i="10" s="1"/>
  <c r="BK637" i="10" s="1"/>
  <c r="BL637" i="10" s="1"/>
  <c r="J637" i="10"/>
  <c r="AT637" i="10" s="1"/>
  <c r="AU629" i="10"/>
  <c r="BF629" i="10" s="1"/>
  <c r="BH629" i="10" s="1"/>
  <c r="AX632" i="10"/>
  <c r="AV632" i="10"/>
  <c r="AY632" i="10"/>
  <c r="BA632" i="10" s="1"/>
  <c r="BC632" i="10" s="1"/>
  <c r="BE645" i="10"/>
  <c r="BE633" i="10"/>
  <c r="AU639" i="10"/>
  <c r="BF639" i="10" s="1"/>
  <c r="BH639" i="10" s="1"/>
  <c r="AS640" i="10"/>
  <c r="R640" i="10" s="1"/>
  <c r="AU640" i="10" s="1"/>
  <c r="BF640" i="10" s="1"/>
  <c r="BH640" i="10" s="1"/>
  <c r="BJ640" i="10" s="1"/>
  <c r="BK640" i="10" s="1"/>
  <c r="BL640" i="10" s="1"/>
  <c r="J640" i="10"/>
  <c r="AT640" i="10" s="1"/>
  <c r="AY640" i="10"/>
  <c r="BA640" i="10" s="1"/>
  <c r="AU624" i="10"/>
  <c r="BF624" i="10" s="1"/>
  <c r="BH624" i="10" s="1"/>
  <c r="I625" i="10"/>
  <c r="AX624" i="10"/>
  <c r="AV624" i="10"/>
  <c r="AY624" i="10"/>
  <c r="BA624" i="10" s="1"/>
  <c r="BC624" i="10" s="1"/>
  <c r="AV639" i="10"/>
  <c r="AY639" i="10"/>
  <c r="BA639" i="10" s="1"/>
  <c r="BC639" i="10" s="1"/>
  <c r="BL635" i="10"/>
  <c r="AX635" i="10"/>
  <c r="AV635" i="10"/>
  <c r="AY635" i="10"/>
  <c r="BA635" i="10" s="1"/>
  <c r="AX630" i="10"/>
  <c r="AV630" i="10"/>
  <c r="AY630" i="10"/>
  <c r="BA630" i="10" s="1"/>
  <c r="BC630" i="10" s="1"/>
  <c r="AY680" i="10"/>
  <c r="AX631" i="10"/>
  <c r="AV631" i="10"/>
  <c r="AY631" i="10"/>
  <c r="BA631" i="10" s="1"/>
  <c r="BC631" i="10" s="1"/>
  <c r="AY629" i="10"/>
  <c r="BA629" i="10" s="1"/>
  <c r="BC629" i="10" s="1"/>
  <c r="BE622" i="10"/>
  <c r="AU608" i="10"/>
  <c r="BF608" i="10" s="1"/>
  <c r="BH608" i="10" s="1"/>
  <c r="AX613" i="10"/>
  <c r="AV613" i="10"/>
  <c r="AY613" i="10"/>
  <c r="BA613" i="10" s="1"/>
  <c r="BC613" i="10" s="1"/>
  <c r="AX614" i="10"/>
  <c r="AV614" i="10"/>
  <c r="AY614" i="10"/>
  <c r="BA614" i="10" s="1"/>
  <c r="BC614" i="10" s="1"/>
  <c r="AX606" i="10"/>
  <c r="AV606" i="10"/>
  <c r="AY606" i="10"/>
  <c r="BA606" i="10" s="1"/>
  <c r="BC606" i="10" s="1"/>
  <c r="AU583" i="10"/>
  <c r="I589" i="10"/>
  <c r="R616" i="10"/>
  <c r="BF620" i="10"/>
  <c r="BH620" i="10" s="1"/>
  <c r="BJ620" i="10" s="1"/>
  <c r="BK620" i="10" s="1"/>
  <c r="BL620" i="10" s="1"/>
  <c r="AY616" i="10"/>
  <c r="AX615" i="10"/>
  <c r="AV615" i="10"/>
  <c r="AY615" i="10"/>
  <c r="BA615" i="10" s="1"/>
  <c r="BC615" i="10" s="1"/>
  <c r="AY620" i="10"/>
  <c r="BA620" i="10" s="1"/>
  <c r="BC620" i="10" s="1"/>
  <c r="AY611" i="10"/>
  <c r="BA611" i="10" s="1"/>
  <c r="BC611" i="10" s="1"/>
  <c r="BE612" i="10"/>
  <c r="AX610" i="10"/>
  <c r="AV610" i="10"/>
  <c r="AY610" i="10"/>
  <c r="BA610" i="10" s="1"/>
  <c r="BC610" i="10" s="1"/>
  <c r="AX609" i="10"/>
  <c r="AV609" i="10"/>
  <c r="AY609" i="10"/>
  <c r="BA609" i="10" s="1"/>
  <c r="BC609" i="10" s="1"/>
  <c r="AX608" i="10"/>
  <c r="AV608" i="10"/>
  <c r="AY608" i="10"/>
  <c r="BA608" i="10" s="1"/>
  <c r="BC608" i="10" s="1"/>
  <c r="BF602" i="10"/>
  <c r="BH602" i="10" s="1"/>
  <c r="BJ602" i="10" s="1"/>
  <c r="AY602" i="10"/>
  <c r="BA602" i="10" s="1"/>
  <c r="AX601" i="10"/>
  <c r="AV601" i="10"/>
  <c r="AY601" i="10"/>
  <c r="BA601" i="10" s="1"/>
  <c r="BC601" i="10" s="1"/>
  <c r="BF599" i="10"/>
  <c r="BH599" i="10" s="1"/>
  <c r="BJ599" i="10" s="1"/>
  <c r="AY599" i="10"/>
  <c r="BA599" i="10" s="1"/>
  <c r="AX598" i="10"/>
  <c r="AV598" i="10"/>
  <c r="AY598" i="10"/>
  <c r="BA598" i="10" s="1"/>
  <c r="BC598" i="10" s="1"/>
  <c r="AU585" i="10"/>
  <c r="BF585" i="10" s="1"/>
  <c r="BH585" i="10" s="1"/>
  <c r="AU576" i="10"/>
  <c r="AU592" i="10"/>
  <c r="BF592" i="10" s="1"/>
  <c r="BH592" i="10" s="1"/>
  <c r="BE584" i="10"/>
  <c r="BE594" i="10"/>
  <c r="R581" i="10"/>
  <c r="I588" i="10" s="1"/>
  <c r="AY592" i="10"/>
  <c r="BA592" i="10" s="1"/>
  <c r="BC592" i="10" s="1"/>
  <c r="AX579" i="10"/>
  <c r="AV579" i="10"/>
  <c r="AY579" i="10"/>
  <c r="BA579" i="10" s="1"/>
  <c r="BC579" i="10" s="1"/>
  <c r="AY585" i="10"/>
  <c r="BA585" i="10" s="1"/>
  <c r="BC585" i="10" s="1"/>
  <c r="AY583" i="10"/>
  <c r="BA583" i="10" s="1"/>
  <c r="BC583" i="10" s="1"/>
  <c r="AX582" i="10"/>
  <c r="AV582" i="10"/>
  <c r="AY582" i="10"/>
  <c r="BA582" i="10" s="1"/>
  <c r="BC582" i="10" s="1"/>
  <c r="D7" i="12" a="1"/>
  <c r="D7" i="12" s="1"/>
  <c r="BE566" i="10"/>
  <c r="BL569" i="10"/>
  <c r="AX569" i="10"/>
  <c r="AV569" i="10"/>
  <c r="AY569" i="10"/>
  <c r="BA569" i="10" s="1"/>
  <c r="BC569" i="10" s="1"/>
  <c r="BE565" i="10"/>
  <c r="AY581" i="10"/>
  <c r="BA581" i="10" s="1"/>
  <c r="BC581" i="10" s="1"/>
  <c r="AY576" i="10"/>
  <c r="BA576" i="10" s="1"/>
  <c r="BC576" i="10" s="1"/>
  <c r="AU558" i="10"/>
  <c r="BF558" i="10" s="1"/>
  <c r="BH558" i="10" s="1"/>
  <c r="I563" i="10"/>
  <c r="AX562" i="10"/>
  <c r="AV562" i="10"/>
  <c r="AY562" i="10"/>
  <c r="BA562" i="10" s="1"/>
  <c r="BC562" i="10" s="1"/>
  <c r="AX561" i="10"/>
  <c r="AV561" i="10"/>
  <c r="AY561" i="10"/>
  <c r="BA561" i="10" s="1"/>
  <c r="BC561" i="10" s="1"/>
  <c r="BE560" i="10"/>
  <c r="AX556" i="10"/>
  <c r="AV556" i="10"/>
  <c r="AY556" i="10"/>
  <c r="BA556" i="10" s="1"/>
  <c r="BC556" i="10" s="1"/>
  <c r="AX558" i="10"/>
  <c r="AY558" i="10"/>
  <c r="BA558" i="10" s="1"/>
  <c r="BC558" i="10" s="1"/>
  <c r="AU551" i="10"/>
  <c r="BF551" i="10" s="1"/>
  <c r="BH551" i="10" s="1"/>
  <c r="I553" i="10"/>
  <c r="AU546" i="10"/>
  <c r="BF546" i="10" s="1"/>
  <c r="BH546" i="10" s="1"/>
  <c r="I554" i="10"/>
  <c r="BE549" i="10"/>
  <c r="AV546" i="10"/>
  <c r="AY546" i="10"/>
  <c r="BA546" i="10" s="1"/>
  <c r="BC546" i="10" s="1"/>
  <c r="AX551" i="10"/>
  <c r="AY551" i="10"/>
  <c r="BA551" i="10" s="1"/>
  <c r="BC551" i="10" s="1"/>
  <c r="AX548" i="10"/>
  <c r="AV548" i="10"/>
  <c r="AY548" i="10"/>
  <c r="BA548" i="10" s="1"/>
  <c r="BC548" i="10" s="1"/>
  <c r="BE545" i="10"/>
  <c r="AX547" i="10"/>
  <c r="AV547" i="10"/>
  <c r="AY547" i="10"/>
  <c r="BA547" i="10" s="1"/>
  <c r="BC547" i="10" s="1"/>
  <c r="BE552" i="10"/>
  <c r="AX533" i="10"/>
  <c r="AV533" i="10"/>
  <c r="AY533" i="10"/>
  <c r="BA533" i="10" s="1"/>
  <c r="BC533" i="10" s="1"/>
  <c r="BL543" i="10"/>
  <c r="AX543" i="10"/>
  <c r="AV543" i="10"/>
  <c r="AY543" i="10"/>
  <c r="BA543" i="10" s="1"/>
  <c r="BC543" i="10" s="1"/>
  <c r="AT540" i="10"/>
  <c r="Q541" i="10"/>
  <c r="AU536" i="10"/>
  <c r="BF536" i="10" s="1"/>
  <c r="BH536" i="10" s="1"/>
  <c r="AX535" i="10"/>
  <c r="AV535" i="10"/>
  <c r="AY535" i="10"/>
  <c r="BA535" i="10" s="1"/>
  <c r="BC535" i="10" s="1"/>
  <c r="AX536" i="10"/>
  <c r="AY536" i="10"/>
  <c r="BA536" i="10" s="1"/>
  <c r="BC536" i="10" s="1"/>
  <c r="AX534" i="10"/>
  <c r="AV534" i="10"/>
  <c r="AY534" i="10"/>
  <c r="BA534" i="10" s="1"/>
  <c r="BC534" i="10" s="1"/>
  <c r="BE531" i="10"/>
  <c r="BF531" i="10"/>
  <c r="BH531" i="10" s="1"/>
  <c r="BJ531" i="10" s="1"/>
  <c r="AX528" i="10"/>
  <c r="AV528" i="10"/>
  <c r="AY528" i="10"/>
  <c r="BA528" i="10" s="1"/>
  <c r="BC528" i="10" s="1"/>
  <c r="AX521" i="10"/>
  <c r="AV521" i="10"/>
  <c r="AY521" i="10"/>
  <c r="BA521" i="10" s="1"/>
  <c r="BC521" i="10" s="1"/>
  <c r="R512" i="10"/>
  <c r="AX513" i="10"/>
  <c r="AV513" i="10"/>
  <c r="AY513" i="10"/>
  <c r="BA513" i="10" s="1"/>
  <c r="BC513" i="10" s="1"/>
  <c r="AY512" i="10"/>
  <c r="BA512" i="10" s="1"/>
  <c r="BC512" i="10" s="1"/>
  <c r="AY507" i="10"/>
  <c r="BA507" i="10" s="1"/>
  <c r="BF507" i="10"/>
  <c r="BH507" i="10" s="1"/>
  <c r="BJ507" i="10" s="1"/>
  <c r="BK507" i="10" s="1"/>
  <c r="BL507" i="10" s="1"/>
  <c r="BE509" i="10"/>
  <c r="BK519" i="10"/>
  <c r="BL519" i="10" s="1"/>
  <c r="AX519" i="10"/>
  <c r="AV519" i="10"/>
  <c r="AY519" i="10"/>
  <c r="BA519" i="10" s="1"/>
  <c r="BC519" i="10" s="1"/>
  <c r="AU496" i="10"/>
  <c r="AX496" i="10" s="1"/>
  <c r="AX497" i="10"/>
  <c r="AV497" i="10"/>
  <c r="AY497" i="10"/>
  <c r="BA497" i="10" s="1"/>
  <c r="BC497" i="10" s="1"/>
  <c r="BF499" i="10"/>
  <c r="BH499" i="10" s="1"/>
  <c r="AY496" i="10"/>
  <c r="BA496" i="10" s="1"/>
  <c r="BC496" i="10" s="1"/>
  <c r="BE503" i="10"/>
  <c r="AX492" i="10"/>
  <c r="AV492" i="10"/>
  <c r="AY492" i="10"/>
  <c r="BA492" i="10" s="1"/>
  <c r="BC492" i="10" s="1"/>
  <c r="AU489" i="10"/>
  <c r="BF489" i="10" s="1"/>
  <c r="BH489" i="10" s="1"/>
  <c r="BF490" i="10"/>
  <c r="BH490" i="10" s="1"/>
  <c r="BJ490" i="10" s="1"/>
  <c r="AY490" i="10"/>
  <c r="BA490" i="10" s="1"/>
  <c r="AX489" i="10"/>
  <c r="AY489" i="10"/>
  <c r="BA489" i="10" s="1"/>
  <c r="BC489" i="10" s="1"/>
  <c r="BE500" i="10"/>
  <c r="AY481" i="10"/>
  <c r="AU475" i="10"/>
  <c r="BF475" i="10" s="1"/>
  <c r="BH475" i="10" s="1"/>
  <c r="AR476" i="10"/>
  <c r="J476" i="10" s="1"/>
  <c r="AT476" i="10" s="1"/>
  <c r="R476" i="10"/>
  <c r="BM472" i="10"/>
  <c r="BE472" i="10"/>
  <c r="BN472" i="10" s="1"/>
  <c r="BF480" i="10"/>
  <c r="BH480" i="10" s="1"/>
  <c r="AY480" i="10"/>
  <c r="BA480" i="10" s="1"/>
  <c r="BC480" i="10" s="1"/>
  <c r="AY475" i="10"/>
  <c r="BA475" i="10" s="1"/>
  <c r="BC475" i="10" s="1"/>
  <c r="BF493" i="10"/>
  <c r="BH493" i="10" s="1"/>
  <c r="AX493" i="10"/>
  <c r="AV493" i="10"/>
  <c r="BE493" i="10"/>
  <c r="BF464" i="10"/>
  <c r="BH464" i="10" s="1"/>
  <c r="AX464" i="10"/>
  <c r="AV464" i="10"/>
  <c r="AX457" i="10"/>
  <c r="AV457" i="10"/>
  <c r="AY457" i="10"/>
  <c r="BA457" i="10" s="1"/>
  <c r="BC457" i="10" s="1"/>
  <c r="AU461" i="10"/>
  <c r="BF461" i="10" s="1"/>
  <c r="BH461" i="10" s="1"/>
  <c r="AY461" i="10"/>
  <c r="BA461" i="10" s="1"/>
  <c r="BC461" i="10" s="1"/>
  <c r="BE464" i="10"/>
  <c r="AX499" i="10"/>
  <c r="AV499" i="10"/>
  <c r="AY499" i="10"/>
  <c r="BA499" i="10" s="1"/>
  <c r="BC499" i="10" s="1"/>
  <c r="BE468" i="10"/>
  <c r="AU449" i="10"/>
  <c r="BF449" i="10" s="1"/>
  <c r="BH449" i="10" s="1"/>
  <c r="I451" i="10"/>
  <c r="AV450" i="10"/>
  <c r="AY450" i="10"/>
  <c r="BA450" i="10" s="1"/>
  <c r="BF450" i="10"/>
  <c r="BH450" i="10" s="1"/>
  <c r="BJ450" i="10" s="1"/>
  <c r="AX456" i="10"/>
  <c r="AV456" i="10"/>
  <c r="AY456" i="10"/>
  <c r="BA456" i="10" s="1"/>
  <c r="BC456" i="10" s="1"/>
  <c r="AX455" i="10"/>
  <c r="AV455" i="10"/>
  <c r="AY455" i="10"/>
  <c r="BA455" i="10" s="1"/>
  <c r="BC455" i="10" s="1"/>
  <c r="AY449" i="10"/>
  <c r="BA449" i="10" s="1"/>
  <c r="BC449" i="10" s="1"/>
  <c r="BE448" i="10"/>
  <c r="BE431" i="10"/>
  <c r="BE454" i="10"/>
  <c r="R426" i="10"/>
  <c r="AR426" i="10"/>
  <c r="J426" i="10" s="1"/>
  <c r="AT426" i="10" s="1"/>
  <c r="AY427" i="10"/>
  <c r="BA427" i="10" s="1"/>
  <c r="BC427" i="10" s="1"/>
  <c r="BF427" i="10"/>
  <c r="BH427" i="10" s="1"/>
  <c r="BJ427" i="10" s="1"/>
  <c r="R453" i="10"/>
  <c r="AY453" i="10"/>
  <c r="BA453" i="10" s="1"/>
  <c r="BC453" i="10" s="1"/>
  <c r="BE436" i="10"/>
  <c r="BE435" i="10"/>
  <c r="AT407" i="10"/>
  <c r="AV407" i="10" s="1"/>
  <c r="AT417" i="10"/>
  <c r="BE439" i="10"/>
  <c r="AU432" i="10"/>
  <c r="BF432" i="10" s="1"/>
  <c r="BH432" i="10" s="1"/>
  <c r="AY432" i="10"/>
  <c r="BA432" i="10" s="1"/>
  <c r="BC432" i="10" s="1"/>
  <c r="BE430" i="10"/>
  <c r="AX408" i="10"/>
  <c r="AV408" i="10"/>
  <c r="AY408" i="10"/>
  <c r="BA408" i="10" s="1"/>
  <c r="BC408" i="10" s="1"/>
  <c r="AX404" i="10"/>
  <c r="AV404" i="10"/>
  <c r="AY404" i="10"/>
  <c r="BA404" i="10" s="1"/>
  <c r="BC404" i="10" s="1"/>
  <c r="AX417" i="10"/>
  <c r="AV417" i="10"/>
  <c r="AY417" i="10"/>
  <c r="BA417" i="10" s="1"/>
  <c r="BC417" i="10" s="1"/>
  <c r="BE401" i="10"/>
  <c r="BE400" i="10"/>
  <c r="AT196" i="10"/>
  <c r="AV196" i="10" s="1"/>
  <c r="BF398" i="10"/>
  <c r="BH398" i="10" s="1"/>
  <c r="BJ398" i="10" s="1"/>
  <c r="AY398" i="10"/>
  <c r="BA398" i="10" s="1"/>
  <c r="AX397" i="10"/>
  <c r="AV397" i="10"/>
  <c r="AY397" i="10"/>
  <c r="BA397" i="10" s="1"/>
  <c r="BC397" i="10" s="1"/>
  <c r="BF357" i="10"/>
  <c r="BH357" i="10" s="1"/>
  <c r="BJ357" i="10" s="1"/>
  <c r="AU392" i="10"/>
  <c r="AX392" i="10" s="1"/>
  <c r="I393" i="10"/>
  <c r="AY392" i="10"/>
  <c r="BA392" i="10" s="1"/>
  <c r="BC392" i="10" s="1"/>
  <c r="AV185" i="10"/>
  <c r="BF390" i="10"/>
  <c r="BH390" i="10" s="1"/>
  <c r="BJ390" i="10" s="1"/>
  <c r="AY390" i="10"/>
  <c r="BA390" i="10" s="1"/>
  <c r="AX185" i="10"/>
  <c r="AX371" i="10"/>
  <c r="BF259" i="10"/>
  <c r="BH259" i="10" s="1"/>
  <c r="BJ259" i="10" s="1"/>
  <c r="BK259" i="10" s="1"/>
  <c r="BL259" i="10" s="1"/>
  <c r="J259" i="10"/>
  <c r="BE185" i="10"/>
  <c r="BN185" i="10" s="1"/>
  <c r="AY191" i="10"/>
  <c r="BA191" i="10" s="1"/>
  <c r="BC191" i="10" s="1"/>
  <c r="BD191" i="10" s="1"/>
  <c r="BE191" i="10" s="1"/>
  <c r="AU257" i="10"/>
  <c r="AX257" i="10" s="1"/>
  <c r="AX166" i="10"/>
  <c r="AV166" i="10"/>
  <c r="BF371" i="10"/>
  <c r="BH371" i="10" s="1"/>
  <c r="AY386" i="10"/>
  <c r="BA386" i="10" s="1"/>
  <c r="BF386" i="10"/>
  <c r="BH386" i="10" s="1"/>
  <c r="BJ386" i="10" s="1"/>
  <c r="AY383" i="10"/>
  <c r="BA383" i="10" s="1"/>
  <c r="BF383" i="10"/>
  <c r="BH383" i="10" s="1"/>
  <c r="BJ383" i="10" s="1"/>
  <c r="AY380" i="10"/>
  <c r="BA380" i="10" s="1"/>
  <c r="BF380" i="10"/>
  <c r="BH380" i="10" s="1"/>
  <c r="BJ380" i="10" s="1"/>
  <c r="BE348" i="10"/>
  <c r="AV153" i="10"/>
  <c r="BF377" i="10"/>
  <c r="BH377" i="10" s="1"/>
  <c r="BJ377" i="10" s="1"/>
  <c r="AY377" i="10"/>
  <c r="BA377" i="10" s="1"/>
  <c r="BE388" i="10"/>
  <c r="BF296" i="10"/>
  <c r="BH296" i="10" s="1"/>
  <c r="BJ296" i="10" s="1"/>
  <c r="BK296" i="10" s="1"/>
  <c r="BL296" i="10" s="1"/>
  <c r="BE370" i="10"/>
  <c r="AV258" i="10"/>
  <c r="I254" i="10"/>
  <c r="AS254" i="10" s="1"/>
  <c r="R254" i="10" s="1"/>
  <c r="AX153" i="10"/>
  <c r="BE206" i="10"/>
  <c r="BN206" i="10" s="1"/>
  <c r="AV179" i="10"/>
  <c r="AX179" i="10"/>
  <c r="AV190" i="10"/>
  <c r="BF374" i="10"/>
  <c r="BH374" i="10" s="1"/>
  <c r="BJ374" i="10" s="1"/>
  <c r="AY374" i="10"/>
  <c r="BA374" i="10" s="1"/>
  <c r="AX344" i="10"/>
  <c r="AV336" i="10"/>
  <c r="AX336" i="10"/>
  <c r="BE369" i="10"/>
  <c r="BF226" i="10"/>
  <c r="BH226" i="10" s="1"/>
  <c r="BE373" i="10"/>
  <c r="AV344" i="10"/>
  <c r="AV226" i="10"/>
  <c r="AY258" i="10"/>
  <c r="BA258" i="10" s="1"/>
  <c r="BC258" i="10" s="1"/>
  <c r="BD258" i="10" s="1"/>
  <c r="BM258" i="10" s="1"/>
  <c r="BF366" i="10"/>
  <c r="BH366" i="10" s="1"/>
  <c r="BJ366" i="10" s="1"/>
  <c r="AY366" i="10"/>
  <c r="BA366" i="10" s="1"/>
  <c r="AX272" i="10"/>
  <c r="BF363" i="10"/>
  <c r="BH363" i="10" s="1"/>
  <c r="BJ363" i="10" s="1"/>
  <c r="BK363" i="10" s="1"/>
  <c r="BL363" i="10" s="1"/>
  <c r="AY363" i="10"/>
  <c r="BA363" i="10" s="1"/>
  <c r="BE356" i="10"/>
  <c r="BE352" i="10"/>
  <c r="BE354" i="10"/>
  <c r="AV272" i="10"/>
  <c r="BF358" i="10"/>
  <c r="BH358" i="10" s="1"/>
  <c r="BJ358" i="10" s="1"/>
  <c r="AY358" i="10"/>
  <c r="BA358" i="10" s="1"/>
  <c r="BF353" i="10"/>
  <c r="BH353" i="10" s="1"/>
  <c r="BE153" i="10"/>
  <c r="AX372" i="10"/>
  <c r="AV372" i="10"/>
  <c r="AY372" i="10"/>
  <c r="BA372" i="10" s="1"/>
  <c r="BC372" i="10" s="1"/>
  <c r="AX368" i="10"/>
  <c r="AV368" i="10"/>
  <c r="AY368" i="10"/>
  <c r="BA368" i="10" s="1"/>
  <c r="BC368" i="10" s="1"/>
  <c r="BE351" i="10"/>
  <c r="AX353" i="10"/>
  <c r="AV353" i="10"/>
  <c r="AY353" i="10"/>
  <c r="BA353" i="10" s="1"/>
  <c r="BC353" i="10" s="1"/>
  <c r="AX347" i="10"/>
  <c r="AV347" i="10"/>
  <c r="AY347" i="10"/>
  <c r="BA347" i="10" s="1"/>
  <c r="BC347" i="10" s="1"/>
  <c r="Q340" i="10"/>
  <c r="BE344" i="10"/>
  <c r="BD245" i="10"/>
  <c r="BE245" i="10" s="1"/>
  <c r="BE173" i="10"/>
  <c r="BF342" i="10"/>
  <c r="AY172" i="10"/>
  <c r="BA172" i="10" s="1"/>
  <c r="BC172" i="10" s="1"/>
  <c r="AU172" i="10"/>
  <c r="BF172" i="10"/>
  <c r="BH172" i="10" s="1"/>
  <c r="BJ172" i="10" s="1"/>
  <c r="I176" i="10"/>
  <c r="AU173" i="10"/>
  <c r="BF173" i="10" s="1"/>
  <c r="BH173" i="10" s="1"/>
  <c r="BD197" i="10"/>
  <c r="BE197" i="10" s="1"/>
  <c r="AU326" i="10"/>
  <c r="BF326" i="10" s="1"/>
  <c r="BL196" i="10"/>
  <c r="BN196" i="10" s="1"/>
  <c r="I210" i="10"/>
  <c r="AU197" i="10"/>
  <c r="BF197" i="10" s="1"/>
  <c r="BH197" i="10" s="1"/>
  <c r="AU335" i="10"/>
  <c r="AX339" i="10"/>
  <c r="AV339" i="10"/>
  <c r="AY339" i="10"/>
  <c r="BA339" i="10" s="1"/>
  <c r="BC339" i="10" s="1"/>
  <c r="AX338" i="10"/>
  <c r="AV338" i="10"/>
  <c r="AY338" i="10"/>
  <c r="BA338" i="10" s="1"/>
  <c r="BC338" i="10" s="1"/>
  <c r="AY335" i="10"/>
  <c r="BA335" i="10" s="1"/>
  <c r="BC335" i="10" s="1"/>
  <c r="AX342" i="10"/>
  <c r="AV342" i="10"/>
  <c r="AY342" i="10"/>
  <c r="BA342" i="10" s="1"/>
  <c r="AX337" i="10"/>
  <c r="AV337" i="10"/>
  <c r="AY337" i="10"/>
  <c r="BA337" i="10" s="1"/>
  <c r="BC337" i="10" s="1"/>
  <c r="AX365" i="10"/>
  <c r="AV365" i="10"/>
  <c r="AY365" i="10"/>
  <c r="BA365" i="10" s="1"/>
  <c r="BE333" i="10"/>
  <c r="AT326" i="10"/>
  <c r="AY326" i="10" s="1"/>
  <c r="BA326" i="10" s="1"/>
  <c r="BC326" i="10" s="1"/>
  <c r="Q327" i="10"/>
  <c r="AY328" i="10"/>
  <c r="BA328" i="10" s="1"/>
  <c r="BC328" i="10" s="1"/>
  <c r="AX328" i="10"/>
  <c r="AV328" i="10"/>
  <c r="BF324" i="10"/>
  <c r="BH324" i="10" s="1"/>
  <c r="BJ324" i="10" s="1"/>
  <c r="BK324" i="10" s="1"/>
  <c r="BL324" i="10" s="1"/>
  <c r="BL142" i="10"/>
  <c r="BD321" i="10"/>
  <c r="AX321" i="10"/>
  <c r="AV321" i="10"/>
  <c r="AX318" i="10"/>
  <c r="AV318" i="10"/>
  <c r="AY318" i="10"/>
  <c r="BA318" i="10" s="1"/>
  <c r="BC318" i="10" s="1"/>
  <c r="AV317" i="10"/>
  <c r="AY317" i="10"/>
  <c r="BA317" i="10" s="1"/>
  <c r="BC317" i="10" s="1"/>
  <c r="AX317" i="10"/>
  <c r="BE316" i="10"/>
  <c r="BF316" i="10"/>
  <c r="BH316" i="10" s="1"/>
  <c r="AX316" i="10"/>
  <c r="AV316" i="10"/>
  <c r="AX324" i="10"/>
  <c r="AV324" i="10"/>
  <c r="AY324" i="10"/>
  <c r="BA324" i="10" s="1"/>
  <c r="BC324" i="10" s="1"/>
  <c r="Q305" i="10"/>
  <c r="AR305" i="10" s="1"/>
  <c r="J305" i="10" s="1"/>
  <c r="AT305" i="10" s="1"/>
  <c r="AY305" i="10" s="1"/>
  <c r="BA305" i="10" s="1"/>
  <c r="BC305" i="10" s="1"/>
  <c r="BD305" i="10" s="1"/>
  <c r="I300" i="10"/>
  <c r="AX299" i="10"/>
  <c r="AV299" i="10"/>
  <c r="AY299" i="10"/>
  <c r="BA299" i="10" s="1"/>
  <c r="BC299" i="10" s="1"/>
  <c r="AT304" i="10"/>
  <c r="BF292" i="10"/>
  <c r="BH292" i="10" s="1"/>
  <c r="BJ292" i="10" s="1"/>
  <c r="BK292" i="10" s="1"/>
  <c r="BL292" i="10" s="1"/>
  <c r="AU302" i="10"/>
  <c r="BF302" i="10" s="1"/>
  <c r="BH302" i="10" s="1"/>
  <c r="AU298" i="10"/>
  <c r="BF298" i="10" s="1"/>
  <c r="BH298" i="10" s="1"/>
  <c r="AY298" i="10"/>
  <c r="BA298" i="10" s="1"/>
  <c r="BC298" i="10" s="1"/>
  <c r="AY292" i="10"/>
  <c r="BA292" i="10" s="1"/>
  <c r="BC292" i="10" s="1"/>
  <c r="BE248" i="10"/>
  <c r="BE285" i="10"/>
  <c r="Q263" i="10"/>
  <c r="BF280" i="10"/>
  <c r="BH280" i="10" s="1"/>
  <c r="BJ280" i="10" s="1"/>
  <c r="AY280" i="10"/>
  <c r="BA280" i="10" s="1"/>
  <c r="AX279" i="10"/>
  <c r="AV279" i="10"/>
  <c r="AY279" i="10"/>
  <c r="BA279" i="10" s="1"/>
  <c r="BC279" i="10" s="1"/>
  <c r="BF277" i="10"/>
  <c r="BH277" i="10" s="1"/>
  <c r="BJ277" i="10" s="1"/>
  <c r="AY277" i="10"/>
  <c r="BA277" i="10" s="1"/>
  <c r="AY276" i="10"/>
  <c r="BA276" i="10" s="1"/>
  <c r="BC276" i="10" s="1"/>
  <c r="AX276" i="10"/>
  <c r="AV276" i="10"/>
  <c r="AU271" i="10"/>
  <c r="BF271" i="10" s="1"/>
  <c r="BH271" i="10" s="1"/>
  <c r="Q273" i="10"/>
  <c r="AR273" i="10" s="1"/>
  <c r="J273" i="10" s="1"/>
  <c r="AY273" i="10" s="1"/>
  <c r="BA273" i="10" s="1"/>
  <c r="BC273" i="10" s="1"/>
  <c r="AV274" i="10"/>
  <c r="AY274" i="10"/>
  <c r="BA274" i="10" s="1"/>
  <c r="AY271" i="10"/>
  <c r="BA271" i="10" s="1"/>
  <c r="BC271" i="10" s="1"/>
  <c r="BK194" i="10"/>
  <c r="BL194" i="10" s="1"/>
  <c r="AY194" i="10"/>
  <c r="BA194" i="10" s="1"/>
  <c r="BC194" i="10" s="1"/>
  <c r="AX194" i="10"/>
  <c r="AV194" i="10"/>
  <c r="BK193" i="10"/>
  <c r="BL193" i="10" s="1"/>
  <c r="AX193" i="10"/>
  <c r="AV193" i="10"/>
  <c r="AY193" i="10"/>
  <c r="BA193" i="10" s="1"/>
  <c r="BC193" i="10" s="1"/>
  <c r="AU261" i="10"/>
  <c r="BF261" i="10" s="1"/>
  <c r="BH261" i="10" s="1"/>
  <c r="I269" i="10"/>
  <c r="AS269" i="10" s="1"/>
  <c r="R269" i="10" s="1"/>
  <c r="BL268" i="10"/>
  <c r="BN268" i="10" s="1"/>
  <c r="BL267" i="10"/>
  <c r="BN267" i="10" s="1"/>
  <c r="BF265" i="10"/>
  <c r="BH265" i="10" s="1"/>
  <c r="BJ265" i="10" s="1"/>
  <c r="AY265" i="10"/>
  <c r="BA265" i="10" s="1"/>
  <c r="AX262" i="10"/>
  <c r="AV262" i="10"/>
  <c r="AY262" i="10"/>
  <c r="BA262" i="10" s="1"/>
  <c r="BC262" i="10" s="1"/>
  <c r="AY261" i="10"/>
  <c r="BA261" i="10" s="1"/>
  <c r="BC261" i="10" s="1"/>
  <c r="BE264" i="10"/>
  <c r="BF303" i="10"/>
  <c r="BH303" i="10" s="1"/>
  <c r="BJ303" i="10" s="1"/>
  <c r="AY303" i="10"/>
  <c r="BA303" i="10" s="1"/>
  <c r="BC303" i="10" s="1"/>
  <c r="AX303" i="10"/>
  <c r="AV303" i="10"/>
  <c r="AY302" i="10"/>
  <c r="BA302" i="10" s="1"/>
  <c r="BC302" i="10" s="1"/>
  <c r="AX253" i="10"/>
  <c r="AX249" i="10"/>
  <c r="AV249" i="10"/>
  <c r="AY249" i="10"/>
  <c r="BA249" i="10" s="1"/>
  <c r="BC249" i="10" s="1"/>
  <c r="AX241" i="10"/>
  <c r="AV241" i="10"/>
  <c r="AY241" i="10"/>
  <c r="BA241" i="10" s="1"/>
  <c r="BC241" i="10" s="1"/>
  <c r="AV253" i="10"/>
  <c r="AY207" i="10"/>
  <c r="BA207" i="10" s="1"/>
  <c r="BC207" i="10" s="1"/>
  <c r="AY238" i="10"/>
  <c r="BA238" i="10" s="1"/>
  <c r="BC238" i="10" s="1"/>
  <c r="BD236" i="10"/>
  <c r="BE236" i="10" s="1"/>
  <c r="R237" i="10"/>
  <c r="AR237" i="10"/>
  <c r="J237" i="10" s="1"/>
  <c r="BK236" i="10"/>
  <c r="BL236" i="10" s="1"/>
  <c r="BD205" i="10"/>
  <c r="BK205" i="10"/>
  <c r="BL205" i="10" s="1"/>
  <c r="AY235" i="10"/>
  <c r="BA235" i="10" s="1"/>
  <c r="BC235" i="10" s="1"/>
  <c r="AX235" i="10"/>
  <c r="AV235" i="10"/>
  <c r="AY256" i="10"/>
  <c r="BA256" i="10" s="1"/>
  <c r="BC256" i="10" s="1"/>
  <c r="AX256" i="10"/>
  <c r="AV256" i="10"/>
  <c r="BE226" i="10"/>
  <c r="BE247" i="10"/>
  <c r="BE253" i="10"/>
  <c r="AU225" i="10"/>
  <c r="BF225" i="10" s="1"/>
  <c r="BH225" i="10" s="1"/>
  <c r="AS217" i="10"/>
  <c r="R217" i="10" s="1"/>
  <c r="AU217" i="10" s="1"/>
  <c r="BF217" i="10" s="1"/>
  <c r="BH217" i="10" s="1"/>
  <c r="BJ217" i="10" s="1"/>
  <c r="J217" i="10"/>
  <c r="AS221" i="10"/>
  <c r="R221" i="10" s="1"/>
  <c r="AU221" i="10" s="1"/>
  <c r="BF221" i="10" s="1"/>
  <c r="BH221" i="10" s="1"/>
  <c r="BJ221" i="10" s="1"/>
  <c r="J221" i="10"/>
  <c r="AT221" i="10" s="1"/>
  <c r="AU216" i="10"/>
  <c r="BF216" i="10" s="1"/>
  <c r="BH216" i="10" s="1"/>
  <c r="AY216" i="10"/>
  <c r="BA216" i="10" s="1"/>
  <c r="BC216" i="10" s="1"/>
  <c r="BF229" i="10"/>
  <c r="BH229" i="10" s="1"/>
  <c r="AY229" i="10"/>
  <c r="BA229" i="10" s="1"/>
  <c r="BC229" i="10" s="1"/>
  <c r="AX229" i="10"/>
  <c r="AV229" i="10"/>
  <c r="AY225" i="10"/>
  <c r="BA225" i="10" s="1"/>
  <c r="BC225" i="10" s="1"/>
  <c r="BD225" i="10" s="1"/>
  <c r="BE225" i="10" s="1"/>
  <c r="BE227" i="10"/>
  <c r="AX230" i="10"/>
  <c r="AV230" i="10"/>
  <c r="AY230" i="10"/>
  <c r="BA230" i="10" s="1"/>
  <c r="BC230" i="10" s="1"/>
  <c r="AV125" i="10"/>
  <c r="I209" i="10"/>
  <c r="AU203" i="10"/>
  <c r="BF203" i="10" s="1"/>
  <c r="BH203" i="10" s="1"/>
  <c r="AU201" i="10"/>
  <c r="BF201" i="10" s="1"/>
  <c r="BH201" i="10" s="1"/>
  <c r="AY201" i="10"/>
  <c r="BA201" i="10" s="1"/>
  <c r="BC201" i="10" s="1"/>
  <c r="AX188" i="10"/>
  <c r="AV188" i="10"/>
  <c r="AY188" i="10"/>
  <c r="BA188" i="10" s="1"/>
  <c r="BC188" i="10" s="1"/>
  <c r="AX202" i="10"/>
  <c r="AV202" i="10"/>
  <c r="AY202" i="10"/>
  <c r="BA202" i="10" s="1"/>
  <c r="BC202" i="10" s="1"/>
  <c r="BE198" i="10"/>
  <c r="BE179" i="10"/>
  <c r="AY203" i="10"/>
  <c r="BA203" i="10" s="1"/>
  <c r="BC203" i="10" s="1"/>
  <c r="BE181" i="10"/>
  <c r="BE180" i="10"/>
  <c r="BF140" i="10"/>
  <c r="BH140" i="10" s="1"/>
  <c r="BJ140" i="10" s="1"/>
  <c r="BK140" i="10" s="1"/>
  <c r="BL140" i="10" s="1"/>
  <c r="AY140" i="10"/>
  <c r="BA140" i="10" s="1"/>
  <c r="BC140" i="10" s="1"/>
  <c r="BM132" i="10"/>
  <c r="BE132" i="10"/>
  <c r="BN132" i="10" s="1"/>
  <c r="AY204" i="10"/>
  <c r="AX204" i="10"/>
  <c r="AV204" i="10"/>
  <c r="BF170" i="10"/>
  <c r="BH170" i="10" s="1"/>
  <c r="BJ170" i="10" s="1"/>
  <c r="AY170" i="10"/>
  <c r="BA170" i="10" s="1"/>
  <c r="BE184" i="10"/>
  <c r="AU121" i="10"/>
  <c r="BF121" i="10" s="1"/>
  <c r="BH121" i="10" s="1"/>
  <c r="AX162" i="10"/>
  <c r="AV162" i="10"/>
  <c r="AY162" i="10"/>
  <c r="BA162" i="10" s="1"/>
  <c r="BC162" i="10" s="1"/>
  <c r="AX144" i="10"/>
  <c r="AV144" i="10"/>
  <c r="AY144" i="10"/>
  <c r="BA144" i="10" s="1"/>
  <c r="BC144" i="10" s="1"/>
  <c r="BK144" i="10"/>
  <c r="BL144" i="10" s="1"/>
  <c r="I151" i="10"/>
  <c r="J151" i="10" s="1"/>
  <c r="AT151" i="10" s="1"/>
  <c r="AY151" i="10" s="1"/>
  <c r="BA151" i="10" s="1"/>
  <c r="AX160" i="10"/>
  <c r="AV160" i="10"/>
  <c r="AY160" i="10"/>
  <c r="BA160" i="10" s="1"/>
  <c r="BC160" i="10" s="1"/>
  <c r="BD143" i="10"/>
  <c r="BF143" i="10"/>
  <c r="BH143" i="10" s="1"/>
  <c r="BJ143" i="10" s="1"/>
  <c r="BE166" i="10"/>
  <c r="BM142" i="10"/>
  <c r="BE142" i="10"/>
  <c r="BF158" i="10"/>
  <c r="BH158" i="10" s="1"/>
  <c r="BJ158" i="10" s="1"/>
  <c r="BK158" i="10" s="1"/>
  <c r="BL158" i="10" s="1"/>
  <c r="AX125" i="10"/>
  <c r="AY148" i="10"/>
  <c r="BA148" i="10" s="1"/>
  <c r="AX148" i="10"/>
  <c r="BE141" i="10"/>
  <c r="BN131" i="10"/>
  <c r="BM131" i="10"/>
  <c r="AV119" i="10"/>
  <c r="AV106" i="10"/>
  <c r="AU136" i="10"/>
  <c r="BF136" i="10" s="1"/>
  <c r="BH136" i="10" s="1"/>
  <c r="AY156" i="10"/>
  <c r="BA156" i="10" s="1"/>
  <c r="BF156" i="10"/>
  <c r="BH156" i="10" s="1"/>
  <c r="BJ156" i="10" s="1"/>
  <c r="BK156" i="10" s="1"/>
  <c r="BL156" i="10" s="1"/>
  <c r="BF119" i="10"/>
  <c r="BH119" i="10" s="1"/>
  <c r="BJ119" i="10" s="1"/>
  <c r="BK119" i="10" s="1"/>
  <c r="BM119" i="10" s="1"/>
  <c r="AX45" i="10"/>
  <c r="BE169" i="10"/>
  <c r="BE139" i="10"/>
  <c r="AY136" i="10"/>
  <c r="BA136" i="10" s="1"/>
  <c r="BC136" i="10" s="1"/>
  <c r="BE137" i="10"/>
  <c r="AX106" i="10"/>
  <c r="AU123" i="10"/>
  <c r="BF123" i="10" s="1"/>
  <c r="BH123" i="10" s="1"/>
  <c r="BD129" i="10"/>
  <c r="BM129" i="10" s="1"/>
  <c r="BE125" i="10"/>
  <c r="AV126" i="10"/>
  <c r="AX119" i="10"/>
  <c r="AY45" i="10"/>
  <c r="BA45" i="10" s="1"/>
  <c r="BC45" i="10" s="1"/>
  <c r="BD45" i="10" s="1"/>
  <c r="BK126" i="10"/>
  <c r="AV124" i="10"/>
  <c r="AY124" i="10"/>
  <c r="BA124" i="10" s="1"/>
  <c r="BC124" i="10" s="1"/>
  <c r="AX124" i="10"/>
  <c r="AV122" i="10"/>
  <c r="AY122" i="10"/>
  <c r="BA122" i="10" s="1"/>
  <c r="BC122" i="10" s="1"/>
  <c r="AX122" i="10"/>
  <c r="AY35" i="10"/>
  <c r="BA35" i="10" s="1"/>
  <c r="BC35" i="10" s="1"/>
  <c r="BD35" i="10" s="1"/>
  <c r="BM35" i="10" s="1"/>
  <c r="AV46" i="10"/>
  <c r="BE119" i="10"/>
  <c r="AY121" i="10"/>
  <c r="BA121" i="10" s="1"/>
  <c r="BC121" i="10" s="1"/>
  <c r="AX35" i="10"/>
  <c r="AU102" i="10"/>
  <c r="BF102" i="10" s="1"/>
  <c r="BF117" i="10"/>
  <c r="BH117" i="10" s="1"/>
  <c r="BJ117" i="10" s="1"/>
  <c r="BK117" i="10" s="1"/>
  <c r="BL117" i="10" s="1"/>
  <c r="AV117" i="10"/>
  <c r="AY117" i="10"/>
  <c r="BA117" i="10" s="1"/>
  <c r="AX46" i="10"/>
  <c r="BF105" i="10"/>
  <c r="BH105" i="10" s="1"/>
  <c r="BN116" i="10"/>
  <c r="BM116" i="10"/>
  <c r="BF113" i="10"/>
  <c r="BH113" i="10" s="1"/>
  <c r="BJ113" i="10" s="1"/>
  <c r="BK113" i="10" s="1"/>
  <c r="BL113" i="10" s="1"/>
  <c r="BF110" i="10"/>
  <c r="BH110" i="10" s="1"/>
  <c r="BK114" i="10"/>
  <c r="BL114" i="10" s="1"/>
  <c r="AX113" i="10"/>
  <c r="AV113" i="10"/>
  <c r="AY113" i="10"/>
  <c r="BA113" i="10" s="1"/>
  <c r="BC113" i="10" s="1"/>
  <c r="AY66" i="10"/>
  <c r="BA66" i="10" s="1"/>
  <c r="AX114" i="10"/>
  <c r="AV114" i="10"/>
  <c r="AY114" i="10"/>
  <c r="BA114" i="10" s="1"/>
  <c r="BC114" i="10" s="1"/>
  <c r="BC102" i="10"/>
  <c r="BD102" i="10" s="1"/>
  <c r="BE102" i="10" s="1"/>
  <c r="AV81" i="10"/>
  <c r="AY81" i="10"/>
  <c r="BA81" i="10" s="1"/>
  <c r="BC81" i="10" s="1"/>
  <c r="BD81" i="10" s="1"/>
  <c r="BM81" i="10" s="1"/>
  <c r="Q77" i="10"/>
  <c r="R77" i="10" s="1"/>
  <c r="BE80" i="10"/>
  <c r="AU72" i="10"/>
  <c r="BF72" i="10" s="1"/>
  <c r="BH72" i="10" s="1"/>
  <c r="AX80" i="10"/>
  <c r="AV80" i="10"/>
  <c r="AY123" i="10"/>
  <c r="BA123" i="10" s="1"/>
  <c r="BC123" i="10" s="1"/>
  <c r="AX110" i="10"/>
  <c r="AV110" i="10"/>
  <c r="AY110" i="10"/>
  <c r="BA110" i="10" s="1"/>
  <c r="BC110" i="10" s="1"/>
  <c r="AX105" i="10"/>
  <c r="AV105" i="10"/>
  <c r="AY105" i="10"/>
  <c r="BA105" i="10" s="1"/>
  <c r="BC105" i="10" s="1"/>
  <c r="BE106" i="10"/>
  <c r="BE107" i="10"/>
  <c r="BE89" i="10"/>
  <c r="BE85" i="10"/>
  <c r="BE88" i="10"/>
  <c r="AY82" i="10"/>
  <c r="BA82" i="10" s="1"/>
  <c r="BC82" i="10" s="1"/>
  <c r="BF73" i="10"/>
  <c r="BH73" i="10" s="1"/>
  <c r="BJ73" i="10" s="1"/>
  <c r="BK73" i="10" s="1"/>
  <c r="BL73" i="10" s="1"/>
  <c r="BF70" i="10"/>
  <c r="BH70" i="10" s="1"/>
  <c r="AX71" i="10"/>
  <c r="AV71" i="10"/>
  <c r="AY71" i="10"/>
  <c r="BA71" i="10" s="1"/>
  <c r="BC71" i="10" s="1"/>
  <c r="AX70" i="10"/>
  <c r="AV70" i="10"/>
  <c r="AY70" i="10"/>
  <c r="BA70" i="10" s="1"/>
  <c r="BC70" i="10" s="1"/>
  <c r="BK66" i="10"/>
  <c r="BL66" i="10" s="1"/>
  <c r="BE69" i="10"/>
  <c r="AX68" i="10"/>
  <c r="AV68" i="10"/>
  <c r="AY68" i="10"/>
  <c r="BA68" i="10" s="1"/>
  <c r="BC68" i="10" s="1"/>
  <c r="BD52" i="10"/>
  <c r="BF52" i="10"/>
  <c r="BH52" i="10" s="1"/>
  <c r="BJ52" i="10" s="1"/>
  <c r="AV76" i="10"/>
  <c r="AX76" i="10"/>
  <c r="AY76" i="10"/>
  <c r="BA76" i="10" s="1"/>
  <c r="BC76" i="10" s="1"/>
  <c r="BD46" i="10"/>
  <c r="BE46" i="10" s="1"/>
  <c r="AX34" i="10"/>
  <c r="BF34" i="10"/>
  <c r="BH34" i="10" s="1"/>
  <c r="BJ34" i="10" s="1"/>
  <c r="AV34" i="10"/>
  <c r="BE34" i="10"/>
  <c r="AU42" i="10"/>
  <c r="I43" i="10"/>
  <c r="AT42" i="10"/>
  <c r="AY42" i="10" s="1"/>
  <c r="BA42" i="10" s="1"/>
  <c r="BC42" i="10" s="1"/>
  <c r="AX49" i="10"/>
  <c r="AV49" i="10"/>
  <c r="AY49" i="10"/>
  <c r="BA49" i="10" s="1"/>
  <c r="BC49" i="10" s="1"/>
  <c r="AX55" i="10"/>
  <c r="AV55" i="10"/>
  <c r="AY55" i="10"/>
  <c r="BA55" i="10" s="1"/>
  <c r="BC55" i="10" s="1"/>
  <c r="AY48" i="10"/>
  <c r="BA48" i="10" s="1"/>
  <c r="BC48" i="10" s="1"/>
  <c r="AX48" i="10"/>
  <c r="AV48" i="10"/>
  <c r="BF5" i="10"/>
  <c r="BH5" i="10" s="1"/>
  <c r="AX5" i="10"/>
  <c r="BE47" i="10"/>
  <c r="BF3" i="10"/>
  <c r="BH3" i="10" s="1"/>
  <c r="AX19" i="10"/>
  <c r="AV19" i="10"/>
  <c r="AY19" i="10"/>
  <c r="BA19" i="10" s="1"/>
  <c r="BC19" i="10" s="1"/>
  <c r="BM28" i="10"/>
  <c r="BL28" i="10"/>
  <c r="BN28" i="10" s="1"/>
  <c r="BE25" i="10"/>
  <c r="AX3" i="10"/>
  <c r="AY73" i="10"/>
  <c r="BA73" i="10" s="1"/>
  <c r="BC73" i="10" s="1"/>
  <c r="BD73" i="10" s="1"/>
  <c r="AV73" i="10"/>
  <c r="AX73" i="10"/>
  <c r="AX20" i="10"/>
  <c r="AV20" i="10"/>
  <c r="AY20" i="10"/>
  <c r="BA20" i="10" s="1"/>
  <c r="BC20" i="10" s="1"/>
  <c r="AX18" i="10"/>
  <c r="AV18" i="10"/>
  <c r="AY18" i="10"/>
  <c r="BA18" i="10" s="1"/>
  <c r="BC18" i="10" s="1"/>
  <c r="AX17" i="10"/>
  <c r="AV17" i="10"/>
  <c r="AY17" i="10"/>
  <c r="BA17" i="10" s="1"/>
  <c r="BC17" i="10" s="1"/>
  <c r="AU4" i="10"/>
  <c r="I6" i="10"/>
  <c r="AS10" i="10"/>
  <c r="R10" i="10" s="1"/>
  <c r="J10" i="10"/>
  <c r="BF9" i="10"/>
  <c r="BH9" i="10" s="1"/>
  <c r="AY9" i="10"/>
  <c r="BA9" i="10" s="1"/>
  <c r="BC9" i="10" s="1"/>
  <c r="BF7" i="10"/>
  <c r="BH7" i="10" s="1"/>
  <c r="BJ7" i="10" s="1"/>
  <c r="AY7" i="10"/>
  <c r="BA7" i="10" s="1"/>
  <c r="BE12" i="10"/>
  <c r="BE5" i="10"/>
  <c r="BD3" i="10"/>
  <c r="AY4" i="10"/>
  <c r="AY72" i="10"/>
  <c r="BA72" i="10" s="1"/>
  <c r="BC72" i="10" s="1"/>
  <c r="H38" i="23"/>
  <c r="AV461" i="10" l="1"/>
  <c r="AV489" i="10"/>
  <c r="AV558" i="10"/>
  <c r="AX461" i="10"/>
  <c r="AV449" i="10"/>
  <c r="AY407" i="10"/>
  <c r="BA407" i="10" s="1"/>
  <c r="BC407" i="10" s="1"/>
  <c r="AX407" i="10"/>
  <c r="AV629" i="10"/>
  <c r="BE586" i="10"/>
  <c r="AX629" i="10"/>
  <c r="BE506" i="10"/>
  <c r="AX546" i="10"/>
  <c r="AV475" i="10"/>
  <c r="AX475" i="10"/>
  <c r="AV592" i="10"/>
  <c r="AX639" i="10"/>
  <c r="BE570" i="10"/>
  <c r="AX592" i="10"/>
  <c r="AV640" i="10"/>
  <c r="AX449" i="10"/>
  <c r="AX640" i="10"/>
  <c r="AV648" i="10"/>
  <c r="AV536" i="10"/>
  <c r="AV551" i="10"/>
  <c r="AX648" i="10"/>
  <c r="BD653" i="10"/>
  <c r="BD652" i="10"/>
  <c r="BD651" i="10"/>
  <c r="BD654" i="10"/>
  <c r="J655" i="10"/>
  <c r="AT655" i="10" s="1"/>
  <c r="AS655" i="10"/>
  <c r="R655" i="10" s="1"/>
  <c r="AU655" i="10" s="1"/>
  <c r="BF655" i="10" s="1"/>
  <c r="BH655" i="10" s="1"/>
  <c r="BJ655" i="10" s="1"/>
  <c r="BK655" i="10" s="1"/>
  <c r="BD649" i="10"/>
  <c r="BD648" i="10"/>
  <c r="BD650" i="10"/>
  <c r="BD689" i="10"/>
  <c r="BD688" i="10"/>
  <c r="BD687" i="10"/>
  <c r="BD663" i="10"/>
  <c r="BD657" i="10"/>
  <c r="BD678" i="10"/>
  <c r="BE678" i="10"/>
  <c r="BD685" i="10"/>
  <c r="BD683" i="10"/>
  <c r="BD661" i="10"/>
  <c r="BM483" i="10"/>
  <c r="BL483" i="10"/>
  <c r="BN483" i="10" s="1"/>
  <c r="AX540" i="10"/>
  <c r="AV540" i="10"/>
  <c r="AY540" i="10"/>
  <c r="BA540" i="10" s="1"/>
  <c r="BC540" i="10" s="1"/>
  <c r="BF496" i="10"/>
  <c r="BH496" i="10" s="1"/>
  <c r="BJ496" i="10" s="1"/>
  <c r="BK496" i="10" s="1"/>
  <c r="BL496" i="10" s="1"/>
  <c r="AV496" i="10"/>
  <c r="AY304" i="10"/>
  <c r="BA304" i="10" s="1"/>
  <c r="BC304" i="10" s="1"/>
  <c r="AX304" i="10"/>
  <c r="BD559" i="10"/>
  <c r="BE559" i="10" s="1"/>
  <c r="BD550" i="10"/>
  <c r="BE550" i="10" s="1"/>
  <c r="BD632" i="10"/>
  <c r="BE632" i="10"/>
  <c r="BD623" i="10"/>
  <c r="BE623" i="10" s="1"/>
  <c r="BF583" i="10"/>
  <c r="BH583" i="10" s="1"/>
  <c r="AX583" i="10"/>
  <c r="AV583" i="10"/>
  <c r="AX585" i="10"/>
  <c r="AV585" i="10"/>
  <c r="BF576" i="10"/>
  <c r="BH576" i="10" s="1"/>
  <c r="AX576" i="10"/>
  <c r="F7" i="12" s="1" a="1"/>
  <c r="F7" i="12" s="1"/>
  <c r="AV576" i="10"/>
  <c r="BK357" i="10"/>
  <c r="BL357" i="10" s="1"/>
  <c r="BD681" i="10"/>
  <c r="AS618" i="10"/>
  <c r="R618" i="10" s="1"/>
  <c r="AU618" i="10" s="1"/>
  <c r="BF618" i="10" s="1"/>
  <c r="BH618" i="10" s="1"/>
  <c r="BJ618" i="10" s="1"/>
  <c r="J618" i="10"/>
  <c r="AT618" i="10" s="1"/>
  <c r="AV637" i="10"/>
  <c r="AY637" i="10"/>
  <c r="BA637" i="10" s="1"/>
  <c r="J625" i="10"/>
  <c r="AS625" i="10"/>
  <c r="R625" i="10" s="1"/>
  <c r="AU625" i="10" s="1"/>
  <c r="BF625" i="10" s="1"/>
  <c r="BH625" i="10" s="1"/>
  <c r="BJ625" i="10" s="1"/>
  <c r="BK625" i="10" s="1"/>
  <c r="BL625" i="10" s="1"/>
  <c r="BD624" i="10"/>
  <c r="BD639" i="10"/>
  <c r="BD630" i="10"/>
  <c r="BD631" i="10"/>
  <c r="BD629" i="10"/>
  <c r="BD613" i="10"/>
  <c r="BF616" i="10"/>
  <c r="BD614" i="10"/>
  <c r="BD606" i="10"/>
  <c r="J589" i="10"/>
  <c r="AT589" i="10" s="1"/>
  <c r="AS589" i="10"/>
  <c r="R589" i="10" s="1"/>
  <c r="AU589" i="10" s="1"/>
  <c r="BF589" i="10" s="1"/>
  <c r="BH589" i="10" s="1"/>
  <c r="BJ589" i="10" s="1"/>
  <c r="BK589" i="10" s="1"/>
  <c r="BL589" i="10" s="1"/>
  <c r="BD615" i="10"/>
  <c r="BD620" i="10"/>
  <c r="BD611" i="10"/>
  <c r="BD610" i="10"/>
  <c r="BD609" i="10"/>
  <c r="BD608" i="10"/>
  <c r="BD601" i="10"/>
  <c r="BK602" i="10"/>
  <c r="BL602" i="10" s="1"/>
  <c r="BK599" i="10"/>
  <c r="BL599" i="10" s="1"/>
  <c r="BD598" i="10"/>
  <c r="R577" i="10"/>
  <c r="AR577" i="10"/>
  <c r="J577" i="10" s="1"/>
  <c r="AU581" i="10"/>
  <c r="BD592" i="10"/>
  <c r="BD579" i="10"/>
  <c r="BD585" i="10"/>
  <c r="BD583" i="10"/>
  <c r="BD582" i="10"/>
  <c r="BD569" i="10"/>
  <c r="BD581" i="10"/>
  <c r="BD576" i="10"/>
  <c r="J563" i="10"/>
  <c r="AT563" i="10" s="1"/>
  <c r="AS563" i="10"/>
  <c r="R563" i="10" s="1"/>
  <c r="AU563" i="10" s="1"/>
  <c r="BF563" i="10" s="1"/>
  <c r="BH563" i="10" s="1"/>
  <c r="BJ563" i="10" s="1"/>
  <c r="BK563" i="10" s="1"/>
  <c r="BL563" i="10" s="1"/>
  <c r="BD562" i="10"/>
  <c r="BD561" i="10"/>
  <c r="BD556" i="10"/>
  <c r="BD558" i="10"/>
  <c r="J554" i="10"/>
  <c r="AT554" i="10" s="1"/>
  <c r="AS554" i="10"/>
  <c r="R554" i="10" s="1"/>
  <c r="AU554" i="10" s="1"/>
  <c r="BF554" i="10" s="1"/>
  <c r="BH554" i="10" s="1"/>
  <c r="BJ554" i="10" s="1"/>
  <c r="AS553" i="10"/>
  <c r="R553" i="10" s="1"/>
  <c r="AU553" i="10" s="1"/>
  <c r="J553" i="10"/>
  <c r="AT553" i="10" s="1"/>
  <c r="BD546" i="10"/>
  <c r="BD551" i="10"/>
  <c r="BD548" i="10"/>
  <c r="BD547" i="10"/>
  <c r="BD533" i="10"/>
  <c r="BD543" i="10"/>
  <c r="R541" i="10"/>
  <c r="AU541" i="10" s="1"/>
  <c r="BF541" i="10" s="1"/>
  <c r="BH541" i="10" s="1"/>
  <c r="BJ541" i="10" s="1"/>
  <c r="AR541" i="10"/>
  <c r="J541" i="10" s="1"/>
  <c r="AT541" i="10" s="1"/>
  <c r="AS538" i="10"/>
  <c r="R538" i="10" s="1"/>
  <c r="AU538" i="10" s="1"/>
  <c r="BF538" i="10" s="1"/>
  <c r="BH538" i="10" s="1"/>
  <c r="BJ538" i="10" s="1"/>
  <c r="BK538" i="10" s="1"/>
  <c r="BL538" i="10" s="1"/>
  <c r="J538" i="10"/>
  <c r="BD535" i="10"/>
  <c r="BD536" i="10"/>
  <c r="BD534" i="10"/>
  <c r="BK531" i="10"/>
  <c r="BD528" i="10"/>
  <c r="AU512" i="10"/>
  <c r="BD521" i="10"/>
  <c r="BD512" i="10"/>
  <c r="BD513" i="10"/>
  <c r="BD519" i="10"/>
  <c r="BD497" i="10"/>
  <c r="BD496" i="10"/>
  <c r="BD540" i="10"/>
  <c r="BD492" i="10"/>
  <c r="BK490" i="10"/>
  <c r="BL490" i="10" s="1"/>
  <c r="BD489" i="10"/>
  <c r="AU476" i="10"/>
  <c r="Q477" i="10"/>
  <c r="AX476" i="10"/>
  <c r="AY476" i="10"/>
  <c r="BA476" i="10" s="1"/>
  <c r="BC476" i="10" s="1"/>
  <c r="BD480" i="10"/>
  <c r="BD475" i="10"/>
  <c r="BD457" i="10"/>
  <c r="J465" i="10"/>
  <c r="AS465" i="10"/>
  <c r="R465" i="10" s="1"/>
  <c r="I466" i="10" s="1"/>
  <c r="BD461" i="10"/>
  <c r="BD499" i="10"/>
  <c r="BK450" i="10"/>
  <c r="BL450" i="10" s="1"/>
  <c r="J451" i="10"/>
  <c r="AT451" i="10" s="1"/>
  <c r="AS451" i="10"/>
  <c r="R451" i="10" s="1"/>
  <c r="AU451" i="10" s="1"/>
  <c r="BD456" i="10"/>
  <c r="AU453" i="10"/>
  <c r="BD455" i="10"/>
  <c r="BD449" i="10"/>
  <c r="AY426" i="10"/>
  <c r="BA426" i="10" s="1"/>
  <c r="BC426" i="10" s="1"/>
  <c r="BD426" i="10" s="1"/>
  <c r="BE426" i="10" s="1"/>
  <c r="AU426" i="10"/>
  <c r="BK427" i="10"/>
  <c r="BL427" i="10" s="1"/>
  <c r="BD427" i="10"/>
  <c r="BD453" i="10"/>
  <c r="AX302" i="10"/>
  <c r="AX196" i="10"/>
  <c r="AV257" i="10"/>
  <c r="AX432" i="10"/>
  <c r="AV432" i="10"/>
  <c r="AS433" i="10"/>
  <c r="R433" i="10" s="1"/>
  <c r="J433" i="10"/>
  <c r="BD432" i="10"/>
  <c r="BD408" i="10"/>
  <c r="BD407" i="10"/>
  <c r="BD404" i="10"/>
  <c r="BD417" i="10"/>
  <c r="BF392" i="10"/>
  <c r="BH392" i="10" s="1"/>
  <c r="D11" i="12" a="1"/>
  <c r="D11" i="12" s="1"/>
  <c r="BK398" i="10"/>
  <c r="BL398" i="10" s="1"/>
  <c r="BD397" i="10"/>
  <c r="AV392" i="10"/>
  <c r="J393" i="10"/>
  <c r="AS393" i="10"/>
  <c r="R393" i="10" s="1"/>
  <c r="BD392" i="10"/>
  <c r="BK390" i="10"/>
  <c r="BL390" i="10" s="1"/>
  <c r="BF257" i="10"/>
  <c r="BH257" i="10" s="1"/>
  <c r="BK386" i="10"/>
  <c r="BL386" i="10" s="1"/>
  <c r="BK383" i="10"/>
  <c r="BL383" i="10" s="1"/>
  <c r="BK380" i="10"/>
  <c r="BL380" i="10" s="1"/>
  <c r="BK377" i="10"/>
  <c r="BL377" i="10" s="1"/>
  <c r="J254" i="10"/>
  <c r="BK374" i="10"/>
  <c r="BL374" i="10" s="1"/>
  <c r="BK366" i="10"/>
  <c r="BL366" i="10" s="1"/>
  <c r="BK358" i="10"/>
  <c r="BL358" i="10" s="1"/>
  <c r="AX326" i="10"/>
  <c r="BD368" i="10"/>
  <c r="BE368" i="10" s="1"/>
  <c r="BD372" i="10"/>
  <c r="BE372" i="10" s="1"/>
  <c r="BD353" i="10"/>
  <c r="BD347" i="10"/>
  <c r="AV326" i="10"/>
  <c r="AX173" i="10"/>
  <c r="BE258" i="10"/>
  <c r="BN258" i="10" s="1"/>
  <c r="AX197" i="10"/>
  <c r="BF335" i="10"/>
  <c r="BH335" i="10" s="1"/>
  <c r="AX172" i="10"/>
  <c r="AV172" i="10"/>
  <c r="BN142" i="10"/>
  <c r="AV335" i="10"/>
  <c r="AV197" i="10"/>
  <c r="AV173" i="10"/>
  <c r="BD172" i="10"/>
  <c r="BE172" i="10" s="1"/>
  <c r="AX335" i="10"/>
  <c r="AS210" i="10"/>
  <c r="R210" i="10" s="1"/>
  <c r="J210" i="10"/>
  <c r="AS176" i="10"/>
  <c r="R176" i="10" s="1"/>
  <c r="J176" i="10"/>
  <c r="BK172" i="10"/>
  <c r="BL172" i="10" s="1"/>
  <c r="BD339" i="10"/>
  <c r="AR340" i="10"/>
  <c r="J340" i="10" s="1"/>
  <c r="R340" i="10"/>
  <c r="BD338" i="10"/>
  <c r="BD335" i="10"/>
  <c r="BD337" i="10"/>
  <c r="R305" i="10"/>
  <c r="AU305" i="10" s="1"/>
  <c r="BF305" i="10" s="1"/>
  <c r="BH305" i="10" s="1"/>
  <c r="BJ305" i="10" s="1"/>
  <c r="BK305" i="10" s="1"/>
  <c r="AR327" i="10"/>
  <c r="J327" i="10" s="1"/>
  <c r="AT327" i="10" s="1"/>
  <c r="AY327" i="10" s="1"/>
  <c r="BA327" i="10" s="1"/>
  <c r="BC327" i="10" s="1"/>
  <c r="R327" i="10"/>
  <c r="AU327" i="10" s="1"/>
  <c r="BF327" i="10" s="1"/>
  <c r="BH327" i="10" s="1"/>
  <c r="BJ327" i="10" s="1"/>
  <c r="BD328" i="10"/>
  <c r="BD326" i="10"/>
  <c r="BE321" i="10"/>
  <c r="BD318" i="10"/>
  <c r="AV302" i="10"/>
  <c r="BD317" i="10"/>
  <c r="BD324" i="10"/>
  <c r="J310" i="10"/>
  <c r="AS310" i="10"/>
  <c r="R310" i="10" s="1"/>
  <c r="AU310" i="10" s="1"/>
  <c r="BF310" i="10" s="1"/>
  <c r="BH310" i="10" s="1"/>
  <c r="BJ310" i="10" s="1"/>
  <c r="AX298" i="10"/>
  <c r="AV304" i="10"/>
  <c r="BE305" i="10"/>
  <c r="AV298" i="10"/>
  <c r="BD299" i="10"/>
  <c r="BD304" i="10"/>
  <c r="J300" i="10"/>
  <c r="AS300" i="10"/>
  <c r="R300" i="10" s="1"/>
  <c r="BD298" i="10"/>
  <c r="BD292" i="10"/>
  <c r="BF269" i="10"/>
  <c r="BH269" i="10" s="1"/>
  <c r="BJ269" i="10" s="1"/>
  <c r="BK269" i="10" s="1"/>
  <c r="BL269" i="10" s="1"/>
  <c r="BK280" i="10"/>
  <c r="BL280" i="10" s="1"/>
  <c r="BD279" i="10"/>
  <c r="AV271" i="10"/>
  <c r="BK277" i="10"/>
  <c r="BL277" i="10" s="1"/>
  <c r="AX271" i="10"/>
  <c r="BD276" i="10"/>
  <c r="R273" i="10"/>
  <c r="BD273" i="10"/>
  <c r="BD271" i="10"/>
  <c r="AV261" i="10"/>
  <c r="AX261" i="10"/>
  <c r="BD194" i="10"/>
  <c r="BD193" i="10"/>
  <c r="AY269" i="10"/>
  <c r="BA269" i="10" s="1"/>
  <c r="J269" i="10"/>
  <c r="R263" i="10"/>
  <c r="AU263" i="10" s="1"/>
  <c r="BF263" i="10" s="1"/>
  <c r="BH263" i="10" s="1"/>
  <c r="AR263" i="10"/>
  <c r="J263" i="10" s="1"/>
  <c r="AT263" i="10" s="1"/>
  <c r="BK265" i="10"/>
  <c r="BL265" i="10" s="1"/>
  <c r="BD262" i="10"/>
  <c r="BD261" i="10"/>
  <c r="AV225" i="10"/>
  <c r="AX225" i="10"/>
  <c r="BD302" i="10"/>
  <c r="BD303" i="10"/>
  <c r="BK303" i="10"/>
  <c r="BL303" i="10" s="1"/>
  <c r="BD249" i="10"/>
  <c r="BD241" i="10"/>
  <c r="BD207" i="10"/>
  <c r="BD238" i="10"/>
  <c r="AY237" i="10"/>
  <c r="BA237" i="10" s="1"/>
  <c r="BC237" i="10" s="1"/>
  <c r="BF237" i="10"/>
  <c r="BH237" i="10" s="1"/>
  <c r="BJ237" i="10" s="1"/>
  <c r="BN236" i="10"/>
  <c r="BM236" i="10"/>
  <c r="BM205" i="10"/>
  <c r="BE205" i="10"/>
  <c r="BN205" i="10" s="1"/>
  <c r="BD235" i="10"/>
  <c r="BD256" i="10"/>
  <c r="AY254" i="10"/>
  <c r="BA254" i="10" s="1"/>
  <c r="BF254" i="10"/>
  <c r="BH254" i="10" s="1"/>
  <c r="BJ254" i="10" s="1"/>
  <c r="BK254" i="10" s="1"/>
  <c r="BL254" i="10" s="1"/>
  <c r="AV216" i="10"/>
  <c r="AX216" i="10"/>
  <c r="Q231" i="10"/>
  <c r="AT217" i="10"/>
  <c r="AX217" i="10" s="1"/>
  <c r="AX221" i="10"/>
  <c r="AV221" i="10"/>
  <c r="AY221" i="10"/>
  <c r="BA221" i="10" s="1"/>
  <c r="BC221" i="10" s="1"/>
  <c r="BK221" i="10"/>
  <c r="BL221" i="10" s="1"/>
  <c r="BK217" i="10"/>
  <c r="BL217" i="10" s="1"/>
  <c r="BD216" i="10"/>
  <c r="BD229" i="10"/>
  <c r="AX121" i="10"/>
  <c r="AV121" i="10"/>
  <c r="BD230" i="10"/>
  <c r="AV201" i="10"/>
  <c r="AX201" i="10"/>
  <c r="AV203" i="10"/>
  <c r="AX203" i="10"/>
  <c r="AS209" i="10"/>
  <c r="R209" i="10" s="1"/>
  <c r="J209" i="10"/>
  <c r="BD201" i="10"/>
  <c r="BD188" i="10"/>
  <c r="BD202" i="10"/>
  <c r="BD203" i="10"/>
  <c r="BD140" i="10"/>
  <c r="BK170" i="10"/>
  <c r="BL170" i="10" s="1"/>
  <c r="AS151" i="10"/>
  <c r="R151" i="10" s="1"/>
  <c r="AU151" i="10" s="1"/>
  <c r="BF151" i="10" s="1"/>
  <c r="BH151" i="10" s="1"/>
  <c r="BJ151" i="10" s="1"/>
  <c r="BK151" i="10" s="1"/>
  <c r="BL151" i="10" s="1"/>
  <c r="BD162" i="10"/>
  <c r="BD144" i="10"/>
  <c r="BD160" i="10"/>
  <c r="BK143" i="10"/>
  <c r="BL143" i="10" s="1"/>
  <c r="BE143" i="10"/>
  <c r="AX136" i="10"/>
  <c r="I19" i="23"/>
  <c r="AX123" i="10"/>
  <c r="AV136" i="10"/>
  <c r="BL119" i="10"/>
  <c r="BN119" i="10" s="1"/>
  <c r="BD136" i="10"/>
  <c r="AV123" i="10"/>
  <c r="BE129" i="10"/>
  <c r="BN129" i="10" s="1"/>
  <c r="BE45" i="10"/>
  <c r="BL126" i="10"/>
  <c r="BD124" i="10"/>
  <c r="BD122" i="10"/>
  <c r="BD121" i="10"/>
  <c r="AV102" i="10"/>
  <c r="AX102" i="10"/>
  <c r="BD113" i="10"/>
  <c r="BM113" i="10" s="1"/>
  <c r="BD114" i="10"/>
  <c r="BM114" i="10" s="1"/>
  <c r="AX72" i="10"/>
  <c r="AR77" i="10"/>
  <c r="J77" i="10" s="1"/>
  <c r="AT77" i="10" s="1"/>
  <c r="AY77" i="10" s="1"/>
  <c r="BA77" i="10" s="1"/>
  <c r="BC77" i="10" s="1"/>
  <c r="AV72" i="10"/>
  <c r="BE81" i="10"/>
  <c r="BN81" i="10" s="1"/>
  <c r="BD123" i="10"/>
  <c r="BD110" i="10"/>
  <c r="BD105" i="10"/>
  <c r="BD82" i="10"/>
  <c r="AU77" i="10"/>
  <c r="BD71" i="10"/>
  <c r="BD70" i="10"/>
  <c r="BD68" i="10"/>
  <c r="BK52" i="10"/>
  <c r="BL52" i="10" s="1"/>
  <c r="BE52" i="10"/>
  <c r="BD76" i="10"/>
  <c r="BE76" i="10" s="1"/>
  <c r="BF42" i="10"/>
  <c r="BH42" i="10" s="1"/>
  <c r="BK34" i="10"/>
  <c r="BM34" i="10" s="1"/>
  <c r="BE35" i="10"/>
  <c r="BN35" i="10" s="1"/>
  <c r="AV42" i="10"/>
  <c r="AX42" i="10"/>
  <c r="J43" i="10"/>
  <c r="AS43" i="10"/>
  <c r="R43" i="10" s="1"/>
  <c r="J44" i="10"/>
  <c r="AT44" i="10" s="1"/>
  <c r="AS44" i="10"/>
  <c r="R44" i="10" s="1"/>
  <c r="I53" i="10" s="1"/>
  <c r="BD42" i="10"/>
  <c r="BD49" i="10"/>
  <c r="BD55" i="10"/>
  <c r="BD48" i="10"/>
  <c r="J14" i="10"/>
  <c r="AY14" i="10" s="1"/>
  <c r="BA14" i="10" s="1"/>
  <c r="BC14" i="10" s="1"/>
  <c r="BD14" i="10" s="1"/>
  <c r="AS14" i="10"/>
  <c r="R14" i="10" s="1"/>
  <c r="BF14" i="10" s="1"/>
  <c r="BH14" i="10" s="1"/>
  <c r="BJ14" i="10" s="1"/>
  <c r="BK14" i="10" s="1"/>
  <c r="BL14" i="10" s="1"/>
  <c r="AV4" i="10"/>
  <c r="BD19" i="10"/>
  <c r="BE73" i="10"/>
  <c r="BN73" i="10" s="1"/>
  <c r="BM73" i="10"/>
  <c r="AX4" i="10"/>
  <c r="BF4" i="10"/>
  <c r="BH4" i="10" s="1"/>
  <c r="BD20" i="10"/>
  <c r="BD18" i="10"/>
  <c r="BD17" i="10"/>
  <c r="AS6" i="10"/>
  <c r="R6" i="10" s="1"/>
  <c r="J6" i="10"/>
  <c r="AY10" i="10"/>
  <c r="BA10" i="10" s="1"/>
  <c r="BF10" i="10"/>
  <c r="BH10" i="10" s="1"/>
  <c r="BJ10" i="10" s="1"/>
  <c r="BD9" i="10"/>
  <c r="BK7" i="10"/>
  <c r="BL7" i="10" s="1"/>
  <c r="BE3" i="10"/>
  <c r="BD72" i="10"/>
  <c r="AH144" i="20"/>
  <c r="G172" i="9"/>
  <c r="C78" i="1"/>
  <c r="E159" i="9"/>
  <c r="B22" i="3" a="1"/>
  <c r="B22" i="3" s="1"/>
  <c r="B21" i="3" a="1"/>
  <c r="B21" i="3" s="1"/>
  <c r="F14" i="3" s="1"/>
  <c r="U249" i="15"/>
  <c r="C249" i="15"/>
  <c r="T269" i="15"/>
  <c r="K269" i="15"/>
  <c r="T268" i="15"/>
  <c r="K268" i="15"/>
  <c r="T267" i="15"/>
  <c r="K267" i="15"/>
  <c r="T266" i="15"/>
  <c r="K266" i="15"/>
  <c r="T265" i="15"/>
  <c r="K265" i="15"/>
  <c r="T264" i="15"/>
  <c r="K264" i="15"/>
  <c r="T263" i="15"/>
  <c r="K263" i="15"/>
  <c r="T262" i="15"/>
  <c r="K262" i="15"/>
  <c r="T259" i="15"/>
  <c r="K259" i="15"/>
  <c r="T258" i="15"/>
  <c r="K258" i="15"/>
  <c r="T257" i="15"/>
  <c r="K257" i="15"/>
  <c r="T256" i="15"/>
  <c r="K256" i="15"/>
  <c r="T255" i="15"/>
  <c r="K255" i="15"/>
  <c r="T254" i="15"/>
  <c r="K254" i="15"/>
  <c r="T253" i="15"/>
  <c r="K253" i="15"/>
  <c r="T252" i="15"/>
  <c r="K252" i="15"/>
  <c r="Z251" i="15"/>
  <c r="Y251" i="15"/>
  <c r="X251" i="15"/>
  <c r="W251" i="15"/>
  <c r="V251" i="15"/>
  <c r="U251" i="15"/>
  <c r="Q251" i="15"/>
  <c r="P251" i="15"/>
  <c r="O251" i="15"/>
  <c r="N251" i="15"/>
  <c r="M251" i="15"/>
  <c r="L251" i="15"/>
  <c r="N249" i="15"/>
  <c r="L249" i="15"/>
  <c r="T247" i="15"/>
  <c r="K247" i="15"/>
  <c r="K303" i="15"/>
  <c r="T303" i="15"/>
  <c r="U221" i="15"/>
  <c r="C221" i="15"/>
  <c r="T241" i="15"/>
  <c r="K241" i="15"/>
  <c r="T240" i="15"/>
  <c r="K240" i="15"/>
  <c r="T239" i="15"/>
  <c r="K239" i="15"/>
  <c r="T238" i="15"/>
  <c r="K238" i="15"/>
  <c r="T237" i="15"/>
  <c r="K237" i="15"/>
  <c r="T236" i="15"/>
  <c r="K236" i="15"/>
  <c r="T233" i="15"/>
  <c r="K233" i="15"/>
  <c r="T232" i="15"/>
  <c r="K232" i="15"/>
  <c r="T231" i="15"/>
  <c r="K231" i="15"/>
  <c r="T230" i="15"/>
  <c r="K230" i="15"/>
  <c r="T229" i="15"/>
  <c r="K229" i="15"/>
  <c r="T228" i="15"/>
  <c r="K228" i="15"/>
  <c r="T227" i="15"/>
  <c r="K227" i="15"/>
  <c r="T226" i="15"/>
  <c r="K226" i="15"/>
  <c r="T225" i="15"/>
  <c r="K225" i="15"/>
  <c r="T224" i="15"/>
  <c r="K224" i="15"/>
  <c r="Z223" i="15"/>
  <c r="Y223" i="15"/>
  <c r="X223" i="15"/>
  <c r="W223" i="15"/>
  <c r="V223" i="15"/>
  <c r="U223" i="15"/>
  <c r="Q223" i="15"/>
  <c r="P223" i="15"/>
  <c r="O223" i="15"/>
  <c r="N223" i="15"/>
  <c r="M223" i="15"/>
  <c r="L223" i="15"/>
  <c r="N221" i="15"/>
  <c r="L221" i="15"/>
  <c r="T219" i="15"/>
  <c r="K219" i="15"/>
  <c r="D357" i="15"/>
  <c r="E169" i="9"/>
  <c r="G169" i="9"/>
  <c r="E168" i="9"/>
  <c r="G73" i="9"/>
  <c r="G74" i="9"/>
  <c r="G75" i="9"/>
  <c r="G76" i="9"/>
  <c r="C3" i="1"/>
  <c r="E68" i="9"/>
  <c r="E54" i="9"/>
  <c r="D54" i="9"/>
  <c r="D68" i="9"/>
  <c r="B8" i="3" a="1"/>
  <c r="B8" i="3" s="1"/>
  <c r="D57" i="9"/>
  <c r="D56" i="9"/>
  <c r="D55" i="9"/>
  <c r="E137" i="9"/>
  <c r="E136" i="9"/>
  <c r="G70" i="9"/>
  <c r="G171" i="9"/>
  <c r="C40" i="1"/>
  <c r="C38" i="1"/>
  <c r="H101" i="1"/>
  <c r="E158" i="9"/>
  <c r="AH129" i="20"/>
  <c r="C3" i="19"/>
  <c r="E135" i="9"/>
  <c r="T21" i="15"/>
  <c r="K21" i="15"/>
  <c r="T10" i="15"/>
  <c r="K10" i="15"/>
  <c r="AM676" i="10"/>
  <c r="AJ676" i="10"/>
  <c r="AB676" i="10"/>
  <c r="Z676" i="10"/>
  <c r="X676" i="10"/>
  <c r="E67" i="9"/>
  <c r="E65" i="9"/>
  <c r="E64" i="9"/>
  <c r="E63" i="9"/>
  <c r="E62" i="9"/>
  <c r="E61" i="9"/>
  <c r="G61" i="9" s="1"/>
  <c r="E60" i="9"/>
  <c r="E59" i="9"/>
  <c r="E58" i="9"/>
  <c r="E55" i="9"/>
  <c r="G55" i="9" s="1"/>
  <c r="E56" i="9"/>
  <c r="G56" i="9" s="1"/>
  <c r="E57" i="9"/>
  <c r="G57" i="9"/>
  <c r="G67" i="9"/>
  <c r="G66" i="9"/>
  <c r="G65" i="9"/>
  <c r="G64" i="9"/>
  <c r="G62" i="9"/>
  <c r="G69" i="9"/>
  <c r="E134" i="9"/>
  <c r="G134" i="9" s="1"/>
  <c r="C67" i="1"/>
  <c r="E167" i="9"/>
  <c r="D167" i="9"/>
  <c r="G68" i="9"/>
  <c r="E165" i="9"/>
  <c r="AJ95" i="10"/>
  <c r="J95" i="10"/>
  <c r="X95" i="10"/>
  <c r="Z95" i="10"/>
  <c r="AB95" i="10"/>
  <c r="G168" i="9"/>
  <c r="E43" i="12"/>
  <c r="G136" i="9"/>
  <c r="G63" i="9"/>
  <c r="D58" i="9"/>
  <c r="G137" i="9"/>
  <c r="G138" i="9"/>
  <c r="G159" i="9"/>
  <c r="E232" i="5"/>
  <c r="E231" i="5"/>
  <c r="E230" i="5"/>
  <c r="A229" i="5"/>
  <c r="B229" i="5"/>
  <c r="C229" i="5"/>
  <c r="D229" i="5"/>
  <c r="E229" i="5"/>
  <c r="E233" i="5"/>
  <c r="C2" i="23"/>
  <c r="E133" i="9"/>
  <c r="E132" i="9"/>
  <c r="G132" i="9" s="1"/>
  <c r="E131" i="9"/>
  <c r="G133" i="9"/>
  <c r="G135" i="9"/>
  <c r="E157" i="9"/>
  <c r="G167" i="9"/>
  <c r="D52" i="9"/>
  <c r="E52" i="9" s="1"/>
  <c r="G52" i="9" s="1"/>
  <c r="D53" i="9"/>
  <c r="E53" i="9" s="1"/>
  <c r="G53" i="9" s="1"/>
  <c r="C4" i="15"/>
  <c r="O367" i="15" s="1"/>
  <c r="D358" i="15"/>
  <c r="D359" i="15"/>
  <c r="G158" i="9"/>
  <c r="E163" i="9"/>
  <c r="G163" i="9" s="1"/>
  <c r="G60" i="9"/>
  <c r="G59" i="9"/>
  <c r="E162" i="9"/>
  <c r="G162" i="9" s="1"/>
  <c r="E51" i="9"/>
  <c r="E50" i="9"/>
  <c r="G58" i="9"/>
  <c r="B52" i="12"/>
  <c r="B32" i="12"/>
  <c r="G54" i="9"/>
  <c r="E130" i="9"/>
  <c r="E129" i="9"/>
  <c r="E128" i="9"/>
  <c r="U193" i="15"/>
  <c r="C193" i="15"/>
  <c r="L195" i="15"/>
  <c r="M195" i="15"/>
  <c r="N195" i="15"/>
  <c r="O195" i="15"/>
  <c r="P195" i="15"/>
  <c r="Q195" i="15"/>
  <c r="U195" i="15"/>
  <c r="V195" i="15"/>
  <c r="W195" i="15"/>
  <c r="X195" i="15"/>
  <c r="Y195" i="15"/>
  <c r="Z195" i="15"/>
  <c r="K196" i="15"/>
  <c r="T196" i="15"/>
  <c r="K197" i="15"/>
  <c r="T197" i="15"/>
  <c r="K198" i="15"/>
  <c r="T198" i="15"/>
  <c r="K199" i="15"/>
  <c r="T199" i="15"/>
  <c r="K200" i="15"/>
  <c r="T200" i="15"/>
  <c r="K201" i="15"/>
  <c r="T201" i="15"/>
  <c r="K202" i="15"/>
  <c r="T202" i="15"/>
  <c r="K203" i="15"/>
  <c r="T203" i="15"/>
  <c r="K204" i="15"/>
  <c r="T204" i="15"/>
  <c r="K205" i="15"/>
  <c r="T205" i="15"/>
  <c r="K208" i="15"/>
  <c r="T208" i="15"/>
  <c r="K209" i="15"/>
  <c r="T209" i="15"/>
  <c r="K210" i="15"/>
  <c r="T210" i="15"/>
  <c r="K211" i="15"/>
  <c r="T211" i="15"/>
  <c r="K212" i="15"/>
  <c r="T212" i="15"/>
  <c r="K213" i="15"/>
  <c r="T213" i="15"/>
  <c r="N193" i="15"/>
  <c r="T191" i="15"/>
  <c r="K191" i="15"/>
  <c r="E16" i="19"/>
  <c r="E156" i="9"/>
  <c r="G156" i="9" s="1"/>
  <c r="G131" i="9"/>
  <c r="E155" i="9"/>
  <c r="E49" i="9"/>
  <c r="G49" i="9" s="1"/>
  <c r="E47" i="9"/>
  <c r="E46" i="9"/>
  <c r="G46" i="9" s="1"/>
  <c r="E45" i="9"/>
  <c r="G45" i="9" s="1"/>
  <c r="E48" i="9"/>
  <c r="E44" i="9"/>
  <c r="G44" i="9" s="1"/>
  <c r="E43" i="9"/>
  <c r="E36" i="9"/>
  <c r="E32" i="9"/>
  <c r="E31" i="9"/>
  <c r="G31" i="9" s="1"/>
  <c r="E29" i="9"/>
  <c r="E30" i="9"/>
  <c r="G157" i="9"/>
  <c r="G47" i="9"/>
  <c r="G48" i="9"/>
  <c r="G50" i="9"/>
  <c r="G51" i="9"/>
  <c r="E42" i="9"/>
  <c r="E41" i="9"/>
  <c r="G41" i="9" s="1"/>
  <c r="E40" i="9"/>
  <c r="E39" i="9"/>
  <c r="G39" i="9" s="1"/>
  <c r="E38" i="9"/>
  <c r="G38" i="9" s="1"/>
  <c r="E37" i="9"/>
  <c r="E35" i="9"/>
  <c r="G35" i="9" s="1"/>
  <c r="E34" i="9"/>
  <c r="G34" i="9" s="1"/>
  <c r="E33" i="9"/>
  <c r="E127" i="9"/>
  <c r="G127" i="9" s="1"/>
  <c r="E126" i="9"/>
  <c r="G130" i="9"/>
  <c r="G128" i="9"/>
  <c r="G129" i="9"/>
  <c r="G36" i="9"/>
  <c r="G37" i="9"/>
  <c r="G40" i="9"/>
  <c r="G42" i="9"/>
  <c r="G43" i="9"/>
  <c r="E28" i="9"/>
  <c r="G28" i="9" s="1"/>
  <c r="E27" i="9"/>
  <c r="G27" i="9" s="1"/>
  <c r="E26" i="9"/>
  <c r="E25" i="9"/>
  <c r="E24" i="9"/>
  <c r="G24" i="9"/>
  <c r="E22" i="9"/>
  <c r="G22" i="9" s="1"/>
  <c r="E21" i="9"/>
  <c r="G21" i="9" s="1"/>
  <c r="G155" i="9"/>
  <c r="G33" i="9"/>
  <c r="U305" i="15"/>
  <c r="C305" i="15"/>
  <c r="T325" i="15"/>
  <c r="K325" i="15"/>
  <c r="T324" i="15"/>
  <c r="K324" i="15"/>
  <c r="T323" i="15"/>
  <c r="K323" i="15"/>
  <c r="T322" i="15"/>
  <c r="K322" i="15"/>
  <c r="T321" i="15"/>
  <c r="K321" i="15"/>
  <c r="T320" i="15"/>
  <c r="K320" i="15"/>
  <c r="T317" i="15"/>
  <c r="K317" i="15"/>
  <c r="T316" i="15"/>
  <c r="K316" i="15"/>
  <c r="T315" i="15"/>
  <c r="K315" i="15"/>
  <c r="T314" i="15"/>
  <c r="K314" i="15"/>
  <c r="T313" i="15"/>
  <c r="K313" i="15"/>
  <c r="T312" i="15"/>
  <c r="K312" i="15"/>
  <c r="T311" i="15"/>
  <c r="K311" i="15"/>
  <c r="T310" i="15"/>
  <c r="K310" i="15"/>
  <c r="T309" i="15"/>
  <c r="K309" i="15"/>
  <c r="T308" i="15"/>
  <c r="K308" i="15"/>
  <c r="Z307" i="15"/>
  <c r="Y307" i="15"/>
  <c r="X307" i="15"/>
  <c r="W307" i="15"/>
  <c r="V307" i="15"/>
  <c r="U307" i="15"/>
  <c r="Q307" i="15"/>
  <c r="P307" i="15"/>
  <c r="O307" i="15"/>
  <c r="N307" i="15"/>
  <c r="M307" i="15"/>
  <c r="L307" i="15"/>
  <c r="N305" i="15"/>
  <c r="G25" i="9"/>
  <c r="G26" i="9"/>
  <c r="G29" i="9"/>
  <c r="G30" i="9"/>
  <c r="G32" i="9"/>
  <c r="E20" i="9"/>
  <c r="G20" i="9" s="1"/>
  <c r="E18" i="9"/>
  <c r="E16" i="9"/>
  <c r="G16" i="9" s="1"/>
  <c r="E15" i="9"/>
  <c r="E154" i="9"/>
  <c r="G154" i="9"/>
  <c r="E153" i="9"/>
  <c r="L305" i="15"/>
  <c r="E152" i="9"/>
  <c r="B36" i="19"/>
  <c r="B23" i="19"/>
  <c r="B50" i="12"/>
  <c r="B30" i="12"/>
  <c r="E19" i="9"/>
  <c r="E17" i="9"/>
  <c r="G17" i="9" s="1"/>
  <c r="G126" i="9"/>
  <c r="E12" i="9"/>
  <c r="G12" i="9" s="1"/>
  <c r="G19" i="9"/>
  <c r="E6" i="9"/>
  <c r="E5" i="9"/>
  <c r="G125" i="9"/>
  <c r="E23" i="9"/>
  <c r="G23" i="9" s="1"/>
  <c r="E124" i="9"/>
  <c r="E123" i="9"/>
  <c r="E14" i="9"/>
  <c r="E13" i="9"/>
  <c r="G13" i="9" s="1"/>
  <c r="E11" i="9"/>
  <c r="E10" i="9"/>
  <c r="E9" i="9"/>
  <c r="G9" i="9" s="1"/>
  <c r="E8" i="9"/>
  <c r="G153" i="9"/>
  <c r="G15" i="9"/>
  <c r="G18" i="9"/>
  <c r="E122" i="9"/>
  <c r="E151" i="9"/>
  <c r="E7" i="9"/>
  <c r="G7" i="9" s="1"/>
  <c r="E4" i="9"/>
  <c r="E3" i="9"/>
  <c r="U165" i="15"/>
  <c r="C165" i="15"/>
  <c r="L167" i="15"/>
  <c r="M167" i="15"/>
  <c r="N167" i="15"/>
  <c r="O167" i="15"/>
  <c r="P167" i="15"/>
  <c r="Q167" i="15"/>
  <c r="U167" i="15"/>
  <c r="V167" i="15"/>
  <c r="W167" i="15"/>
  <c r="X167" i="15"/>
  <c r="Y167" i="15"/>
  <c r="Z167" i="15"/>
  <c r="K168" i="15"/>
  <c r="T168" i="15"/>
  <c r="K169" i="15"/>
  <c r="T169" i="15"/>
  <c r="K170" i="15"/>
  <c r="T170" i="15"/>
  <c r="K171" i="15"/>
  <c r="T171" i="15"/>
  <c r="K172" i="15"/>
  <c r="T172" i="15"/>
  <c r="K173" i="15"/>
  <c r="T173" i="15"/>
  <c r="K174" i="15"/>
  <c r="T174" i="15"/>
  <c r="K175" i="15"/>
  <c r="T175" i="15"/>
  <c r="K176" i="15"/>
  <c r="T176" i="15"/>
  <c r="K179" i="15"/>
  <c r="T179" i="15"/>
  <c r="K180" i="15"/>
  <c r="T180" i="15"/>
  <c r="K181" i="15"/>
  <c r="T181" i="15"/>
  <c r="K182" i="15"/>
  <c r="T182" i="15"/>
  <c r="K183" i="15"/>
  <c r="T183" i="15"/>
  <c r="K184" i="15"/>
  <c r="T184" i="15"/>
  <c r="K185" i="15"/>
  <c r="T185" i="15"/>
  <c r="N165" i="15"/>
  <c r="T163" i="15"/>
  <c r="K163" i="15"/>
  <c r="BH12" i="20"/>
  <c r="E114" i="9"/>
  <c r="E121" i="9"/>
  <c r="E118" i="9"/>
  <c r="G10" i="9"/>
  <c r="G11" i="9"/>
  <c r="G14" i="9"/>
  <c r="G152" i="9"/>
  <c r="BH11" i="20"/>
  <c r="BH10" i="20"/>
  <c r="AN6" i="20"/>
  <c r="AZ8" i="20"/>
  <c r="AZ9" i="20"/>
  <c r="AZ10" i="20"/>
  <c r="BH8" i="20"/>
  <c r="AQ6" i="20"/>
  <c r="AW6" i="20"/>
  <c r="AW7" i="20" s="1"/>
  <c r="BG10" i="20" s="1"/>
  <c r="BG11" i="20" s="1"/>
  <c r="BG12" i="20" s="1"/>
  <c r="BH7" i="20"/>
  <c r="G124" i="9"/>
  <c r="BH5" i="20"/>
  <c r="BH6" i="20"/>
  <c r="BH4" i="20"/>
  <c r="AZ6" i="20"/>
  <c r="AZ7" i="20"/>
  <c r="E150" i="9"/>
  <c r="G150" i="9" s="1"/>
  <c r="E147" i="9"/>
  <c r="E144" i="9"/>
  <c r="BC5" i="20"/>
  <c r="AZ5" i="20"/>
  <c r="E149" i="9"/>
  <c r="G149" i="9" s="1"/>
  <c r="BE3" i="20"/>
  <c r="AZ4" i="20"/>
  <c r="AZ3" i="20"/>
  <c r="AM3" i="20"/>
  <c r="AW3" i="20"/>
  <c r="BC4" i="20"/>
  <c r="BE4" i="20" s="1"/>
  <c r="C60" i="15"/>
  <c r="G151" i="9"/>
  <c r="G4" i="9"/>
  <c r="G5" i="9"/>
  <c r="G6" i="9"/>
  <c r="G8" i="9"/>
  <c r="G3" i="9"/>
  <c r="G123" i="9"/>
  <c r="G122" i="9"/>
  <c r="G121" i="9"/>
  <c r="E120" i="9"/>
  <c r="G120" i="9" s="1"/>
  <c r="E119" i="9"/>
  <c r="G119" i="9" s="1"/>
  <c r="AJ722" i="10"/>
  <c r="AJ723" i="10"/>
  <c r="AJ725" i="10"/>
  <c r="AJ726" i="10"/>
  <c r="AJ728" i="10"/>
  <c r="AJ729" i="10"/>
  <c r="E146" i="9"/>
  <c r="G146" i="9" s="1"/>
  <c r="E148" i="9"/>
  <c r="G148" i="9" s="1"/>
  <c r="B20" i="3" a="1"/>
  <c r="B20" i="3" s="1"/>
  <c r="F12" i="3" s="1"/>
  <c r="E145" i="9"/>
  <c r="G147" i="9"/>
  <c r="H1" i="1"/>
  <c r="B3" i="3" a="1"/>
  <c r="B3" i="3" s="1"/>
  <c r="B6" i="3" a="1"/>
  <c r="B6" i="3" s="1"/>
  <c r="B2" i="3" a="1"/>
  <c r="B2" i="3" s="1"/>
  <c r="F5" i="3" s="1"/>
  <c r="AU659" i="10" s="1"/>
  <c r="B19" i="3" a="1"/>
  <c r="B19" i="3" s="1"/>
  <c r="I20" i="3" s="1"/>
  <c r="AB722" i="10"/>
  <c r="AB723" i="10"/>
  <c r="AB725" i="10"/>
  <c r="AB726" i="10"/>
  <c r="AB728" i="10"/>
  <c r="AB729" i="10"/>
  <c r="E117" i="9"/>
  <c r="G117" i="9" s="1"/>
  <c r="E116" i="9"/>
  <c r="G116" i="9"/>
  <c r="E115" i="9"/>
  <c r="G115" i="9" s="1"/>
  <c r="G114" i="9"/>
  <c r="G118" i="9"/>
  <c r="H2" i="8"/>
  <c r="B38" i="19"/>
  <c r="B37" i="19"/>
  <c r="B35" i="19"/>
  <c r="B34" i="19"/>
  <c r="B33" i="19"/>
  <c r="B32" i="19"/>
  <c r="B31" i="19"/>
  <c r="E29" i="19"/>
  <c r="B25" i="19"/>
  <c r="B24" i="19"/>
  <c r="B22" i="19"/>
  <c r="B21" i="19"/>
  <c r="B20" i="19"/>
  <c r="B19" i="19"/>
  <c r="B18" i="19"/>
  <c r="E143" i="9"/>
  <c r="G143" i="9"/>
  <c r="E142" i="9"/>
  <c r="G142" i="9" s="1"/>
  <c r="G145" i="9"/>
  <c r="G144" i="9"/>
  <c r="E111" i="9"/>
  <c r="G111" i="9"/>
  <c r="E113" i="9"/>
  <c r="G113" i="9" s="1"/>
  <c r="E112" i="9"/>
  <c r="G112" i="9" s="1"/>
  <c r="E108" i="9"/>
  <c r="E110" i="9"/>
  <c r="G110" i="9" s="1"/>
  <c r="E109" i="9"/>
  <c r="G109" i="9" s="1"/>
  <c r="B51" i="12"/>
  <c r="B31" i="12"/>
  <c r="U88" i="15"/>
  <c r="N88" i="15"/>
  <c r="C88" i="15"/>
  <c r="L88" i="15"/>
  <c r="L90" i="15"/>
  <c r="M90" i="15"/>
  <c r="N90" i="15"/>
  <c r="O90" i="15"/>
  <c r="P90" i="15"/>
  <c r="Q90" i="15"/>
  <c r="U90" i="15"/>
  <c r="V90" i="15"/>
  <c r="W90" i="15"/>
  <c r="X90" i="15"/>
  <c r="Y90" i="15"/>
  <c r="Z90" i="15"/>
  <c r="T86" i="15"/>
  <c r="K86" i="15"/>
  <c r="K96" i="15"/>
  <c r="T96" i="15"/>
  <c r="U60" i="15"/>
  <c r="L62" i="15"/>
  <c r="M62" i="15"/>
  <c r="N62" i="15"/>
  <c r="O62" i="15"/>
  <c r="P62" i="15"/>
  <c r="Q62" i="15"/>
  <c r="U62" i="15"/>
  <c r="V62" i="15"/>
  <c r="W62" i="15"/>
  <c r="X62" i="15"/>
  <c r="Y62" i="15"/>
  <c r="Z62" i="15"/>
  <c r="K63" i="15"/>
  <c r="T63" i="15"/>
  <c r="K64" i="15"/>
  <c r="T64" i="15"/>
  <c r="K65" i="15"/>
  <c r="T65" i="15"/>
  <c r="K66" i="15"/>
  <c r="T66" i="15"/>
  <c r="K67" i="15"/>
  <c r="T67" i="15"/>
  <c r="K68" i="15"/>
  <c r="T68" i="15"/>
  <c r="K69" i="15"/>
  <c r="T69" i="15"/>
  <c r="K70" i="15"/>
  <c r="T70" i="15"/>
  <c r="K71" i="15"/>
  <c r="T71" i="15"/>
  <c r="K72" i="15"/>
  <c r="T72" i="15"/>
  <c r="K73" i="15"/>
  <c r="T73" i="15"/>
  <c r="K74" i="15"/>
  <c r="T74" i="15"/>
  <c r="K75" i="15"/>
  <c r="T75" i="15"/>
  <c r="K76" i="15"/>
  <c r="T76" i="15"/>
  <c r="K78" i="15"/>
  <c r="T78" i="15"/>
  <c r="K79" i="15"/>
  <c r="T79" i="15"/>
  <c r="K80" i="15"/>
  <c r="T80" i="15"/>
  <c r="T58" i="15"/>
  <c r="K58" i="15"/>
  <c r="T40" i="15"/>
  <c r="T12" i="15"/>
  <c r="K42" i="15"/>
  <c r="K43" i="15"/>
  <c r="K44" i="15"/>
  <c r="K45" i="15"/>
  <c r="K46" i="15"/>
  <c r="K47" i="15"/>
  <c r="K48" i="15"/>
  <c r="K50" i="15"/>
  <c r="K51" i="15"/>
  <c r="K52" i="15"/>
  <c r="K38" i="15"/>
  <c r="K39" i="15"/>
  <c r="K40" i="15"/>
  <c r="K12" i="15"/>
  <c r="U32" i="15"/>
  <c r="N277" i="15" s="1"/>
  <c r="C32" i="15"/>
  <c r="L34" i="15"/>
  <c r="M34" i="15"/>
  <c r="N34" i="15"/>
  <c r="O34" i="15"/>
  <c r="P34" i="15"/>
  <c r="Q34" i="15"/>
  <c r="U34" i="15"/>
  <c r="V34" i="15"/>
  <c r="W34" i="15"/>
  <c r="X34" i="15"/>
  <c r="Y34" i="15"/>
  <c r="Z34" i="15"/>
  <c r="K35" i="15"/>
  <c r="T35" i="15"/>
  <c r="K36" i="15"/>
  <c r="T36" i="15"/>
  <c r="K37" i="15"/>
  <c r="T37" i="15"/>
  <c r="T38" i="15"/>
  <c r="T39" i="15"/>
  <c r="K41" i="15"/>
  <c r="T41" i="15"/>
  <c r="T42" i="15"/>
  <c r="T43" i="15"/>
  <c r="T44" i="15"/>
  <c r="T45" i="15"/>
  <c r="T46" i="15"/>
  <c r="T47" i="15"/>
  <c r="T48" i="15"/>
  <c r="T50" i="15"/>
  <c r="T51" i="15"/>
  <c r="T52" i="15"/>
  <c r="T30" i="15"/>
  <c r="K30" i="15"/>
  <c r="R728" i="10"/>
  <c r="X728" i="10"/>
  <c r="Z728" i="10"/>
  <c r="AE728" i="10"/>
  <c r="J729" i="10"/>
  <c r="X729" i="10"/>
  <c r="Z729" i="10"/>
  <c r="AM729" i="10"/>
  <c r="I725" i="10"/>
  <c r="J725" i="10" s="1"/>
  <c r="X725" i="10"/>
  <c r="Z725" i="10"/>
  <c r="AM725" i="10"/>
  <c r="R726" i="10"/>
  <c r="X726" i="10"/>
  <c r="Z726" i="10"/>
  <c r="AE726" i="10"/>
  <c r="R722" i="10"/>
  <c r="X722" i="10"/>
  <c r="Z722" i="10"/>
  <c r="AE722" i="10"/>
  <c r="J723" i="10"/>
  <c r="X723" i="10"/>
  <c r="Z723" i="10"/>
  <c r="AM723" i="10"/>
  <c r="B49" i="12"/>
  <c r="B48" i="12"/>
  <c r="B47" i="12"/>
  <c r="B46" i="12"/>
  <c r="B45" i="12"/>
  <c r="B29" i="12"/>
  <c r="B28" i="12"/>
  <c r="B27" i="12"/>
  <c r="B25" i="12"/>
  <c r="B26" i="12"/>
  <c r="G43" i="8"/>
  <c r="B18" i="3" a="1"/>
  <c r="B18" i="3" s="1"/>
  <c r="I19" i="3" s="1"/>
  <c r="I13" i="3"/>
  <c r="I15" i="3"/>
  <c r="U154" i="15"/>
  <c r="N154" i="15"/>
  <c r="C154" i="15"/>
  <c r="L154" i="15" s="1"/>
  <c r="T152" i="15"/>
  <c r="K152" i="15"/>
  <c r="L156" i="15"/>
  <c r="M156" i="15"/>
  <c r="N156" i="15"/>
  <c r="O156" i="15"/>
  <c r="P156" i="15"/>
  <c r="Q156" i="15"/>
  <c r="U156" i="15"/>
  <c r="V156" i="15"/>
  <c r="W156" i="15"/>
  <c r="X156" i="15"/>
  <c r="Y156" i="15"/>
  <c r="Z156" i="15"/>
  <c r="B17" i="3" a="1"/>
  <c r="B17" i="3" s="1"/>
  <c r="I18" i="3" s="1"/>
  <c r="B16" i="3" a="1"/>
  <c r="B16" i="3" s="1"/>
  <c r="K111" i="15"/>
  <c r="T111" i="15"/>
  <c r="K110" i="15"/>
  <c r="T110" i="15"/>
  <c r="K109" i="15"/>
  <c r="T109" i="15"/>
  <c r="K108" i="15"/>
  <c r="T108" i="15"/>
  <c r="K139" i="15"/>
  <c r="T139" i="15"/>
  <c r="K138" i="15"/>
  <c r="T138" i="15"/>
  <c r="K137" i="15"/>
  <c r="T137" i="15"/>
  <c r="K136" i="15"/>
  <c r="T136" i="15"/>
  <c r="K145" i="15"/>
  <c r="T145" i="15"/>
  <c r="K144" i="15"/>
  <c r="T144" i="15"/>
  <c r="K117" i="15"/>
  <c r="T117" i="15"/>
  <c r="K116" i="15"/>
  <c r="T116" i="15"/>
  <c r="U126" i="15"/>
  <c r="C126" i="15"/>
  <c r="L128" i="15"/>
  <c r="M128" i="15"/>
  <c r="N128" i="15"/>
  <c r="O128" i="15"/>
  <c r="P128" i="15"/>
  <c r="Q128" i="15"/>
  <c r="U128" i="15"/>
  <c r="V128" i="15"/>
  <c r="W128" i="15"/>
  <c r="X128" i="15"/>
  <c r="Y128" i="15"/>
  <c r="Z128" i="15"/>
  <c r="K129" i="15"/>
  <c r="T129" i="15"/>
  <c r="K130" i="15"/>
  <c r="T130" i="15"/>
  <c r="K131" i="15"/>
  <c r="T131" i="15"/>
  <c r="K132" i="15"/>
  <c r="T132" i="15"/>
  <c r="K133" i="15"/>
  <c r="T133" i="15"/>
  <c r="K134" i="15"/>
  <c r="T134" i="15"/>
  <c r="K135" i="15"/>
  <c r="T135" i="15"/>
  <c r="K142" i="15"/>
  <c r="T142" i="15"/>
  <c r="K143" i="15"/>
  <c r="T143" i="15"/>
  <c r="K146" i="15"/>
  <c r="T146" i="15"/>
  <c r="T124" i="15"/>
  <c r="K124" i="15"/>
  <c r="T2" i="15"/>
  <c r="K2" i="15"/>
  <c r="U98" i="15"/>
  <c r="N4" i="15"/>
  <c r="T118" i="15"/>
  <c r="T24" i="15"/>
  <c r="T23" i="15"/>
  <c r="T22" i="15"/>
  <c r="T113" i="15"/>
  <c r="T20" i="15"/>
  <c r="T112" i="15"/>
  <c r="T19" i="15"/>
  <c r="T18" i="15"/>
  <c r="T17" i="15"/>
  <c r="T16" i="15"/>
  <c r="T15" i="15"/>
  <c r="T107" i="15"/>
  <c r="T14" i="15"/>
  <c r="T106" i="15"/>
  <c r="T13" i="15"/>
  <c r="T105" i="15"/>
  <c r="T11" i="15"/>
  <c r="T104" i="15"/>
  <c r="T103" i="15"/>
  <c r="T9" i="15"/>
  <c r="T102" i="15"/>
  <c r="T8" i="15"/>
  <c r="T101" i="15"/>
  <c r="T7" i="15"/>
  <c r="Z100" i="15"/>
  <c r="Y100" i="15"/>
  <c r="X100" i="15"/>
  <c r="W100" i="15"/>
  <c r="V100" i="15"/>
  <c r="U100" i="15"/>
  <c r="Z6" i="15"/>
  <c r="Y6" i="15"/>
  <c r="X6" i="15"/>
  <c r="W6" i="15"/>
  <c r="V6" i="15"/>
  <c r="U6" i="15"/>
  <c r="K118" i="15"/>
  <c r="K24" i="15"/>
  <c r="K23" i="15"/>
  <c r="K22" i="15"/>
  <c r="K113" i="15"/>
  <c r="K20" i="15"/>
  <c r="K112" i="15"/>
  <c r="K19" i="15"/>
  <c r="K18" i="15"/>
  <c r="K17" i="15"/>
  <c r="K16" i="15"/>
  <c r="K15" i="15"/>
  <c r="K107" i="15"/>
  <c r="K14" i="15"/>
  <c r="K106" i="15"/>
  <c r="K13" i="15"/>
  <c r="K105" i="15"/>
  <c r="K11" i="15"/>
  <c r="K104" i="15"/>
  <c r="K103" i="15"/>
  <c r="K9" i="15"/>
  <c r="K102" i="15"/>
  <c r="K8" i="15"/>
  <c r="K101" i="15"/>
  <c r="K7" i="15"/>
  <c r="Q100" i="15"/>
  <c r="P100" i="15"/>
  <c r="O100" i="15"/>
  <c r="N100" i="15"/>
  <c r="M100" i="15"/>
  <c r="L100" i="15"/>
  <c r="Q6" i="15"/>
  <c r="P6" i="15"/>
  <c r="O6" i="15"/>
  <c r="N6" i="15"/>
  <c r="M6" i="15"/>
  <c r="L6" i="15"/>
  <c r="C98" i="15"/>
  <c r="E23" i="12"/>
  <c r="B15" i="3" a="1"/>
  <c r="B15" i="3" s="1"/>
  <c r="I14" i="3" s="1"/>
  <c r="B9" i="3" a="1"/>
  <c r="B9" i="3" s="1"/>
  <c r="I10" i="3" s="1"/>
  <c r="O1" i="3"/>
  <c r="H1" i="9"/>
  <c r="B14" i="3" a="1"/>
  <c r="B14" i="3" s="1"/>
  <c r="B13" i="3" a="1"/>
  <c r="B13" i="3" s="1"/>
  <c r="B12" i="3" a="1"/>
  <c r="B12" i="3" s="1"/>
  <c r="B11" i="3" a="1"/>
  <c r="B11" i="3" s="1"/>
  <c r="I7" i="3" s="1"/>
  <c r="B10" i="3" a="1"/>
  <c r="B10" i="3" s="1"/>
  <c r="I8" i="3" s="1"/>
  <c r="B7" i="3" a="1"/>
  <c r="B7" i="3" s="1"/>
  <c r="B5" i="3" a="1"/>
  <c r="B5" i="3" s="1"/>
  <c r="B4" i="3" a="1"/>
  <c r="B4" i="3" s="1"/>
  <c r="B1" i="3"/>
  <c r="N126" i="15"/>
  <c r="N32" i="15"/>
  <c r="G108" i="9"/>
  <c r="N98" i="15"/>
  <c r="N60" i="15"/>
  <c r="P367" i="15"/>
  <c r="Q364" i="15"/>
  <c r="R363" i="15"/>
  <c r="AW4" i="20"/>
  <c r="E226" i="5"/>
  <c r="D360" i="15"/>
  <c r="G164" i="9"/>
  <c r="G166" i="9"/>
  <c r="AH659" i="10" l="1"/>
  <c r="AP659" i="10"/>
  <c r="BE653" i="10"/>
  <c r="BE652" i="10"/>
  <c r="BE651" i="10"/>
  <c r="BE654" i="10"/>
  <c r="AY655" i="10"/>
  <c r="BA655" i="10" s="1"/>
  <c r="AX655" i="10"/>
  <c r="AV655" i="10"/>
  <c r="BL655" i="10"/>
  <c r="BE649" i="10"/>
  <c r="BE650" i="10"/>
  <c r="BE648" i="10"/>
  <c r="AH646" i="10"/>
  <c r="AP646" i="10"/>
  <c r="AU643" i="10"/>
  <c r="AU646" i="10"/>
  <c r="BM689" i="10"/>
  <c r="BE689" i="10"/>
  <c r="BN689" i="10" s="1"/>
  <c r="BM688" i="10"/>
  <c r="BE688" i="10"/>
  <c r="BN688" i="10" s="1"/>
  <c r="BM687" i="10"/>
  <c r="BE687" i="10"/>
  <c r="BN687" i="10" s="1"/>
  <c r="BM663" i="10"/>
  <c r="BE663" i="10"/>
  <c r="BN663" i="10" s="1"/>
  <c r="BE657" i="10"/>
  <c r="BM685" i="10"/>
  <c r="BE685" i="10"/>
  <c r="BN685" i="10" s="1"/>
  <c r="BM683" i="10"/>
  <c r="BE683" i="10"/>
  <c r="BN683" i="10" s="1"/>
  <c r="BE661" i="10"/>
  <c r="BF476" i="10"/>
  <c r="BH476" i="10" s="1"/>
  <c r="BJ476" i="10" s="1"/>
  <c r="BK476" i="10" s="1"/>
  <c r="BL476" i="10" s="1"/>
  <c r="AV476" i="10"/>
  <c r="BM681" i="10"/>
  <c r="BE681" i="10"/>
  <c r="BN681" i="10" s="1"/>
  <c r="AH643" i="10"/>
  <c r="AP643" i="10"/>
  <c r="AV618" i="10"/>
  <c r="AY618" i="10"/>
  <c r="BA618" i="10" s="1"/>
  <c r="BK618" i="10"/>
  <c r="BL618" i="10" s="1"/>
  <c r="AH611" i="10"/>
  <c r="AH678" i="10"/>
  <c r="AP678" i="10"/>
  <c r="AT611" i="10"/>
  <c r="AT678" i="10"/>
  <c r="Q634" i="10"/>
  <c r="AT625" i="10"/>
  <c r="BE624" i="10"/>
  <c r="BE639" i="10"/>
  <c r="BE630" i="10"/>
  <c r="BE631" i="10"/>
  <c r="BE629" i="10"/>
  <c r="BE613" i="10"/>
  <c r="BE614" i="10"/>
  <c r="BM606" i="10"/>
  <c r="BE606" i="10"/>
  <c r="BN606" i="10" s="1"/>
  <c r="AV589" i="10"/>
  <c r="AY589" i="10"/>
  <c r="BA589" i="10" s="1"/>
  <c r="AH616" i="10"/>
  <c r="AE616" i="10" s="1"/>
  <c r="AP616" i="10"/>
  <c r="BE615" i="10"/>
  <c r="BM620" i="10"/>
  <c r="BE620" i="10"/>
  <c r="BN620" i="10" s="1"/>
  <c r="BE611" i="10"/>
  <c r="BE610" i="10"/>
  <c r="BE609" i="10"/>
  <c r="BE608" i="10"/>
  <c r="AH602" i="10"/>
  <c r="AP602" i="10"/>
  <c r="AU599" i="10"/>
  <c r="AU602" i="10"/>
  <c r="BE601" i="10"/>
  <c r="AH565" i="10"/>
  <c r="AH599" i="10"/>
  <c r="AP599" i="10"/>
  <c r="BE598" i="10"/>
  <c r="AY577" i="10"/>
  <c r="BA577" i="10" s="1"/>
  <c r="BC577" i="10" s="1"/>
  <c r="BF577" i="10"/>
  <c r="BH577" i="10" s="1"/>
  <c r="BJ577" i="10" s="1"/>
  <c r="BK577" i="10" s="1"/>
  <c r="BL577" i="10" s="1"/>
  <c r="AS588" i="10"/>
  <c r="R588" i="10" s="1"/>
  <c r="AU588" i="10" s="1"/>
  <c r="J588" i="10"/>
  <c r="BF581" i="10"/>
  <c r="BH581" i="10" s="1"/>
  <c r="AX581" i="10"/>
  <c r="AV581" i="10"/>
  <c r="AT568" i="10"/>
  <c r="AY568" i="10" s="1"/>
  <c r="BE592" i="10"/>
  <c r="BM579" i="10"/>
  <c r="BE579" i="10"/>
  <c r="BN579" i="10" s="1"/>
  <c r="BE585" i="10"/>
  <c r="BE583" i="10"/>
  <c r="BE582" i="10"/>
  <c r="G9" i="23" a="1"/>
  <c r="G9" i="23" s="1"/>
  <c r="BM569" i="10"/>
  <c r="BE569" i="10"/>
  <c r="BN569" i="10" s="1"/>
  <c r="AU574" i="10"/>
  <c r="BF574" i="10" s="1"/>
  <c r="AU529" i="10"/>
  <c r="AT565" i="10"/>
  <c r="BE581" i="10"/>
  <c r="BE576" i="10"/>
  <c r="AV563" i="10"/>
  <c r="AY563" i="10"/>
  <c r="BA563" i="10" s="1"/>
  <c r="BE562" i="10"/>
  <c r="BE561" i="10"/>
  <c r="BM556" i="10"/>
  <c r="BE556" i="10"/>
  <c r="BN556" i="10" s="1"/>
  <c r="BE558" i="10"/>
  <c r="BF553" i="10"/>
  <c r="BH553" i="10" s="1"/>
  <c r="BJ553" i="10" s="1"/>
  <c r="BK553" i="10" s="1"/>
  <c r="BL553" i="10" s="1"/>
  <c r="AV553" i="10"/>
  <c r="AY553" i="10"/>
  <c r="BA553" i="10" s="1"/>
  <c r="BK554" i="10"/>
  <c r="BL554" i="10" s="1"/>
  <c r="AV554" i="10"/>
  <c r="AY554" i="10"/>
  <c r="BA554" i="10" s="1"/>
  <c r="BE546" i="10"/>
  <c r="BE551" i="10"/>
  <c r="BE548" i="10"/>
  <c r="BE547" i="10"/>
  <c r="BE533" i="10"/>
  <c r="BM543" i="10"/>
  <c r="BE543" i="10"/>
  <c r="BN543" i="10" s="1"/>
  <c r="AX541" i="10"/>
  <c r="AV541" i="10"/>
  <c r="AY541" i="10"/>
  <c r="BA541" i="10" s="1"/>
  <c r="BK541" i="10"/>
  <c r="BL541" i="10" s="1"/>
  <c r="AT538" i="10"/>
  <c r="AV538" i="10" s="1"/>
  <c r="Q537" i="10"/>
  <c r="AY538" i="10"/>
  <c r="BA538" i="10" s="1"/>
  <c r="BE535" i="10"/>
  <c r="BE536" i="10"/>
  <c r="BE534" i="10"/>
  <c r="BM531" i="10"/>
  <c r="BL531" i="10"/>
  <c r="BN531" i="10" s="1"/>
  <c r="AH529" i="10"/>
  <c r="AP529" i="10"/>
  <c r="AH526" i="10"/>
  <c r="AP526" i="10"/>
  <c r="AU523" i="10"/>
  <c r="AU526" i="10"/>
  <c r="BE528" i="10"/>
  <c r="AH523" i="10"/>
  <c r="AP523" i="10"/>
  <c r="BF512" i="10"/>
  <c r="BH512" i="10" s="1"/>
  <c r="AX512" i="10"/>
  <c r="AV512" i="10"/>
  <c r="BE521" i="10"/>
  <c r="AU517" i="10"/>
  <c r="AT517" i="10"/>
  <c r="BE513" i="10"/>
  <c r="BE512" i="10"/>
  <c r="AH510" i="10"/>
  <c r="AH507" i="10"/>
  <c r="AP510" i="10"/>
  <c r="AP507" i="10"/>
  <c r="AU504" i="10"/>
  <c r="AU510" i="10"/>
  <c r="AU507" i="10"/>
  <c r="BM519" i="10"/>
  <c r="BE519" i="10"/>
  <c r="BN519" i="10" s="1"/>
  <c r="BM497" i="10"/>
  <c r="BE497" i="10"/>
  <c r="BN497" i="10" s="1"/>
  <c r="AH504" i="10"/>
  <c r="AP504" i="10"/>
  <c r="AH501" i="10"/>
  <c r="AP501" i="10"/>
  <c r="AU494" i="10"/>
  <c r="AU501" i="10"/>
  <c r="AH494" i="10"/>
  <c r="AP494" i="10"/>
  <c r="BM496" i="10"/>
  <c r="BE496" i="10"/>
  <c r="BN496" i="10" s="1"/>
  <c r="BE540" i="10"/>
  <c r="BE492" i="10"/>
  <c r="AH490" i="10"/>
  <c r="AP490" i="10"/>
  <c r="AU469" i="10"/>
  <c r="AU490" i="10"/>
  <c r="BE489" i="10"/>
  <c r="AR477" i="10"/>
  <c r="J477" i="10" s="1"/>
  <c r="AY477" i="10" s="1"/>
  <c r="BA477" i="10" s="1"/>
  <c r="BC477" i="10" s="1"/>
  <c r="R477" i="10"/>
  <c r="BF477" i="10" s="1"/>
  <c r="BH477" i="10" s="1"/>
  <c r="BJ477" i="10" s="1"/>
  <c r="BK477" i="10" s="1"/>
  <c r="BL477" i="10" s="1"/>
  <c r="BD476" i="10"/>
  <c r="AH480" i="10"/>
  <c r="AP480" i="10"/>
  <c r="BE480" i="10"/>
  <c r="AH473" i="10"/>
  <c r="AP471" i="10"/>
  <c r="AP473" i="10"/>
  <c r="AH471" i="10"/>
  <c r="AH469" i="10"/>
  <c r="AP469" i="10"/>
  <c r="BE475" i="10"/>
  <c r="AS466" i="10"/>
  <c r="R466" i="10" s="1"/>
  <c r="AU466" i="10" s="1"/>
  <c r="BF466" i="10" s="1"/>
  <c r="BH466" i="10" s="1"/>
  <c r="BJ466" i="10" s="1"/>
  <c r="BK466" i="10" s="1"/>
  <c r="BL466" i="10" s="1"/>
  <c r="J466" i="10"/>
  <c r="AT466" i="10" s="1"/>
  <c r="BE457" i="10"/>
  <c r="BF465" i="10"/>
  <c r="BH465" i="10" s="1"/>
  <c r="BJ465" i="10" s="1"/>
  <c r="BK465" i="10" s="1"/>
  <c r="BL465" i="10" s="1"/>
  <c r="AY465" i="10"/>
  <c r="BA465" i="10" s="1"/>
  <c r="BC465" i="10" s="1"/>
  <c r="BE461" i="10"/>
  <c r="BE499" i="10"/>
  <c r="BF451" i="10"/>
  <c r="BH451" i="10" s="1"/>
  <c r="BJ451" i="10" s="1"/>
  <c r="C5" i="12" a="1"/>
  <c r="C5" i="12" s="1"/>
  <c r="AV451" i="10"/>
  <c r="AY451" i="10"/>
  <c r="BA451" i="10" s="1"/>
  <c r="BE456" i="10"/>
  <c r="AS459" i="10"/>
  <c r="R459" i="10" s="1"/>
  <c r="AU459" i="10" s="1"/>
  <c r="J459" i="10"/>
  <c r="I458" i="10" s="1"/>
  <c r="BF453" i="10"/>
  <c r="BH453" i="10" s="1"/>
  <c r="AX453" i="10"/>
  <c r="AV453" i="10"/>
  <c r="BE455" i="10"/>
  <c r="BE449" i="10"/>
  <c r="BF426" i="10"/>
  <c r="BH426" i="10" s="1"/>
  <c r="AV426" i="10"/>
  <c r="AX426" i="10"/>
  <c r="J428" i="10"/>
  <c r="AS428" i="10"/>
  <c r="R428" i="10" s="1"/>
  <c r="AH440" i="10"/>
  <c r="AP440" i="10"/>
  <c r="AU437" i="10"/>
  <c r="AU440" i="10"/>
  <c r="BM427" i="10"/>
  <c r="BE427" i="10"/>
  <c r="BN427" i="10" s="1"/>
  <c r="BE453" i="10"/>
  <c r="AH437" i="10"/>
  <c r="AP437" i="10"/>
  <c r="Q107" i="15" a="1"/>
  <c r="Q107" i="15" s="1"/>
  <c r="P107" i="15" a="1"/>
  <c r="P107" i="15" s="1"/>
  <c r="O107" i="15" a="1"/>
  <c r="O107" i="15" s="1"/>
  <c r="N107" i="15" a="1"/>
  <c r="N107" i="15" s="1"/>
  <c r="M107" i="15" a="1"/>
  <c r="M107" i="15" s="1"/>
  <c r="L107" i="15" a="1"/>
  <c r="L107" i="15" s="1"/>
  <c r="Q106" i="15" a="1"/>
  <c r="Q106" i="15" s="1"/>
  <c r="P106" i="15" a="1"/>
  <c r="P106" i="15" s="1"/>
  <c r="O106" i="15" a="1"/>
  <c r="O106" i="15" s="1"/>
  <c r="N106" i="15" a="1"/>
  <c r="N106" i="15" s="1"/>
  <c r="M106" i="15" a="1"/>
  <c r="M106" i="15" s="1"/>
  <c r="L106" i="15" a="1"/>
  <c r="L106" i="15" s="1"/>
  <c r="Q105" i="15" a="1"/>
  <c r="Q105" i="15" s="1"/>
  <c r="P105" i="15" a="1"/>
  <c r="P105" i="15" s="1"/>
  <c r="O105" i="15" a="1"/>
  <c r="O105" i="15" s="1"/>
  <c r="N105" i="15" a="1"/>
  <c r="N105" i="15" s="1"/>
  <c r="M105" i="15" a="1"/>
  <c r="M105" i="15" s="1"/>
  <c r="L105" i="15" a="1"/>
  <c r="L105" i="15" s="1"/>
  <c r="Q118" i="15" a="1"/>
  <c r="Q118" i="15" s="1"/>
  <c r="P118" i="15" a="1"/>
  <c r="P118" i="15" s="1"/>
  <c r="O118" i="15" a="1"/>
  <c r="O118" i="15" s="1"/>
  <c r="N118" i="15" a="1"/>
  <c r="N118" i="15" s="1"/>
  <c r="M118" i="15" a="1"/>
  <c r="M118" i="15" s="1"/>
  <c r="L118" i="15" a="1"/>
  <c r="L118" i="15" s="1"/>
  <c r="Q117" i="15" a="1"/>
  <c r="Q117" i="15" s="1"/>
  <c r="P117" i="15" a="1"/>
  <c r="P117" i="15" s="1"/>
  <c r="O117" i="15" a="1"/>
  <c r="O117" i="15" s="1"/>
  <c r="N117" i="15" a="1"/>
  <c r="N117" i="15" s="1"/>
  <c r="M117" i="15" a="1"/>
  <c r="M117" i="15" s="1"/>
  <c r="L117" i="15" a="1"/>
  <c r="L117" i="15" s="1"/>
  <c r="Q116" i="15" a="1"/>
  <c r="Q116" i="15" s="1"/>
  <c r="P116" i="15" a="1"/>
  <c r="P116" i="15" s="1"/>
  <c r="O116" i="15" a="1"/>
  <c r="O116" i="15" s="1"/>
  <c r="N116" i="15" a="1"/>
  <c r="N116" i="15" s="1"/>
  <c r="M116" i="15" a="1"/>
  <c r="M116" i="15" s="1"/>
  <c r="L116" i="15" a="1"/>
  <c r="L116" i="15" s="1"/>
  <c r="Q115" i="15" a="1"/>
  <c r="Q115" i="15" s="1"/>
  <c r="P115" i="15" a="1"/>
  <c r="P115" i="15" s="1"/>
  <c r="O115" i="15" a="1"/>
  <c r="O115" i="15" s="1"/>
  <c r="N115" i="15" a="1"/>
  <c r="N115" i="15" s="1"/>
  <c r="M115" i="15" a="1"/>
  <c r="M115" i="15" s="1"/>
  <c r="L115" i="15" a="1"/>
  <c r="L115" i="15" s="1"/>
  <c r="Q114" i="15" a="1"/>
  <c r="Q114" i="15" s="1"/>
  <c r="P114" i="15" a="1"/>
  <c r="P114" i="15" s="1"/>
  <c r="O114" i="15" a="1"/>
  <c r="O114" i="15" s="1"/>
  <c r="N114" i="15" a="1"/>
  <c r="N114" i="15" s="1"/>
  <c r="M114" i="15" a="1"/>
  <c r="M114" i="15" s="1"/>
  <c r="L114" i="15" a="1"/>
  <c r="L114" i="15" s="1"/>
  <c r="Q113" i="15" a="1"/>
  <c r="Q113" i="15" s="1"/>
  <c r="P113" i="15" a="1"/>
  <c r="P113" i="15" s="1"/>
  <c r="O113" i="15" a="1"/>
  <c r="O113" i="15" s="1"/>
  <c r="N113" i="15" a="1"/>
  <c r="N113" i="15" s="1"/>
  <c r="M113" i="15" a="1"/>
  <c r="M113" i="15" s="1"/>
  <c r="L113" i="15" a="1"/>
  <c r="L113" i="15" s="1"/>
  <c r="Q112" i="15" a="1"/>
  <c r="Q112" i="15" s="1"/>
  <c r="P112" i="15" a="1"/>
  <c r="P112" i="15" s="1"/>
  <c r="O112" i="15" a="1"/>
  <c r="O112" i="15" s="1"/>
  <c r="N112" i="15" a="1"/>
  <c r="N112" i="15" s="1"/>
  <c r="M112" i="15" a="1"/>
  <c r="M112" i="15" s="1"/>
  <c r="L112" i="15" a="1"/>
  <c r="L112" i="15" s="1"/>
  <c r="Q111" i="15" a="1"/>
  <c r="Q111" i="15" s="1"/>
  <c r="P111" i="15" a="1"/>
  <c r="P111" i="15" s="1"/>
  <c r="O111" i="15" a="1"/>
  <c r="O111" i="15" s="1"/>
  <c r="N111" i="15" a="1"/>
  <c r="N111" i="15" s="1"/>
  <c r="M111" i="15" a="1"/>
  <c r="M111" i="15" s="1"/>
  <c r="L111" i="15" a="1"/>
  <c r="L111" i="15" s="1"/>
  <c r="Q110" i="15" a="1"/>
  <c r="Q110" i="15" s="1"/>
  <c r="O110" i="15" a="1"/>
  <c r="O110" i="15" s="1"/>
  <c r="N110" i="15" a="1"/>
  <c r="N110" i="15" s="1"/>
  <c r="M110" i="15" a="1"/>
  <c r="M110" i="15" s="1"/>
  <c r="L110" i="15" a="1"/>
  <c r="L110" i="15" s="1"/>
  <c r="Q109" i="15" a="1"/>
  <c r="Q109" i="15" s="1"/>
  <c r="P109" i="15" a="1"/>
  <c r="P109" i="15" s="1"/>
  <c r="O109" i="15" a="1"/>
  <c r="O109" i="15" s="1"/>
  <c r="N109" i="15" a="1"/>
  <c r="N109" i="15" s="1"/>
  <c r="M109" i="15" a="1"/>
  <c r="M109" i="15" s="1"/>
  <c r="L109" i="15" a="1"/>
  <c r="L109" i="15" s="1"/>
  <c r="Q108" i="15" a="1"/>
  <c r="Q108" i="15" s="1"/>
  <c r="P108" i="15" a="1"/>
  <c r="P108" i="15" s="1"/>
  <c r="O108" i="15" a="1"/>
  <c r="O108" i="15" s="1"/>
  <c r="N108" i="15" a="1"/>
  <c r="N108" i="15" s="1"/>
  <c r="M108" i="15" a="1"/>
  <c r="M108" i="15" s="1"/>
  <c r="L108" i="15" a="1"/>
  <c r="L108" i="15" s="1"/>
  <c r="Q104" i="15" a="1"/>
  <c r="Q104" i="15" s="1"/>
  <c r="P104" i="15" a="1"/>
  <c r="P104" i="15" s="1"/>
  <c r="O104" i="15" a="1"/>
  <c r="O104" i="15" s="1"/>
  <c r="N104" i="15" a="1"/>
  <c r="N104" i="15" s="1"/>
  <c r="M104" i="15" a="1"/>
  <c r="M104" i="15" s="1"/>
  <c r="L104" i="15" a="1"/>
  <c r="L104" i="15" s="1"/>
  <c r="Q103" i="15" a="1"/>
  <c r="Q103" i="15" s="1"/>
  <c r="P103" i="15" a="1"/>
  <c r="P103" i="15" s="1"/>
  <c r="O103" i="15" a="1"/>
  <c r="O103" i="15" s="1"/>
  <c r="N103" i="15" a="1"/>
  <c r="N103" i="15" s="1"/>
  <c r="M103" i="15" a="1"/>
  <c r="M103" i="15" s="1"/>
  <c r="L103" i="15" a="1"/>
  <c r="L103" i="15" s="1"/>
  <c r="Q102" i="15" a="1"/>
  <c r="Q102" i="15" s="1"/>
  <c r="P102" i="15" a="1"/>
  <c r="P102" i="15" s="1"/>
  <c r="O102" i="15" a="1"/>
  <c r="O102" i="15" s="1"/>
  <c r="N102" i="15" a="1"/>
  <c r="N102" i="15" s="1"/>
  <c r="M102" i="15" a="1"/>
  <c r="M102" i="15" s="1"/>
  <c r="Q101" i="15" a="1"/>
  <c r="Q101" i="15" s="1"/>
  <c r="P101" i="15" a="1"/>
  <c r="P101" i="15" s="1"/>
  <c r="O101" i="15" a="1"/>
  <c r="O101" i="15" s="1"/>
  <c r="N101" i="15" a="1"/>
  <c r="N101" i="15" s="1"/>
  <c r="M101" i="15" a="1"/>
  <c r="M101" i="15" s="1"/>
  <c r="L101" i="15" a="1"/>
  <c r="L101" i="15" s="1"/>
  <c r="L102" i="15" a="1"/>
  <c r="L102" i="15" s="1"/>
  <c r="Q142" i="15" a="1"/>
  <c r="Q142" i="15" s="1"/>
  <c r="P142" i="15" a="1"/>
  <c r="P142" i="15" s="1"/>
  <c r="O142" i="15" a="1"/>
  <c r="O142" i="15" s="1"/>
  <c r="N142" i="15" a="1"/>
  <c r="N142" i="15" s="1"/>
  <c r="M142" i="15" a="1"/>
  <c r="M142" i="15" s="1"/>
  <c r="L142" i="15" a="1"/>
  <c r="L142" i="15" s="1"/>
  <c r="Q141" i="15" a="1"/>
  <c r="Q141" i="15" s="1"/>
  <c r="P141" i="15" a="1"/>
  <c r="P141" i="15" s="1"/>
  <c r="O141" i="15" a="1"/>
  <c r="O141" i="15" s="1"/>
  <c r="N141" i="15" a="1"/>
  <c r="N141" i="15" s="1"/>
  <c r="M141" i="15" a="1"/>
  <c r="M141" i="15" s="1"/>
  <c r="L141" i="15" a="1"/>
  <c r="L141" i="15" s="1"/>
  <c r="Q140" i="15" a="1"/>
  <c r="Q140" i="15" s="1"/>
  <c r="P140" i="15" a="1"/>
  <c r="P140" i="15" s="1"/>
  <c r="O140" i="15" a="1"/>
  <c r="O140" i="15" s="1"/>
  <c r="N140" i="15" a="1"/>
  <c r="N140" i="15" s="1"/>
  <c r="M140" i="15" a="1"/>
  <c r="M140" i="15" s="1"/>
  <c r="L140" i="15" a="1"/>
  <c r="L140" i="15" s="1"/>
  <c r="Q139" i="15" a="1"/>
  <c r="Q139" i="15" s="1"/>
  <c r="P139" i="15" a="1"/>
  <c r="P139" i="15" s="1"/>
  <c r="O139" i="15" a="1"/>
  <c r="O139" i="15" s="1"/>
  <c r="N139" i="15" a="1"/>
  <c r="N139" i="15" s="1"/>
  <c r="M139" i="15" a="1"/>
  <c r="M139" i="15" s="1"/>
  <c r="L139" i="15" a="1"/>
  <c r="L139" i="15" s="1"/>
  <c r="Q146" i="15" a="1"/>
  <c r="Q146" i="15" s="1"/>
  <c r="P146" i="15" a="1"/>
  <c r="P146" i="15" s="1"/>
  <c r="O146" i="15" a="1"/>
  <c r="O146" i="15" s="1"/>
  <c r="N146" i="15" a="1"/>
  <c r="N146" i="15" s="1"/>
  <c r="M146" i="15" a="1"/>
  <c r="M146" i="15" s="1"/>
  <c r="L146" i="15" a="1"/>
  <c r="L146" i="15" s="1"/>
  <c r="Q145" i="15" a="1"/>
  <c r="Q145" i="15" s="1"/>
  <c r="P145" i="15" a="1"/>
  <c r="P145" i="15" s="1"/>
  <c r="O145" i="15" a="1"/>
  <c r="O145" i="15" s="1"/>
  <c r="N145" i="15" a="1"/>
  <c r="N145" i="15" s="1"/>
  <c r="M145" i="15" a="1"/>
  <c r="M145" i="15" s="1"/>
  <c r="L145" i="15" a="1"/>
  <c r="L145" i="15" s="1"/>
  <c r="Q144" i="15" a="1"/>
  <c r="Q144" i="15" s="1"/>
  <c r="P144" i="15" a="1"/>
  <c r="P144" i="15" s="1"/>
  <c r="O144" i="15" a="1"/>
  <c r="O144" i="15" s="1"/>
  <c r="N144" i="15" a="1"/>
  <c r="N144" i="15" s="1"/>
  <c r="M144" i="15" a="1"/>
  <c r="M144" i="15" s="1"/>
  <c r="L144" i="15" a="1"/>
  <c r="L144" i="15" s="1"/>
  <c r="Q143" i="15" a="1"/>
  <c r="Q143" i="15" s="1"/>
  <c r="P143" i="15" a="1"/>
  <c r="P143" i="15" s="1"/>
  <c r="O143" i="15" a="1"/>
  <c r="O143" i="15" s="1"/>
  <c r="N143" i="15" a="1"/>
  <c r="N143" i="15" s="1"/>
  <c r="M143" i="15" a="1"/>
  <c r="M143" i="15" s="1"/>
  <c r="L143" i="15" a="1"/>
  <c r="L143" i="15" s="1"/>
  <c r="Q138" i="15" a="1"/>
  <c r="Q138" i="15" s="1"/>
  <c r="P138" i="15" a="1"/>
  <c r="P138" i="15" s="1"/>
  <c r="O138" i="15" a="1"/>
  <c r="O138" i="15" s="1"/>
  <c r="N138" i="15" a="1"/>
  <c r="N138" i="15" s="1"/>
  <c r="M138" i="15" a="1"/>
  <c r="M138" i="15" s="1"/>
  <c r="L138" i="15" a="1"/>
  <c r="L138" i="15" s="1"/>
  <c r="Q137" i="15" a="1"/>
  <c r="Q137" i="15" s="1"/>
  <c r="P137" i="15" a="1"/>
  <c r="P137" i="15" s="1"/>
  <c r="O137" i="15" a="1"/>
  <c r="O137" i="15" s="1"/>
  <c r="N137" i="15" a="1"/>
  <c r="N137" i="15" s="1"/>
  <c r="M137" i="15" a="1"/>
  <c r="M137" i="15" s="1"/>
  <c r="L137" i="15" a="1"/>
  <c r="L137" i="15" s="1"/>
  <c r="Q136" i="15" a="1"/>
  <c r="Q136" i="15" s="1"/>
  <c r="P136" i="15" a="1"/>
  <c r="P136" i="15" s="1"/>
  <c r="O136" i="15" a="1"/>
  <c r="O136" i="15" s="1"/>
  <c r="N136" i="15" a="1"/>
  <c r="N136" i="15" s="1"/>
  <c r="M136" i="15" a="1"/>
  <c r="M136" i="15" s="1"/>
  <c r="L136" i="15" a="1"/>
  <c r="L136" i="15" s="1"/>
  <c r="Q135" i="15" a="1"/>
  <c r="Q135" i="15" s="1"/>
  <c r="O135" i="15" a="1"/>
  <c r="O135" i="15" s="1"/>
  <c r="N135" i="15" a="1"/>
  <c r="N135" i="15" s="1"/>
  <c r="M135" i="15" a="1"/>
  <c r="M135" i="15" s="1"/>
  <c r="L135" i="15" a="1"/>
  <c r="L135" i="15" s="1"/>
  <c r="Q134" i="15" a="1"/>
  <c r="Q134" i="15" s="1"/>
  <c r="P134" i="15" a="1"/>
  <c r="P134" i="15" s="1"/>
  <c r="O134" i="15" a="1"/>
  <c r="O134" i="15" s="1"/>
  <c r="N134" i="15" a="1"/>
  <c r="N134" i="15" s="1"/>
  <c r="M134" i="15" a="1"/>
  <c r="M134" i="15" s="1"/>
  <c r="L134" i="15" a="1"/>
  <c r="L134" i="15" s="1"/>
  <c r="Q133" i="15" a="1"/>
  <c r="Q133" i="15" s="1"/>
  <c r="P133" i="15" a="1"/>
  <c r="P133" i="15" s="1"/>
  <c r="O133" i="15" a="1"/>
  <c r="O133" i="15" s="1"/>
  <c r="N133" i="15" a="1"/>
  <c r="N133" i="15" s="1"/>
  <c r="M133" i="15" a="1"/>
  <c r="M133" i="15" s="1"/>
  <c r="Q132" i="15" a="1"/>
  <c r="Q132" i="15" s="1"/>
  <c r="P132" i="15" a="1"/>
  <c r="P132" i="15" s="1"/>
  <c r="O132" i="15" a="1"/>
  <c r="O132" i="15" s="1"/>
  <c r="N132" i="15" a="1"/>
  <c r="N132" i="15" s="1"/>
  <c r="M132" i="15" a="1"/>
  <c r="M132" i="15" s="1"/>
  <c r="L132" i="15" a="1"/>
  <c r="L132" i="15" s="1"/>
  <c r="Q131" i="15" a="1"/>
  <c r="Q131" i="15" s="1"/>
  <c r="P131" i="15" a="1"/>
  <c r="P131" i="15" s="1"/>
  <c r="O131" i="15" a="1"/>
  <c r="O131" i="15" s="1"/>
  <c r="N131" i="15" a="1"/>
  <c r="N131" i="15" s="1"/>
  <c r="M131" i="15" a="1"/>
  <c r="M131" i="15" s="1"/>
  <c r="L131" i="15" a="1"/>
  <c r="L131" i="15" s="1"/>
  <c r="Q130" i="15" a="1"/>
  <c r="Q130" i="15" s="1"/>
  <c r="O130" i="15" a="1"/>
  <c r="O130" i="15" s="1"/>
  <c r="N130" i="15" a="1"/>
  <c r="N130" i="15" s="1"/>
  <c r="M130" i="15" a="1"/>
  <c r="M130" i="15" s="1"/>
  <c r="Q129" i="15" a="1"/>
  <c r="Q129" i="15" s="1"/>
  <c r="P129" i="15" a="1"/>
  <c r="P129" i="15" s="1"/>
  <c r="O129" i="15" a="1"/>
  <c r="O129" i="15" s="1"/>
  <c r="N129" i="15" a="1"/>
  <c r="N129" i="15" s="1"/>
  <c r="M129" i="15" a="1"/>
  <c r="M129" i="15" s="1"/>
  <c r="L129" i="15" a="1"/>
  <c r="L129" i="15" s="1"/>
  <c r="Q49" i="15" a="1"/>
  <c r="Q49" i="15" s="1"/>
  <c r="P49" i="15" a="1"/>
  <c r="P49" i="15" s="1"/>
  <c r="O49" i="15" a="1"/>
  <c r="O49" i="15" s="1"/>
  <c r="N49" i="15" a="1"/>
  <c r="N49" i="15" s="1"/>
  <c r="M49" i="15" a="1"/>
  <c r="M49" i="15" s="1"/>
  <c r="L49" i="15" a="1"/>
  <c r="L49" i="15" s="1"/>
  <c r="Q48" i="15" a="1"/>
  <c r="Q48" i="15" s="1"/>
  <c r="P48" i="15" a="1"/>
  <c r="P48" i="15" s="1"/>
  <c r="O48" i="15" a="1"/>
  <c r="O48" i="15" s="1"/>
  <c r="N48" i="15" a="1"/>
  <c r="N48" i="15" s="1"/>
  <c r="M48" i="15" a="1"/>
  <c r="M48" i="15" s="1"/>
  <c r="L48" i="15" a="1"/>
  <c r="L48" i="15" s="1"/>
  <c r="Q47" i="15" a="1"/>
  <c r="Q47" i="15" s="1"/>
  <c r="P47" i="15" a="1"/>
  <c r="P47" i="15" s="1"/>
  <c r="O47" i="15" a="1"/>
  <c r="O47" i="15" s="1"/>
  <c r="N47" i="15" a="1"/>
  <c r="N47" i="15" s="1"/>
  <c r="M47" i="15" a="1"/>
  <c r="M47" i="15" s="1"/>
  <c r="L47" i="15" a="1"/>
  <c r="L47" i="15" s="1"/>
  <c r="Q46" i="15" a="1"/>
  <c r="Q46" i="15" s="1"/>
  <c r="P46" i="15" a="1"/>
  <c r="P46" i="15" s="1"/>
  <c r="O46" i="15" a="1"/>
  <c r="O46" i="15" s="1"/>
  <c r="N46" i="15" a="1"/>
  <c r="N46" i="15" s="1"/>
  <c r="M46" i="15" a="1"/>
  <c r="M46" i="15" s="1"/>
  <c r="L46" i="15" a="1"/>
  <c r="L46" i="15" s="1"/>
  <c r="Q52" i="15" a="1"/>
  <c r="Q52" i="15" s="1"/>
  <c r="P52" i="15" a="1"/>
  <c r="P52" i="15" s="1"/>
  <c r="O52" i="15" a="1"/>
  <c r="O52" i="15" s="1"/>
  <c r="N52" i="15" a="1"/>
  <c r="N52" i="15" s="1"/>
  <c r="M52" i="15" a="1"/>
  <c r="M52" i="15" s="1"/>
  <c r="L52" i="15" a="1"/>
  <c r="L52" i="15" s="1"/>
  <c r="Q51" i="15" a="1"/>
  <c r="Q51" i="15" s="1"/>
  <c r="P51" i="15" a="1"/>
  <c r="P51" i="15" s="1"/>
  <c r="O51" i="15" a="1"/>
  <c r="O51" i="15" s="1"/>
  <c r="N51" i="15" a="1"/>
  <c r="N51" i="15" s="1"/>
  <c r="M51" i="15" a="1"/>
  <c r="M51" i="15" s="1"/>
  <c r="L51" i="15" a="1"/>
  <c r="L51" i="15" s="1"/>
  <c r="Q50" i="15" a="1"/>
  <c r="Q50" i="15" s="1"/>
  <c r="P50" i="15" a="1"/>
  <c r="P50" i="15" s="1"/>
  <c r="O50" i="15" a="1"/>
  <c r="O50" i="15" s="1"/>
  <c r="N50" i="15" a="1"/>
  <c r="N50" i="15" s="1"/>
  <c r="M50" i="15" a="1"/>
  <c r="M50" i="15" s="1"/>
  <c r="L50" i="15" a="1"/>
  <c r="L50" i="15" s="1"/>
  <c r="Q45" i="15" a="1"/>
  <c r="Q45" i="15" s="1"/>
  <c r="P45" i="15" a="1"/>
  <c r="P45" i="15" s="1"/>
  <c r="O45" i="15" a="1"/>
  <c r="O45" i="15" s="1"/>
  <c r="N45" i="15" a="1"/>
  <c r="N45" i="15" s="1"/>
  <c r="M45" i="15" a="1"/>
  <c r="M45" i="15" s="1"/>
  <c r="L45" i="15" a="1"/>
  <c r="L45" i="15" s="1"/>
  <c r="Q44" i="15" a="1"/>
  <c r="Q44" i="15" s="1"/>
  <c r="P44" i="15" a="1"/>
  <c r="P44" i="15" s="1"/>
  <c r="O44" i="15" a="1"/>
  <c r="O44" i="15" s="1"/>
  <c r="N44" i="15" a="1"/>
  <c r="N44" i="15" s="1"/>
  <c r="M44" i="15" a="1"/>
  <c r="M44" i="15" s="1"/>
  <c r="L44" i="15" a="1"/>
  <c r="L44" i="15" s="1"/>
  <c r="Q43" i="15" a="1"/>
  <c r="Q43" i="15" s="1"/>
  <c r="P43" i="15" a="1"/>
  <c r="P43" i="15" s="1"/>
  <c r="O43" i="15" a="1"/>
  <c r="O43" i="15" s="1"/>
  <c r="N43" i="15" a="1"/>
  <c r="N43" i="15" s="1"/>
  <c r="M43" i="15" a="1"/>
  <c r="M43" i="15" s="1"/>
  <c r="L43" i="15" a="1"/>
  <c r="L43" i="15" s="1"/>
  <c r="L36" i="15" a="1"/>
  <c r="L36" i="15" s="1"/>
  <c r="Q35" i="15" a="1"/>
  <c r="Q35" i="15" s="1"/>
  <c r="P35" i="15" a="1"/>
  <c r="P35" i="15" s="1"/>
  <c r="O35" i="15" a="1"/>
  <c r="O35" i="15" s="1"/>
  <c r="N35" i="15" a="1"/>
  <c r="N35" i="15" s="1"/>
  <c r="M35" i="15" a="1"/>
  <c r="M35" i="15" s="1"/>
  <c r="L35" i="15" a="1"/>
  <c r="L35" i="15" s="1"/>
  <c r="Q39" i="15" a="1"/>
  <c r="Q39" i="15" s="1"/>
  <c r="P39" i="15" a="1"/>
  <c r="P39" i="15" s="1"/>
  <c r="O39" i="15" a="1"/>
  <c r="O39" i="15" s="1"/>
  <c r="N39" i="15" a="1"/>
  <c r="N39" i="15" s="1"/>
  <c r="M39" i="15" a="1"/>
  <c r="M39" i="15" s="1"/>
  <c r="L39" i="15" a="1"/>
  <c r="L39" i="15" s="1"/>
  <c r="Q38" i="15" a="1"/>
  <c r="Q38" i="15" s="1"/>
  <c r="P38" i="15" a="1"/>
  <c r="P38" i="15" s="1"/>
  <c r="O38" i="15" a="1"/>
  <c r="O38" i="15" s="1"/>
  <c r="N38" i="15" a="1"/>
  <c r="N38" i="15" s="1"/>
  <c r="M38" i="15" a="1"/>
  <c r="M38" i="15" s="1"/>
  <c r="L38" i="15" a="1"/>
  <c r="L38" i="15" s="1"/>
  <c r="Q37" i="15" a="1"/>
  <c r="Q37" i="15" s="1"/>
  <c r="P37" i="15" a="1"/>
  <c r="P37" i="15" s="1"/>
  <c r="O37" i="15" a="1"/>
  <c r="O37" i="15" s="1"/>
  <c r="N37" i="15" a="1"/>
  <c r="N37" i="15" s="1"/>
  <c r="M37" i="15" a="1"/>
  <c r="M37" i="15" s="1"/>
  <c r="L37" i="15" a="1"/>
  <c r="L37" i="15" s="1"/>
  <c r="Q36" i="15" a="1"/>
  <c r="Q36" i="15" s="1"/>
  <c r="P36" i="15" a="1"/>
  <c r="P36" i="15" s="1"/>
  <c r="O36" i="15" a="1"/>
  <c r="O36" i="15" s="1"/>
  <c r="N36" i="15" a="1"/>
  <c r="N36" i="15" s="1"/>
  <c r="M36" i="15" a="1"/>
  <c r="M36" i="15" s="1"/>
  <c r="Q42" i="15" a="1"/>
  <c r="Q42" i="15" s="1"/>
  <c r="P42" i="15" a="1"/>
  <c r="P42" i="15" s="1"/>
  <c r="O42" i="15" a="1"/>
  <c r="O42" i="15" s="1"/>
  <c r="N42" i="15" a="1"/>
  <c r="N42" i="15" s="1"/>
  <c r="M42" i="15" a="1"/>
  <c r="M42" i="15" s="1"/>
  <c r="L42" i="15" a="1"/>
  <c r="L42" i="15" s="1"/>
  <c r="Q41" i="15" a="1"/>
  <c r="Q41" i="15" s="1"/>
  <c r="P41" i="15" a="1"/>
  <c r="P41" i="15" s="1"/>
  <c r="O41" i="15" a="1"/>
  <c r="O41" i="15" s="1"/>
  <c r="N41" i="15" a="1"/>
  <c r="N41" i="15" s="1"/>
  <c r="M41" i="15" a="1"/>
  <c r="M41" i="15" s="1"/>
  <c r="L41" i="15" a="1"/>
  <c r="L41" i="15" s="1"/>
  <c r="Q40" i="15" a="1"/>
  <c r="Q40" i="15" s="1"/>
  <c r="P40" i="15" a="1"/>
  <c r="P40" i="15" s="1"/>
  <c r="O40" i="15" a="1"/>
  <c r="O40" i="15" s="1"/>
  <c r="N40" i="15" a="1"/>
  <c r="N40" i="15" s="1"/>
  <c r="M40" i="15" a="1"/>
  <c r="M40" i="15" s="1"/>
  <c r="L40" i="15" a="1"/>
  <c r="L40" i="15" s="1"/>
  <c r="L66" i="15" a="1"/>
  <c r="L66" i="15" s="1"/>
  <c r="Q65" i="15" a="1"/>
  <c r="Q65" i="15" s="1"/>
  <c r="P65" i="15" a="1"/>
  <c r="P65" i="15" s="1"/>
  <c r="O65" i="15" a="1"/>
  <c r="O65" i="15" s="1"/>
  <c r="N65" i="15" a="1"/>
  <c r="N65" i="15" s="1"/>
  <c r="M65" i="15" a="1"/>
  <c r="M65" i="15" s="1"/>
  <c r="L65" i="15" a="1"/>
  <c r="L65" i="15" s="1"/>
  <c r="Q64" i="15" a="1"/>
  <c r="Q64" i="15" s="1"/>
  <c r="P64" i="15" a="1"/>
  <c r="P64" i="15" s="1"/>
  <c r="O64" i="15" a="1"/>
  <c r="O64" i="15" s="1"/>
  <c r="N64" i="15" a="1"/>
  <c r="N64" i="15" s="1"/>
  <c r="M64" i="15" a="1"/>
  <c r="M64" i="15" s="1"/>
  <c r="Q63" i="15" a="1"/>
  <c r="Q63" i="15" s="1"/>
  <c r="P63" i="15" a="1"/>
  <c r="P63" i="15" s="1"/>
  <c r="O63" i="15" a="1"/>
  <c r="O63" i="15" s="1"/>
  <c r="N63" i="15" a="1"/>
  <c r="N63" i="15" s="1"/>
  <c r="M63" i="15" a="1"/>
  <c r="M63" i="15" s="1"/>
  <c r="L63" i="15" a="1"/>
  <c r="L63" i="15" s="1"/>
  <c r="Q80" i="15" a="1"/>
  <c r="Q80" i="15" s="1"/>
  <c r="P80" i="15" a="1"/>
  <c r="P80" i="15" s="1"/>
  <c r="O80" i="15" a="1"/>
  <c r="O80" i="15" s="1"/>
  <c r="N80" i="15" a="1"/>
  <c r="N80" i="15" s="1"/>
  <c r="M80" i="15" a="1"/>
  <c r="M80" i="15" s="1"/>
  <c r="L80" i="15" a="1"/>
  <c r="L80" i="15" s="1"/>
  <c r="Q79" i="15" a="1"/>
  <c r="Q79" i="15" s="1"/>
  <c r="P79" i="15" a="1"/>
  <c r="P79" i="15" s="1"/>
  <c r="O79" i="15" a="1"/>
  <c r="O79" i="15" s="1"/>
  <c r="N79" i="15" a="1"/>
  <c r="N79" i="15" s="1"/>
  <c r="M79" i="15" a="1"/>
  <c r="M79" i="15" s="1"/>
  <c r="L79" i="15" a="1"/>
  <c r="L79" i="15" s="1"/>
  <c r="Q78" i="15" a="1"/>
  <c r="Q78" i="15" s="1"/>
  <c r="P78" i="15" a="1"/>
  <c r="P78" i="15" s="1"/>
  <c r="O78" i="15" a="1"/>
  <c r="O78" i="15" s="1"/>
  <c r="N78" i="15" a="1"/>
  <c r="N78" i="15" s="1"/>
  <c r="M78" i="15" a="1"/>
  <c r="M78" i="15" s="1"/>
  <c r="L78" i="15" a="1"/>
  <c r="L78" i="15" s="1"/>
  <c r="Q77" i="15" a="1"/>
  <c r="Q77" i="15" s="1"/>
  <c r="P77" i="15" a="1"/>
  <c r="P77" i="15" s="1"/>
  <c r="O77" i="15" a="1"/>
  <c r="O77" i="15" s="1"/>
  <c r="N77" i="15" a="1"/>
  <c r="N77" i="15" s="1"/>
  <c r="M77" i="15" a="1"/>
  <c r="M77" i="15" s="1"/>
  <c r="L77" i="15" a="1"/>
  <c r="L77" i="15" s="1"/>
  <c r="Q76" i="15" a="1"/>
  <c r="Q76" i="15" s="1"/>
  <c r="P76" i="15" a="1"/>
  <c r="P76" i="15" s="1"/>
  <c r="O76" i="15" a="1"/>
  <c r="O76" i="15" s="1"/>
  <c r="N76" i="15" a="1"/>
  <c r="N76" i="15" s="1"/>
  <c r="M76" i="15" a="1"/>
  <c r="M76" i="15" s="1"/>
  <c r="L76" i="15" a="1"/>
  <c r="L76" i="15" s="1"/>
  <c r="Q75" i="15" a="1"/>
  <c r="Q75" i="15" s="1"/>
  <c r="P75" i="15" a="1"/>
  <c r="P75" i="15" s="1"/>
  <c r="O75" i="15" a="1"/>
  <c r="O75" i="15" s="1"/>
  <c r="N75" i="15" a="1"/>
  <c r="N75" i="15" s="1"/>
  <c r="M75" i="15" a="1"/>
  <c r="M75" i="15" s="1"/>
  <c r="L75" i="15" a="1"/>
  <c r="L75" i="15" s="1"/>
  <c r="Q74" i="15" a="1"/>
  <c r="Q74" i="15" s="1"/>
  <c r="P74" i="15" a="1"/>
  <c r="P74" i="15" s="1"/>
  <c r="O74" i="15" a="1"/>
  <c r="O74" i="15" s="1"/>
  <c r="N74" i="15" a="1"/>
  <c r="N74" i="15" s="1"/>
  <c r="M74" i="15" a="1"/>
  <c r="M74" i="15" s="1"/>
  <c r="L74" i="15" a="1"/>
  <c r="L74" i="15" s="1"/>
  <c r="Q73" i="15" a="1"/>
  <c r="Q73" i="15" s="1"/>
  <c r="P73" i="15" a="1"/>
  <c r="P73" i="15" s="1"/>
  <c r="O73" i="15" a="1"/>
  <c r="O73" i="15" s="1"/>
  <c r="N73" i="15" a="1"/>
  <c r="N73" i="15" s="1"/>
  <c r="M73" i="15" a="1"/>
  <c r="M73" i="15" s="1"/>
  <c r="L73" i="15" a="1"/>
  <c r="L73" i="15" s="1"/>
  <c r="Q72" i="15" a="1"/>
  <c r="Q72" i="15" s="1"/>
  <c r="P72" i="15" a="1"/>
  <c r="P72" i="15" s="1"/>
  <c r="O72" i="15" a="1"/>
  <c r="O72" i="15" s="1"/>
  <c r="N72" i="15" a="1"/>
  <c r="N72" i="15" s="1"/>
  <c r="M72" i="15" a="1"/>
  <c r="M72" i="15" s="1"/>
  <c r="L72" i="15" a="1"/>
  <c r="L72" i="15" s="1"/>
  <c r="Q71" i="15" a="1"/>
  <c r="Q71" i="15" s="1"/>
  <c r="P71" i="15" a="1"/>
  <c r="P71" i="15" s="1"/>
  <c r="O71" i="15" a="1"/>
  <c r="O71" i="15" s="1"/>
  <c r="N71" i="15" a="1"/>
  <c r="N71" i="15" s="1"/>
  <c r="M71" i="15" a="1"/>
  <c r="M71" i="15" s="1"/>
  <c r="L71" i="15" a="1"/>
  <c r="L71" i="15" s="1"/>
  <c r="Q70" i="15" a="1"/>
  <c r="Q70" i="15" s="1"/>
  <c r="P70" i="15" a="1"/>
  <c r="P70" i="15" s="1"/>
  <c r="O70" i="15" a="1"/>
  <c r="O70" i="15" s="1"/>
  <c r="N70" i="15" a="1"/>
  <c r="N70" i="15" s="1"/>
  <c r="M70" i="15" a="1"/>
  <c r="M70" i="15" s="1"/>
  <c r="L70" i="15" a="1"/>
  <c r="L70" i="15" s="1"/>
  <c r="Q69" i="15" a="1"/>
  <c r="Q69" i="15" s="1"/>
  <c r="P69" i="15" a="1"/>
  <c r="P69" i="15" s="1"/>
  <c r="O69" i="15" a="1"/>
  <c r="O69" i="15" s="1"/>
  <c r="N69" i="15" a="1"/>
  <c r="N69" i="15" s="1"/>
  <c r="M69" i="15" a="1"/>
  <c r="M69" i="15" s="1"/>
  <c r="L69" i="15" a="1"/>
  <c r="L69" i="15" s="1"/>
  <c r="Q68" i="15" a="1"/>
  <c r="Q68" i="15" s="1"/>
  <c r="P68" i="15" a="1"/>
  <c r="P68" i="15" s="1"/>
  <c r="O68" i="15" a="1"/>
  <c r="O68" i="15" s="1"/>
  <c r="N68" i="15" a="1"/>
  <c r="N68" i="15" s="1"/>
  <c r="M68" i="15" a="1"/>
  <c r="M68" i="15" s="1"/>
  <c r="L68" i="15" a="1"/>
  <c r="L68" i="15" s="1"/>
  <c r="Q67" i="15" a="1"/>
  <c r="Q67" i="15" s="1"/>
  <c r="P67" i="15" a="1"/>
  <c r="P67" i="15" s="1"/>
  <c r="O67" i="15" a="1"/>
  <c r="O67" i="15" s="1"/>
  <c r="N67" i="15" a="1"/>
  <c r="N67" i="15" s="1"/>
  <c r="M67" i="15" a="1"/>
  <c r="M67" i="15" s="1"/>
  <c r="L67" i="15" a="1"/>
  <c r="L67" i="15" s="1"/>
  <c r="Q66" i="15" a="1"/>
  <c r="Q66" i="15" s="1"/>
  <c r="P66" i="15" a="1"/>
  <c r="P66" i="15" s="1"/>
  <c r="O66" i="15" a="1"/>
  <c r="O66" i="15" s="1"/>
  <c r="N66" i="15" a="1"/>
  <c r="N66" i="15" s="1"/>
  <c r="M66" i="15" a="1"/>
  <c r="M66" i="15" s="1"/>
  <c r="Q185" i="15" a="1"/>
  <c r="Q185" i="15" s="1"/>
  <c r="P185" i="15" a="1"/>
  <c r="P185" i="15" s="1"/>
  <c r="O185" i="15" a="1"/>
  <c r="O185" i="15" s="1"/>
  <c r="N185" i="15" a="1"/>
  <c r="N185" i="15" s="1"/>
  <c r="M185" i="15" a="1"/>
  <c r="M185" i="15" s="1"/>
  <c r="L185" i="15" a="1"/>
  <c r="L185" i="15" s="1"/>
  <c r="Q184" i="15" a="1"/>
  <c r="Q184" i="15" s="1"/>
  <c r="P184" i="15" a="1"/>
  <c r="P184" i="15" s="1"/>
  <c r="O184" i="15" a="1"/>
  <c r="O184" i="15" s="1"/>
  <c r="N184" i="15" a="1"/>
  <c r="N184" i="15" s="1"/>
  <c r="M184" i="15" a="1"/>
  <c r="M184" i="15" s="1"/>
  <c r="L184" i="15" a="1"/>
  <c r="L184" i="15" s="1"/>
  <c r="Q183" i="15" a="1"/>
  <c r="Q183" i="15" s="1"/>
  <c r="P183" i="15" a="1"/>
  <c r="P183" i="15" s="1"/>
  <c r="O183" i="15" a="1"/>
  <c r="O183" i="15" s="1"/>
  <c r="N183" i="15" a="1"/>
  <c r="N183" i="15" s="1"/>
  <c r="M183" i="15" a="1"/>
  <c r="M183" i="15" s="1"/>
  <c r="L183" i="15" a="1"/>
  <c r="L183" i="15" s="1"/>
  <c r="Q182" i="15" a="1"/>
  <c r="Q182" i="15" s="1"/>
  <c r="P182" i="15" a="1"/>
  <c r="P182" i="15" s="1"/>
  <c r="O182" i="15" a="1"/>
  <c r="O182" i="15" s="1"/>
  <c r="N182" i="15" a="1"/>
  <c r="N182" i="15" s="1"/>
  <c r="M182" i="15" a="1"/>
  <c r="M182" i="15" s="1"/>
  <c r="L182" i="15" a="1"/>
  <c r="L182" i="15" s="1"/>
  <c r="Q181" i="15" a="1"/>
  <c r="Q181" i="15" s="1"/>
  <c r="P181" i="15" a="1"/>
  <c r="P181" i="15" s="1"/>
  <c r="O181" i="15" a="1"/>
  <c r="O181" i="15" s="1"/>
  <c r="N181" i="15" a="1"/>
  <c r="N181" i="15" s="1"/>
  <c r="M181" i="15" a="1"/>
  <c r="M181" i="15" s="1"/>
  <c r="L181" i="15" a="1"/>
  <c r="L181" i="15" s="1"/>
  <c r="Q180" i="15" a="1"/>
  <c r="Q180" i="15" s="1"/>
  <c r="P180" i="15" a="1"/>
  <c r="P180" i="15" s="1"/>
  <c r="O180" i="15" a="1"/>
  <c r="O180" i="15" s="1"/>
  <c r="N180" i="15" a="1"/>
  <c r="N180" i="15" s="1"/>
  <c r="M180" i="15" a="1"/>
  <c r="M180" i="15" s="1"/>
  <c r="L180" i="15" a="1"/>
  <c r="L180" i="15" s="1"/>
  <c r="Q179" i="15" a="1"/>
  <c r="Q179" i="15" s="1"/>
  <c r="P179" i="15" a="1"/>
  <c r="P179" i="15" s="1"/>
  <c r="O179" i="15" a="1"/>
  <c r="O179" i="15" s="1"/>
  <c r="N179" i="15" a="1"/>
  <c r="N179" i="15" s="1"/>
  <c r="M179" i="15" a="1"/>
  <c r="M179" i="15" s="1"/>
  <c r="L179" i="15" a="1"/>
  <c r="L179" i="15" s="1"/>
  <c r="Q178" i="15" a="1"/>
  <c r="Q178" i="15" s="1"/>
  <c r="P178" i="15" a="1"/>
  <c r="P178" i="15" s="1"/>
  <c r="O178" i="15" a="1"/>
  <c r="O178" i="15" s="1"/>
  <c r="N178" i="15" a="1"/>
  <c r="N178" i="15" s="1"/>
  <c r="M178" i="15" a="1"/>
  <c r="M178" i="15" s="1"/>
  <c r="L178" i="15" a="1"/>
  <c r="L178" i="15" s="1"/>
  <c r="Q177" i="15" a="1"/>
  <c r="Q177" i="15" s="1"/>
  <c r="P177" i="15" a="1"/>
  <c r="P177" i="15" s="1"/>
  <c r="O177" i="15" a="1"/>
  <c r="O177" i="15" s="1"/>
  <c r="N177" i="15" a="1"/>
  <c r="N177" i="15" s="1"/>
  <c r="M177" i="15" a="1"/>
  <c r="M177" i="15" s="1"/>
  <c r="L177" i="15" a="1"/>
  <c r="L177" i="15" s="1"/>
  <c r="Q176" i="15" a="1"/>
  <c r="Q176" i="15" s="1"/>
  <c r="P176" i="15" a="1"/>
  <c r="P176" i="15" s="1"/>
  <c r="O176" i="15" a="1"/>
  <c r="O176" i="15" s="1"/>
  <c r="N176" i="15" a="1"/>
  <c r="N176" i="15" s="1"/>
  <c r="M176" i="15" a="1"/>
  <c r="M176" i="15" s="1"/>
  <c r="L176" i="15" a="1"/>
  <c r="L176" i="15" s="1"/>
  <c r="Q175" i="15" a="1"/>
  <c r="Q175" i="15" s="1"/>
  <c r="P175" i="15" a="1"/>
  <c r="P175" i="15" s="1"/>
  <c r="O175" i="15" a="1"/>
  <c r="O175" i="15" s="1"/>
  <c r="N175" i="15" a="1"/>
  <c r="N175" i="15" s="1"/>
  <c r="M175" i="15" a="1"/>
  <c r="M175" i="15" s="1"/>
  <c r="L175" i="15" a="1"/>
  <c r="L175" i="15" s="1"/>
  <c r="Q174" i="15" a="1"/>
  <c r="Q174" i="15" s="1"/>
  <c r="P174" i="15" a="1"/>
  <c r="P174" i="15" s="1"/>
  <c r="O174" i="15" a="1"/>
  <c r="O174" i="15" s="1"/>
  <c r="N174" i="15" a="1"/>
  <c r="N174" i="15" s="1"/>
  <c r="M174" i="15" a="1"/>
  <c r="M174" i="15" s="1"/>
  <c r="L174" i="15" a="1"/>
  <c r="L174" i="15" s="1"/>
  <c r="Q173" i="15" a="1"/>
  <c r="Q173" i="15" s="1"/>
  <c r="P173" i="15" a="1"/>
  <c r="P173" i="15" s="1"/>
  <c r="O173" i="15" a="1"/>
  <c r="O173" i="15" s="1"/>
  <c r="N173" i="15" a="1"/>
  <c r="N173" i="15" s="1"/>
  <c r="M173" i="15" a="1"/>
  <c r="M173" i="15" s="1"/>
  <c r="L173" i="15" a="1"/>
  <c r="L173" i="15" s="1"/>
  <c r="Q172" i="15" a="1"/>
  <c r="Q172" i="15" s="1"/>
  <c r="P172" i="15" a="1"/>
  <c r="P172" i="15" s="1"/>
  <c r="O172" i="15" a="1"/>
  <c r="O172" i="15" s="1"/>
  <c r="N172" i="15" a="1"/>
  <c r="N172" i="15" s="1"/>
  <c r="M172" i="15" a="1"/>
  <c r="M172" i="15" s="1"/>
  <c r="L172" i="15" a="1"/>
  <c r="L172" i="15" s="1"/>
  <c r="Q171" i="15" a="1"/>
  <c r="Q171" i="15" s="1"/>
  <c r="P171" i="15" a="1"/>
  <c r="P171" i="15" s="1"/>
  <c r="O171" i="15" a="1"/>
  <c r="O171" i="15" s="1"/>
  <c r="N171" i="15" a="1"/>
  <c r="N171" i="15" s="1"/>
  <c r="M171" i="15" a="1"/>
  <c r="M171" i="15" s="1"/>
  <c r="L171" i="15" a="1"/>
  <c r="L171" i="15" s="1"/>
  <c r="Q170" i="15" a="1"/>
  <c r="Q170" i="15" s="1"/>
  <c r="P170" i="15" a="1"/>
  <c r="P170" i="15" s="1"/>
  <c r="O170" i="15" a="1"/>
  <c r="O170" i="15" s="1"/>
  <c r="N170" i="15" a="1"/>
  <c r="N170" i="15" s="1"/>
  <c r="M170" i="15" a="1"/>
  <c r="M170" i="15" s="1"/>
  <c r="L170" i="15" a="1"/>
  <c r="L170" i="15" s="1"/>
  <c r="Q169" i="15" a="1"/>
  <c r="Q169" i="15" s="1"/>
  <c r="P169" i="15" a="1"/>
  <c r="P169" i="15" s="1"/>
  <c r="O169" i="15" a="1"/>
  <c r="O169" i="15" s="1"/>
  <c r="N169" i="15" a="1"/>
  <c r="N169" i="15" s="1"/>
  <c r="M169" i="15" a="1"/>
  <c r="M169" i="15" s="1"/>
  <c r="L169" i="15" a="1"/>
  <c r="L169" i="15" s="1"/>
  <c r="Q168" i="15" a="1"/>
  <c r="Q168" i="15" s="1"/>
  <c r="P168" i="15" a="1"/>
  <c r="P168" i="15" s="1"/>
  <c r="O168" i="15" a="1"/>
  <c r="O168" i="15" s="1"/>
  <c r="N168" i="15" a="1"/>
  <c r="N168" i="15" s="1"/>
  <c r="M168" i="15" a="1"/>
  <c r="M168" i="15" s="1"/>
  <c r="L168" i="15" a="1"/>
  <c r="L168" i="15" s="1"/>
  <c r="Q325" i="15" a="1"/>
  <c r="Q325" i="15" s="1"/>
  <c r="P325" i="15" a="1"/>
  <c r="P325" i="15" s="1"/>
  <c r="O325" i="15" a="1"/>
  <c r="O325" i="15" s="1"/>
  <c r="N325" i="15" a="1"/>
  <c r="N325" i="15" s="1"/>
  <c r="M325" i="15" a="1"/>
  <c r="M325" i="15" s="1"/>
  <c r="L325" i="15" a="1"/>
  <c r="L325" i="15" s="1"/>
  <c r="Q324" i="15" a="1"/>
  <c r="Q324" i="15" s="1"/>
  <c r="P324" i="15" a="1"/>
  <c r="P324" i="15" s="1"/>
  <c r="O324" i="15" a="1"/>
  <c r="O324" i="15" s="1"/>
  <c r="N324" i="15" a="1"/>
  <c r="N324" i="15" s="1"/>
  <c r="M324" i="15" a="1"/>
  <c r="M324" i="15" s="1"/>
  <c r="L324" i="15" a="1"/>
  <c r="L324" i="15" s="1"/>
  <c r="Q323" i="15" a="1"/>
  <c r="Q323" i="15" s="1"/>
  <c r="P323" i="15" a="1"/>
  <c r="P323" i="15" s="1"/>
  <c r="O323" i="15" a="1"/>
  <c r="O323" i="15" s="1"/>
  <c r="N323" i="15" a="1"/>
  <c r="N323" i="15" s="1"/>
  <c r="M323" i="15" a="1"/>
  <c r="M323" i="15" s="1"/>
  <c r="L323" i="15" a="1"/>
  <c r="L323" i="15" s="1"/>
  <c r="Q322" i="15" a="1"/>
  <c r="Q322" i="15" s="1"/>
  <c r="P322" i="15" a="1"/>
  <c r="P322" i="15" s="1"/>
  <c r="O322" i="15" a="1"/>
  <c r="O322" i="15" s="1"/>
  <c r="N322" i="15" a="1"/>
  <c r="N322" i="15" s="1"/>
  <c r="M322" i="15" a="1"/>
  <c r="M322" i="15" s="1"/>
  <c r="L322" i="15" a="1"/>
  <c r="L322" i="15" s="1"/>
  <c r="Q321" i="15" a="1"/>
  <c r="Q321" i="15" s="1"/>
  <c r="P321" i="15" a="1"/>
  <c r="P321" i="15" s="1"/>
  <c r="O321" i="15" a="1"/>
  <c r="O321" i="15" s="1"/>
  <c r="N321" i="15" a="1"/>
  <c r="N321" i="15" s="1"/>
  <c r="M321" i="15" a="1"/>
  <c r="M321" i="15" s="1"/>
  <c r="L321" i="15" a="1"/>
  <c r="L321" i="15" s="1"/>
  <c r="Q320" i="15" a="1"/>
  <c r="Q320" i="15" s="1"/>
  <c r="P320" i="15" a="1"/>
  <c r="P320" i="15" s="1"/>
  <c r="O320" i="15" a="1"/>
  <c r="O320" i="15" s="1"/>
  <c r="N320" i="15" a="1"/>
  <c r="N320" i="15" s="1"/>
  <c r="M320" i="15" a="1"/>
  <c r="M320" i="15" s="1"/>
  <c r="L320" i="15" a="1"/>
  <c r="L320" i="15" s="1"/>
  <c r="Q319" i="15" a="1"/>
  <c r="Q319" i="15" s="1"/>
  <c r="P319" i="15" a="1"/>
  <c r="P319" i="15" s="1"/>
  <c r="O319" i="15" a="1"/>
  <c r="O319" i="15" s="1"/>
  <c r="N319" i="15" a="1"/>
  <c r="N319" i="15" s="1"/>
  <c r="M319" i="15" a="1"/>
  <c r="M319" i="15" s="1"/>
  <c r="L319" i="15" a="1"/>
  <c r="L319" i="15" s="1"/>
  <c r="Q318" i="15" a="1"/>
  <c r="Q318" i="15" s="1"/>
  <c r="P318" i="15" a="1"/>
  <c r="P318" i="15" s="1"/>
  <c r="O318" i="15" a="1"/>
  <c r="O318" i="15" s="1"/>
  <c r="N318" i="15" a="1"/>
  <c r="N318" i="15" s="1"/>
  <c r="M318" i="15" a="1"/>
  <c r="M318" i="15" s="1"/>
  <c r="L318" i="15" a="1"/>
  <c r="L318" i="15" s="1"/>
  <c r="Q317" i="15" a="1"/>
  <c r="Q317" i="15" s="1"/>
  <c r="P317" i="15" a="1"/>
  <c r="P317" i="15" s="1"/>
  <c r="O317" i="15" a="1"/>
  <c r="O317" i="15" s="1"/>
  <c r="N317" i="15" a="1"/>
  <c r="N317" i="15" s="1"/>
  <c r="M317" i="15" a="1"/>
  <c r="M317" i="15" s="1"/>
  <c r="L317" i="15" a="1"/>
  <c r="L317" i="15" s="1"/>
  <c r="Q316" i="15" a="1"/>
  <c r="Q316" i="15" s="1"/>
  <c r="P316" i="15" a="1"/>
  <c r="P316" i="15" s="1"/>
  <c r="O316" i="15" a="1"/>
  <c r="O316" i="15" s="1"/>
  <c r="N316" i="15" a="1"/>
  <c r="N316" i="15" s="1"/>
  <c r="M316" i="15" a="1"/>
  <c r="M316" i="15" s="1"/>
  <c r="L316" i="15" a="1"/>
  <c r="L316" i="15" s="1"/>
  <c r="Q315" i="15" a="1"/>
  <c r="Q315" i="15" s="1"/>
  <c r="P315" i="15" a="1"/>
  <c r="P315" i="15" s="1"/>
  <c r="O315" i="15" a="1"/>
  <c r="O315" i="15" s="1"/>
  <c r="N315" i="15" a="1"/>
  <c r="N315" i="15" s="1"/>
  <c r="M315" i="15" a="1"/>
  <c r="M315" i="15" s="1"/>
  <c r="L315" i="15" a="1"/>
  <c r="L315" i="15" s="1"/>
  <c r="Q314" i="15" a="1"/>
  <c r="Q314" i="15" s="1"/>
  <c r="P314" i="15" a="1"/>
  <c r="P314" i="15" s="1"/>
  <c r="O314" i="15" a="1"/>
  <c r="O314" i="15" s="1"/>
  <c r="N314" i="15" a="1"/>
  <c r="N314" i="15" s="1"/>
  <c r="M314" i="15" a="1"/>
  <c r="M314" i="15" s="1"/>
  <c r="L314" i="15" a="1"/>
  <c r="L314" i="15" s="1"/>
  <c r="Q313" i="15" a="1"/>
  <c r="Q313" i="15" s="1"/>
  <c r="P313" i="15" a="1"/>
  <c r="P313" i="15" s="1"/>
  <c r="O313" i="15" a="1"/>
  <c r="O313" i="15" s="1"/>
  <c r="N313" i="15" a="1"/>
  <c r="N313" i="15" s="1"/>
  <c r="M313" i="15" a="1"/>
  <c r="M313" i="15" s="1"/>
  <c r="L313" i="15" a="1"/>
  <c r="L313" i="15" s="1"/>
  <c r="Q312" i="15" a="1"/>
  <c r="Q312" i="15" s="1"/>
  <c r="P312" i="15" a="1"/>
  <c r="P312" i="15" s="1"/>
  <c r="O312" i="15" a="1"/>
  <c r="O312" i="15" s="1"/>
  <c r="N312" i="15" a="1"/>
  <c r="N312" i="15" s="1"/>
  <c r="M312" i="15" a="1"/>
  <c r="M312" i="15" s="1"/>
  <c r="L312" i="15" a="1"/>
  <c r="L312" i="15" s="1"/>
  <c r="Q311" i="15" a="1"/>
  <c r="Q311" i="15" s="1"/>
  <c r="P311" i="15" a="1"/>
  <c r="P311" i="15" s="1"/>
  <c r="O311" i="15" a="1"/>
  <c r="O311" i="15" s="1"/>
  <c r="N311" i="15" a="1"/>
  <c r="N311" i="15" s="1"/>
  <c r="M311" i="15" a="1"/>
  <c r="M311" i="15" s="1"/>
  <c r="L311" i="15" a="1"/>
  <c r="L311" i="15" s="1"/>
  <c r="Q310" i="15" a="1"/>
  <c r="Q310" i="15" s="1"/>
  <c r="P310" i="15" a="1"/>
  <c r="P310" i="15" s="1"/>
  <c r="O310" i="15" a="1"/>
  <c r="O310" i="15" s="1"/>
  <c r="N310" i="15" a="1"/>
  <c r="N310" i="15" s="1"/>
  <c r="M310" i="15" a="1"/>
  <c r="M310" i="15" s="1"/>
  <c r="L310" i="15" a="1"/>
  <c r="L310" i="15" s="1"/>
  <c r="Q309" i="15" a="1"/>
  <c r="Q309" i="15" s="1"/>
  <c r="P309" i="15" a="1"/>
  <c r="P309" i="15" s="1"/>
  <c r="O309" i="15" a="1"/>
  <c r="O309" i="15" s="1"/>
  <c r="N309" i="15" a="1"/>
  <c r="N309" i="15" s="1"/>
  <c r="M309" i="15" a="1"/>
  <c r="M309" i="15" s="1"/>
  <c r="L309" i="15" a="1"/>
  <c r="L309" i="15" s="1"/>
  <c r="Q308" i="15" a="1"/>
  <c r="Q308" i="15" s="1"/>
  <c r="P308" i="15" a="1"/>
  <c r="P308" i="15" s="1"/>
  <c r="O308" i="15" a="1"/>
  <c r="O308" i="15" s="1"/>
  <c r="N308" i="15" a="1"/>
  <c r="N308" i="15" s="1"/>
  <c r="M308" i="15" a="1"/>
  <c r="M308" i="15" s="1"/>
  <c r="L308" i="15" a="1"/>
  <c r="L308" i="15" s="1"/>
  <c r="Q213" i="15" a="1"/>
  <c r="Q213" i="15" s="1"/>
  <c r="P213" i="15" a="1"/>
  <c r="P213" i="15" s="1"/>
  <c r="O213" i="15" a="1"/>
  <c r="O213" i="15" s="1"/>
  <c r="N213" i="15" a="1"/>
  <c r="N213" i="15" s="1"/>
  <c r="M213" i="15" a="1"/>
  <c r="M213" i="15" s="1"/>
  <c r="L213" i="15" a="1"/>
  <c r="L213" i="15" s="1"/>
  <c r="Q212" i="15" a="1"/>
  <c r="Q212" i="15" s="1"/>
  <c r="P212" i="15" a="1"/>
  <c r="P212" i="15" s="1"/>
  <c r="O212" i="15" a="1"/>
  <c r="O212" i="15" s="1"/>
  <c r="N212" i="15" a="1"/>
  <c r="N212" i="15" s="1"/>
  <c r="M212" i="15" a="1"/>
  <c r="M212" i="15" s="1"/>
  <c r="L212" i="15" a="1"/>
  <c r="L212" i="15" s="1"/>
  <c r="Q211" i="15" a="1"/>
  <c r="Q211" i="15" s="1"/>
  <c r="P211" i="15" a="1"/>
  <c r="P211" i="15" s="1"/>
  <c r="O211" i="15" a="1"/>
  <c r="O211" i="15" s="1"/>
  <c r="N211" i="15" a="1"/>
  <c r="N211" i="15" s="1"/>
  <c r="M211" i="15" a="1"/>
  <c r="M211" i="15" s="1"/>
  <c r="L211" i="15" a="1"/>
  <c r="L211" i="15" s="1"/>
  <c r="Q210" i="15" a="1"/>
  <c r="Q210" i="15" s="1"/>
  <c r="P210" i="15" a="1"/>
  <c r="P210" i="15" s="1"/>
  <c r="O210" i="15" a="1"/>
  <c r="O210" i="15" s="1"/>
  <c r="N210" i="15" a="1"/>
  <c r="N210" i="15" s="1"/>
  <c r="M210" i="15" a="1"/>
  <c r="M210" i="15" s="1"/>
  <c r="L210" i="15" a="1"/>
  <c r="L210" i="15" s="1"/>
  <c r="Q209" i="15" a="1"/>
  <c r="Q209" i="15" s="1"/>
  <c r="P209" i="15" a="1"/>
  <c r="P209" i="15" s="1"/>
  <c r="O209" i="15" a="1"/>
  <c r="O209" i="15" s="1"/>
  <c r="N209" i="15" a="1"/>
  <c r="N209" i="15" s="1"/>
  <c r="M209" i="15" a="1"/>
  <c r="M209" i="15" s="1"/>
  <c r="L209" i="15" a="1"/>
  <c r="L209" i="15" s="1"/>
  <c r="Q208" i="15" a="1"/>
  <c r="Q208" i="15" s="1"/>
  <c r="P208" i="15" a="1"/>
  <c r="P208" i="15" s="1"/>
  <c r="O208" i="15" a="1"/>
  <c r="O208" i="15" s="1"/>
  <c r="N208" i="15" a="1"/>
  <c r="N208" i="15" s="1"/>
  <c r="M208" i="15" a="1"/>
  <c r="M208" i="15" s="1"/>
  <c r="L208" i="15" a="1"/>
  <c r="L208" i="15" s="1"/>
  <c r="Q207" i="15" a="1"/>
  <c r="Q207" i="15" s="1"/>
  <c r="P207" i="15" a="1"/>
  <c r="P207" i="15" s="1"/>
  <c r="O207" i="15" a="1"/>
  <c r="O207" i="15" s="1"/>
  <c r="N207" i="15" a="1"/>
  <c r="N207" i="15" s="1"/>
  <c r="M207" i="15" a="1"/>
  <c r="M207" i="15" s="1"/>
  <c r="L207" i="15" a="1"/>
  <c r="L207" i="15" s="1"/>
  <c r="Q206" i="15" a="1"/>
  <c r="Q206" i="15" s="1"/>
  <c r="P206" i="15" a="1"/>
  <c r="P206" i="15" s="1"/>
  <c r="O206" i="15" a="1"/>
  <c r="O206" i="15" s="1"/>
  <c r="N206" i="15" a="1"/>
  <c r="N206" i="15" s="1"/>
  <c r="M206" i="15" a="1"/>
  <c r="M206" i="15" s="1"/>
  <c r="L206" i="15" a="1"/>
  <c r="L206" i="15" s="1"/>
  <c r="Q205" i="15" a="1"/>
  <c r="Q205" i="15" s="1"/>
  <c r="P205" i="15" a="1"/>
  <c r="P205" i="15" s="1"/>
  <c r="O205" i="15" a="1"/>
  <c r="O205" i="15" s="1"/>
  <c r="N205" i="15" a="1"/>
  <c r="N205" i="15" s="1"/>
  <c r="M205" i="15" a="1"/>
  <c r="M205" i="15" s="1"/>
  <c r="L205" i="15" a="1"/>
  <c r="L205" i="15" s="1"/>
  <c r="Q204" i="15" a="1"/>
  <c r="Q204" i="15" s="1"/>
  <c r="P204" i="15" a="1"/>
  <c r="P204" i="15" s="1"/>
  <c r="O204" i="15" a="1"/>
  <c r="O204" i="15" s="1"/>
  <c r="N204" i="15" a="1"/>
  <c r="N204" i="15" s="1"/>
  <c r="M204" i="15" a="1"/>
  <c r="M204" i="15" s="1"/>
  <c r="L204" i="15" a="1"/>
  <c r="L204" i="15" s="1"/>
  <c r="Q203" i="15" a="1"/>
  <c r="Q203" i="15" s="1"/>
  <c r="P203" i="15" a="1"/>
  <c r="P203" i="15" s="1"/>
  <c r="O203" i="15" a="1"/>
  <c r="O203" i="15" s="1"/>
  <c r="N203" i="15" a="1"/>
  <c r="N203" i="15" s="1"/>
  <c r="M203" i="15" a="1"/>
  <c r="M203" i="15" s="1"/>
  <c r="L203" i="15" a="1"/>
  <c r="L203" i="15" s="1"/>
  <c r="Q202" i="15" a="1"/>
  <c r="Q202" i="15" s="1"/>
  <c r="P202" i="15" a="1"/>
  <c r="P202" i="15" s="1"/>
  <c r="O202" i="15" a="1"/>
  <c r="O202" i="15" s="1"/>
  <c r="N202" i="15" a="1"/>
  <c r="N202" i="15" s="1"/>
  <c r="M202" i="15" a="1"/>
  <c r="M202" i="15" s="1"/>
  <c r="L202" i="15" a="1"/>
  <c r="L202" i="15" s="1"/>
  <c r="Q201" i="15" a="1"/>
  <c r="Q201" i="15" s="1"/>
  <c r="P201" i="15" a="1"/>
  <c r="P201" i="15" s="1"/>
  <c r="O201" i="15" a="1"/>
  <c r="O201" i="15" s="1"/>
  <c r="N201" i="15" a="1"/>
  <c r="N201" i="15" s="1"/>
  <c r="M201" i="15" a="1"/>
  <c r="M201" i="15" s="1"/>
  <c r="L201" i="15" a="1"/>
  <c r="L201" i="15" s="1"/>
  <c r="Q200" i="15" a="1"/>
  <c r="Q200" i="15" s="1"/>
  <c r="P200" i="15" a="1"/>
  <c r="P200" i="15" s="1"/>
  <c r="O200" i="15" a="1"/>
  <c r="O200" i="15" s="1"/>
  <c r="N200" i="15" a="1"/>
  <c r="N200" i="15" s="1"/>
  <c r="M200" i="15" a="1"/>
  <c r="M200" i="15" s="1"/>
  <c r="L200" i="15" a="1"/>
  <c r="L200" i="15" s="1"/>
  <c r="Q199" i="15" a="1"/>
  <c r="Q199" i="15" s="1"/>
  <c r="P199" i="15" a="1"/>
  <c r="P199" i="15" s="1"/>
  <c r="O199" i="15" a="1"/>
  <c r="O199" i="15" s="1"/>
  <c r="N199" i="15" a="1"/>
  <c r="N199" i="15" s="1"/>
  <c r="M199" i="15" a="1"/>
  <c r="M199" i="15" s="1"/>
  <c r="L199" i="15" a="1"/>
  <c r="L199" i="15" s="1"/>
  <c r="Q198" i="15" a="1"/>
  <c r="Q198" i="15" s="1"/>
  <c r="P198" i="15" a="1"/>
  <c r="P198" i="15" s="1"/>
  <c r="O198" i="15" a="1"/>
  <c r="O198" i="15" s="1"/>
  <c r="N198" i="15" a="1"/>
  <c r="N198" i="15" s="1"/>
  <c r="M198" i="15" a="1"/>
  <c r="M198" i="15" s="1"/>
  <c r="L198" i="15" a="1"/>
  <c r="L198" i="15" s="1"/>
  <c r="Q197" i="15" a="1"/>
  <c r="Q197" i="15" s="1"/>
  <c r="P197" i="15" a="1"/>
  <c r="P197" i="15" s="1"/>
  <c r="O197" i="15" a="1"/>
  <c r="O197" i="15" s="1"/>
  <c r="N197" i="15" a="1"/>
  <c r="N197" i="15" s="1"/>
  <c r="M197" i="15" a="1"/>
  <c r="M197" i="15" s="1"/>
  <c r="L197" i="15" a="1"/>
  <c r="L197" i="15" s="1"/>
  <c r="Q196" i="15" a="1"/>
  <c r="Q196" i="15" s="1"/>
  <c r="P196" i="15" a="1"/>
  <c r="P196" i="15" s="1"/>
  <c r="O196" i="15" a="1"/>
  <c r="O196" i="15" s="1"/>
  <c r="N196" i="15" a="1"/>
  <c r="N196" i="15" s="1"/>
  <c r="M196" i="15" a="1"/>
  <c r="M196" i="15" s="1"/>
  <c r="L196" i="15" a="1"/>
  <c r="L196" i="15" s="1"/>
  <c r="Q24" i="15" a="1"/>
  <c r="Q24" i="15" s="1"/>
  <c r="P24" i="15" a="1"/>
  <c r="P24" i="15" s="1"/>
  <c r="O24" i="15" a="1"/>
  <c r="O24" i="15" s="1"/>
  <c r="N24" i="15" a="1"/>
  <c r="N24" i="15" s="1"/>
  <c r="M24" i="15" a="1"/>
  <c r="M24" i="15" s="1"/>
  <c r="L24" i="15" a="1"/>
  <c r="L24" i="15" s="1"/>
  <c r="Q23" i="15" a="1"/>
  <c r="Q23" i="15" s="1"/>
  <c r="P23" i="15" a="1"/>
  <c r="P23" i="15" s="1"/>
  <c r="O23" i="15" a="1"/>
  <c r="O23" i="15" s="1"/>
  <c r="N23" i="15" a="1"/>
  <c r="N23" i="15" s="1"/>
  <c r="M23" i="15" a="1"/>
  <c r="M23" i="15" s="1"/>
  <c r="L23" i="15" a="1"/>
  <c r="L23" i="15" s="1"/>
  <c r="Q22" i="15" a="1"/>
  <c r="Q22" i="15" s="1"/>
  <c r="P22" i="15" a="1"/>
  <c r="P22" i="15" s="1"/>
  <c r="O22" i="15" a="1"/>
  <c r="O22" i="15" s="1"/>
  <c r="N22" i="15" a="1"/>
  <c r="N22" i="15" s="1"/>
  <c r="M22" i="15" a="1"/>
  <c r="M22" i="15" s="1"/>
  <c r="L22" i="15" a="1"/>
  <c r="L22" i="15" s="1"/>
  <c r="Q21" i="15" a="1"/>
  <c r="Q21" i="15" s="1"/>
  <c r="P21" i="15" a="1"/>
  <c r="P21" i="15" s="1"/>
  <c r="O21" i="15" a="1"/>
  <c r="O21" i="15" s="1"/>
  <c r="N21" i="15" a="1"/>
  <c r="N21" i="15" s="1"/>
  <c r="M21" i="15" a="1"/>
  <c r="M21" i="15" s="1"/>
  <c r="L21" i="15" a="1"/>
  <c r="L21" i="15" s="1"/>
  <c r="Q20" i="15" a="1"/>
  <c r="Q20" i="15" s="1"/>
  <c r="P20" i="15" a="1"/>
  <c r="P20" i="15" s="1"/>
  <c r="O20" i="15" a="1"/>
  <c r="O20" i="15" s="1"/>
  <c r="N20" i="15" a="1"/>
  <c r="N20" i="15" s="1"/>
  <c r="M20" i="15" a="1"/>
  <c r="M20" i="15" s="1"/>
  <c r="L20" i="15" a="1"/>
  <c r="L20" i="15" s="1"/>
  <c r="Q19" i="15" a="1"/>
  <c r="Q19" i="15" s="1"/>
  <c r="P19" i="15" a="1"/>
  <c r="P19" i="15" s="1"/>
  <c r="O19" i="15" a="1"/>
  <c r="O19" i="15" s="1"/>
  <c r="N19" i="15" a="1"/>
  <c r="N19" i="15" s="1"/>
  <c r="M19" i="15" a="1"/>
  <c r="M19" i="15" s="1"/>
  <c r="L19" i="15" a="1"/>
  <c r="L19" i="15" s="1"/>
  <c r="Q18" i="15" a="1"/>
  <c r="Q18" i="15" s="1"/>
  <c r="P18" i="15" a="1"/>
  <c r="P18" i="15" s="1"/>
  <c r="O18" i="15" a="1"/>
  <c r="O18" i="15" s="1"/>
  <c r="N18" i="15" a="1"/>
  <c r="N18" i="15" s="1"/>
  <c r="M18" i="15" a="1"/>
  <c r="M18" i="15" s="1"/>
  <c r="L18" i="15" a="1"/>
  <c r="L18" i="15" s="1"/>
  <c r="Q17" i="15" a="1"/>
  <c r="Q17" i="15" s="1"/>
  <c r="P17" i="15" a="1"/>
  <c r="P17" i="15" s="1"/>
  <c r="O17" i="15" a="1"/>
  <c r="O17" i="15" s="1"/>
  <c r="N17" i="15" a="1"/>
  <c r="N17" i="15" s="1"/>
  <c r="M17" i="15" a="1"/>
  <c r="M17" i="15" s="1"/>
  <c r="L17" i="15" a="1"/>
  <c r="L17" i="15" s="1"/>
  <c r="Q16" i="15" a="1"/>
  <c r="Q16" i="15" s="1"/>
  <c r="P16" i="15" a="1"/>
  <c r="P16" i="15" s="1"/>
  <c r="O16" i="15" a="1"/>
  <c r="O16" i="15" s="1"/>
  <c r="N16" i="15" a="1"/>
  <c r="N16" i="15" s="1"/>
  <c r="M16" i="15" a="1"/>
  <c r="M16" i="15" s="1"/>
  <c r="L16" i="15" a="1"/>
  <c r="L16" i="15" s="1"/>
  <c r="Q15" i="15" a="1"/>
  <c r="Q15" i="15" s="1"/>
  <c r="P15" i="15" a="1"/>
  <c r="P15" i="15" s="1"/>
  <c r="O15" i="15" a="1"/>
  <c r="O15" i="15" s="1"/>
  <c r="N15" i="15" a="1"/>
  <c r="N15" i="15" s="1"/>
  <c r="M15" i="15" a="1"/>
  <c r="M15" i="15" s="1"/>
  <c r="L15" i="15" a="1"/>
  <c r="L15" i="15" s="1"/>
  <c r="Q14" i="15" a="1"/>
  <c r="Q14" i="15" s="1"/>
  <c r="P14" i="15" a="1"/>
  <c r="P14" i="15" s="1"/>
  <c r="O14" i="15" a="1"/>
  <c r="O14" i="15" s="1"/>
  <c r="N14" i="15" a="1"/>
  <c r="N14" i="15" s="1"/>
  <c r="M14" i="15" a="1"/>
  <c r="M14" i="15" s="1"/>
  <c r="L14" i="15" a="1"/>
  <c r="L14" i="15" s="1"/>
  <c r="Q13" i="15" a="1"/>
  <c r="Q13" i="15" s="1"/>
  <c r="P13" i="15" a="1"/>
  <c r="P13" i="15" s="1"/>
  <c r="O13" i="15" a="1"/>
  <c r="O13" i="15" s="1"/>
  <c r="N13" i="15" a="1"/>
  <c r="N13" i="15" s="1"/>
  <c r="M13" i="15" a="1"/>
  <c r="M13" i="15" s="1"/>
  <c r="L13" i="15" a="1"/>
  <c r="L13" i="15" s="1"/>
  <c r="Q12" i="15" a="1"/>
  <c r="Q12" i="15" s="1"/>
  <c r="P12" i="15" a="1"/>
  <c r="P12" i="15" s="1"/>
  <c r="O12" i="15" a="1"/>
  <c r="O12" i="15" s="1"/>
  <c r="N12" i="15" a="1"/>
  <c r="N12" i="15" s="1"/>
  <c r="M12" i="15" a="1"/>
  <c r="M12" i="15" s="1"/>
  <c r="L12" i="15" a="1"/>
  <c r="L12" i="15" s="1"/>
  <c r="Q11" i="15" a="1"/>
  <c r="Q11" i="15" s="1"/>
  <c r="P11" i="15" a="1"/>
  <c r="P11" i="15" s="1"/>
  <c r="O11" i="15" a="1"/>
  <c r="O11" i="15" s="1"/>
  <c r="N11" i="15" a="1"/>
  <c r="N11" i="15" s="1"/>
  <c r="M11" i="15" a="1"/>
  <c r="M11" i="15" s="1"/>
  <c r="L11" i="15" a="1"/>
  <c r="L11" i="15" s="1"/>
  <c r="Q10" i="15" a="1"/>
  <c r="Q10" i="15" s="1"/>
  <c r="P10" i="15" a="1"/>
  <c r="P10" i="15" s="1"/>
  <c r="O10" i="15" a="1"/>
  <c r="O10" i="15" s="1"/>
  <c r="N10" i="15" a="1"/>
  <c r="N10" i="15" s="1"/>
  <c r="M10" i="15" a="1"/>
  <c r="M10" i="15" s="1"/>
  <c r="L10" i="15" a="1"/>
  <c r="L10" i="15" s="1"/>
  <c r="Q9" i="15" a="1"/>
  <c r="Q9" i="15" s="1"/>
  <c r="P9" i="15" a="1"/>
  <c r="P9" i="15" s="1"/>
  <c r="O9" i="15" a="1"/>
  <c r="O9" i="15" s="1"/>
  <c r="N9" i="15" a="1"/>
  <c r="N9" i="15" s="1"/>
  <c r="M9" i="15" a="1"/>
  <c r="M9" i="15" s="1"/>
  <c r="L9" i="15" a="1"/>
  <c r="L9" i="15" s="1"/>
  <c r="Q8" i="15" a="1"/>
  <c r="Q8" i="15" s="1"/>
  <c r="P8" i="15" a="1"/>
  <c r="P8" i="15" s="1"/>
  <c r="O8" i="15" a="1"/>
  <c r="O8" i="15" s="1"/>
  <c r="N8" i="15" a="1"/>
  <c r="N8" i="15" s="1"/>
  <c r="M8" i="15" a="1"/>
  <c r="M8" i="15" s="1"/>
  <c r="Q7" i="15" a="1"/>
  <c r="Q7" i="15" s="1"/>
  <c r="P7" i="15" a="1"/>
  <c r="P7" i="15" s="1"/>
  <c r="O7" i="15" a="1"/>
  <c r="O7" i="15" s="1"/>
  <c r="N7" i="15" a="1"/>
  <c r="N7" i="15" s="1"/>
  <c r="M7" i="15" a="1"/>
  <c r="M7" i="15" s="1"/>
  <c r="L7" i="15" a="1"/>
  <c r="L7" i="15" s="1"/>
  <c r="L8" i="15" a="1"/>
  <c r="L8" i="15" s="1"/>
  <c r="Z325" i="15" a="1"/>
  <c r="Z325" i="15" s="1"/>
  <c r="Y325" i="15" a="1"/>
  <c r="Y325" i="15" s="1"/>
  <c r="X325" i="15" a="1"/>
  <c r="X325" i="15" s="1"/>
  <c r="W325" i="15" a="1"/>
  <c r="W325" i="15" s="1"/>
  <c r="V325" i="15" a="1"/>
  <c r="V325" i="15" s="1"/>
  <c r="U325" i="15" a="1"/>
  <c r="U325" i="15" s="1"/>
  <c r="H325" i="15" a="1"/>
  <c r="H325" i="15" s="1"/>
  <c r="G325" i="15" a="1"/>
  <c r="G325" i="15" s="1"/>
  <c r="F325" i="15" a="1"/>
  <c r="F325" i="15" s="1"/>
  <c r="E325" i="15" a="1"/>
  <c r="E325" i="15" s="1"/>
  <c r="D325" i="15" a="1"/>
  <c r="D325" i="15" s="1"/>
  <c r="C325" i="15" a="1"/>
  <c r="C325" i="15" s="1"/>
  <c r="Z324" i="15" a="1"/>
  <c r="Z324" i="15" s="1"/>
  <c r="Y324" i="15" a="1"/>
  <c r="Y324" i="15" s="1"/>
  <c r="X324" i="15" a="1"/>
  <c r="X324" i="15" s="1"/>
  <c r="W324" i="15" a="1"/>
  <c r="W324" i="15" s="1"/>
  <c r="V324" i="15" a="1"/>
  <c r="V324" i="15" s="1"/>
  <c r="U324" i="15" a="1"/>
  <c r="U324" i="15" s="1"/>
  <c r="H324" i="15" a="1"/>
  <c r="H324" i="15" s="1"/>
  <c r="G324" i="15" a="1"/>
  <c r="G324" i="15" s="1"/>
  <c r="F324" i="15" a="1"/>
  <c r="F324" i="15" s="1"/>
  <c r="E324" i="15" a="1"/>
  <c r="E324" i="15" s="1"/>
  <c r="D324" i="15" a="1"/>
  <c r="D324" i="15" s="1"/>
  <c r="C324" i="15" a="1"/>
  <c r="C324" i="15" s="1"/>
  <c r="Z323" i="15" a="1"/>
  <c r="Z323" i="15" s="1"/>
  <c r="Y323" i="15" a="1"/>
  <c r="Y323" i="15" s="1"/>
  <c r="X323" i="15" a="1"/>
  <c r="X323" i="15" s="1"/>
  <c r="W323" i="15" a="1"/>
  <c r="W323" i="15" s="1"/>
  <c r="V323" i="15" a="1"/>
  <c r="V323" i="15" s="1"/>
  <c r="U323" i="15" a="1"/>
  <c r="U323" i="15" s="1"/>
  <c r="H323" i="15" a="1"/>
  <c r="H323" i="15" s="1"/>
  <c r="G323" i="15" a="1"/>
  <c r="G323" i="15" s="1"/>
  <c r="F323" i="15" a="1"/>
  <c r="F323" i="15" s="1"/>
  <c r="E323" i="15" a="1"/>
  <c r="E323" i="15" s="1"/>
  <c r="D323" i="15" a="1"/>
  <c r="D323" i="15" s="1"/>
  <c r="C323" i="15" a="1"/>
  <c r="C323" i="15" s="1"/>
  <c r="Z322" i="15" a="1"/>
  <c r="Z322" i="15" s="1"/>
  <c r="Y322" i="15" a="1"/>
  <c r="Y322" i="15" s="1"/>
  <c r="X322" i="15" a="1"/>
  <c r="X322" i="15" s="1"/>
  <c r="W322" i="15" a="1"/>
  <c r="W322" i="15" s="1"/>
  <c r="V322" i="15" a="1"/>
  <c r="V322" i="15" s="1"/>
  <c r="U322" i="15" a="1"/>
  <c r="U322" i="15" s="1"/>
  <c r="H322" i="15" a="1"/>
  <c r="H322" i="15" s="1"/>
  <c r="G322" i="15" a="1"/>
  <c r="G322" i="15" s="1"/>
  <c r="F322" i="15" a="1"/>
  <c r="F322" i="15" s="1"/>
  <c r="E322" i="15" a="1"/>
  <c r="E322" i="15" s="1"/>
  <c r="D322" i="15" a="1"/>
  <c r="D322" i="15" s="1"/>
  <c r="C322" i="15" a="1"/>
  <c r="C322" i="15" s="1"/>
  <c r="Z321" i="15" a="1"/>
  <c r="Z321" i="15" s="1"/>
  <c r="Y321" i="15" a="1"/>
  <c r="Y321" i="15" s="1"/>
  <c r="X321" i="15" a="1"/>
  <c r="X321" i="15" s="1"/>
  <c r="W321" i="15" a="1"/>
  <c r="W321" i="15" s="1"/>
  <c r="V321" i="15" a="1"/>
  <c r="V321" i="15" s="1"/>
  <c r="U321" i="15" a="1"/>
  <c r="U321" i="15" s="1"/>
  <c r="H321" i="15" a="1"/>
  <c r="H321" i="15" s="1"/>
  <c r="G321" i="15" a="1"/>
  <c r="G321" i="15" s="1"/>
  <c r="F321" i="15" a="1"/>
  <c r="F321" i="15" s="1"/>
  <c r="E321" i="15" a="1"/>
  <c r="E321" i="15" s="1"/>
  <c r="D321" i="15" a="1"/>
  <c r="D321" i="15" s="1"/>
  <c r="C321" i="15" a="1"/>
  <c r="C321" i="15" s="1"/>
  <c r="Z320" i="15" a="1"/>
  <c r="Z320" i="15" s="1"/>
  <c r="Y320" i="15" a="1"/>
  <c r="Y320" i="15" s="1"/>
  <c r="X320" i="15" a="1"/>
  <c r="X320" i="15" s="1"/>
  <c r="W320" i="15" a="1"/>
  <c r="W320" i="15" s="1"/>
  <c r="V320" i="15" a="1"/>
  <c r="V320" i="15" s="1"/>
  <c r="U320" i="15" a="1"/>
  <c r="U320" i="15" s="1"/>
  <c r="H320" i="15" a="1"/>
  <c r="H320" i="15" s="1"/>
  <c r="G320" i="15" a="1"/>
  <c r="G320" i="15" s="1"/>
  <c r="F320" i="15" a="1"/>
  <c r="F320" i="15" s="1"/>
  <c r="E320" i="15" a="1"/>
  <c r="E320" i="15" s="1"/>
  <c r="D320" i="15" a="1"/>
  <c r="D320" i="15" s="1"/>
  <c r="C320" i="15" a="1"/>
  <c r="C320" i="15" s="1"/>
  <c r="Z319" i="15" a="1"/>
  <c r="Z319" i="15" s="1"/>
  <c r="Y319" i="15" a="1"/>
  <c r="Y319" i="15" s="1"/>
  <c r="X319" i="15" a="1"/>
  <c r="X319" i="15" s="1"/>
  <c r="W319" i="15" a="1"/>
  <c r="W319" i="15" s="1"/>
  <c r="V319" i="15" a="1"/>
  <c r="V319" i="15" s="1"/>
  <c r="U319" i="15" a="1"/>
  <c r="U319" i="15" s="1"/>
  <c r="H319" i="15" a="1"/>
  <c r="H319" i="15" s="1"/>
  <c r="G319" i="15" a="1"/>
  <c r="G319" i="15" s="1"/>
  <c r="F319" i="15" a="1"/>
  <c r="F319" i="15" s="1"/>
  <c r="E319" i="15" a="1"/>
  <c r="E319" i="15" s="1"/>
  <c r="D319" i="15" a="1"/>
  <c r="D319" i="15" s="1"/>
  <c r="C319" i="15" a="1"/>
  <c r="C319" i="15" s="1"/>
  <c r="Z318" i="15" a="1"/>
  <c r="Z318" i="15" s="1"/>
  <c r="Y318" i="15" a="1"/>
  <c r="Y318" i="15" s="1"/>
  <c r="X318" i="15" a="1"/>
  <c r="X318" i="15" s="1"/>
  <c r="W318" i="15" a="1"/>
  <c r="W318" i="15" s="1"/>
  <c r="V318" i="15" a="1"/>
  <c r="V318" i="15" s="1"/>
  <c r="U318" i="15" a="1"/>
  <c r="U318" i="15" s="1"/>
  <c r="H318" i="15" a="1"/>
  <c r="H318" i="15" s="1"/>
  <c r="G318" i="15" a="1"/>
  <c r="G318" i="15" s="1"/>
  <c r="F318" i="15" a="1"/>
  <c r="F318" i="15" s="1"/>
  <c r="E318" i="15" a="1"/>
  <c r="E318" i="15" s="1"/>
  <c r="D318" i="15" a="1"/>
  <c r="D318" i="15" s="1"/>
  <c r="C318" i="15" a="1"/>
  <c r="C318" i="15" s="1"/>
  <c r="Z317" i="15" a="1"/>
  <c r="Z317" i="15" s="1"/>
  <c r="Y317" i="15" a="1"/>
  <c r="Y317" i="15" s="1"/>
  <c r="X317" i="15" a="1"/>
  <c r="X317" i="15" s="1"/>
  <c r="W317" i="15" a="1"/>
  <c r="W317" i="15" s="1"/>
  <c r="V317" i="15" a="1"/>
  <c r="V317" i="15" s="1"/>
  <c r="U317" i="15" a="1"/>
  <c r="U317" i="15" s="1"/>
  <c r="H317" i="15" a="1"/>
  <c r="H317" i="15" s="1"/>
  <c r="G317" i="15" a="1"/>
  <c r="G317" i="15" s="1"/>
  <c r="F317" i="15" a="1"/>
  <c r="F317" i="15" s="1"/>
  <c r="E317" i="15" a="1"/>
  <c r="E317" i="15" s="1"/>
  <c r="D317" i="15" a="1"/>
  <c r="D317" i="15" s="1"/>
  <c r="C317" i="15" a="1"/>
  <c r="C317" i="15" s="1"/>
  <c r="Z316" i="15" a="1"/>
  <c r="Z316" i="15" s="1"/>
  <c r="Y316" i="15" a="1"/>
  <c r="Y316" i="15" s="1"/>
  <c r="X316" i="15" a="1"/>
  <c r="X316" i="15" s="1"/>
  <c r="W316" i="15" a="1"/>
  <c r="W316" i="15" s="1"/>
  <c r="V316" i="15" a="1"/>
  <c r="V316" i="15" s="1"/>
  <c r="U316" i="15" a="1"/>
  <c r="U316" i="15" s="1"/>
  <c r="H316" i="15" a="1"/>
  <c r="H316" i="15" s="1"/>
  <c r="G316" i="15" a="1"/>
  <c r="G316" i="15" s="1"/>
  <c r="F316" i="15" a="1"/>
  <c r="F316" i="15" s="1"/>
  <c r="E316" i="15" a="1"/>
  <c r="E316" i="15" s="1"/>
  <c r="D316" i="15" a="1"/>
  <c r="D316" i="15" s="1"/>
  <c r="C316" i="15" a="1"/>
  <c r="C316" i="15" s="1"/>
  <c r="Z315" i="15" a="1"/>
  <c r="Z315" i="15" s="1"/>
  <c r="Y315" i="15" a="1"/>
  <c r="Y315" i="15" s="1"/>
  <c r="X315" i="15" a="1"/>
  <c r="X315" i="15" s="1"/>
  <c r="W315" i="15" a="1"/>
  <c r="W315" i="15" s="1"/>
  <c r="V315" i="15" a="1"/>
  <c r="V315" i="15" s="1"/>
  <c r="U315" i="15" a="1"/>
  <c r="U315" i="15" s="1"/>
  <c r="H315" i="15" a="1"/>
  <c r="H315" i="15" s="1"/>
  <c r="G315" i="15" a="1"/>
  <c r="G315" i="15" s="1"/>
  <c r="F315" i="15" a="1"/>
  <c r="F315" i="15" s="1"/>
  <c r="E315" i="15" a="1"/>
  <c r="E315" i="15" s="1"/>
  <c r="D315" i="15" a="1"/>
  <c r="D315" i="15" s="1"/>
  <c r="C315" i="15" a="1"/>
  <c r="C315" i="15" s="1"/>
  <c r="Z314" i="15" a="1"/>
  <c r="Z314" i="15" s="1"/>
  <c r="Y314" i="15" a="1"/>
  <c r="Y314" i="15" s="1"/>
  <c r="X314" i="15" a="1"/>
  <c r="X314" i="15" s="1"/>
  <c r="W314" i="15" a="1"/>
  <c r="W314" i="15" s="1"/>
  <c r="V314" i="15" a="1"/>
  <c r="V314" i="15" s="1"/>
  <c r="U314" i="15" a="1"/>
  <c r="U314" i="15" s="1"/>
  <c r="H314" i="15" a="1"/>
  <c r="H314" i="15" s="1"/>
  <c r="G314" i="15" a="1"/>
  <c r="G314" i="15" s="1"/>
  <c r="F314" i="15" a="1"/>
  <c r="F314" i="15" s="1"/>
  <c r="E314" i="15" a="1"/>
  <c r="E314" i="15" s="1"/>
  <c r="D314" i="15" a="1"/>
  <c r="D314" i="15" s="1"/>
  <c r="C314" i="15" a="1"/>
  <c r="C314" i="15" s="1"/>
  <c r="Z313" i="15" a="1"/>
  <c r="Z313" i="15" s="1"/>
  <c r="Y313" i="15" a="1"/>
  <c r="Y313" i="15" s="1"/>
  <c r="X313" i="15" a="1"/>
  <c r="X313" i="15" s="1"/>
  <c r="W313" i="15" a="1"/>
  <c r="W313" i="15" s="1"/>
  <c r="V313" i="15" a="1"/>
  <c r="V313" i="15" s="1"/>
  <c r="U313" i="15" a="1"/>
  <c r="U313" i="15" s="1"/>
  <c r="H313" i="15" a="1"/>
  <c r="H313" i="15" s="1"/>
  <c r="G313" i="15" a="1"/>
  <c r="G313" i="15" s="1"/>
  <c r="F313" i="15" a="1"/>
  <c r="F313" i="15" s="1"/>
  <c r="E313" i="15" a="1"/>
  <c r="E313" i="15" s="1"/>
  <c r="D313" i="15" a="1"/>
  <c r="D313" i="15" s="1"/>
  <c r="C313" i="15" a="1"/>
  <c r="C313" i="15" s="1"/>
  <c r="Z312" i="15" a="1"/>
  <c r="Z312" i="15" s="1"/>
  <c r="Y312" i="15" a="1"/>
  <c r="Y312" i="15" s="1"/>
  <c r="X312" i="15" a="1"/>
  <c r="X312" i="15" s="1"/>
  <c r="W312" i="15" a="1"/>
  <c r="W312" i="15" s="1"/>
  <c r="V312" i="15" a="1"/>
  <c r="V312" i="15" s="1"/>
  <c r="U312" i="15" a="1"/>
  <c r="U312" i="15" s="1"/>
  <c r="H312" i="15" a="1"/>
  <c r="H312" i="15" s="1"/>
  <c r="G312" i="15" a="1"/>
  <c r="G312" i="15" s="1"/>
  <c r="F312" i="15" a="1"/>
  <c r="F312" i="15" s="1"/>
  <c r="E312" i="15" a="1"/>
  <c r="E312" i="15" s="1"/>
  <c r="D312" i="15" a="1"/>
  <c r="D312" i="15" s="1"/>
  <c r="C312" i="15" a="1"/>
  <c r="C312" i="15" s="1"/>
  <c r="Z311" i="15" a="1"/>
  <c r="Z311" i="15" s="1"/>
  <c r="Y311" i="15" a="1"/>
  <c r="Y311" i="15" s="1"/>
  <c r="X311" i="15" a="1"/>
  <c r="X311" i="15" s="1"/>
  <c r="W311" i="15" a="1"/>
  <c r="W311" i="15" s="1"/>
  <c r="V311" i="15" a="1"/>
  <c r="V311" i="15" s="1"/>
  <c r="U311" i="15" a="1"/>
  <c r="U311" i="15" s="1"/>
  <c r="H311" i="15" a="1"/>
  <c r="H311" i="15" s="1"/>
  <c r="G311" i="15" a="1"/>
  <c r="G311" i="15" s="1"/>
  <c r="F311" i="15" a="1"/>
  <c r="F311" i="15" s="1"/>
  <c r="E311" i="15" a="1"/>
  <c r="E311" i="15" s="1"/>
  <c r="D311" i="15" a="1"/>
  <c r="D311" i="15" s="1"/>
  <c r="C311" i="15" a="1"/>
  <c r="C311" i="15" s="1"/>
  <c r="Z310" i="15" a="1"/>
  <c r="Z310" i="15" s="1"/>
  <c r="Y310" i="15" a="1"/>
  <c r="Y310" i="15" s="1"/>
  <c r="X310" i="15" a="1"/>
  <c r="X310" i="15" s="1"/>
  <c r="W310" i="15" a="1"/>
  <c r="W310" i="15" s="1"/>
  <c r="V310" i="15" a="1"/>
  <c r="V310" i="15" s="1"/>
  <c r="U310" i="15" a="1"/>
  <c r="U310" i="15" s="1"/>
  <c r="H310" i="15" a="1"/>
  <c r="H310" i="15" s="1"/>
  <c r="G310" i="15" a="1"/>
  <c r="G310" i="15" s="1"/>
  <c r="F310" i="15" a="1"/>
  <c r="F310" i="15" s="1"/>
  <c r="E310" i="15" a="1"/>
  <c r="E310" i="15" s="1"/>
  <c r="D310" i="15" a="1"/>
  <c r="D310" i="15" s="1"/>
  <c r="C310" i="15" a="1"/>
  <c r="C310" i="15" s="1"/>
  <c r="Z309" i="15" a="1"/>
  <c r="Z309" i="15" s="1"/>
  <c r="Y309" i="15" a="1"/>
  <c r="Y309" i="15" s="1"/>
  <c r="X309" i="15" a="1"/>
  <c r="X309" i="15" s="1"/>
  <c r="W309" i="15" a="1"/>
  <c r="W309" i="15" s="1"/>
  <c r="V309" i="15" a="1"/>
  <c r="V309" i="15" s="1"/>
  <c r="U309" i="15" a="1"/>
  <c r="U309" i="15" s="1"/>
  <c r="H309" i="15" a="1"/>
  <c r="H309" i="15" s="1"/>
  <c r="G309" i="15" a="1"/>
  <c r="G309" i="15" s="1"/>
  <c r="F309" i="15" a="1"/>
  <c r="F309" i="15" s="1"/>
  <c r="E309" i="15" a="1"/>
  <c r="E309" i="15" s="1"/>
  <c r="D309" i="15" a="1"/>
  <c r="D309" i="15" s="1"/>
  <c r="C309" i="15" a="1"/>
  <c r="C309" i="15" s="1"/>
  <c r="Z308" i="15" a="1"/>
  <c r="Z308" i="15" s="1"/>
  <c r="Z326" i="15" s="1"/>
  <c r="Z327" i="15" s="1"/>
  <c r="Y308" i="15" a="1"/>
  <c r="Y308" i="15" s="1"/>
  <c r="Y326" i="15" s="1"/>
  <c r="X308" i="15" a="1"/>
  <c r="X308" i="15" s="1"/>
  <c r="X326" i="15" s="1"/>
  <c r="X327" i="15" s="1"/>
  <c r="W308" i="15" a="1"/>
  <c r="W308" i="15" s="1"/>
  <c r="W326" i="15" s="1"/>
  <c r="V308" i="15" a="1"/>
  <c r="V308" i="15" s="1"/>
  <c r="V326" i="15" s="1"/>
  <c r="U308" i="15" a="1"/>
  <c r="U308" i="15" s="1"/>
  <c r="U326" i="15" s="1"/>
  <c r="U327" i="15" s="1"/>
  <c r="H308" i="15" a="1"/>
  <c r="H308" i="15" s="1"/>
  <c r="G308" i="15" a="1"/>
  <c r="G308" i="15" s="1"/>
  <c r="F308" i="15" a="1"/>
  <c r="F308" i="15" s="1"/>
  <c r="E308" i="15" a="1"/>
  <c r="E308" i="15" s="1"/>
  <c r="D308" i="15" a="1"/>
  <c r="D308" i="15" s="1"/>
  <c r="C308" i="15" a="1"/>
  <c r="C308" i="15" s="1"/>
  <c r="Z297" i="15" a="1"/>
  <c r="Z297" i="15" s="1"/>
  <c r="Y297" i="15" a="1"/>
  <c r="Y297" i="15" s="1"/>
  <c r="X297" i="15" a="1"/>
  <c r="X297" i="15" s="1"/>
  <c r="W297" i="15" a="1"/>
  <c r="W297" i="15" s="1"/>
  <c r="V297" i="15" a="1"/>
  <c r="V297" i="15" s="1"/>
  <c r="U297" i="15" a="1"/>
  <c r="U297" i="15" s="1"/>
  <c r="H297" i="15" a="1"/>
  <c r="H297" i="15" s="1"/>
  <c r="G297" i="15" a="1"/>
  <c r="G297" i="15" s="1"/>
  <c r="F297" i="15" a="1"/>
  <c r="F297" i="15" s="1"/>
  <c r="E297" i="15" a="1"/>
  <c r="E297" i="15" s="1"/>
  <c r="D297" i="15" a="1"/>
  <c r="D297" i="15" s="1"/>
  <c r="C297" i="15" a="1"/>
  <c r="C297" i="15" s="1"/>
  <c r="Z296" i="15" a="1"/>
  <c r="Z296" i="15" s="1"/>
  <c r="Y296" i="15" a="1"/>
  <c r="Y296" i="15" s="1"/>
  <c r="X296" i="15" a="1"/>
  <c r="X296" i="15" s="1"/>
  <c r="W296" i="15" a="1"/>
  <c r="W296" i="15" s="1"/>
  <c r="V296" i="15" a="1"/>
  <c r="V296" i="15" s="1"/>
  <c r="U296" i="15" a="1"/>
  <c r="U296" i="15" s="1"/>
  <c r="H296" i="15" a="1"/>
  <c r="H296" i="15" s="1"/>
  <c r="G296" i="15" a="1"/>
  <c r="G296" i="15" s="1"/>
  <c r="F296" i="15" a="1"/>
  <c r="F296" i="15" s="1"/>
  <c r="E296" i="15" a="1"/>
  <c r="E296" i="15" s="1"/>
  <c r="D296" i="15" a="1"/>
  <c r="D296" i="15" s="1"/>
  <c r="C296" i="15" a="1"/>
  <c r="C296" i="15" s="1"/>
  <c r="Z295" i="15" a="1"/>
  <c r="Z295" i="15" s="1"/>
  <c r="Y295" i="15" a="1"/>
  <c r="Y295" i="15" s="1"/>
  <c r="X295" i="15" a="1"/>
  <c r="X295" i="15" s="1"/>
  <c r="W295" i="15" a="1"/>
  <c r="W295" i="15" s="1"/>
  <c r="V295" i="15" a="1"/>
  <c r="V295" i="15" s="1"/>
  <c r="U295" i="15" a="1"/>
  <c r="U295" i="15" s="1"/>
  <c r="E289" i="15" a="1"/>
  <c r="E289" i="15" s="1"/>
  <c r="D289" i="15" a="1"/>
  <c r="D289" i="15" s="1"/>
  <c r="C289" i="15" a="1"/>
  <c r="C289" i="15" s="1"/>
  <c r="Z288" i="15" a="1"/>
  <c r="Z288" i="15" s="1"/>
  <c r="Y288" i="15" a="1"/>
  <c r="Y288" i="15" s="1"/>
  <c r="X288" i="15" a="1"/>
  <c r="X288" i="15" s="1"/>
  <c r="W288" i="15" a="1"/>
  <c r="W288" i="15" s="1"/>
  <c r="V288" i="15" a="1"/>
  <c r="V288" i="15" s="1"/>
  <c r="U288" i="15" a="1"/>
  <c r="U288" i="15" s="1"/>
  <c r="H288" i="15" a="1"/>
  <c r="H288" i="15" s="1"/>
  <c r="G288" i="15" a="1"/>
  <c r="G288" i="15" s="1"/>
  <c r="F288" i="15" a="1"/>
  <c r="F288" i="15" s="1"/>
  <c r="E288" i="15" a="1"/>
  <c r="E288" i="15" s="1"/>
  <c r="D288" i="15" a="1"/>
  <c r="D288" i="15" s="1"/>
  <c r="C288" i="15" a="1"/>
  <c r="C288" i="15" s="1"/>
  <c r="Z287" i="15" a="1"/>
  <c r="Z287" i="15" s="1"/>
  <c r="Y287" i="15" a="1"/>
  <c r="Y287" i="15" s="1"/>
  <c r="X287" i="15" a="1"/>
  <c r="X287" i="15" s="1"/>
  <c r="W287" i="15" a="1"/>
  <c r="W287" i="15" s="1"/>
  <c r="V287" i="15" a="1"/>
  <c r="V287" i="15" s="1"/>
  <c r="U287" i="15" a="1"/>
  <c r="U287" i="15" s="1"/>
  <c r="H287" i="15" a="1"/>
  <c r="H287" i="15" s="1"/>
  <c r="G287" i="15" a="1"/>
  <c r="G287" i="15" s="1"/>
  <c r="F287" i="15" a="1"/>
  <c r="F287" i="15" s="1"/>
  <c r="E287" i="15" a="1"/>
  <c r="E287" i="15" s="1"/>
  <c r="D287" i="15" a="1"/>
  <c r="D287" i="15" s="1"/>
  <c r="C287" i="15" a="1"/>
  <c r="C287" i="15" s="1"/>
  <c r="Z286" i="15" a="1"/>
  <c r="Z286" i="15" s="1"/>
  <c r="Y286" i="15" a="1"/>
  <c r="Y286" i="15" s="1"/>
  <c r="X286" i="15" a="1"/>
  <c r="X286" i="15" s="1"/>
  <c r="W286" i="15" a="1"/>
  <c r="W286" i="15" s="1"/>
  <c r="V286" i="15" a="1"/>
  <c r="V286" i="15" s="1"/>
  <c r="U286" i="15" a="1"/>
  <c r="U286" i="15" s="1"/>
  <c r="H286" i="15" a="1"/>
  <c r="H286" i="15" s="1"/>
  <c r="G286" i="15" a="1"/>
  <c r="G286" i="15" s="1"/>
  <c r="F286" i="15" a="1"/>
  <c r="F286" i="15" s="1"/>
  <c r="E286" i="15" a="1"/>
  <c r="E286" i="15" s="1"/>
  <c r="D286" i="15" a="1"/>
  <c r="D286" i="15" s="1"/>
  <c r="C286" i="15" a="1"/>
  <c r="C286" i="15" s="1"/>
  <c r="Z285" i="15" a="1"/>
  <c r="Z285" i="15" s="1"/>
  <c r="Y285" i="15" a="1"/>
  <c r="Y285" i="15" s="1"/>
  <c r="X285" i="15" a="1"/>
  <c r="X285" i="15" s="1"/>
  <c r="W285" i="15" a="1"/>
  <c r="W285" i="15" s="1"/>
  <c r="V285" i="15" a="1"/>
  <c r="V285" i="15" s="1"/>
  <c r="U285" i="15" a="1"/>
  <c r="U285" i="15" s="1"/>
  <c r="H285" i="15" a="1"/>
  <c r="H285" i="15" s="1"/>
  <c r="G285" i="15" a="1"/>
  <c r="G285" i="15" s="1"/>
  <c r="F285" i="15" a="1"/>
  <c r="F285" i="15" s="1"/>
  <c r="E285" i="15" a="1"/>
  <c r="E285" i="15" s="1"/>
  <c r="D285" i="15" a="1"/>
  <c r="D285" i="15" s="1"/>
  <c r="C285" i="15" a="1"/>
  <c r="C285" i="15" s="1"/>
  <c r="Z284" i="15" a="1"/>
  <c r="Z284" i="15" s="1"/>
  <c r="Y284" i="15" a="1"/>
  <c r="Y284" i="15" s="1"/>
  <c r="X284" i="15" a="1"/>
  <c r="X284" i="15" s="1"/>
  <c r="W284" i="15" a="1"/>
  <c r="W284" i="15" s="1"/>
  <c r="V284" i="15" a="1"/>
  <c r="V284" i="15" s="1"/>
  <c r="U284" i="15" a="1"/>
  <c r="U284" i="15" s="1"/>
  <c r="H284" i="15" a="1"/>
  <c r="H284" i="15" s="1"/>
  <c r="G284" i="15" a="1"/>
  <c r="G284" i="15" s="1"/>
  <c r="F284" i="15" a="1"/>
  <c r="F284" i="15" s="1"/>
  <c r="E284" i="15" a="1"/>
  <c r="E284" i="15" s="1"/>
  <c r="D284" i="15" a="1"/>
  <c r="D284" i="15" s="1"/>
  <c r="C284" i="15" a="1"/>
  <c r="C284" i="15" s="1"/>
  <c r="Z283" i="15" a="1"/>
  <c r="Z283" i="15" s="1"/>
  <c r="Y283" i="15" a="1"/>
  <c r="Y283" i="15" s="1"/>
  <c r="X283" i="15" a="1"/>
  <c r="X283" i="15" s="1"/>
  <c r="W283" i="15" a="1"/>
  <c r="W283" i="15" s="1"/>
  <c r="V283" i="15" a="1"/>
  <c r="V283" i="15" s="1"/>
  <c r="U283" i="15" a="1"/>
  <c r="U283" i="15" s="1"/>
  <c r="H283" i="15" a="1"/>
  <c r="H283" i="15" s="1"/>
  <c r="G283" i="15" a="1"/>
  <c r="G283" i="15" s="1"/>
  <c r="F283" i="15" a="1"/>
  <c r="F283" i="15" s="1"/>
  <c r="E283" i="15" a="1"/>
  <c r="E283" i="15" s="1"/>
  <c r="D283" i="15" a="1"/>
  <c r="D283" i="15" s="1"/>
  <c r="C283" i="15" a="1"/>
  <c r="C283" i="15" s="1"/>
  <c r="Z282" i="15" a="1"/>
  <c r="Z282" i="15" s="1"/>
  <c r="Y282" i="15" a="1"/>
  <c r="Y282" i="15" s="1"/>
  <c r="X282" i="15" a="1"/>
  <c r="X282" i="15" s="1"/>
  <c r="W282" i="15" a="1"/>
  <c r="W282" i="15" s="1"/>
  <c r="V282" i="15" a="1"/>
  <c r="V282" i="15" s="1"/>
  <c r="U282" i="15" a="1"/>
  <c r="U282" i="15" s="1"/>
  <c r="H282" i="15" a="1"/>
  <c r="H282" i="15" s="1"/>
  <c r="G282" i="15" a="1"/>
  <c r="G282" i="15" s="1"/>
  <c r="F282" i="15" a="1"/>
  <c r="F282" i="15" s="1"/>
  <c r="E282" i="15" a="1"/>
  <c r="E282" i="15" s="1"/>
  <c r="D282" i="15" a="1"/>
  <c r="D282" i="15" s="1"/>
  <c r="C282" i="15" a="1"/>
  <c r="C282" i="15" s="1"/>
  <c r="Z281" i="15" a="1"/>
  <c r="Z281" i="15" s="1"/>
  <c r="Y281" i="15" a="1"/>
  <c r="Y281" i="15" s="1"/>
  <c r="X281" i="15" a="1"/>
  <c r="X281" i="15" s="1"/>
  <c r="W281" i="15" a="1"/>
  <c r="W281" i="15" s="1"/>
  <c r="V281" i="15" a="1"/>
  <c r="V281" i="15" s="1"/>
  <c r="U281" i="15" a="1"/>
  <c r="U281" i="15" s="1"/>
  <c r="H281" i="15" a="1"/>
  <c r="H281" i="15" s="1"/>
  <c r="G281" i="15" a="1"/>
  <c r="G281" i="15" s="1"/>
  <c r="F281" i="15" a="1"/>
  <c r="F281" i="15" s="1"/>
  <c r="E281" i="15" a="1"/>
  <c r="E281" i="15" s="1"/>
  <c r="D281" i="15" a="1"/>
  <c r="D281" i="15" s="1"/>
  <c r="C281" i="15" a="1"/>
  <c r="C281" i="15" s="1"/>
  <c r="Z280" i="15" a="1"/>
  <c r="Z280" i="15" s="1"/>
  <c r="Y280" i="15" a="1"/>
  <c r="Y280" i="15" s="1"/>
  <c r="X280" i="15" a="1"/>
  <c r="X280" i="15" s="1"/>
  <c r="W280" i="15" a="1"/>
  <c r="W280" i="15" s="1"/>
  <c r="V280" i="15" a="1"/>
  <c r="V280" i="15" s="1"/>
  <c r="H280" i="15" a="1"/>
  <c r="H280" i="15" s="1"/>
  <c r="G280" i="15" a="1"/>
  <c r="G280" i="15" s="1"/>
  <c r="F280" i="15" a="1"/>
  <c r="F280" i="15" s="1"/>
  <c r="E280" i="15" a="1"/>
  <c r="E280" i="15" s="1"/>
  <c r="D280" i="15" a="1"/>
  <c r="D280" i="15" s="1"/>
  <c r="Z269" i="15" a="1"/>
  <c r="Z269" i="15" s="1"/>
  <c r="Y269" i="15" a="1"/>
  <c r="Y269" i="15" s="1"/>
  <c r="X269" i="15" a="1"/>
  <c r="X269" i="15" s="1"/>
  <c r="W269" i="15" a="1"/>
  <c r="W269" i="15" s="1"/>
  <c r="V269" i="15" a="1"/>
  <c r="V269" i="15" s="1"/>
  <c r="U269" i="15" a="1"/>
  <c r="U269" i="15" s="1"/>
  <c r="H269" i="15" a="1"/>
  <c r="H269" i="15" s="1"/>
  <c r="G269" i="15" a="1"/>
  <c r="G269" i="15" s="1"/>
  <c r="F269" i="15" a="1"/>
  <c r="F269" i="15" s="1"/>
  <c r="E269" i="15" a="1"/>
  <c r="E269" i="15" s="1"/>
  <c r="D269" i="15" a="1"/>
  <c r="D269" i="15" s="1"/>
  <c r="C269" i="15" a="1"/>
  <c r="C269" i="15" s="1"/>
  <c r="Z268" i="15" a="1"/>
  <c r="Z268" i="15" s="1"/>
  <c r="Y268" i="15" a="1"/>
  <c r="Y268" i="15" s="1"/>
  <c r="X268" i="15" a="1"/>
  <c r="X268" i="15" s="1"/>
  <c r="W268" i="15" a="1"/>
  <c r="W268" i="15" s="1"/>
  <c r="V268" i="15" a="1"/>
  <c r="V268" i="15" s="1"/>
  <c r="U268" i="15" a="1"/>
  <c r="U268" i="15" s="1"/>
  <c r="H268" i="15" a="1"/>
  <c r="H268" i="15" s="1"/>
  <c r="G268" i="15" a="1"/>
  <c r="G268" i="15" s="1"/>
  <c r="F268" i="15" a="1"/>
  <c r="F268" i="15" s="1"/>
  <c r="E268" i="15" a="1"/>
  <c r="E268" i="15" s="1"/>
  <c r="D268" i="15" a="1"/>
  <c r="D268" i="15" s="1"/>
  <c r="C268" i="15" a="1"/>
  <c r="C268" i="15" s="1"/>
  <c r="Z267" i="15" a="1"/>
  <c r="Z267" i="15" s="1"/>
  <c r="Y267" i="15" a="1"/>
  <c r="Y267" i="15" s="1"/>
  <c r="X267" i="15" a="1"/>
  <c r="X267" i="15" s="1"/>
  <c r="W267" i="15" a="1"/>
  <c r="W267" i="15" s="1"/>
  <c r="V267" i="15" a="1"/>
  <c r="V267" i="15" s="1"/>
  <c r="U267" i="15" a="1"/>
  <c r="U267" i="15" s="1"/>
  <c r="H267" i="15" a="1"/>
  <c r="H267" i="15" s="1"/>
  <c r="G267" i="15" a="1"/>
  <c r="G267" i="15" s="1"/>
  <c r="F267" i="15" a="1"/>
  <c r="F267" i="15" s="1"/>
  <c r="E267" i="15" a="1"/>
  <c r="E267" i="15" s="1"/>
  <c r="D267" i="15" a="1"/>
  <c r="D267" i="15" s="1"/>
  <c r="C267" i="15" a="1"/>
  <c r="C267" i="15" s="1"/>
  <c r="Z266" i="15" a="1"/>
  <c r="Z266" i="15" s="1"/>
  <c r="Y266" i="15" a="1"/>
  <c r="Y266" i="15" s="1"/>
  <c r="X266" i="15" a="1"/>
  <c r="X266" i="15" s="1"/>
  <c r="W266" i="15" a="1"/>
  <c r="W266" i="15" s="1"/>
  <c r="V266" i="15" a="1"/>
  <c r="V266" i="15" s="1"/>
  <c r="U266" i="15" a="1"/>
  <c r="U266" i="15" s="1"/>
  <c r="H266" i="15" a="1"/>
  <c r="H266" i="15" s="1"/>
  <c r="G266" i="15" a="1"/>
  <c r="G266" i="15" s="1"/>
  <c r="F266" i="15" a="1"/>
  <c r="F266" i="15" s="1"/>
  <c r="E266" i="15" a="1"/>
  <c r="E266" i="15" s="1"/>
  <c r="D266" i="15" a="1"/>
  <c r="D266" i="15" s="1"/>
  <c r="C266" i="15" a="1"/>
  <c r="C266" i="15" s="1"/>
  <c r="Z265" i="15" a="1"/>
  <c r="Z265" i="15" s="1"/>
  <c r="Y265" i="15" a="1"/>
  <c r="Y265" i="15" s="1"/>
  <c r="X265" i="15" a="1"/>
  <c r="X265" i="15" s="1"/>
  <c r="W265" i="15" a="1"/>
  <c r="W265" i="15" s="1"/>
  <c r="V265" i="15" a="1"/>
  <c r="V265" i="15" s="1"/>
  <c r="U265" i="15" a="1"/>
  <c r="U265" i="15" s="1"/>
  <c r="H265" i="15" a="1"/>
  <c r="H265" i="15" s="1"/>
  <c r="G265" i="15" a="1"/>
  <c r="G265" i="15" s="1"/>
  <c r="F265" i="15" a="1"/>
  <c r="F265" i="15" s="1"/>
  <c r="E265" i="15" a="1"/>
  <c r="E265" i="15" s="1"/>
  <c r="D265" i="15" a="1"/>
  <c r="D265" i="15" s="1"/>
  <c r="C265" i="15" a="1"/>
  <c r="C265" i="15" s="1"/>
  <c r="Z264" i="15" a="1"/>
  <c r="Z264" i="15" s="1"/>
  <c r="Y264" i="15" a="1"/>
  <c r="Y264" i="15" s="1"/>
  <c r="X264" i="15" a="1"/>
  <c r="X264" i="15" s="1"/>
  <c r="W264" i="15" a="1"/>
  <c r="W264" i="15" s="1"/>
  <c r="V264" i="15" a="1"/>
  <c r="V264" i="15" s="1"/>
  <c r="U264" i="15" a="1"/>
  <c r="U264" i="15" s="1"/>
  <c r="H264" i="15" a="1"/>
  <c r="H264" i="15" s="1"/>
  <c r="G264" i="15" a="1"/>
  <c r="G264" i="15" s="1"/>
  <c r="F264" i="15" a="1"/>
  <c r="F264" i="15" s="1"/>
  <c r="E264" i="15" a="1"/>
  <c r="E264" i="15" s="1"/>
  <c r="D264" i="15" a="1"/>
  <c r="D264" i="15" s="1"/>
  <c r="C264" i="15" a="1"/>
  <c r="C264" i="15" s="1"/>
  <c r="Z263" i="15" a="1"/>
  <c r="Z263" i="15" s="1"/>
  <c r="Y263" i="15" a="1"/>
  <c r="Y263" i="15" s="1"/>
  <c r="X263" i="15" a="1"/>
  <c r="X263" i="15" s="1"/>
  <c r="W263" i="15" a="1"/>
  <c r="W263" i="15" s="1"/>
  <c r="V263" i="15" a="1"/>
  <c r="V263" i="15" s="1"/>
  <c r="U263" i="15" a="1"/>
  <c r="U263" i="15" s="1"/>
  <c r="H263" i="15" a="1"/>
  <c r="H263" i="15" s="1"/>
  <c r="G263" i="15" a="1"/>
  <c r="G263" i="15" s="1"/>
  <c r="F263" i="15" a="1"/>
  <c r="F263" i="15" s="1"/>
  <c r="E263" i="15" a="1"/>
  <c r="E263" i="15" s="1"/>
  <c r="D263" i="15" a="1"/>
  <c r="D263" i="15" s="1"/>
  <c r="C263" i="15" a="1"/>
  <c r="C263" i="15" s="1"/>
  <c r="Z262" i="15" a="1"/>
  <c r="Z262" i="15" s="1"/>
  <c r="Y262" i="15" a="1"/>
  <c r="Y262" i="15" s="1"/>
  <c r="X262" i="15" a="1"/>
  <c r="X262" i="15" s="1"/>
  <c r="W262" i="15" a="1"/>
  <c r="W262" i="15" s="1"/>
  <c r="V262" i="15" a="1"/>
  <c r="V262" i="15" s="1"/>
  <c r="U262" i="15" a="1"/>
  <c r="U262" i="15" s="1"/>
  <c r="H262" i="15" a="1"/>
  <c r="H262" i="15" s="1"/>
  <c r="G262" i="15" a="1"/>
  <c r="G262" i="15" s="1"/>
  <c r="F262" i="15" a="1"/>
  <c r="F262" i="15" s="1"/>
  <c r="E262" i="15" a="1"/>
  <c r="E262" i="15" s="1"/>
  <c r="D262" i="15" a="1"/>
  <c r="D262" i="15" s="1"/>
  <c r="C262" i="15" a="1"/>
  <c r="C262" i="15" s="1"/>
  <c r="Z261" i="15" a="1"/>
  <c r="Z261" i="15" s="1"/>
  <c r="Y261" i="15" a="1"/>
  <c r="Y261" i="15" s="1"/>
  <c r="X261" i="15" a="1"/>
  <c r="X261" i="15" s="1"/>
  <c r="W261" i="15" a="1"/>
  <c r="W261" i="15" s="1"/>
  <c r="V261" i="15" a="1"/>
  <c r="V261" i="15" s="1"/>
  <c r="U261" i="15" a="1"/>
  <c r="U261" i="15" s="1"/>
  <c r="H261" i="15" a="1"/>
  <c r="H261" i="15" s="1"/>
  <c r="G261" i="15" a="1"/>
  <c r="G261" i="15" s="1"/>
  <c r="F261" i="15" a="1"/>
  <c r="F261" i="15" s="1"/>
  <c r="E261" i="15" a="1"/>
  <c r="E261" i="15" s="1"/>
  <c r="D261" i="15" a="1"/>
  <c r="D261" i="15" s="1"/>
  <c r="C261" i="15" a="1"/>
  <c r="C261" i="15" s="1"/>
  <c r="Z260" i="15" a="1"/>
  <c r="Z260" i="15" s="1"/>
  <c r="Y260" i="15" a="1"/>
  <c r="Y260" i="15" s="1"/>
  <c r="X260" i="15" a="1"/>
  <c r="X260" i="15" s="1"/>
  <c r="W260" i="15" a="1"/>
  <c r="W260" i="15" s="1"/>
  <c r="V260" i="15" a="1"/>
  <c r="V260" i="15" s="1"/>
  <c r="U260" i="15" a="1"/>
  <c r="U260" i="15" s="1"/>
  <c r="H260" i="15" a="1"/>
  <c r="H260" i="15" s="1"/>
  <c r="G260" i="15" a="1"/>
  <c r="G260" i="15" s="1"/>
  <c r="F260" i="15" a="1"/>
  <c r="F260" i="15" s="1"/>
  <c r="E260" i="15" a="1"/>
  <c r="E260" i="15" s="1"/>
  <c r="D260" i="15" a="1"/>
  <c r="D260" i="15" s="1"/>
  <c r="C260" i="15" a="1"/>
  <c r="C260" i="15" s="1"/>
  <c r="Z259" i="15" a="1"/>
  <c r="Z259" i="15" s="1"/>
  <c r="Y259" i="15" a="1"/>
  <c r="Y259" i="15" s="1"/>
  <c r="X259" i="15" a="1"/>
  <c r="X259" i="15" s="1"/>
  <c r="W259" i="15" a="1"/>
  <c r="W259" i="15" s="1"/>
  <c r="V259" i="15" a="1"/>
  <c r="V259" i="15" s="1"/>
  <c r="U259" i="15" a="1"/>
  <c r="U259" i="15" s="1"/>
  <c r="H259" i="15" a="1"/>
  <c r="H259" i="15" s="1"/>
  <c r="G259" i="15" a="1"/>
  <c r="G259" i="15" s="1"/>
  <c r="F259" i="15" a="1"/>
  <c r="F259" i="15" s="1"/>
  <c r="E259" i="15" a="1"/>
  <c r="E259" i="15" s="1"/>
  <c r="D259" i="15" a="1"/>
  <c r="D259" i="15" s="1"/>
  <c r="C259" i="15" a="1"/>
  <c r="C259" i="15" s="1"/>
  <c r="Z258" i="15" a="1"/>
  <c r="Z258" i="15" s="1"/>
  <c r="Y258" i="15" a="1"/>
  <c r="Y258" i="15" s="1"/>
  <c r="X258" i="15" a="1"/>
  <c r="X258" i="15" s="1"/>
  <c r="W258" i="15" a="1"/>
  <c r="W258" i="15" s="1"/>
  <c r="V258" i="15" a="1"/>
  <c r="V258" i="15" s="1"/>
  <c r="U258" i="15" a="1"/>
  <c r="U258" i="15" s="1"/>
  <c r="H258" i="15" a="1"/>
  <c r="H258" i="15" s="1"/>
  <c r="G258" i="15" a="1"/>
  <c r="G258" i="15" s="1"/>
  <c r="F258" i="15" a="1"/>
  <c r="F258" i="15" s="1"/>
  <c r="E258" i="15" a="1"/>
  <c r="E258" i="15" s="1"/>
  <c r="D258" i="15" a="1"/>
  <c r="D258" i="15" s="1"/>
  <c r="C258" i="15" a="1"/>
  <c r="C258" i="15" s="1"/>
  <c r="Z257" i="15" a="1"/>
  <c r="Z257" i="15" s="1"/>
  <c r="Y257" i="15" a="1"/>
  <c r="Y257" i="15" s="1"/>
  <c r="X257" i="15" a="1"/>
  <c r="X257" i="15" s="1"/>
  <c r="W257" i="15" a="1"/>
  <c r="W257" i="15" s="1"/>
  <c r="V257" i="15" a="1"/>
  <c r="V257" i="15" s="1"/>
  <c r="U257" i="15" a="1"/>
  <c r="U257" i="15" s="1"/>
  <c r="H257" i="15" a="1"/>
  <c r="H257" i="15" s="1"/>
  <c r="G257" i="15" a="1"/>
  <c r="G257" i="15" s="1"/>
  <c r="F257" i="15" a="1"/>
  <c r="F257" i="15" s="1"/>
  <c r="E257" i="15" a="1"/>
  <c r="E257" i="15" s="1"/>
  <c r="D257" i="15" a="1"/>
  <c r="D257" i="15" s="1"/>
  <c r="C257" i="15" a="1"/>
  <c r="C257" i="15" s="1"/>
  <c r="Z256" i="15" a="1"/>
  <c r="Z256" i="15" s="1"/>
  <c r="Y256" i="15" a="1"/>
  <c r="Y256" i="15" s="1"/>
  <c r="X256" i="15" a="1"/>
  <c r="X256" i="15" s="1"/>
  <c r="W256" i="15" a="1"/>
  <c r="W256" i="15" s="1"/>
  <c r="V256" i="15" a="1"/>
  <c r="V256" i="15" s="1"/>
  <c r="U256" i="15" a="1"/>
  <c r="U256" i="15" s="1"/>
  <c r="H256" i="15" a="1"/>
  <c r="H256" i="15" s="1"/>
  <c r="G256" i="15" a="1"/>
  <c r="G256" i="15" s="1"/>
  <c r="F256" i="15" a="1"/>
  <c r="F256" i="15" s="1"/>
  <c r="E256" i="15" a="1"/>
  <c r="E256" i="15" s="1"/>
  <c r="D256" i="15" a="1"/>
  <c r="D256" i="15" s="1"/>
  <c r="C256" i="15" a="1"/>
  <c r="C256" i="15" s="1"/>
  <c r="Z255" i="15" a="1"/>
  <c r="Z255" i="15" s="1"/>
  <c r="Y255" i="15" a="1"/>
  <c r="Y255" i="15" s="1"/>
  <c r="X255" i="15" a="1"/>
  <c r="X255" i="15" s="1"/>
  <c r="W255" i="15" a="1"/>
  <c r="W255" i="15" s="1"/>
  <c r="V255" i="15" a="1"/>
  <c r="V255" i="15" s="1"/>
  <c r="U255" i="15" a="1"/>
  <c r="U255" i="15" s="1"/>
  <c r="H255" i="15" a="1"/>
  <c r="H255" i="15" s="1"/>
  <c r="G255" i="15" a="1"/>
  <c r="G255" i="15" s="1"/>
  <c r="F255" i="15" a="1"/>
  <c r="F255" i="15" s="1"/>
  <c r="E255" i="15" a="1"/>
  <c r="E255" i="15" s="1"/>
  <c r="D255" i="15" a="1"/>
  <c r="D255" i="15" s="1"/>
  <c r="C255" i="15" a="1"/>
  <c r="C255" i="15" s="1"/>
  <c r="Z254" i="15" a="1"/>
  <c r="Z254" i="15" s="1"/>
  <c r="Y254" i="15" a="1"/>
  <c r="Y254" i="15" s="1"/>
  <c r="X254" i="15" a="1"/>
  <c r="X254" i="15" s="1"/>
  <c r="W254" i="15" a="1"/>
  <c r="W254" i="15" s="1"/>
  <c r="V254" i="15" a="1"/>
  <c r="V254" i="15" s="1"/>
  <c r="H254" i="15" a="1"/>
  <c r="H254" i="15" s="1"/>
  <c r="G254" i="15" a="1"/>
  <c r="G254" i="15" s="1"/>
  <c r="F254" i="15" a="1"/>
  <c r="F254" i="15" s="1"/>
  <c r="E254" i="15" a="1"/>
  <c r="E254" i="15" s="1"/>
  <c r="D254" i="15" a="1"/>
  <c r="D254" i="15" s="1"/>
  <c r="Z253" i="15" a="1"/>
  <c r="Z253" i="15" s="1"/>
  <c r="Y253" i="15" a="1"/>
  <c r="Y253" i="15" s="1"/>
  <c r="X253" i="15" a="1"/>
  <c r="X253" i="15" s="1"/>
  <c r="W253" i="15" a="1"/>
  <c r="W253" i="15" s="1"/>
  <c r="V253" i="15" a="1"/>
  <c r="V253" i="15" s="1"/>
  <c r="U253" i="15" a="1"/>
  <c r="U253" i="15" s="1"/>
  <c r="H253" i="15" a="1"/>
  <c r="H253" i="15" s="1"/>
  <c r="G253" i="15" a="1"/>
  <c r="G253" i="15" s="1"/>
  <c r="F253" i="15" a="1"/>
  <c r="F253" i="15" s="1"/>
  <c r="E253" i="15" a="1"/>
  <c r="E253" i="15" s="1"/>
  <c r="D253" i="15" a="1"/>
  <c r="D253" i="15" s="1"/>
  <c r="C253" i="15" a="1"/>
  <c r="C253" i="15" s="1"/>
  <c r="Z252" i="15" a="1"/>
  <c r="Z252" i="15" s="1"/>
  <c r="Y252" i="15" a="1"/>
  <c r="Y252" i="15" s="1"/>
  <c r="X252" i="15" a="1"/>
  <c r="X252" i="15" s="1"/>
  <c r="W252" i="15" a="1"/>
  <c r="W252" i="15" s="1"/>
  <c r="H252" i="15" a="1"/>
  <c r="H252" i="15" s="1"/>
  <c r="G252" i="15" a="1"/>
  <c r="G252" i="15" s="1"/>
  <c r="F252" i="15" a="1"/>
  <c r="F252" i="15" s="1"/>
  <c r="E252" i="15" a="1"/>
  <c r="E252" i="15" s="1"/>
  <c r="Z241" i="15" a="1"/>
  <c r="Z241" i="15" s="1"/>
  <c r="Y241" i="15" a="1"/>
  <c r="Y241" i="15" s="1"/>
  <c r="X241" i="15" a="1"/>
  <c r="X241" i="15" s="1"/>
  <c r="W241" i="15" a="1"/>
  <c r="W241" i="15" s="1"/>
  <c r="V241" i="15" a="1"/>
  <c r="V241" i="15" s="1"/>
  <c r="U241" i="15" a="1"/>
  <c r="U241" i="15" s="1"/>
  <c r="H241" i="15" a="1"/>
  <c r="H241" i="15" s="1"/>
  <c r="G241" i="15" a="1"/>
  <c r="G241" i="15" s="1"/>
  <c r="F241" i="15" a="1"/>
  <c r="F241" i="15" s="1"/>
  <c r="E241" i="15" a="1"/>
  <c r="E241" i="15" s="1"/>
  <c r="D241" i="15" a="1"/>
  <c r="D241" i="15" s="1"/>
  <c r="C241" i="15" a="1"/>
  <c r="C241" i="15" s="1"/>
  <c r="Z240" i="15" a="1"/>
  <c r="Z240" i="15" s="1"/>
  <c r="Y240" i="15" a="1"/>
  <c r="Y240" i="15" s="1"/>
  <c r="X240" i="15" a="1"/>
  <c r="X240" i="15" s="1"/>
  <c r="W240" i="15" a="1"/>
  <c r="W240" i="15" s="1"/>
  <c r="V240" i="15" a="1"/>
  <c r="V240" i="15" s="1"/>
  <c r="U240" i="15" a="1"/>
  <c r="U240" i="15" s="1"/>
  <c r="H240" i="15" a="1"/>
  <c r="H240" i="15" s="1"/>
  <c r="G240" i="15" a="1"/>
  <c r="G240" i="15" s="1"/>
  <c r="F240" i="15" a="1"/>
  <c r="F240" i="15" s="1"/>
  <c r="E240" i="15" a="1"/>
  <c r="E240" i="15" s="1"/>
  <c r="D240" i="15" a="1"/>
  <c r="D240" i="15" s="1"/>
  <c r="C240" i="15" a="1"/>
  <c r="C240" i="15" s="1"/>
  <c r="Z239" i="15" a="1"/>
  <c r="Z239" i="15" s="1"/>
  <c r="Y239" i="15" a="1"/>
  <c r="Y239" i="15" s="1"/>
  <c r="X239" i="15" a="1"/>
  <c r="X239" i="15" s="1"/>
  <c r="W239" i="15" a="1"/>
  <c r="W239" i="15" s="1"/>
  <c r="V239" i="15" a="1"/>
  <c r="V239" i="15" s="1"/>
  <c r="U239" i="15" a="1"/>
  <c r="U239" i="15" s="1"/>
  <c r="H239" i="15" a="1"/>
  <c r="H239" i="15" s="1"/>
  <c r="G239" i="15" a="1"/>
  <c r="G239" i="15" s="1"/>
  <c r="F239" i="15" a="1"/>
  <c r="F239" i="15" s="1"/>
  <c r="E239" i="15" a="1"/>
  <c r="E239" i="15" s="1"/>
  <c r="D239" i="15" a="1"/>
  <c r="D239" i="15" s="1"/>
  <c r="C239" i="15" a="1"/>
  <c r="C239" i="15" s="1"/>
  <c r="Z238" i="15" a="1"/>
  <c r="Z238" i="15" s="1"/>
  <c r="Y238" i="15" a="1"/>
  <c r="Y238" i="15" s="1"/>
  <c r="X238" i="15" a="1"/>
  <c r="X238" i="15" s="1"/>
  <c r="W238" i="15" a="1"/>
  <c r="W238" i="15" s="1"/>
  <c r="V238" i="15" a="1"/>
  <c r="V238" i="15" s="1"/>
  <c r="U238" i="15" a="1"/>
  <c r="U238" i="15" s="1"/>
  <c r="H238" i="15" a="1"/>
  <c r="H238" i="15" s="1"/>
  <c r="G238" i="15" a="1"/>
  <c r="G238" i="15" s="1"/>
  <c r="F238" i="15" a="1"/>
  <c r="F238" i="15" s="1"/>
  <c r="E238" i="15" a="1"/>
  <c r="E238" i="15" s="1"/>
  <c r="D238" i="15" a="1"/>
  <c r="D238" i="15" s="1"/>
  <c r="C238" i="15" a="1"/>
  <c r="C238" i="15" s="1"/>
  <c r="Z237" i="15" a="1"/>
  <c r="Z237" i="15" s="1"/>
  <c r="Y237" i="15" a="1"/>
  <c r="Y237" i="15" s="1"/>
  <c r="X237" i="15" a="1"/>
  <c r="X237" i="15" s="1"/>
  <c r="W237" i="15" a="1"/>
  <c r="W237" i="15" s="1"/>
  <c r="V237" i="15" a="1"/>
  <c r="V237" i="15" s="1"/>
  <c r="U237" i="15" a="1"/>
  <c r="U237" i="15" s="1"/>
  <c r="H237" i="15" a="1"/>
  <c r="H237" i="15" s="1"/>
  <c r="G237" i="15" a="1"/>
  <c r="G237" i="15" s="1"/>
  <c r="F237" i="15" a="1"/>
  <c r="F237" i="15" s="1"/>
  <c r="E237" i="15" a="1"/>
  <c r="E237" i="15" s="1"/>
  <c r="D237" i="15" a="1"/>
  <c r="D237" i="15" s="1"/>
  <c r="C237" i="15" a="1"/>
  <c r="C237" i="15" s="1"/>
  <c r="Z236" i="15" a="1"/>
  <c r="Z236" i="15" s="1"/>
  <c r="Y236" i="15" a="1"/>
  <c r="Y236" i="15" s="1"/>
  <c r="X236" i="15" a="1"/>
  <c r="X236" i="15" s="1"/>
  <c r="W236" i="15" a="1"/>
  <c r="W236" i="15" s="1"/>
  <c r="V236" i="15" a="1"/>
  <c r="V236" i="15" s="1"/>
  <c r="U236" i="15" a="1"/>
  <c r="U236" i="15" s="1"/>
  <c r="H236" i="15" a="1"/>
  <c r="H236" i="15" s="1"/>
  <c r="G236" i="15" a="1"/>
  <c r="G236" i="15" s="1"/>
  <c r="F236" i="15" a="1"/>
  <c r="F236" i="15" s="1"/>
  <c r="E236" i="15" a="1"/>
  <c r="E236" i="15" s="1"/>
  <c r="D236" i="15" a="1"/>
  <c r="D236" i="15" s="1"/>
  <c r="C236" i="15" a="1"/>
  <c r="C236" i="15" s="1"/>
  <c r="Z235" i="15" a="1"/>
  <c r="Z235" i="15" s="1"/>
  <c r="Y235" i="15" a="1"/>
  <c r="Y235" i="15" s="1"/>
  <c r="X235" i="15" a="1"/>
  <c r="X235" i="15" s="1"/>
  <c r="W235" i="15" a="1"/>
  <c r="W235" i="15" s="1"/>
  <c r="V235" i="15" a="1"/>
  <c r="V235" i="15" s="1"/>
  <c r="U235" i="15" a="1"/>
  <c r="U235" i="15" s="1"/>
  <c r="H235" i="15" a="1"/>
  <c r="H235" i="15" s="1"/>
  <c r="G235" i="15" a="1"/>
  <c r="G235" i="15" s="1"/>
  <c r="F235" i="15" a="1"/>
  <c r="F235" i="15" s="1"/>
  <c r="E235" i="15" a="1"/>
  <c r="E235" i="15" s="1"/>
  <c r="D235" i="15" a="1"/>
  <c r="D235" i="15" s="1"/>
  <c r="C235" i="15" a="1"/>
  <c r="C235" i="15" s="1"/>
  <c r="Z234" i="15" a="1"/>
  <c r="Z234" i="15" s="1"/>
  <c r="Y234" i="15" a="1"/>
  <c r="Y234" i="15" s="1"/>
  <c r="X234" i="15" a="1"/>
  <c r="X234" i="15" s="1"/>
  <c r="W234" i="15" a="1"/>
  <c r="W234" i="15" s="1"/>
  <c r="V234" i="15" a="1"/>
  <c r="V234" i="15" s="1"/>
  <c r="U234" i="15" a="1"/>
  <c r="U234" i="15" s="1"/>
  <c r="H234" i="15" a="1"/>
  <c r="H234" i="15" s="1"/>
  <c r="G234" i="15" a="1"/>
  <c r="G234" i="15" s="1"/>
  <c r="F234" i="15" a="1"/>
  <c r="F234" i="15" s="1"/>
  <c r="E234" i="15" a="1"/>
  <c r="E234" i="15" s="1"/>
  <c r="D234" i="15" a="1"/>
  <c r="D234" i="15" s="1"/>
  <c r="C234" i="15" a="1"/>
  <c r="C234" i="15" s="1"/>
  <c r="Z233" i="15" a="1"/>
  <c r="Z233" i="15" s="1"/>
  <c r="Y233" i="15" a="1"/>
  <c r="Y233" i="15" s="1"/>
  <c r="X233" i="15" a="1"/>
  <c r="X233" i="15" s="1"/>
  <c r="W233" i="15" a="1"/>
  <c r="W233" i="15" s="1"/>
  <c r="V233" i="15" a="1"/>
  <c r="V233" i="15" s="1"/>
  <c r="U233" i="15" a="1"/>
  <c r="U233" i="15" s="1"/>
  <c r="H233" i="15" a="1"/>
  <c r="H233" i="15" s="1"/>
  <c r="G233" i="15" a="1"/>
  <c r="G233" i="15" s="1"/>
  <c r="F233" i="15" a="1"/>
  <c r="F233" i="15" s="1"/>
  <c r="E233" i="15" a="1"/>
  <c r="E233" i="15" s="1"/>
  <c r="D233" i="15" a="1"/>
  <c r="D233" i="15" s="1"/>
  <c r="C233" i="15" a="1"/>
  <c r="C233" i="15" s="1"/>
  <c r="Z232" i="15" a="1"/>
  <c r="Z232" i="15" s="1"/>
  <c r="Y232" i="15" a="1"/>
  <c r="Y232" i="15" s="1"/>
  <c r="X232" i="15" a="1"/>
  <c r="X232" i="15" s="1"/>
  <c r="W232" i="15" a="1"/>
  <c r="W232" i="15" s="1"/>
  <c r="V232" i="15" a="1"/>
  <c r="V232" i="15" s="1"/>
  <c r="U232" i="15" a="1"/>
  <c r="U232" i="15" s="1"/>
  <c r="H232" i="15" a="1"/>
  <c r="H232" i="15" s="1"/>
  <c r="G232" i="15" a="1"/>
  <c r="G232" i="15" s="1"/>
  <c r="F232" i="15" a="1"/>
  <c r="F232" i="15" s="1"/>
  <c r="E232" i="15" a="1"/>
  <c r="E232" i="15" s="1"/>
  <c r="D232" i="15" a="1"/>
  <c r="D232" i="15" s="1"/>
  <c r="C232" i="15" a="1"/>
  <c r="C232" i="15" s="1"/>
  <c r="Z231" i="15" a="1"/>
  <c r="Z231" i="15" s="1"/>
  <c r="Y231" i="15" a="1"/>
  <c r="Y231" i="15" s="1"/>
  <c r="X231" i="15" a="1"/>
  <c r="X231" i="15" s="1"/>
  <c r="W231" i="15" a="1"/>
  <c r="W231" i="15" s="1"/>
  <c r="V231" i="15" a="1"/>
  <c r="V231" i="15" s="1"/>
  <c r="U231" i="15" a="1"/>
  <c r="U231" i="15" s="1"/>
  <c r="H231" i="15" a="1"/>
  <c r="H231" i="15" s="1"/>
  <c r="G231" i="15" a="1"/>
  <c r="G231" i="15" s="1"/>
  <c r="F231" i="15" a="1"/>
  <c r="F231" i="15" s="1"/>
  <c r="E231" i="15" a="1"/>
  <c r="E231" i="15" s="1"/>
  <c r="D231" i="15" a="1"/>
  <c r="D231" i="15" s="1"/>
  <c r="C231" i="15" a="1"/>
  <c r="C231" i="15" s="1"/>
  <c r="Z230" i="15" a="1"/>
  <c r="Z230" i="15" s="1"/>
  <c r="Y230" i="15" a="1"/>
  <c r="Y230" i="15" s="1"/>
  <c r="X230" i="15" a="1"/>
  <c r="X230" i="15" s="1"/>
  <c r="W230" i="15" a="1"/>
  <c r="W230" i="15" s="1"/>
  <c r="V230" i="15" a="1"/>
  <c r="V230" i="15" s="1"/>
  <c r="U230" i="15" a="1"/>
  <c r="U230" i="15" s="1"/>
  <c r="H230" i="15" a="1"/>
  <c r="H230" i="15" s="1"/>
  <c r="G230" i="15" a="1"/>
  <c r="G230" i="15" s="1"/>
  <c r="F230" i="15" a="1"/>
  <c r="F230" i="15" s="1"/>
  <c r="E230" i="15" a="1"/>
  <c r="E230" i="15" s="1"/>
  <c r="D230" i="15" a="1"/>
  <c r="D230" i="15" s="1"/>
  <c r="C230" i="15" a="1"/>
  <c r="C230" i="15" s="1"/>
  <c r="Z229" i="15" a="1"/>
  <c r="Z229" i="15" s="1"/>
  <c r="Y229" i="15" a="1"/>
  <c r="Y229" i="15" s="1"/>
  <c r="X229" i="15" a="1"/>
  <c r="X229" i="15" s="1"/>
  <c r="W229" i="15" a="1"/>
  <c r="W229" i="15" s="1"/>
  <c r="V229" i="15" a="1"/>
  <c r="V229" i="15" s="1"/>
  <c r="U229" i="15" a="1"/>
  <c r="U229" i="15" s="1"/>
  <c r="H229" i="15" a="1"/>
  <c r="H229" i="15" s="1"/>
  <c r="G229" i="15" a="1"/>
  <c r="G229" i="15" s="1"/>
  <c r="F229" i="15" a="1"/>
  <c r="F229" i="15" s="1"/>
  <c r="E229" i="15" a="1"/>
  <c r="E229" i="15" s="1"/>
  <c r="D229" i="15" a="1"/>
  <c r="D229" i="15" s="1"/>
  <c r="C229" i="15" a="1"/>
  <c r="C229" i="15" s="1"/>
  <c r="Z228" i="15" a="1"/>
  <c r="Z228" i="15" s="1"/>
  <c r="Y228" i="15" a="1"/>
  <c r="Y228" i="15" s="1"/>
  <c r="X228" i="15" a="1"/>
  <c r="X228" i="15" s="1"/>
  <c r="W228" i="15" a="1"/>
  <c r="W228" i="15" s="1"/>
  <c r="V228" i="15" a="1"/>
  <c r="V228" i="15" s="1"/>
  <c r="U228" i="15" a="1"/>
  <c r="U228" i="15" s="1"/>
  <c r="H228" i="15" a="1"/>
  <c r="H228" i="15" s="1"/>
  <c r="G228" i="15" a="1"/>
  <c r="G228" i="15" s="1"/>
  <c r="F228" i="15" a="1"/>
  <c r="F228" i="15" s="1"/>
  <c r="E228" i="15" a="1"/>
  <c r="E228" i="15" s="1"/>
  <c r="D228" i="15" a="1"/>
  <c r="D228" i="15" s="1"/>
  <c r="C228" i="15" a="1"/>
  <c r="C228" i="15" s="1"/>
  <c r="Z227" i="15" a="1"/>
  <c r="Z227" i="15" s="1"/>
  <c r="Y227" i="15" a="1"/>
  <c r="Y227" i="15" s="1"/>
  <c r="X227" i="15" a="1"/>
  <c r="X227" i="15" s="1"/>
  <c r="W227" i="15" a="1"/>
  <c r="W227" i="15" s="1"/>
  <c r="V227" i="15" a="1"/>
  <c r="V227" i="15" s="1"/>
  <c r="U227" i="15" a="1"/>
  <c r="U227" i="15" s="1"/>
  <c r="H227" i="15" a="1"/>
  <c r="H227" i="15" s="1"/>
  <c r="G227" i="15" a="1"/>
  <c r="G227" i="15" s="1"/>
  <c r="F227" i="15" a="1"/>
  <c r="F227" i="15" s="1"/>
  <c r="E227" i="15" a="1"/>
  <c r="E227" i="15" s="1"/>
  <c r="D227" i="15" a="1"/>
  <c r="D227" i="15" s="1"/>
  <c r="C227" i="15" a="1"/>
  <c r="C227" i="15" s="1"/>
  <c r="Z226" i="15" a="1"/>
  <c r="Z226" i="15" s="1"/>
  <c r="Y226" i="15" a="1"/>
  <c r="Y226" i="15" s="1"/>
  <c r="X226" i="15" a="1"/>
  <c r="X226" i="15" s="1"/>
  <c r="W226" i="15" a="1"/>
  <c r="W226" i="15" s="1"/>
  <c r="V226" i="15" a="1"/>
  <c r="V226" i="15" s="1"/>
  <c r="U226" i="15" a="1"/>
  <c r="U226" i="15" s="1"/>
  <c r="H226" i="15" a="1"/>
  <c r="H226" i="15" s="1"/>
  <c r="G226" i="15" a="1"/>
  <c r="G226" i="15" s="1"/>
  <c r="F226" i="15" a="1"/>
  <c r="F226" i="15" s="1"/>
  <c r="E226" i="15" a="1"/>
  <c r="E226" i="15" s="1"/>
  <c r="D226" i="15" a="1"/>
  <c r="D226" i="15" s="1"/>
  <c r="C226" i="15" a="1"/>
  <c r="C226" i="15" s="1"/>
  <c r="Z225" i="15" a="1"/>
  <c r="Z225" i="15" s="1"/>
  <c r="Y225" i="15" a="1"/>
  <c r="Y225" i="15" s="1"/>
  <c r="X225" i="15" a="1"/>
  <c r="X225" i="15" s="1"/>
  <c r="W225" i="15" a="1"/>
  <c r="W225" i="15" s="1"/>
  <c r="V225" i="15" a="1"/>
  <c r="V225" i="15" s="1"/>
  <c r="U225" i="15" a="1"/>
  <c r="U225" i="15" s="1"/>
  <c r="H225" i="15" a="1"/>
  <c r="H225" i="15" s="1"/>
  <c r="G225" i="15" a="1"/>
  <c r="G225" i="15" s="1"/>
  <c r="F225" i="15" a="1"/>
  <c r="F225" i="15" s="1"/>
  <c r="E225" i="15" a="1"/>
  <c r="E225" i="15" s="1"/>
  <c r="D225" i="15" a="1"/>
  <c r="D225" i="15" s="1"/>
  <c r="C225" i="15" a="1"/>
  <c r="C225" i="15" s="1"/>
  <c r="Z224" i="15" a="1"/>
  <c r="Z224" i="15" s="1"/>
  <c r="Y224" i="15" a="1"/>
  <c r="Y224" i="15" s="1"/>
  <c r="X224" i="15" a="1"/>
  <c r="X224" i="15" s="1"/>
  <c r="W224" i="15" a="1"/>
  <c r="W224" i="15" s="1"/>
  <c r="V224" i="15" a="1"/>
  <c r="V224" i="15" s="1"/>
  <c r="U224" i="15" a="1"/>
  <c r="U224" i="15" s="1"/>
  <c r="H224" i="15" a="1"/>
  <c r="H224" i="15" s="1"/>
  <c r="G224" i="15" a="1"/>
  <c r="G224" i="15" s="1"/>
  <c r="F224" i="15" a="1"/>
  <c r="F224" i="15" s="1"/>
  <c r="E224" i="15" a="1"/>
  <c r="E224" i="15" s="1"/>
  <c r="D224" i="15" a="1"/>
  <c r="D224" i="15" s="1"/>
  <c r="C224" i="15" a="1"/>
  <c r="C224" i="15" s="1"/>
  <c r="Z213" i="15" a="1"/>
  <c r="Z213" i="15" s="1"/>
  <c r="Y213" i="15" a="1"/>
  <c r="Y213" i="15" s="1"/>
  <c r="X213" i="15" a="1"/>
  <c r="X213" i="15" s="1"/>
  <c r="W213" i="15" a="1"/>
  <c r="W213" i="15" s="1"/>
  <c r="V213" i="15" a="1"/>
  <c r="V213" i="15" s="1"/>
  <c r="U213" i="15" a="1"/>
  <c r="U213" i="15" s="1"/>
  <c r="H213" i="15" a="1"/>
  <c r="H213" i="15" s="1"/>
  <c r="G213" i="15" a="1"/>
  <c r="G213" i="15" s="1"/>
  <c r="F213" i="15" a="1"/>
  <c r="F213" i="15" s="1"/>
  <c r="E213" i="15" a="1"/>
  <c r="E213" i="15" s="1"/>
  <c r="D213" i="15" a="1"/>
  <c r="D213" i="15" s="1"/>
  <c r="C213" i="15" a="1"/>
  <c r="C213" i="15" s="1"/>
  <c r="Z212" i="15" a="1"/>
  <c r="Z212" i="15" s="1"/>
  <c r="Y212" i="15" a="1"/>
  <c r="Y212" i="15" s="1"/>
  <c r="X212" i="15" a="1"/>
  <c r="X212" i="15" s="1"/>
  <c r="W212" i="15" a="1"/>
  <c r="W212" i="15" s="1"/>
  <c r="V212" i="15" a="1"/>
  <c r="V212" i="15" s="1"/>
  <c r="U212" i="15" a="1"/>
  <c r="U212" i="15" s="1"/>
  <c r="H212" i="15" a="1"/>
  <c r="H212" i="15" s="1"/>
  <c r="G212" i="15" a="1"/>
  <c r="G212" i="15" s="1"/>
  <c r="F212" i="15" a="1"/>
  <c r="F212" i="15" s="1"/>
  <c r="E212" i="15" a="1"/>
  <c r="E212" i="15" s="1"/>
  <c r="D212" i="15" a="1"/>
  <c r="D212" i="15" s="1"/>
  <c r="C212" i="15" a="1"/>
  <c r="C212" i="15" s="1"/>
  <c r="Z211" i="15" a="1"/>
  <c r="Z211" i="15" s="1"/>
  <c r="Y211" i="15" a="1"/>
  <c r="Y211" i="15" s="1"/>
  <c r="X211" i="15" a="1"/>
  <c r="X211" i="15" s="1"/>
  <c r="W211" i="15" a="1"/>
  <c r="W211" i="15" s="1"/>
  <c r="V211" i="15" a="1"/>
  <c r="V211" i="15" s="1"/>
  <c r="U211" i="15" a="1"/>
  <c r="U211" i="15" s="1"/>
  <c r="H211" i="15" a="1"/>
  <c r="H211" i="15" s="1"/>
  <c r="G211" i="15" a="1"/>
  <c r="G211" i="15" s="1"/>
  <c r="F211" i="15" a="1"/>
  <c r="F211" i="15" s="1"/>
  <c r="E211" i="15" a="1"/>
  <c r="E211" i="15" s="1"/>
  <c r="D211" i="15" a="1"/>
  <c r="D211" i="15" s="1"/>
  <c r="C211" i="15" a="1"/>
  <c r="C211" i="15" s="1"/>
  <c r="Z210" i="15" a="1"/>
  <c r="Z210" i="15" s="1"/>
  <c r="Y210" i="15" a="1"/>
  <c r="Y210" i="15" s="1"/>
  <c r="X210" i="15" a="1"/>
  <c r="X210" i="15" s="1"/>
  <c r="W210" i="15" a="1"/>
  <c r="W210" i="15" s="1"/>
  <c r="V210" i="15" a="1"/>
  <c r="V210" i="15" s="1"/>
  <c r="U210" i="15" a="1"/>
  <c r="U210" i="15" s="1"/>
  <c r="H210" i="15" a="1"/>
  <c r="H210" i="15" s="1"/>
  <c r="G210" i="15" a="1"/>
  <c r="G210" i="15" s="1"/>
  <c r="F210" i="15" a="1"/>
  <c r="F210" i="15" s="1"/>
  <c r="E210" i="15" a="1"/>
  <c r="E210" i="15" s="1"/>
  <c r="D210" i="15" a="1"/>
  <c r="D210" i="15" s="1"/>
  <c r="C210" i="15" a="1"/>
  <c r="C210" i="15" s="1"/>
  <c r="Z209" i="15" a="1"/>
  <c r="Z209" i="15" s="1"/>
  <c r="Y209" i="15" a="1"/>
  <c r="Y209" i="15" s="1"/>
  <c r="X209" i="15" a="1"/>
  <c r="X209" i="15" s="1"/>
  <c r="W209" i="15" a="1"/>
  <c r="W209" i="15" s="1"/>
  <c r="V209" i="15" a="1"/>
  <c r="V209" i="15" s="1"/>
  <c r="U209" i="15" a="1"/>
  <c r="U209" i="15" s="1"/>
  <c r="H209" i="15" a="1"/>
  <c r="H209" i="15" s="1"/>
  <c r="G209" i="15" a="1"/>
  <c r="G209" i="15" s="1"/>
  <c r="F209" i="15" a="1"/>
  <c r="F209" i="15" s="1"/>
  <c r="E209" i="15" a="1"/>
  <c r="E209" i="15" s="1"/>
  <c r="D209" i="15" a="1"/>
  <c r="D209" i="15" s="1"/>
  <c r="C209" i="15" a="1"/>
  <c r="C209" i="15" s="1"/>
  <c r="Z208" i="15" a="1"/>
  <c r="Z208" i="15" s="1"/>
  <c r="Y208" i="15" a="1"/>
  <c r="Y208" i="15" s="1"/>
  <c r="X208" i="15" a="1"/>
  <c r="X208" i="15" s="1"/>
  <c r="W208" i="15" a="1"/>
  <c r="W208" i="15" s="1"/>
  <c r="V208" i="15" a="1"/>
  <c r="V208" i="15" s="1"/>
  <c r="U208" i="15" a="1"/>
  <c r="U208" i="15" s="1"/>
  <c r="H208" i="15" a="1"/>
  <c r="H208" i="15" s="1"/>
  <c r="G208" i="15" a="1"/>
  <c r="G208" i="15" s="1"/>
  <c r="F208" i="15" a="1"/>
  <c r="F208" i="15" s="1"/>
  <c r="E208" i="15" a="1"/>
  <c r="E208" i="15" s="1"/>
  <c r="D208" i="15" a="1"/>
  <c r="D208" i="15" s="1"/>
  <c r="C208" i="15" a="1"/>
  <c r="C208" i="15" s="1"/>
  <c r="Z207" i="15" a="1"/>
  <c r="Z207" i="15" s="1"/>
  <c r="Y207" i="15" a="1"/>
  <c r="Y207" i="15" s="1"/>
  <c r="X207" i="15" a="1"/>
  <c r="X207" i="15" s="1"/>
  <c r="W207" i="15" a="1"/>
  <c r="W207" i="15" s="1"/>
  <c r="V207" i="15" a="1"/>
  <c r="V207" i="15" s="1"/>
  <c r="U207" i="15" a="1"/>
  <c r="U207" i="15" s="1"/>
  <c r="H207" i="15" a="1"/>
  <c r="H207" i="15" s="1"/>
  <c r="G207" i="15" a="1"/>
  <c r="G207" i="15" s="1"/>
  <c r="F207" i="15" a="1"/>
  <c r="F207" i="15" s="1"/>
  <c r="E207" i="15" a="1"/>
  <c r="E207" i="15" s="1"/>
  <c r="D207" i="15" a="1"/>
  <c r="D207" i="15" s="1"/>
  <c r="C207" i="15" a="1"/>
  <c r="C207" i="15" s="1"/>
  <c r="Z206" i="15" a="1"/>
  <c r="Z206" i="15" s="1"/>
  <c r="Y206" i="15" a="1"/>
  <c r="Y206" i="15" s="1"/>
  <c r="X206" i="15" a="1"/>
  <c r="X206" i="15" s="1"/>
  <c r="W206" i="15" a="1"/>
  <c r="W206" i="15" s="1"/>
  <c r="V206" i="15" a="1"/>
  <c r="V206" i="15" s="1"/>
  <c r="U206" i="15" a="1"/>
  <c r="U206" i="15" s="1"/>
  <c r="H206" i="15" a="1"/>
  <c r="H206" i="15" s="1"/>
  <c r="G206" i="15" a="1"/>
  <c r="G206" i="15" s="1"/>
  <c r="F206" i="15" a="1"/>
  <c r="F206" i="15" s="1"/>
  <c r="E206" i="15" a="1"/>
  <c r="E206" i="15" s="1"/>
  <c r="D206" i="15" a="1"/>
  <c r="D206" i="15" s="1"/>
  <c r="C206" i="15" a="1"/>
  <c r="C206" i="15" s="1"/>
  <c r="Z205" i="15" a="1"/>
  <c r="Z205" i="15" s="1"/>
  <c r="Y205" i="15" a="1"/>
  <c r="Y205" i="15" s="1"/>
  <c r="X205" i="15" a="1"/>
  <c r="X205" i="15" s="1"/>
  <c r="W205" i="15" a="1"/>
  <c r="W205" i="15" s="1"/>
  <c r="V205" i="15" a="1"/>
  <c r="V205" i="15" s="1"/>
  <c r="U205" i="15" a="1"/>
  <c r="U205" i="15" s="1"/>
  <c r="H205" i="15" a="1"/>
  <c r="H205" i="15" s="1"/>
  <c r="G205" i="15" a="1"/>
  <c r="G205" i="15" s="1"/>
  <c r="F205" i="15" a="1"/>
  <c r="F205" i="15" s="1"/>
  <c r="E205" i="15" a="1"/>
  <c r="E205" i="15" s="1"/>
  <c r="D205" i="15" a="1"/>
  <c r="D205" i="15" s="1"/>
  <c r="C205" i="15" a="1"/>
  <c r="C205" i="15" s="1"/>
  <c r="Z204" i="15" a="1"/>
  <c r="Z204" i="15" s="1"/>
  <c r="Y204" i="15" a="1"/>
  <c r="Y204" i="15" s="1"/>
  <c r="X204" i="15" a="1"/>
  <c r="X204" i="15" s="1"/>
  <c r="W204" i="15" a="1"/>
  <c r="W204" i="15" s="1"/>
  <c r="V204" i="15" a="1"/>
  <c r="V204" i="15" s="1"/>
  <c r="U204" i="15" a="1"/>
  <c r="U204" i="15" s="1"/>
  <c r="H204" i="15" a="1"/>
  <c r="H204" i="15" s="1"/>
  <c r="G204" i="15" a="1"/>
  <c r="G204" i="15" s="1"/>
  <c r="F204" i="15" a="1"/>
  <c r="F204" i="15" s="1"/>
  <c r="E204" i="15" a="1"/>
  <c r="E204" i="15" s="1"/>
  <c r="D204" i="15" a="1"/>
  <c r="D204" i="15" s="1"/>
  <c r="C204" i="15" a="1"/>
  <c r="C204" i="15" s="1"/>
  <c r="Z203" i="15" a="1"/>
  <c r="Z203" i="15" s="1"/>
  <c r="Y203" i="15" a="1"/>
  <c r="Y203" i="15" s="1"/>
  <c r="X203" i="15" a="1"/>
  <c r="X203" i="15" s="1"/>
  <c r="W203" i="15" a="1"/>
  <c r="W203" i="15" s="1"/>
  <c r="V203" i="15" a="1"/>
  <c r="V203" i="15" s="1"/>
  <c r="U203" i="15" a="1"/>
  <c r="U203" i="15" s="1"/>
  <c r="H203" i="15" a="1"/>
  <c r="H203" i="15" s="1"/>
  <c r="G203" i="15" a="1"/>
  <c r="G203" i="15" s="1"/>
  <c r="F203" i="15" a="1"/>
  <c r="F203" i="15" s="1"/>
  <c r="E203" i="15" a="1"/>
  <c r="E203" i="15" s="1"/>
  <c r="D203" i="15" a="1"/>
  <c r="D203" i="15" s="1"/>
  <c r="C203" i="15" a="1"/>
  <c r="C203" i="15" s="1"/>
  <c r="Z202" i="15" a="1"/>
  <c r="Z202" i="15" s="1"/>
  <c r="Y202" i="15" a="1"/>
  <c r="Y202" i="15" s="1"/>
  <c r="X202" i="15" a="1"/>
  <c r="X202" i="15" s="1"/>
  <c r="W202" i="15" a="1"/>
  <c r="W202" i="15" s="1"/>
  <c r="V202" i="15" a="1"/>
  <c r="V202" i="15" s="1"/>
  <c r="U202" i="15" a="1"/>
  <c r="U202" i="15" s="1"/>
  <c r="H202" i="15" a="1"/>
  <c r="H202" i="15" s="1"/>
  <c r="G202" i="15" a="1"/>
  <c r="G202" i="15" s="1"/>
  <c r="F202" i="15" a="1"/>
  <c r="F202" i="15" s="1"/>
  <c r="E202" i="15" a="1"/>
  <c r="E202" i="15" s="1"/>
  <c r="D202" i="15" a="1"/>
  <c r="D202" i="15" s="1"/>
  <c r="C202" i="15" a="1"/>
  <c r="C202" i="15" s="1"/>
  <c r="Z201" i="15" a="1"/>
  <c r="Z201" i="15" s="1"/>
  <c r="Y201" i="15" a="1"/>
  <c r="Y201" i="15" s="1"/>
  <c r="X201" i="15" a="1"/>
  <c r="X201" i="15" s="1"/>
  <c r="W201" i="15" a="1"/>
  <c r="W201" i="15" s="1"/>
  <c r="V201" i="15" a="1"/>
  <c r="V201" i="15" s="1"/>
  <c r="U201" i="15" a="1"/>
  <c r="U201" i="15" s="1"/>
  <c r="H201" i="15" a="1"/>
  <c r="H201" i="15" s="1"/>
  <c r="G201" i="15" a="1"/>
  <c r="G201" i="15" s="1"/>
  <c r="F201" i="15" a="1"/>
  <c r="F201" i="15" s="1"/>
  <c r="E201" i="15" a="1"/>
  <c r="E201" i="15" s="1"/>
  <c r="D201" i="15" a="1"/>
  <c r="D201" i="15" s="1"/>
  <c r="C201" i="15" a="1"/>
  <c r="C201" i="15" s="1"/>
  <c r="Z200" i="15" a="1"/>
  <c r="Z200" i="15" s="1"/>
  <c r="Y200" i="15" a="1"/>
  <c r="Y200" i="15" s="1"/>
  <c r="X200" i="15" a="1"/>
  <c r="X200" i="15" s="1"/>
  <c r="W200" i="15" a="1"/>
  <c r="W200" i="15" s="1"/>
  <c r="V200" i="15" a="1"/>
  <c r="V200" i="15" s="1"/>
  <c r="U200" i="15" a="1"/>
  <c r="U200" i="15" s="1"/>
  <c r="H200" i="15" a="1"/>
  <c r="H200" i="15" s="1"/>
  <c r="G200" i="15" a="1"/>
  <c r="G200" i="15" s="1"/>
  <c r="F200" i="15" a="1"/>
  <c r="F200" i="15" s="1"/>
  <c r="E200" i="15" a="1"/>
  <c r="E200" i="15" s="1"/>
  <c r="D200" i="15" a="1"/>
  <c r="D200" i="15" s="1"/>
  <c r="C200" i="15" a="1"/>
  <c r="C200" i="15" s="1"/>
  <c r="Z199" i="15" a="1"/>
  <c r="Z199" i="15" s="1"/>
  <c r="Y199" i="15" a="1"/>
  <c r="Y199" i="15" s="1"/>
  <c r="X199" i="15" a="1"/>
  <c r="X199" i="15" s="1"/>
  <c r="W199" i="15" a="1"/>
  <c r="W199" i="15" s="1"/>
  <c r="V199" i="15" a="1"/>
  <c r="V199" i="15" s="1"/>
  <c r="U199" i="15" a="1"/>
  <c r="U199" i="15" s="1"/>
  <c r="H199" i="15" a="1"/>
  <c r="H199" i="15" s="1"/>
  <c r="G199" i="15" a="1"/>
  <c r="G199" i="15" s="1"/>
  <c r="F199" i="15" a="1"/>
  <c r="F199" i="15" s="1"/>
  <c r="E199" i="15" a="1"/>
  <c r="E199" i="15" s="1"/>
  <c r="D199" i="15" a="1"/>
  <c r="D199" i="15" s="1"/>
  <c r="C199" i="15" a="1"/>
  <c r="C199" i="15" s="1"/>
  <c r="Z198" i="15" a="1"/>
  <c r="Z198" i="15" s="1"/>
  <c r="Y198" i="15" a="1"/>
  <c r="Y198" i="15" s="1"/>
  <c r="X198" i="15" a="1"/>
  <c r="X198" i="15" s="1"/>
  <c r="W198" i="15" a="1"/>
  <c r="W198" i="15" s="1"/>
  <c r="V198" i="15" a="1"/>
  <c r="V198" i="15" s="1"/>
  <c r="U198" i="15" a="1"/>
  <c r="U198" i="15" s="1"/>
  <c r="H198" i="15" a="1"/>
  <c r="H198" i="15" s="1"/>
  <c r="G198" i="15" a="1"/>
  <c r="G198" i="15" s="1"/>
  <c r="F198" i="15" a="1"/>
  <c r="F198" i="15" s="1"/>
  <c r="E198" i="15" a="1"/>
  <c r="E198" i="15" s="1"/>
  <c r="D198" i="15" a="1"/>
  <c r="D198" i="15" s="1"/>
  <c r="C198" i="15" a="1"/>
  <c r="C198" i="15" s="1"/>
  <c r="Z197" i="15" a="1"/>
  <c r="Z197" i="15" s="1"/>
  <c r="Y197" i="15" a="1"/>
  <c r="Y197" i="15" s="1"/>
  <c r="X197" i="15" a="1"/>
  <c r="X197" i="15" s="1"/>
  <c r="W197" i="15" a="1"/>
  <c r="W197" i="15" s="1"/>
  <c r="V197" i="15" a="1"/>
  <c r="V197" i="15" s="1"/>
  <c r="U197" i="15" a="1"/>
  <c r="U197" i="15" s="1"/>
  <c r="H197" i="15" a="1"/>
  <c r="H197" i="15" s="1"/>
  <c r="G197" i="15" a="1"/>
  <c r="G197" i="15" s="1"/>
  <c r="F197" i="15" a="1"/>
  <c r="F197" i="15" s="1"/>
  <c r="E197" i="15" a="1"/>
  <c r="E197" i="15" s="1"/>
  <c r="D197" i="15" a="1"/>
  <c r="D197" i="15" s="1"/>
  <c r="C197" i="15" a="1"/>
  <c r="C197" i="15" s="1"/>
  <c r="Z196" i="15" a="1"/>
  <c r="Z196" i="15" s="1"/>
  <c r="Z214" i="15" s="1"/>
  <c r="Z215" i="15" s="1"/>
  <c r="Y196" i="15" a="1"/>
  <c r="Y196" i="15" s="1"/>
  <c r="X196" i="15" a="1"/>
  <c r="X196" i="15" s="1"/>
  <c r="X214" i="15" s="1"/>
  <c r="X215" i="15" s="1"/>
  <c r="W196" i="15" a="1"/>
  <c r="W196" i="15" s="1"/>
  <c r="V196" i="15" a="1"/>
  <c r="V196" i="15" s="1"/>
  <c r="V214" i="15" s="1"/>
  <c r="U196" i="15" a="1"/>
  <c r="U196" i="15" s="1"/>
  <c r="U214" i="15" s="1"/>
  <c r="U215" i="15" s="1"/>
  <c r="H196" i="15" a="1"/>
  <c r="H196" i="15" s="1"/>
  <c r="G196" i="15" a="1"/>
  <c r="G196" i="15" s="1"/>
  <c r="F196" i="15" a="1"/>
  <c r="F196" i="15" s="1"/>
  <c r="E196" i="15" a="1"/>
  <c r="E196" i="15" s="1"/>
  <c r="D196" i="15" a="1"/>
  <c r="D196" i="15" s="1"/>
  <c r="C196" i="15" a="1"/>
  <c r="C196" i="15" s="1"/>
  <c r="Z185" i="15" a="1"/>
  <c r="Z185" i="15" s="1"/>
  <c r="Y185" i="15" a="1"/>
  <c r="Y185" i="15" s="1"/>
  <c r="X185" i="15" a="1"/>
  <c r="X185" i="15" s="1"/>
  <c r="W185" i="15" a="1"/>
  <c r="W185" i="15" s="1"/>
  <c r="V185" i="15" a="1"/>
  <c r="V185" i="15" s="1"/>
  <c r="U185" i="15" a="1"/>
  <c r="U185" i="15" s="1"/>
  <c r="H185" i="15" a="1"/>
  <c r="H185" i="15" s="1"/>
  <c r="G185" i="15" a="1"/>
  <c r="G185" i="15" s="1"/>
  <c r="F185" i="15" a="1"/>
  <c r="F185" i="15" s="1"/>
  <c r="E185" i="15" a="1"/>
  <c r="E185" i="15" s="1"/>
  <c r="D185" i="15" a="1"/>
  <c r="D185" i="15" s="1"/>
  <c r="C185" i="15" a="1"/>
  <c r="C185" i="15" s="1"/>
  <c r="Z184" i="15" a="1"/>
  <c r="Z184" i="15" s="1"/>
  <c r="Y184" i="15" a="1"/>
  <c r="Y184" i="15" s="1"/>
  <c r="X184" i="15" a="1"/>
  <c r="X184" i="15" s="1"/>
  <c r="W184" i="15" a="1"/>
  <c r="W184" i="15" s="1"/>
  <c r="V184" i="15" a="1"/>
  <c r="V184" i="15" s="1"/>
  <c r="U184" i="15" a="1"/>
  <c r="U184" i="15" s="1"/>
  <c r="H184" i="15" a="1"/>
  <c r="H184" i="15" s="1"/>
  <c r="G184" i="15" a="1"/>
  <c r="G184" i="15" s="1"/>
  <c r="F184" i="15" a="1"/>
  <c r="F184" i="15" s="1"/>
  <c r="E184" i="15" a="1"/>
  <c r="E184" i="15" s="1"/>
  <c r="D184" i="15" a="1"/>
  <c r="D184" i="15" s="1"/>
  <c r="C184" i="15" a="1"/>
  <c r="C184" i="15" s="1"/>
  <c r="Z183" i="15" a="1"/>
  <c r="Z183" i="15" s="1"/>
  <c r="Y183" i="15" a="1"/>
  <c r="Y183" i="15" s="1"/>
  <c r="X183" i="15" a="1"/>
  <c r="X183" i="15" s="1"/>
  <c r="W183" i="15" a="1"/>
  <c r="W183" i="15" s="1"/>
  <c r="V183" i="15" a="1"/>
  <c r="V183" i="15" s="1"/>
  <c r="U183" i="15" a="1"/>
  <c r="U183" i="15" s="1"/>
  <c r="H183" i="15" a="1"/>
  <c r="H183" i="15" s="1"/>
  <c r="G183" i="15" a="1"/>
  <c r="G183" i="15" s="1"/>
  <c r="F183" i="15" a="1"/>
  <c r="F183" i="15" s="1"/>
  <c r="E183" i="15" a="1"/>
  <c r="E183" i="15" s="1"/>
  <c r="D183" i="15" a="1"/>
  <c r="D183" i="15" s="1"/>
  <c r="C183" i="15" a="1"/>
  <c r="C183" i="15" s="1"/>
  <c r="Z182" i="15" a="1"/>
  <c r="Z182" i="15" s="1"/>
  <c r="Y182" i="15" a="1"/>
  <c r="Y182" i="15" s="1"/>
  <c r="X182" i="15" a="1"/>
  <c r="X182" i="15" s="1"/>
  <c r="W182" i="15" a="1"/>
  <c r="W182" i="15" s="1"/>
  <c r="V182" i="15" a="1"/>
  <c r="V182" i="15" s="1"/>
  <c r="U182" i="15" a="1"/>
  <c r="U182" i="15" s="1"/>
  <c r="H182" i="15" a="1"/>
  <c r="H182" i="15" s="1"/>
  <c r="G182" i="15" a="1"/>
  <c r="G182" i="15" s="1"/>
  <c r="F182" i="15" a="1"/>
  <c r="F182" i="15" s="1"/>
  <c r="E182" i="15" a="1"/>
  <c r="E182" i="15" s="1"/>
  <c r="D182" i="15" a="1"/>
  <c r="D182" i="15" s="1"/>
  <c r="C182" i="15" a="1"/>
  <c r="C182" i="15" s="1"/>
  <c r="Z181" i="15" a="1"/>
  <c r="Z181" i="15" s="1"/>
  <c r="Y181" i="15" a="1"/>
  <c r="Y181" i="15" s="1"/>
  <c r="X181" i="15" a="1"/>
  <c r="X181" i="15" s="1"/>
  <c r="W181" i="15" a="1"/>
  <c r="W181" i="15" s="1"/>
  <c r="V181" i="15" a="1"/>
  <c r="V181" i="15" s="1"/>
  <c r="U181" i="15" a="1"/>
  <c r="U181" i="15" s="1"/>
  <c r="H181" i="15" a="1"/>
  <c r="H181" i="15" s="1"/>
  <c r="G181" i="15" a="1"/>
  <c r="G181" i="15" s="1"/>
  <c r="F181" i="15" a="1"/>
  <c r="F181" i="15" s="1"/>
  <c r="E181" i="15" a="1"/>
  <c r="E181" i="15" s="1"/>
  <c r="D181" i="15" a="1"/>
  <c r="D181" i="15" s="1"/>
  <c r="C181" i="15" a="1"/>
  <c r="C181" i="15" s="1"/>
  <c r="Z180" i="15" a="1"/>
  <c r="Z180" i="15" s="1"/>
  <c r="Y180" i="15" a="1"/>
  <c r="Y180" i="15" s="1"/>
  <c r="X180" i="15" a="1"/>
  <c r="X180" i="15" s="1"/>
  <c r="W180" i="15" a="1"/>
  <c r="W180" i="15" s="1"/>
  <c r="V180" i="15" a="1"/>
  <c r="V180" i="15" s="1"/>
  <c r="U180" i="15" a="1"/>
  <c r="U180" i="15" s="1"/>
  <c r="H180" i="15" a="1"/>
  <c r="H180" i="15" s="1"/>
  <c r="G180" i="15" a="1"/>
  <c r="G180" i="15" s="1"/>
  <c r="F180" i="15" a="1"/>
  <c r="F180" i="15" s="1"/>
  <c r="E180" i="15" a="1"/>
  <c r="E180" i="15" s="1"/>
  <c r="D180" i="15" a="1"/>
  <c r="D180" i="15" s="1"/>
  <c r="C180" i="15" a="1"/>
  <c r="C180" i="15" s="1"/>
  <c r="Z179" i="15" a="1"/>
  <c r="Z179" i="15" s="1"/>
  <c r="Y179" i="15" a="1"/>
  <c r="Y179" i="15" s="1"/>
  <c r="X179" i="15" a="1"/>
  <c r="X179" i="15" s="1"/>
  <c r="W179" i="15" a="1"/>
  <c r="W179" i="15" s="1"/>
  <c r="V179" i="15" a="1"/>
  <c r="V179" i="15" s="1"/>
  <c r="U179" i="15" a="1"/>
  <c r="U179" i="15" s="1"/>
  <c r="H179" i="15" a="1"/>
  <c r="H179" i="15" s="1"/>
  <c r="G179" i="15" a="1"/>
  <c r="G179" i="15" s="1"/>
  <c r="F179" i="15" a="1"/>
  <c r="F179" i="15" s="1"/>
  <c r="E179" i="15" a="1"/>
  <c r="E179" i="15" s="1"/>
  <c r="D179" i="15" a="1"/>
  <c r="D179" i="15" s="1"/>
  <c r="C179" i="15" a="1"/>
  <c r="C179" i="15" s="1"/>
  <c r="Z178" i="15" a="1"/>
  <c r="Z178" i="15" s="1"/>
  <c r="Y178" i="15" a="1"/>
  <c r="Y178" i="15" s="1"/>
  <c r="X178" i="15" a="1"/>
  <c r="X178" i="15" s="1"/>
  <c r="W178" i="15" a="1"/>
  <c r="W178" i="15" s="1"/>
  <c r="V178" i="15" a="1"/>
  <c r="V178" i="15" s="1"/>
  <c r="U178" i="15" a="1"/>
  <c r="U178" i="15" s="1"/>
  <c r="H178" i="15" a="1"/>
  <c r="H178" i="15" s="1"/>
  <c r="G178" i="15" a="1"/>
  <c r="G178" i="15" s="1"/>
  <c r="F178" i="15" a="1"/>
  <c r="F178" i="15" s="1"/>
  <c r="E178" i="15" a="1"/>
  <c r="E178" i="15" s="1"/>
  <c r="D178" i="15" a="1"/>
  <c r="D178" i="15" s="1"/>
  <c r="C178" i="15" a="1"/>
  <c r="C178" i="15" s="1"/>
  <c r="Z177" i="15" a="1"/>
  <c r="Z177" i="15" s="1"/>
  <c r="Y177" i="15" a="1"/>
  <c r="Y177" i="15" s="1"/>
  <c r="X177" i="15" a="1"/>
  <c r="X177" i="15" s="1"/>
  <c r="W177" i="15" a="1"/>
  <c r="W177" i="15" s="1"/>
  <c r="V177" i="15" a="1"/>
  <c r="V177" i="15" s="1"/>
  <c r="U177" i="15" a="1"/>
  <c r="U177" i="15" s="1"/>
  <c r="H177" i="15" a="1"/>
  <c r="H177" i="15" s="1"/>
  <c r="G177" i="15" a="1"/>
  <c r="G177" i="15" s="1"/>
  <c r="F177" i="15" a="1"/>
  <c r="F177" i="15" s="1"/>
  <c r="E177" i="15" a="1"/>
  <c r="E177" i="15" s="1"/>
  <c r="D177" i="15" a="1"/>
  <c r="D177" i="15" s="1"/>
  <c r="C177" i="15" a="1"/>
  <c r="C177" i="15" s="1"/>
  <c r="Z176" i="15" a="1"/>
  <c r="Z176" i="15" s="1"/>
  <c r="Y176" i="15" a="1"/>
  <c r="Y176" i="15" s="1"/>
  <c r="X176" i="15" a="1"/>
  <c r="X176" i="15" s="1"/>
  <c r="W176" i="15" a="1"/>
  <c r="W176" i="15" s="1"/>
  <c r="V176" i="15" a="1"/>
  <c r="V176" i="15" s="1"/>
  <c r="U176" i="15" a="1"/>
  <c r="U176" i="15" s="1"/>
  <c r="H176" i="15" a="1"/>
  <c r="H176" i="15" s="1"/>
  <c r="G176" i="15" a="1"/>
  <c r="G176" i="15" s="1"/>
  <c r="F176" i="15" a="1"/>
  <c r="F176" i="15" s="1"/>
  <c r="E176" i="15" a="1"/>
  <c r="E176" i="15" s="1"/>
  <c r="D176" i="15" a="1"/>
  <c r="D176" i="15" s="1"/>
  <c r="C176" i="15" a="1"/>
  <c r="C176" i="15" s="1"/>
  <c r="Z175" i="15" a="1"/>
  <c r="Z175" i="15" s="1"/>
  <c r="Y175" i="15" a="1"/>
  <c r="Y175" i="15" s="1"/>
  <c r="X175" i="15" a="1"/>
  <c r="X175" i="15" s="1"/>
  <c r="W175" i="15" a="1"/>
  <c r="W175" i="15" s="1"/>
  <c r="V175" i="15" a="1"/>
  <c r="V175" i="15" s="1"/>
  <c r="U175" i="15" a="1"/>
  <c r="U175" i="15" s="1"/>
  <c r="H175" i="15" a="1"/>
  <c r="H175" i="15" s="1"/>
  <c r="G175" i="15" a="1"/>
  <c r="G175" i="15" s="1"/>
  <c r="F175" i="15" a="1"/>
  <c r="F175" i="15" s="1"/>
  <c r="E175" i="15" a="1"/>
  <c r="E175" i="15" s="1"/>
  <c r="D175" i="15" a="1"/>
  <c r="D175" i="15" s="1"/>
  <c r="C175" i="15" a="1"/>
  <c r="C175" i="15" s="1"/>
  <c r="Z174" i="15" a="1"/>
  <c r="Z174" i="15" s="1"/>
  <c r="Y174" i="15" a="1"/>
  <c r="Y174" i="15" s="1"/>
  <c r="X174" i="15" a="1"/>
  <c r="X174" i="15" s="1"/>
  <c r="W174" i="15" a="1"/>
  <c r="W174" i="15" s="1"/>
  <c r="V174" i="15" a="1"/>
  <c r="V174" i="15" s="1"/>
  <c r="U174" i="15" a="1"/>
  <c r="U174" i="15" s="1"/>
  <c r="H174" i="15" a="1"/>
  <c r="H174" i="15" s="1"/>
  <c r="G174" i="15" a="1"/>
  <c r="G174" i="15" s="1"/>
  <c r="F174" i="15" a="1"/>
  <c r="F174" i="15" s="1"/>
  <c r="E174" i="15" a="1"/>
  <c r="E174" i="15" s="1"/>
  <c r="D174" i="15" a="1"/>
  <c r="D174" i="15" s="1"/>
  <c r="C174" i="15" a="1"/>
  <c r="C174" i="15" s="1"/>
  <c r="Z173" i="15" a="1"/>
  <c r="Z173" i="15" s="1"/>
  <c r="Y173" i="15" a="1"/>
  <c r="Y173" i="15" s="1"/>
  <c r="X173" i="15" a="1"/>
  <c r="X173" i="15" s="1"/>
  <c r="W173" i="15" a="1"/>
  <c r="W173" i="15" s="1"/>
  <c r="V173" i="15" a="1"/>
  <c r="V173" i="15" s="1"/>
  <c r="U173" i="15" a="1"/>
  <c r="U173" i="15" s="1"/>
  <c r="H173" i="15" a="1"/>
  <c r="H173" i="15" s="1"/>
  <c r="G173" i="15" a="1"/>
  <c r="G173" i="15" s="1"/>
  <c r="F173" i="15" a="1"/>
  <c r="F173" i="15" s="1"/>
  <c r="E173" i="15" a="1"/>
  <c r="E173" i="15" s="1"/>
  <c r="D173" i="15" a="1"/>
  <c r="D173" i="15" s="1"/>
  <c r="C173" i="15" a="1"/>
  <c r="C173" i="15" s="1"/>
  <c r="Z172" i="15" a="1"/>
  <c r="Z172" i="15" s="1"/>
  <c r="Y172" i="15" a="1"/>
  <c r="Y172" i="15" s="1"/>
  <c r="X172" i="15" a="1"/>
  <c r="X172" i="15" s="1"/>
  <c r="W172" i="15" a="1"/>
  <c r="W172" i="15" s="1"/>
  <c r="V172" i="15" a="1"/>
  <c r="V172" i="15" s="1"/>
  <c r="U172" i="15" a="1"/>
  <c r="U172" i="15" s="1"/>
  <c r="H172" i="15" a="1"/>
  <c r="H172" i="15" s="1"/>
  <c r="G172" i="15" a="1"/>
  <c r="G172" i="15" s="1"/>
  <c r="F172" i="15" a="1"/>
  <c r="F172" i="15" s="1"/>
  <c r="E172" i="15" a="1"/>
  <c r="E172" i="15" s="1"/>
  <c r="D172" i="15" a="1"/>
  <c r="D172" i="15" s="1"/>
  <c r="C172" i="15" a="1"/>
  <c r="C172" i="15" s="1"/>
  <c r="Z171" i="15" a="1"/>
  <c r="Z171" i="15" s="1"/>
  <c r="Y171" i="15" a="1"/>
  <c r="Y171" i="15" s="1"/>
  <c r="X171" i="15" a="1"/>
  <c r="X171" i="15" s="1"/>
  <c r="W171" i="15" a="1"/>
  <c r="W171" i="15" s="1"/>
  <c r="V171" i="15" a="1"/>
  <c r="V171" i="15" s="1"/>
  <c r="U171" i="15" a="1"/>
  <c r="U171" i="15" s="1"/>
  <c r="H171" i="15" a="1"/>
  <c r="H171" i="15" s="1"/>
  <c r="G171" i="15" a="1"/>
  <c r="G171" i="15" s="1"/>
  <c r="F171" i="15" a="1"/>
  <c r="F171" i="15" s="1"/>
  <c r="E171" i="15" a="1"/>
  <c r="E171" i="15" s="1"/>
  <c r="D171" i="15" a="1"/>
  <c r="D171" i="15" s="1"/>
  <c r="C171" i="15" a="1"/>
  <c r="C171" i="15" s="1"/>
  <c r="Z170" i="15" a="1"/>
  <c r="Z170" i="15" s="1"/>
  <c r="Y170" i="15" a="1"/>
  <c r="Y170" i="15" s="1"/>
  <c r="X170" i="15" a="1"/>
  <c r="X170" i="15" s="1"/>
  <c r="W170" i="15" a="1"/>
  <c r="W170" i="15" s="1"/>
  <c r="V170" i="15" a="1"/>
  <c r="V170" i="15" s="1"/>
  <c r="U170" i="15" a="1"/>
  <c r="U170" i="15" s="1"/>
  <c r="F143" i="15" a="1"/>
  <c r="F143" i="15" s="1"/>
  <c r="E143" i="15" a="1"/>
  <c r="E143" i="15" s="1"/>
  <c r="D143" i="15" a="1"/>
  <c r="D143" i="15" s="1"/>
  <c r="C143" i="15" a="1"/>
  <c r="C143" i="15" s="1"/>
  <c r="Z142" i="15" a="1"/>
  <c r="Z142" i="15" s="1"/>
  <c r="Y142" i="15" a="1"/>
  <c r="Y142" i="15" s="1"/>
  <c r="X142" i="15" a="1"/>
  <c r="X142" i="15" s="1"/>
  <c r="W142" i="15" a="1"/>
  <c r="W142" i="15" s="1"/>
  <c r="V142" i="15" a="1"/>
  <c r="V142" i="15" s="1"/>
  <c r="U142" i="15" a="1"/>
  <c r="U142" i="15" s="1"/>
  <c r="H142" i="15" a="1"/>
  <c r="H142" i="15" s="1"/>
  <c r="G142" i="15" a="1"/>
  <c r="G142" i="15" s="1"/>
  <c r="F142" i="15" a="1"/>
  <c r="F142" i="15" s="1"/>
  <c r="E142" i="15" a="1"/>
  <c r="E142" i="15" s="1"/>
  <c r="D142" i="15" a="1"/>
  <c r="D142" i="15" s="1"/>
  <c r="C142" i="15" a="1"/>
  <c r="C142" i="15" s="1"/>
  <c r="Z141" i="15" a="1"/>
  <c r="Z141" i="15" s="1"/>
  <c r="Y141" i="15" a="1"/>
  <c r="Y141" i="15" s="1"/>
  <c r="X141" i="15" a="1"/>
  <c r="X141" i="15" s="1"/>
  <c r="W141" i="15" a="1"/>
  <c r="W141" i="15" s="1"/>
  <c r="V141" i="15" a="1"/>
  <c r="V141" i="15" s="1"/>
  <c r="U141" i="15" a="1"/>
  <c r="U141" i="15" s="1"/>
  <c r="H141" i="15" a="1"/>
  <c r="H141" i="15" s="1"/>
  <c r="G141" i="15" a="1"/>
  <c r="G141" i="15" s="1"/>
  <c r="F141" i="15" a="1"/>
  <c r="F141" i="15" s="1"/>
  <c r="E141" i="15" a="1"/>
  <c r="E141" i="15" s="1"/>
  <c r="D141" i="15" a="1"/>
  <c r="D141" i="15" s="1"/>
  <c r="C141" i="15" a="1"/>
  <c r="C141" i="15" s="1"/>
  <c r="Z140" i="15" a="1"/>
  <c r="Z140" i="15" s="1"/>
  <c r="Y140" i="15" a="1"/>
  <c r="Y140" i="15" s="1"/>
  <c r="X140" i="15" a="1"/>
  <c r="X140" i="15" s="1"/>
  <c r="W140" i="15" a="1"/>
  <c r="W140" i="15" s="1"/>
  <c r="V140" i="15" a="1"/>
  <c r="V140" i="15" s="1"/>
  <c r="U140" i="15" a="1"/>
  <c r="U140" i="15" s="1"/>
  <c r="H140" i="15" a="1"/>
  <c r="H140" i="15" s="1"/>
  <c r="G140" i="15" a="1"/>
  <c r="G140" i="15" s="1"/>
  <c r="F140" i="15" a="1"/>
  <c r="F140" i="15" s="1"/>
  <c r="E140" i="15" a="1"/>
  <c r="E140" i="15" s="1"/>
  <c r="D140" i="15" a="1"/>
  <c r="D140" i="15" s="1"/>
  <c r="C140" i="15" a="1"/>
  <c r="C140" i="15" s="1"/>
  <c r="Z139" i="15" a="1"/>
  <c r="Z139" i="15" s="1"/>
  <c r="Y139" i="15" a="1"/>
  <c r="Y139" i="15" s="1"/>
  <c r="X139" i="15" a="1"/>
  <c r="X139" i="15" s="1"/>
  <c r="W139" i="15" a="1"/>
  <c r="W139" i="15" s="1"/>
  <c r="V139" i="15" a="1"/>
  <c r="V139" i="15" s="1"/>
  <c r="U139" i="15" a="1"/>
  <c r="U139" i="15" s="1"/>
  <c r="H139" i="15" a="1"/>
  <c r="H139" i="15" s="1"/>
  <c r="G139" i="15" a="1"/>
  <c r="G139" i="15" s="1"/>
  <c r="H170" i="15" a="1"/>
  <c r="H170" i="15" s="1"/>
  <c r="G170" i="15" a="1"/>
  <c r="G170" i="15" s="1"/>
  <c r="F170" i="15" a="1"/>
  <c r="F170" i="15" s="1"/>
  <c r="E170" i="15" a="1"/>
  <c r="E170" i="15" s="1"/>
  <c r="D170" i="15" a="1"/>
  <c r="D170" i="15" s="1"/>
  <c r="C170" i="15" a="1"/>
  <c r="C170" i="15" s="1"/>
  <c r="Z169" i="15" a="1"/>
  <c r="Z169" i="15" s="1"/>
  <c r="Y169" i="15" a="1"/>
  <c r="Y169" i="15" s="1"/>
  <c r="X169" i="15" a="1"/>
  <c r="X169" i="15" s="1"/>
  <c r="V169" i="15" a="1"/>
  <c r="V169" i="15" s="1"/>
  <c r="U169" i="15" a="1"/>
  <c r="U169" i="15" s="1"/>
  <c r="H169" i="15" a="1"/>
  <c r="H169" i="15" s="1"/>
  <c r="G169" i="15" a="1"/>
  <c r="G169" i="15" s="1"/>
  <c r="F169" i="15" a="1"/>
  <c r="F169" i="15" s="1"/>
  <c r="D169" i="15" a="1"/>
  <c r="D169" i="15" s="1"/>
  <c r="C169" i="15" a="1"/>
  <c r="C169" i="15" s="1"/>
  <c r="Z168" i="15" a="1"/>
  <c r="Z168" i="15" s="1"/>
  <c r="Y168" i="15" a="1"/>
  <c r="Y168" i="15" s="1"/>
  <c r="X168" i="15" a="1"/>
  <c r="X168" i="15" s="1"/>
  <c r="W168" i="15" a="1"/>
  <c r="W168" i="15" s="1"/>
  <c r="V168" i="15" a="1"/>
  <c r="V168" i="15" s="1"/>
  <c r="U168" i="15" a="1"/>
  <c r="U168" i="15" s="1"/>
  <c r="H168" i="15" a="1"/>
  <c r="H168" i="15" s="1"/>
  <c r="G168" i="15" a="1"/>
  <c r="G168" i="15" s="1"/>
  <c r="F168" i="15" a="1"/>
  <c r="F168" i="15" s="1"/>
  <c r="E168" i="15" a="1"/>
  <c r="E168" i="15" s="1"/>
  <c r="D168" i="15" a="1"/>
  <c r="D168" i="15" s="1"/>
  <c r="C168" i="15" a="1"/>
  <c r="C168" i="15" s="1"/>
  <c r="Z146" i="15" a="1"/>
  <c r="Z146" i="15" s="1"/>
  <c r="Y146" i="15" a="1"/>
  <c r="Y146" i="15" s="1"/>
  <c r="X146" i="15" a="1"/>
  <c r="X146" i="15" s="1"/>
  <c r="W146" i="15" a="1"/>
  <c r="W146" i="15" s="1"/>
  <c r="V146" i="15" a="1"/>
  <c r="V146" i="15" s="1"/>
  <c r="U146" i="15" a="1"/>
  <c r="U146" i="15" s="1"/>
  <c r="H146" i="15" a="1"/>
  <c r="H146" i="15" s="1"/>
  <c r="G146" i="15" a="1"/>
  <c r="G146" i="15" s="1"/>
  <c r="F146" i="15" a="1"/>
  <c r="F146" i="15" s="1"/>
  <c r="E146" i="15" a="1"/>
  <c r="E146" i="15" s="1"/>
  <c r="D146" i="15" a="1"/>
  <c r="D146" i="15" s="1"/>
  <c r="C146" i="15" a="1"/>
  <c r="C146" i="15" s="1"/>
  <c r="Z145" i="15" a="1"/>
  <c r="Z145" i="15" s="1"/>
  <c r="Y145" i="15" a="1"/>
  <c r="Y145" i="15" s="1"/>
  <c r="X145" i="15" a="1"/>
  <c r="X145" i="15" s="1"/>
  <c r="W145" i="15" a="1"/>
  <c r="W145" i="15" s="1"/>
  <c r="V145" i="15" a="1"/>
  <c r="V145" i="15" s="1"/>
  <c r="U145" i="15" a="1"/>
  <c r="U145" i="15" s="1"/>
  <c r="H145" i="15" a="1"/>
  <c r="H145" i="15" s="1"/>
  <c r="G145" i="15" a="1"/>
  <c r="G145" i="15" s="1"/>
  <c r="F145" i="15" a="1"/>
  <c r="F145" i="15" s="1"/>
  <c r="E145" i="15" a="1"/>
  <c r="E145" i="15" s="1"/>
  <c r="D145" i="15" a="1"/>
  <c r="D145" i="15" s="1"/>
  <c r="C145" i="15" a="1"/>
  <c r="C145" i="15" s="1"/>
  <c r="Z144" i="15" a="1"/>
  <c r="Z144" i="15" s="1"/>
  <c r="Y144" i="15" a="1"/>
  <c r="Y144" i="15" s="1"/>
  <c r="X144" i="15" a="1"/>
  <c r="X144" i="15" s="1"/>
  <c r="W144" i="15" a="1"/>
  <c r="W144" i="15" s="1"/>
  <c r="V144" i="15" a="1"/>
  <c r="V144" i="15" s="1"/>
  <c r="U144" i="15" a="1"/>
  <c r="U144" i="15" s="1"/>
  <c r="H144" i="15" a="1"/>
  <c r="H144" i="15" s="1"/>
  <c r="G144" i="15" a="1"/>
  <c r="G144" i="15" s="1"/>
  <c r="F144" i="15" a="1"/>
  <c r="F144" i="15" s="1"/>
  <c r="E144" i="15" a="1"/>
  <c r="E144" i="15" s="1"/>
  <c r="D144" i="15" a="1"/>
  <c r="D144" i="15" s="1"/>
  <c r="C144" i="15" a="1"/>
  <c r="C144" i="15" s="1"/>
  <c r="Z143" i="15" a="1"/>
  <c r="Z143" i="15" s="1"/>
  <c r="Y143" i="15" a="1"/>
  <c r="Y143" i="15" s="1"/>
  <c r="X143" i="15" a="1"/>
  <c r="X143" i="15" s="1"/>
  <c r="W143" i="15" a="1"/>
  <c r="W143" i="15" s="1"/>
  <c r="V143" i="15" a="1"/>
  <c r="V143" i="15" s="1"/>
  <c r="U143" i="15" a="1"/>
  <c r="U143" i="15" s="1"/>
  <c r="H143" i="15" a="1"/>
  <c r="H143" i="15" s="1"/>
  <c r="G143" i="15" a="1"/>
  <c r="G143" i="15" s="1"/>
  <c r="F139" i="15" a="1"/>
  <c r="F139" i="15" s="1"/>
  <c r="E139" i="15" a="1"/>
  <c r="E139" i="15" s="1"/>
  <c r="D139" i="15" a="1"/>
  <c r="D139" i="15" s="1"/>
  <c r="C139" i="15" a="1"/>
  <c r="C139" i="15" s="1"/>
  <c r="Z138" i="15" a="1"/>
  <c r="Z138" i="15" s="1"/>
  <c r="Y138" i="15" a="1"/>
  <c r="Y138" i="15" s="1"/>
  <c r="X138" i="15" a="1"/>
  <c r="X138" i="15" s="1"/>
  <c r="W138" i="15" a="1"/>
  <c r="W138" i="15" s="1"/>
  <c r="V138" i="15" a="1"/>
  <c r="V138" i="15" s="1"/>
  <c r="U138" i="15" a="1"/>
  <c r="U138" i="15" s="1"/>
  <c r="H138" i="15" a="1"/>
  <c r="H138" i="15" s="1"/>
  <c r="G138" i="15" a="1"/>
  <c r="G138" i="15" s="1"/>
  <c r="F138" i="15" a="1"/>
  <c r="F138" i="15" s="1"/>
  <c r="E138" i="15" a="1"/>
  <c r="E138" i="15" s="1"/>
  <c r="D138" i="15" a="1"/>
  <c r="D138" i="15" s="1"/>
  <c r="C138" i="15" a="1"/>
  <c r="C138" i="15" s="1"/>
  <c r="Z137" i="15" a="1"/>
  <c r="Z137" i="15" s="1"/>
  <c r="Y137" i="15" a="1"/>
  <c r="Y137" i="15" s="1"/>
  <c r="X137" i="15" a="1"/>
  <c r="X137" i="15" s="1"/>
  <c r="W137" i="15" a="1"/>
  <c r="W137" i="15" s="1"/>
  <c r="V137" i="15" a="1"/>
  <c r="V137" i="15" s="1"/>
  <c r="U137" i="15" a="1"/>
  <c r="U137" i="15" s="1"/>
  <c r="H137" i="15" a="1"/>
  <c r="H137" i="15" s="1"/>
  <c r="G137" i="15" a="1"/>
  <c r="G137" i="15" s="1"/>
  <c r="F137" i="15" a="1"/>
  <c r="F137" i="15" s="1"/>
  <c r="E137" i="15" a="1"/>
  <c r="E137" i="15" s="1"/>
  <c r="D137" i="15" a="1"/>
  <c r="D137" i="15" s="1"/>
  <c r="C137" i="15" a="1"/>
  <c r="C137" i="15" s="1"/>
  <c r="Z136" i="15" a="1"/>
  <c r="Z136" i="15" s="1"/>
  <c r="Y136" i="15" a="1"/>
  <c r="Y136" i="15" s="1"/>
  <c r="X136" i="15" a="1"/>
  <c r="X136" i="15" s="1"/>
  <c r="W136" i="15" a="1"/>
  <c r="W136" i="15" s="1"/>
  <c r="V136" i="15" a="1"/>
  <c r="V136" i="15" s="1"/>
  <c r="H295" i="15" a="1"/>
  <c r="H295" i="15" s="1"/>
  <c r="G295" i="15" a="1"/>
  <c r="G295" i="15" s="1"/>
  <c r="F295" i="15" a="1"/>
  <c r="F295" i="15" s="1"/>
  <c r="E295" i="15" a="1"/>
  <c r="E295" i="15" s="1"/>
  <c r="D295" i="15" a="1"/>
  <c r="D295" i="15" s="1"/>
  <c r="C295" i="15" a="1"/>
  <c r="C295" i="15" s="1"/>
  <c r="Z294" i="15" a="1"/>
  <c r="Z294" i="15" s="1"/>
  <c r="Y294" i="15" a="1"/>
  <c r="Y294" i="15" s="1"/>
  <c r="X294" i="15" a="1"/>
  <c r="X294" i="15" s="1"/>
  <c r="W294" i="15" a="1"/>
  <c r="W294" i="15" s="1"/>
  <c r="V294" i="15" a="1"/>
  <c r="V294" i="15" s="1"/>
  <c r="U294" i="15" a="1"/>
  <c r="U294" i="15" s="1"/>
  <c r="H294" i="15" a="1"/>
  <c r="H294" i="15" s="1"/>
  <c r="G294" i="15" a="1"/>
  <c r="G294" i="15" s="1"/>
  <c r="F294" i="15" a="1"/>
  <c r="F294" i="15" s="1"/>
  <c r="E294" i="15" a="1"/>
  <c r="E294" i="15" s="1"/>
  <c r="D294" i="15" a="1"/>
  <c r="D294" i="15" s="1"/>
  <c r="C294" i="15" a="1"/>
  <c r="C294" i="15" s="1"/>
  <c r="Z293" i="15" a="1"/>
  <c r="Z293" i="15" s="1"/>
  <c r="Y293" i="15" a="1"/>
  <c r="Y293" i="15" s="1"/>
  <c r="X293" i="15" a="1"/>
  <c r="X293" i="15" s="1"/>
  <c r="W293" i="15" a="1"/>
  <c r="W293" i="15" s="1"/>
  <c r="V293" i="15" a="1"/>
  <c r="V293" i="15" s="1"/>
  <c r="U293" i="15" a="1"/>
  <c r="U293" i="15" s="1"/>
  <c r="H293" i="15" a="1"/>
  <c r="H293" i="15" s="1"/>
  <c r="G293" i="15" a="1"/>
  <c r="G293" i="15" s="1"/>
  <c r="F293" i="15" a="1"/>
  <c r="F293" i="15" s="1"/>
  <c r="E293" i="15" a="1"/>
  <c r="E293" i="15" s="1"/>
  <c r="D293" i="15" a="1"/>
  <c r="D293" i="15" s="1"/>
  <c r="C293" i="15" a="1"/>
  <c r="C293" i="15" s="1"/>
  <c r="Z292" i="15" a="1"/>
  <c r="Z292" i="15" s="1"/>
  <c r="Y292" i="15" a="1"/>
  <c r="Y292" i="15" s="1"/>
  <c r="X292" i="15" a="1"/>
  <c r="X292" i="15" s="1"/>
  <c r="W292" i="15" a="1"/>
  <c r="W292" i="15" s="1"/>
  <c r="V292" i="15" a="1"/>
  <c r="V292" i="15" s="1"/>
  <c r="U292" i="15" a="1"/>
  <c r="U292" i="15" s="1"/>
  <c r="H292" i="15" a="1"/>
  <c r="H292" i="15" s="1"/>
  <c r="G292" i="15" a="1"/>
  <c r="G292" i="15" s="1"/>
  <c r="F292" i="15" a="1"/>
  <c r="F292" i="15" s="1"/>
  <c r="E292" i="15" a="1"/>
  <c r="E292" i="15" s="1"/>
  <c r="D292" i="15" a="1"/>
  <c r="D292" i="15" s="1"/>
  <c r="C292" i="15" a="1"/>
  <c r="C292" i="15" s="1"/>
  <c r="Z291" i="15" a="1"/>
  <c r="Z291" i="15" s="1"/>
  <c r="Y291" i="15" a="1"/>
  <c r="Y291" i="15" s="1"/>
  <c r="X291" i="15" a="1"/>
  <c r="X291" i="15" s="1"/>
  <c r="W291" i="15" a="1"/>
  <c r="W291" i="15" s="1"/>
  <c r="V291" i="15" a="1"/>
  <c r="V291" i="15" s="1"/>
  <c r="U291" i="15" a="1"/>
  <c r="U291" i="15" s="1"/>
  <c r="H291" i="15" a="1"/>
  <c r="H291" i="15" s="1"/>
  <c r="G291" i="15" a="1"/>
  <c r="G291" i="15" s="1"/>
  <c r="F291" i="15" a="1"/>
  <c r="F291" i="15" s="1"/>
  <c r="E291" i="15" a="1"/>
  <c r="E291" i="15" s="1"/>
  <c r="D291" i="15" a="1"/>
  <c r="D291" i="15" s="1"/>
  <c r="C291" i="15" a="1"/>
  <c r="C291" i="15" s="1"/>
  <c r="Z290" i="15" a="1"/>
  <c r="Z290" i="15" s="1"/>
  <c r="Y290" i="15" a="1"/>
  <c r="Y290" i="15" s="1"/>
  <c r="X290" i="15" a="1"/>
  <c r="X290" i="15" s="1"/>
  <c r="W290" i="15" a="1"/>
  <c r="W290" i="15" s="1"/>
  <c r="V290" i="15" a="1"/>
  <c r="V290" i="15" s="1"/>
  <c r="U290" i="15" a="1"/>
  <c r="U290" i="15" s="1"/>
  <c r="H290" i="15" a="1"/>
  <c r="H290" i="15" s="1"/>
  <c r="G290" i="15" a="1"/>
  <c r="G290" i="15" s="1"/>
  <c r="F290" i="15" a="1"/>
  <c r="F290" i="15" s="1"/>
  <c r="E290" i="15" a="1"/>
  <c r="E290" i="15" s="1"/>
  <c r="E298" i="15" s="1"/>
  <c r="D290" i="15" a="1"/>
  <c r="D290" i="15" s="1"/>
  <c r="C290" i="15" a="1"/>
  <c r="C290" i="15" s="1"/>
  <c r="Z289" i="15" a="1"/>
  <c r="Z289" i="15" s="1"/>
  <c r="Z298" i="15" s="1"/>
  <c r="Z299" i="15" s="1"/>
  <c r="Y289" i="15" a="1"/>
  <c r="Y289" i="15" s="1"/>
  <c r="X289" i="15" a="1"/>
  <c r="X289" i="15" s="1"/>
  <c r="W289" i="15" a="1"/>
  <c r="W289" i="15" s="1"/>
  <c r="V289" i="15" a="1"/>
  <c r="V289" i="15" s="1"/>
  <c r="U289" i="15" a="1"/>
  <c r="U289" i="15" s="1"/>
  <c r="H289" i="15" a="1"/>
  <c r="H289" i="15" s="1"/>
  <c r="G289" i="15" a="1"/>
  <c r="G289" i="15" s="1"/>
  <c r="F289" i="15" a="1"/>
  <c r="F289" i="15" s="1"/>
  <c r="H107" i="15" a="1"/>
  <c r="H107" i="15" s="1"/>
  <c r="G107" i="15" a="1"/>
  <c r="G107" i="15" s="1"/>
  <c r="F107" i="15" a="1"/>
  <c r="F107" i="15" s="1"/>
  <c r="E107" i="15" a="1"/>
  <c r="E107" i="15" s="1"/>
  <c r="D107" i="15" a="1"/>
  <c r="D107" i="15" s="1"/>
  <c r="C107" i="15" a="1"/>
  <c r="C107" i="15" s="1"/>
  <c r="Z106" i="15" a="1"/>
  <c r="Z106" i="15" s="1"/>
  <c r="Y106" i="15" a="1"/>
  <c r="Y106" i="15" s="1"/>
  <c r="X106" i="15" a="1"/>
  <c r="X106" i="15" s="1"/>
  <c r="W106" i="15" a="1"/>
  <c r="W106" i="15" s="1"/>
  <c r="V106" i="15" a="1"/>
  <c r="V106" i="15" s="1"/>
  <c r="U106" i="15" a="1"/>
  <c r="U106" i="15" s="1"/>
  <c r="H106" i="15" a="1"/>
  <c r="H106" i="15" s="1"/>
  <c r="G106" i="15" a="1"/>
  <c r="G106" i="15" s="1"/>
  <c r="F106" i="15" a="1"/>
  <c r="F106" i="15" s="1"/>
  <c r="E106" i="15" a="1"/>
  <c r="E106" i="15" s="1"/>
  <c r="D106" i="15" a="1"/>
  <c r="D106" i="15" s="1"/>
  <c r="C106" i="15" a="1"/>
  <c r="C106" i="15" s="1"/>
  <c r="Z105" i="15" a="1"/>
  <c r="Z105" i="15" s="1"/>
  <c r="Y105" i="15" a="1"/>
  <c r="Y105" i="15" s="1"/>
  <c r="X105" i="15" a="1"/>
  <c r="X105" i="15" s="1"/>
  <c r="W105" i="15" a="1"/>
  <c r="W105" i="15" s="1"/>
  <c r="V105" i="15" a="1"/>
  <c r="V105" i="15" s="1"/>
  <c r="U105" i="15" a="1"/>
  <c r="U105" i="15" s="1"/>
  <c r="H105" i="15" a="1"/>
  <c r="H105" i="15" s="1"/>
  <c r="G105" i="15" a="1"/>
  <c r="G105" i="15" s="1"/>
  <c r="F105" i="15" a="1"/>
  <c r="F105" i="15" s="1"/>
  <c r="U136" i="15" a="1"/>
  <c r="U136" i="15" s="1"/>
  <c r="H136" i="15" a="1"/>
  <c r="H136" i="15" s="1"/>
  <c r="G136" i="15" a="1"/>
  <c r="G136" i="15" s="1"/>
  <c r="F136" i="15" a="1"/>
  <c r="F136" i="15" s="1"/>
  <c r="E136" i="15" a="1"/>
  <c r="E136" i="15" s="1"/>
  <c r="D136" i="15" a="1"/>
  <c r="D136" i="15" s="1"/>
  <c r="C136" i="15" a="1"/>
  <c r="C136" i="15" s="1"/>
  <c r="Z135" i="15" a="1"/>
  <c r="Z135" i="15" s="1"/>
  <c r="X135" i="15" a="1"/>
  <c r="X135" i="15" s="1"/>
  <c r="W135" i="15" a="1"/>
  <c r="W135" i="15" s="1"/>
  <c r="V135" i="15" a="1"/>
  <c r="V135" i="15" s="1"/>
  <c r="U135" i="15" a="1"/>
  <c r="U135" i="15" s="1"/>
  <c r="H135" i="15" a="1"/>
  <c r="H135" i="15" s="1"/>
  <c r="G135" i="15" a="1"/>
  <c r="G135" i="15" s="1"/>
  <c r="F135" i="15" a="1"/>
  <c r="F135" i="15" s="1"/>
  <c r="E135" i="15" a="1"/>
  <c r="E135" i="15" s="1"/>
  <c r="D135" i="15" a="1"/>
  <c r="D135" i="15" s="1"/>
  <c r="C135" i="15" a="1"/>
  <c r="C135" i="15" s="1"/>
  <c r="Z134" i="15" a="1"/>
  <c r="Z134" i="15" s="1"/>
  <c r="Y134" i="15" a="1"/>
  <c r="Y134" i="15" s="1"/>
  <c r="W134" i="15" a="1"/>
  <c r="W134" i="15" s="1"/>
  <c r="V134" i="15" a="1"/>
  <c r="V134" i="15" s="1"/>
  <c r="H134" i="15" a="1"/>
  <c r="H134" i="15" s="1"/>
  <c r="G134" i="15" a="1"/>
  <c r="G134" i="15" s="1"/>
  <c r="E134" i="15" a="1"/>
  <c r="E134" i="15" s="1"/>
  <c r="D134" i="15" a="1"/>
  <c r="D134" i="15" s="1"/>
  <c r="Z133" i="15" a="1"/>
  <c r="Z133" i="15" s="1"/>
  <c r="Y133" i="15" a="1"/>
  <c r="Y133" i="15" s="1"/>
  <c r="W133" i="15" a="1"/>
  <c r="W133" i="15" s="1"/>
  <c r="V133" i="15" a="1"/>
  <c r="V133" i="15" s="1"/>
  <c r="H133" i="15" a="1"/>
  <c r="H133" i="15" s="1"/>
  <c r="G133" i="15" a="1"/>
  <c r="G133" i="15" s="1"/>
  <c r="E133" i="15" a="1"/>
  <c r="E133" i="15" s="1"/>
  <c r="D133" i="15" a="1"/>
  <c r="D133" i="15" s="1"/>
  <c r="Z132" i="15" a="1"/>
  <c r="Z132" i="15" s="1"/>
  <c r="Y132" i="15" a="1"/>
  <c r="Y132" i="15" s="1"/>
  <c r="X132" i="15" a="1"/>
  <c r="X132" i="15" s="1"/>
  <c r="W132" i="15" a="1"/>
  <c r="W132" i="15" s="1"/>
  <c r="V132" i="15" a="1"/>
  <c r="V132" i="15" s="1"/>
  <c r="U132" i="15" a="1"/>
  <c r="U132" i="15" s="1"/>
  <c r="H132" i="15" a="1"/>
  <c r="H132" i="15" s="1"/>
  <c r="G132" i="15" a="1"/>
  <c r="G132" i="15" s="1"/>
  <c r="H118" i="15" a="1"/>
  <c r="H118" i="15" s="1"/>
  <c r="G118" i="15" a="1"/>
  <c r="G118" i="15" s="1"/>
  <c r="F118" i="15" a="1"/>
  <c r="F118" i="15" s="1"/>
  <c r="E118" i="15" a="1"/>
  <c r="E118" i="15" s="1"/>
  <c r="D118" i="15" a="1"/>
  <c r="D118" i="15" s="1"/>
  <c r="C118" i="15" a="1"/>
  <c r="C118" i="15" s="1"/>
  <c r="Z117" i="15" a="1"/>
  <c r="Z117" i="15" s="1"/>
  <c r="Y117" i="15" a="1"/>
  <c r="Y117" i="15" s="1"/>
  <c r="X117" i="15" a="1"/>
  <c r="X117" i="15" s="1"/>
  <c r="W117" i="15" a="1"/>
  <c r="W117" i="15" s="1"/>
  <c r="V117" i="15" a="1"/>
  <c r="V117" i="15" s="1"/>
  <c r="U117" i="15" a="1"/>
  <c r="U117" i="15" s="1"/>
  <c r="H117" i="15" a="1"/>
  <c r="H117" i="15" s="1"/>
  <c r="G117" i="15" a="1"/>
  <c r="G117" i="15" s="1"/>
  <c r="F117" i="15" a="1"/>
  <c r="F117" i="15" s="1"/>
  <c r="E117" i="15" a="1"/>
  <c r="E117" i="15" s="1"/>
  <c r="D117" i="15" a="1"/>
  <c r="D117" i="15" s="1"/>
  <c r="C117" i="15" a="1"/>
  <c r="C117" i="15" s="1"/>
  <c r="Z116" i="15" a="1"/>
  <c r="Z116" i="15" s="1"/>
  <c r="Y116" i="15" a="1"/>
  <c r="Y116" i="15" s="1"/>
  <c r="X116" i="15" a="1"/>
  <c r="X116" i="15" s="1"/>
  <c r="W116" i="15" a="1"/>
  <c r="W116" i="15" s="1"/>
  <c r="V116" i="15" a="1"/>
  <c r="V116" i="15" s="1"/>
  <c r="U116" i="15" a="1"/>
  <c r="U116" i="15" s="1"/>
  <c r="H116" i="15" a="1"/>
  <c r="H116" i="15" s="1"/>
  <c r="G116" i="15" a="1"/>
  <c r="G116" i="15" s="1"/>
  <c r="F116" i="15" a="1"/>
  <c r="F116" i="15" s="1"/>
  <c r="E116" i="15" a="1"/>
  <c r="E116" i="15" s="1"/>
  <c r="D116" i="15" a="1"/>
  <c r="D116" i="15" s="1"/>
  <c r="C116" i="15" a="1"/>
  <c r="C116" i="15" s="1"/>
  <c r="Z115" i="15" a="1"/>
  <c r="Z115" i="15" s="1"/>
  <c r="Y115" i="15" a="1"/>
  <c r="Y115" i="15" s="1"/>
  <c r="X115" i="15" a="1"/>
  <c r="X115" i="15" s="1"/>
  <c r="W115" i="15" a="1"/>
  <c r="W115" i="15" s="1"/>
  <c r="V115" i="15" a="1"/>
  <c r="V115" i="15" s="1"/>
  <c r="U115" i="15" a="1"/>
  <c r="U115" i="15" s="1"/>
  <c r="H115" i="15" a="1"/>
  <c r="H115" i="15" s="1"/>
  <c r="G115" i="15" a="1"/>
  <c r="G115" i="15" s="1"/>
  <c r="F115" i="15" a="1"/>
  <c r="F115" i="15" s="1"/>
  <c r="E115" i="15" a="1"/>
  <c r="E115" i="15" s="1"/>
  <c r="D115" i="15" a="1"/>
  <c r="D115" i="15" s="1"/>
  <c r="C115" i="15" a="1"/>
  <c r="C115" i="15" s="1"/>
  <c r="Z114" i="15" a="1"/>
  <c r="Z114" i="15" s="1"/>
  <c r="Y114" i="15" a="1"/>
  <c r="Y114" i="15" s="1"/>
  <c r="X114" i="15" a="1"/>
  <c r="X114" i="15" s="1"/>
  <c r="W114" i="15" a="1"/>
  <c r="W114" i="15" s="1"/>
  <c r="V114" i="15" a="1"/>
  <c r="V114" i="15" s="1"/>
  <c r="U114" i="15" a="1"/>
  <c r="U114" i="15" s="1"/>
  <c r="H114" i="15" a="1"/>
  <c r="H114" i="15" s="1"/>
  <c r="G114" i="15" a="1"/>
  <c r="G114" i="15" s="1"/>
  <c r="F114" i="15" a="1"/>
  <c r="F114" i="15" s="1"/>
  <c r="E114" i="15" a="1"/>
  <c r="E114" i="15" s="1"/>
  <c r="D114" i="15" a="1"/>
  <c r="D114" i="15" s="1"/>
  <c r="C114" i="15" a="1"/>
  <c r="C114" i="15" s="1"/>
  <c r="Z113" i="15" a="1"/>
  <c r="Z113" i="15" s="1"/>
  <c r="Y113" i="15" a="1"/>
  <c r="Y113" i="15" s="1"/>
  <c r="X113" i="15" a="1"/>
  <c r="X113" i="15" s="1"/>
  <c r="W113" i="15" a="1"/>
  <c r="W113" i="15" s="1"/>
  <c r="V113" i="15" a="1"/>
  <c r="V113" i="15" s="1"/>
  <c r="U113" i="15" a="1"/>
  <c r="U113" i="15" s="1"/>
  <c r="H113" i="15" a="1"/>
  <c r="H113" i="15" s="1"/>
  <c r="G113" i="15" a="1"/>
  <c r="G113" i="15" s="1"/>
  <c r="F113" i="15" a="1"/>
  <c r="F113" i="15" s="1"/>
  <c r="E113" i="15" a="1"/>
  <c r="E113" i="15" s="1"/>
  <c r="D113" i="15" a="1"/>
  <c r="D113" i="15" s="1"/>
  <c r="C113" i="15" a="1"/>
  <c r="C113" i="15" s="1"/>
  <c r="Z112" i="15" a="1"/>
  <c r="Z112" i="15" s="1"/>
  <c r="Y112" i="15" a="1"/>
  <c r="Y112" i="15" s="1"/>
  <c r="X112" i="15" a="1"/>
  <c r="X112" i="15" s="1"/>
  <c r="W112" i="15" a="1"/>
  <c r="W112" i="15" s="1"/>
  <c r="V112" i="15" a="1"/>
  <c r="V112" i="15" s="1"/>
  <c r="U112" i="15" a="1"/>
  <c r="U112" i="15" s="1"/>
  <c r="H112" i="15" a="1"/>
  <c r="H112" i="15" s="1"/>
  <c r="G112" i="15" a="1"/>
  <c r="G112" i="15" s="1"/>
  <c r="F112" i="15" a="1"/>
  <c r="F112" i="15" s="1"/>
  <c r="E112" i="15" a="1"/>
  <c r="E112" i="15" s="1"/>
  <c r="D112" i="15" a="1"/>
  <c r="D112" i="15" s="1"/>
  <c r="C112" i="15" a="1"/>
  <c r="C112" i="15" s="1"/>
  <c r="Z111" i="15" a="1"/>
  <c r="Z111" i="15" s="1"/>
  <c r="Y111" i="15" a="1"/>
  <c r="Y111" i="15" s="1"/>
  <c r="X111" i="15" a="1"/>
  <c r="X111" i="15" s="1"/>
  <c r="W111" i="15" a="1"/>
  <c r="W111" i="15" s="1"/>
  <c r="V111" i="15" a="1"/>
  <c r="V111" i="15" s="1"/>
  <c r="U111" i="15" a="1"/>
  <c r="U111" i="15" s="1"/>
  <c r="H111" i="15" a="1"/>
  <c r="H111" i="15" s="1"/>
  <c r="G111" i="15" a="1"/>
  <c r="G111" i="15" s="1"/>
  <c r="F111" i="15" a="1"/>
  <c r="F111" i="15" s="1"/>
  <c r="E111" i="15" a="1"/>
  <c r="E111" i="15" s="1"/>
  <c r="D111" i="15" a="1"/>
  <c r="D111" i="15" s="1"/>
  <c r="C111" i="15" a="1"/>
  <c r="C111" i="15" s="1"/>
  <c r="Z110" i="15" a="1"/>
  <c r="Z110" i="15" s="1"/>
  <c r="X110" i="15" a="1"/>
  <c r="X110" i="15" s="1"/>
  <c r="W110" i="15" a="1"/>
  <c r="W110" i="15" s="1"/>
  <c r="V110" i="15" a="1"/>
  <c r="V110" i="15" s="1"/>
  <c r="U110" i="15" a="1"/>
  <c r="U110" i="15" s="1"/>
  <c r="H110" i="15" a="1"/>
  <c r="H110" i="15" s="1"/>
  <c r="G110" i="15" a="1"/>
  <c r="G110" i="15" s="1"/>
  <c r="F110" i="15" a="1"/>
  <c r="F110" i="15" s="1"/>
  <c r="E110" i="15" a="1"/>
  <c r="E110" i="15" s="1"/>
  <c r="D110" i="15" a="1"/>
  <c r="D110" i="15" s="1"/>
  <c r="C110" i="15" a="1"/>
  <c r="C110" i="15" s="1"/>
  <c r="Z109" i="15" a="1"/>
  <c r="Z109" i="15" s="1"/>
  <c r="Y109" i="15" a="1"/>
  <c r="Y109" i="15" s="1"/>
  <c r="X109" i="15" a="1"/>
  <c r="X109" i="15" s="1"/>
  <c r="W109" i="15" a="1"/>
  <c r="W109" i="15" s="1"/>
  <c r="V109" i="15" a="1"/>
  <c r="V109" i="15" s="1"/>
  <c r="U109" i="15" a="1"/>
  <c r="U109" i="15" s="1"/>
  <c r="H109" i="15" a="1"/>
  <c r="H109" i="15" s="1"/>
  <c r="G109" i="15" a="1"/>
  <c r="G109" i="15" s="1"/>
  <c r="F109" i="15" a="1"/>
  <c r="F109" i="15" s="1"/>
  <c r="E109" i="15" a="1"/>
  <c r="E109" i="15" s="1"/>
  <c r="D109" i="15" a="1"/>
  <c r="D109" i="15" s="1"/>
  <c r="C109" i="15" a="1"/>
  <c r="C109" i="15" s="1"/>
  <c r="Z108" i="15" a="1"/>
  <c r="Z108" i="15" s="1"/>
  <c r="Y108" i="15" a="1"/>
  <c r="Y108" i="15" s="1"/>
  <c r="X108" i="15" a="1"/>
  <c r="X108" i="15" s="1"/>
  <c r="W108" i="15" a="1"/>
  <c r="W108" i="15" s="1"/>
  <c r="V108" i="15" a="1"/>
  <c r="V108" i="15" s="1"/>
  <c r="U108" i="15" a="1"/>
  <c r="U108" i="15" s="1"/>
  <c r="H108" i="15" a="1"/>
  <c r="H108" i="15" s="1"/>
  <c r="G108" i="15" a="1"/>
  <c r="G108" i="15" s="1"/>
  <c r="F108" i="15" a="1"/>
  <c r="F108" i="15" s="1"/>
  <c r="E108" i="15" a="1"/>
  <c r="E108" i="15" s="1"/>
  <c r="D108" i="15" a="1"/>
  <c r="D108" i="15" s="1"/>
  <c r="C108" i="15" a="1"/>
  <c r="C108" i="15" s="1"/>
  <c r="Z107" i="15" a="1"/>
  <c r="Z107" i="15" s="1"/>
  <c r="Y107" i="15" a="1"/>
  <c r="Y107" i="15" s="1"/>
  <c r="X107" i="15" a="1"/>
  <c r="X107" i="15" s="1"/>
  <c r="W107" i="15" a="1"/>
  <c r="W107" i="15" s="1"/>
  <c r="V107" i="15" a="1"/>
  <c r="V107" i="15" s="1"/>
  <c r="U107" i="15" a="1"/>
  <c r="U107" i="15" s="1"/>
  <c r="E105" i="15" a="1"/>
  <c r="E105" i="15" s="1"/>
  <c r="D105" i="15" a="1"/>
  <c r="D105" i="15" s="1"/>
  <c r="C105" i="15" a="1"/>
  <c r="C105" i="15" s="1"/>
  <c r="Z104" i="15" a="1"/>
  <c r="Z104" i="15" s="1"/>
  <c r="Y104" i="15" a="1"/>
  <c r="Y104" i="15" s="1"/>
  <c r="X104" i="15" a="1"/>
  <c r="X104" i="15" s="1"/>
  <c r="W104" i="15" a="1"/>
  <c r="W104" i="15" s="1"/>
  <c r="V104" i="15" a="1"/>
  <c r="V104" i="15" s="1"/>
  <c r="U104" i="15" a="1"/>
  <c r="U104" i="15" s="1"/>
  <c r="H104" i="15" a="1"/>
  <c r="H104" i="15" s="1"/>
  <c r="G104" i="15" a="1"/>
  <c r="G104" i="15" s="1"/>
  <c r="F104" i="15" a="1"/>
  <c r="F104" i="15" s="1"/>
  <c r="E104" i="15" a="1"/>
  <c r="E104" i="15" s="1"/>
  <c r="D104" i="15" a="1"/>
  <c r="D104" i="15" s="1"/>
  <c r="C104" i="15" a="1"/>
  <c r="C104" i="15" s="1"/>
  <c r="Z103" i="15" a="1"/>
  <c r="Z103" i="15" s="1"/>
  <c r="Y103" i="15" a="1"/>
  <c r="Y103" i="15" s="1"/>
  <c r="X103" i="15" a="1"/>
  <c r="X103" i="15" s="1"/>
  <c r="W103" i="15" a="1"/>
  <c r="W103" i="15" s="1"/>
  <c r="V103" i="15" a="1"/>
  <c r="V103" i="15" s="1"/>
  <c r="U103" i="15" a="1"/>
  <c r="U103" i="15" s="1"/>
  <c r="H103" i="15" a="1"/>
  <c r="H103" i="15" s="1"/>
  <c r="G103" i="15" a="1"/>
  <c r="G103" i="15" s="1"/>
  <c r="F103" i="15" a="1"/>
  <c r="F103" i="15" s="1"/>
  <c r="E103" i="15" a="1"/>
  <c r="E103" i="15" s="1"/>
  <c r="D103" i="15" a="1"/>
  <c r="D103" i="15" s="1"/>
  <c r="C103" i="15" a="1"/>
  <c r="C103" i="15" s="1"/>
  <c r="Z102" i="15" a="1"/>
  <c r="Z102" i="15" s="1"/>
  <c r="Y102" i="15" a="1"/>
  <c r="Y102" i="15" s="1"/>
  <c r="X102" i="15" a="1"/>
  <c r="X102" i="15" s="1"/>
  <c r="W102" i="15" a="1"/>
  <c r="W102" i="15" s="1"/>
  <c r="V102" i="15" a="1"/>
  <c r="V102" i="15" s="1"/>
  <c r="H102" i="15" a="1"/>
  <c r="H102" i="15" s="1"/>
  <c r="G102" i="15" a="1"/>
  <c r="G102" i="15" s="1"/>
  <c r="F102" i="15" a="1"/>
  <c r="F102" i="15" s="1"/>
  <c r="E102" i="15" a="1"/>
  <c r="E102" i="15" s="1"/>
  <c r="D102" i="15" a="1"/>
  <c r="D102" i="15" s="1"/>
  <c r="Z101" i="15" a="1"/>
  <c r="Z101" i="15" s="1"/>
  <c r="Y101" i="15" a="1"/>
  <c r="Y101" i="15" s="1"/>
  <c r="X101" i="15" a="1"/>
  <c r="X101" i="15" s="1"/>
  <c r="W101" i="15" a="1"/>
  <c r="W101" i="15" s="1"/>
  <c r="V101" i="15" a="1"/>
  <c r="V101" i="15" s="1"/>
  <c r="H101" i="15" a="1"/>
  <c r="H101" i="15" s="1"/>
  <c r="G101" i="15" a="1"/>
  <c r="G101" i="15" s="1"/>
  <c r="F101" i="15" a="1"/>
  <c r="F101" i="15" s="1"/>
  <c r="E101" i="15" a="1"/>
  <c r="E101" i="15" s="1"/>
  <c r="D101" i="15" a="1"/>
  <c r="D101" i="15" s="1"/>
  <c r="H66" i="15" a="1"/>
  <c r="H66" i="15" s="1"/>
  <c r="G66" i="15" a="1"/>
  <c r="G66" i="15" s="1"/>
  <c r="F66" i="15" a="1"/>
  <c r="F66" i="15" s="1"/>
  <c r="E66" i="15" a="1"/>
  <c r="E66" i="15" s="1"/>
  <c r="D66" i="15" a="1"/>
  <c r="D66" i="15" s="1"/>
  <c r="C66" i="15" a="1"/>
  <c r="C66" i="15" s="1"/>
  <c r="Z65" i="15" a="1"/>
  <c r="Z65" i="15" s="1"/>
  <c r="Y65" i="15" a="1"/>
  <c r="Y65" i="15" s="1"/>
  <c r="X65" i="15" a="1"/>
  <c r="X65" i="15" s="1"/>
  <c r="W65" i="15" a="1"/>
  <c r="W65" i="15" s="1"/>
  <c r="V65" i="15" a="1"/>
  <c r="V65" i="15" s="1"/>
  <c r="U65" i="15" a="1"/>
  <c r="U65" i="15" s="1"/>
  <c r="H65" i="15" a="1"/>
  <c r="H65" i="15" s="1"/>
  <c r="G65" i="15" a="1"/>
  <c r="G65" i="15" s="1"/>
  <c r="F65" i="15" a="1"/>
  <c r="F65" i="15" s="1"/>
  <c r="E65" i="15" a="1"/>
  <c r="E65" i="15" s="1"/>
  <c r="D65" i="15" a="1"/>
  <c r="D65" i="15" s="1"/>
  <c r="C65" i="15" a="1"/>
  <c r="C65" i="15" s="1"/>
  <c r="Z64" i="15" a="1"/>
  <c r="Z64" i="15" s="1"/>
  <c r="Y64" i="15" a="1"/>
  <c r="Y64" i="15" s="1"/>
  <c r="X64" i="15" a="1"/>
  <c r="X64" i="15" s="1"/>
  <c r="W64" i="15" a="1"/>
  <c r="W64" i="15" s="1"/>
  <c r="V64" i="15" a="1"/>
  <c r="V64" i="15" s="1"/>
  <c r="H64" i="15" a="1"/>
  <c r="H64" i="15" s="1"/>
  <c r="G64" i="15" a="1"/>
  <c r="G64" i="15" s="1"/>
  <c r="F64" i="15" a="1"/>
  <c r="F64" i="15" s="1"/>
  <c r="E64" i="15" a="1"/>
  <c r="E64" i="15" s="1"/>
  <c r="D64" i="15" a="1"/>
  <c r="D64" i="15" s="1"/>
  <c r="Z63" i="15" a="1"/>
  <c r="Z63" i="15" s="1"/>
  <c r="Y63" i="15" a="1"/>
  <c r="Y63" i="15" s="1"/>
  <c r="X63" i="15" a="1"/>
  <c r="X63" i="15" s="1"/>
  <c r="W63" i="15" a="1"/>
  <c r="W63" i="15" s="1"/>
  <c r="V63" i="15" a="1"/>
  <c r="V63" i="15" s="1"/>
  <c r="U63" i="15" a="1"/>
  <c r="U63" i="15" s="1"/>
  <c r="H63" i="15" a="1"/>
  <c r="H63" i="15" s="1"/>
  <c r="G63" i="15" a="1"/>
  <c r="G63" i="15" s="1"/>
  <c r="F63" i="15" a="1"/>
  <c r="F63" i="15" s="1"/>
  <c r="E63" i="15" a="1"/>
  <c r="E63" i="15" s="1"/>
  <c r="D63" i="15" a="1"/>
  <c r="D63" i="15" s="1"/>
  <c r="C63" i="15" a="1"/>
  <c r="C63" i="15" s="1"/>
  <c r="Z52" i="15" a="1"/>
  <c r="Z52" i="15" s="1"/>
  <c r="Y52" i="15" a="1"/>
  <c r="Y52" i="15" s="1"/>
  <c r="X52" i="15" a="1"/>
  <c r="X52" i="15" s="1"/>
  <c r="Z80" i="15" a="1"/>
  <c r="Z80" i="15" s="1"/>
  <c r="Y80" i="15" a="1"/>
  <c r="Y80" i="15" s="1"/>
  <c r="X80" i="15" a="1"/>
  <c r="X80" i="15" s="1"/>
  <c r="W80" i="15" a="1"/>
  <c r="W80" i="15" s="1"/>
  <c r="V80" i="15" a="1"/>
  <c r="V80" i="15" s="1"/>
  <c r="U80" i="15" a="1"/>
  <c r="U80" i="15" s="1"/>
  <c r="H80" i="15" a="1"/>
  <c r="H80" i="15" s="1"/>
  <c r="G80" i="15" a="1"/>
  <c r="G80" i="15" s="1"/>
  <c r="F80" i="15" a="1"/>
  <c r="F80" i="15" s="1"/>
  <c r="E80" i="15" a="1"/>
  <c r="E80" i="15" s="1"/>
  <c r="D80" i="15" a="1"/>
  <c r="D80" i="15" s="1"/>
  <c r="C80" i="15" a="1"/>
  <c r="C80" i="15" s="1"/>
  <c r="Z79" i="15" a="1"/>
  <c r="Z79" i="15" s="1"/>
  <c r="Y79" i="15" a="1"/>
  <c r="Y79" i="15" s="1"/>
  <c r="X79" i="15" a="1"/>
  <c r="X79" i="15" s="1"/>
  <c r="W79" i="15" a="1"/>
  <c r="W79" i="15" s="1"/>
  <c r="V79" i="15" a="1"/>
  <c r="V79" i="15" s="1"/>
  <c r="U79" i="15" a="1"/>
  <c r="U79" i="15" s="1"/>
  <c r="H79" i="15" a="1"/>
  <c r="H79" i="15" s="1"/>
  <c r="G79" i="15" a="1"/>
  <c r="G79" i="15" s="1"/>
  <c r="F79" i="15" a="1"/>
  <c r="F79" i="15" s="1"/>
  <c r="E79" i="15" a="1"/>
  <c r="E79" i="15" s="1"/>
  <c r="D79" i="15" a="1"/>
  <c r="D79" i="15" s="1"/>
  <c r="C79" i="15" a="1"/>
  <c r="C79" i="15" s="1"/>
  <c r="Z78" i="15" a="1"/>
  <c r="Z78" i="15" s="1"/>
  <c r="Y78" i="15" a="1"/>
  <c r="Y78" i="15" s="1"/>
  <c r="X78" i="15" a="1"/>
  <c r="X78" i="15" s="1"/>
  <c r="W78" i="15" a="1"/>
  <c r="W78" i="15" s="1"/>
  <c r="V78" i="15" a="1"/>
  <c r="V78" i="15" s="1"/>
  <c r="U78" i="15" a="1"/>
  <c r="U78" i="15" s="1"/>
  <c r="H78" i="15" a="1"/>
  <c r="H78" i="15" s="1"/>
  <c r="G78" i="15" a="1"/>
  <c r="G78" i="15" s="1"/>
  <c r="F78" i="15" a="1"/>
  <c r="F78" i="15" s="1"/>
  <c r="E78" i="15" a="1"/>
  <c r="E78" i="15" s="1"/>
  <c r="D78" i="15" a="1"/>
  <c r="D78" i="15" s="1"/>
  <c r="C78" i="15" a="1"/>
  <c r="C78" i="15" s="1"/>
  <c r="Z77" i="15" a="1"/>
  <c r="Z77" i="15" s="1"/>
  <c r="Y77" i="15" a="1"/>
  <c r="Y77" i="15" s="1"/>
  <c r="X77" i="15" a="1"/>
  <c r="X77" i="15" s="1"/>
  <c r="W77" i="15" a="1"/>
  <c r="W77" i="15" s="1"/>
  <c r="V77" i="15" a="1"/>
  <c r="V77" i="15" s="1"/>
  <c r="U77" i="15" a="1"/>
  <c r="U77" i="15" s="1"/>
  <c r="W49" i="15" a="1"/>
  <c r="W49" i="15" s="1"/>
  <c r="V49" i="15" a="1"/>
  <c r="V49" i="15" s="1"/>
  <c r="U49" i="15" a="1"/>
  <c r="U49" i="15" s="1"/>
  <c r="H49" i="15" a="1"/>
  <c r="H49" i="15" s="1"/>
  <c r="G49" i="15" a="1"/>
  <c r="G49" i="15" s="1"/>
  <c r="F49" i="15" a="1"/>
  <c r="F49" i="15" s="1"/>
  <c r="E49" i="15" a="1"/>
  <c r="E49" i="15" s="1"/>
  <c r="D49" i="15" a="1"/>
  <c r="D49" i="15" s="1"/>
  <c r="C49" i="15" a="1"/>
  <c r="C49" i="15" s="1"/>
  <c r="Z48" i="15" a="1"/>
  <c r="Z48" i="15" s="1"/>
  <c r="Y48" i="15" a="1"/>
  <c r="Y48" i="15" s="1"/>
  <c r="X48" i="15" a="1"/>
  <c r="X48" i="15" s="1"/>
  <c r="W48" i="15" a="1"/>
  <c r="W48" i="15" s="1"/>
  <c r="V48" i="15" a="1"/>
  <c r="V48" i="15" s="1"/>
  <c r="U48" i="15" a="1"/>
  <c r="U48" i="15" s="1"/>
  <c r="H48" i="15" a="1"/>
  <c r="H48" i="15" s="1"/>
  <c r="G48" i="15" a="1"/>
  <c r="G48" i="15" s="1"/>
  <c r="F48" i="15" a="1"/>
  <c r="F48" i="15" s="1"/>
  <c r="E48" i="15" a="1"/>
  <c r="E48" i="15" s="1"/>
  <c r="D48" i="15" a="1"/>
  <c r="D48" i="15" s="1"/>
  <c r="C48" i="15" a="1"/>
  <c r="C48" i="15" s="1"/>
  <c r="Z47" i="15" a="1"/>
  <c r="Z47" i="15" s="1"/>
  <c r="Y47" i="15" a="1"/>
  <c r="Y47" i="15" s="1"/>
  <c r="X47" i="15" a="1"/>
  <c r="X47" i="15" s="1"/>
  <c r="W47" i="15" a="1"/>
  <c r="W47" i="15" s="1"/>
  <c r="V47" i="15" a="1"/>
  <c r="V47" i="15" s="1"/>
  <c r="U47" i="15" a="1"/>
  <c r="U47" i="15" s="1"/>
  <c r="H47" i="15" a="1"/>
  <c r="H47" i="15" s="1"/>
  <c r="G47" i="15" a="1"/>
  <c r="G47" i="15" s="1"/>
  <c r="F47" i="15" a="1"/>
  <c r="F47" i="15" s="1"/>
  <c r="E47" i="15" a="1"/>
  <c r="E47" i="15" s="1"/>
  <c r="D47" i="15" a="1"/>
  <c r="D47" i="15" s="1"/>
  <c r="C47" i="15" a="1"/>
  <c r="C47" i="15" s="1"/>
  <c r="Z46" i="15" a="1"/>
  <c r="Z46" i="15" s="1"/>
  <c r="Y46" i="15" a="1"/>
  <c r="Y46" i="15" s="1"/>
  <c r="X46" i="15" a="1"/>
  <c r="X46" i="15" s="1"/>
  <c r="W46" i="15" a="1"/>
  <c r="W46" i="15" s="1"/>
  <c r="V46" i="15" a="1"/>
  <c r="V46" i="15" s="1"/>
  <c r="U46" i="15" a="1"/>
  <c r="U46" i="15" s="1"/>
  <c r="H46" i="15" a="1"/>
  <c r="H46" i="15" s="1"/>
  <c r="G46" i="15" a="1"/>
  <c r="G46" i="15" s="1"/>
  <c r="F46" i="15" a="1"/>
  <c r="F46" i="15" s="1"/>
  <c r="E46" i="15" a="1"/>
  <c r="E46" i="15" s="1"/>
  <c r="D46" i="15" a="1"/>
  <c r="D46" i="15" s="1"/>
  <c r="C46" i="15" a="1"/>
  <c r="C46" i="15" s="1"/>
  <c r="Z45" i="15" a="1"/>
  <c r="Z45" i="15" s="1"/>
  <c r="Y45" i="15" a="1"/>
  <c r="Y45" i="15" s="1"/>
  <c r="X45" i="15" a="1"/>
  <c r="X45" i="15" s="1"/>
  <c r="H77" i="15" a="1"/>
  <c r="H77" i="15" s="1"/>
  <c r="G77" i="15" a="1"/>
  <c r="G77" i="15" s="1"/>
  <c r="F77" i="15" a="1"/>
  <c r="F77" i="15" s="1"/>
  <c r="E77" i="15" a="1"/>
  <c r="E77" i="15" s="1"/>
  <c r="D77" i="15" a="1"/>
  <c r="D77" i="15" s="1"/>
  <c r="C77" i="15" a="1"/>
  <c r="C77" i="15" s="1"/>
  <c r="Z76" i="15" a="1"/>
  <c r="Z76" i="15" s="1"/>
  <c r="Y76" i="15" a="1"/>
  <c r="Y76" i="15" s="1"/>
  <c r="X76" i="15" a="1"/>
  <c r="X76" i="15" s="1"/>
  <c r="W76" i="15" a="1"/>
  <c r="W76" i="15" s="1"/>
  <c r="V76" i="15" a="1"/>
  <c r="V76" i="15" s="1"/>
  <c r="U76" i="15" a="1"/>
  <c r="U76" i="15" s="1"/>
  <c r="H76" i="15" a="1"/>
  <c r="H76" i="15" s="1"/>
  <c r="G76" i="15" a="1"/>
  <c r="G76" i="15" s="1"/>
  <c r="F76" i="15" a="1"/>
  <c r="F76" i="15" s="1"/>
  <c r="E76" i="15" a="1"/>
  <c r="E76" i="15" s="1"/>
  <c r="D76" i="15" a="1"/>
  <c r="D76" i="15" s="1"/>
  <c r="C76" i="15" a="1"/>
  <c r="C76" i="15" s="1"/>
  <c r="Z75" i="15" a="1"/>
  <c r="Z75" i="15" s="1"/>
  <c r="Y75" i="15" a="1"/>
  <c r="Y75" i="15" s="1"/>
  <c r="X75" i="15" a="1"/>
  <c r="X75" i="15" s="1"/>
  <c r="W75" i="15" a="1"/>
  <c r="W75" i="15" s="1"/>
  <c r="V75" i="15" a="1"/>
  <c r="V75" i="15" s="1"/>
  <c r="U75" i="15" a="1"/>
  <c r="U75" i="15" s="1"/>
  <c r="H75" i="15" a="1"/>
  <c r="H75" i="15" s="1"/>
  <c r="G75" i="15" a="1"/>
  <c r="G75" i="15" s="1"/>
  <c r="F75" i="15" a="1"/>
  <c r="F75" i="15" s="1"/>
  <c r="E75" i="15" a="1"/>
  <c r="E75" i="15" s="1"/>
  <c r="D75" i="15" a="1"/>
  <c r="D75" i="15" s="1"/>
  <c r="C75" i="15" a="1"/>
  <c r="C75" i="15" s="1"/>
  <c r="Z74" i="15" a="1"/>
  <c r="Z74" i="15" s="1"/>
  <c r="Y74" i="15" a="1"/>
  <c r="Y74" i="15" s="1"/>
  <c r="W52" i="15" a="1"/>
  <c r="W52" i="15" s="1"/>
  <c r="V52" i="15" a="1"/>
  <c r="V52" i="15" s="1"/>
  <c r="U52" i="15" a="1"/>
  <c r="U52" i="15" s="1"/>
  <c r="H52" i="15" a="1"/>
  <c r="H52" i="15" s="1"/>
  <c r="G52" i="15" a="1"/>
  <c r="G52" i="15" s="1"/>
  <c r="F52" i="15" a="1"/>
  <c r="F52" i="15" s="1"/>
  <c r="E52" i="15" a="1"/>
  <c r="E52" i="15" s="1"/>
  <c r="D52" i="15" a="1"/>
  <c r="D52" i="15" s="1"/>
  <c r="C52" i="15" a="1"/>
  <c r="C52" i="15" s="1"/>
  <c r="Z51" i="15" a="1"/>
  <c r="Z51" i="15" s="1"/>
  <c r="Y51" i="15" a="1"/>
  <c r="Y51" i="15" s="1"/>
  <c r="X51" i="15" a="1"/>
  <c r="X51" i="15" s="1"/>
  <c r="W51" i="15" a="1"/>
  <c r="W51" i="15" s="1"/>
  <c r="V51" i="15" a="1"/>
  <c r="V51" i="15" s="1"/>
  <c r="U51" i="15" a="1"/>
  <c r="U51" i="15" s="1"/>
  <c r="H51" i="15" a="1"/>
  <c r="H51" i="15" s="1"/>
  <c r="G51" i="15" a="1"/>
  <c r="G51" i="15" s="1"/>
  <c r="F51" i="15" a="1"/>
  <c r="F51" i="15" s="1"/>
  <c r="E51" i="15" a="1"/>
  <c r="E51" i="15" s="1"/>
  <c r="D51" i="15" a="1"/>
  <c r="D51" i="15" s="1"/>
  <c r="C51" i="15" a="1"/>
  <c r="C51" i="15" s="1"/>
  <c r="Z50" i="15" a="1"/>
  <c r="Z50" i="15" s="1"/>
  <c r="Y50" i="15" a="1"/>
  <c r="Y50" i="15" s="1"/>
  <c r="X50" i="15" a="1"/>
  <c r="X50" i="15" s="1"/>
  <c r="W50" i="15" a="1"/>
  <c r="W50" i="15" s="1"/>
  <c r="V50" i="15" a="1"/>
  <c r="V50" i="15" s="1"/>
  <c r="U50" i="15" a="1"/>
  <c r="U50" i="15" s="1"/>
  <c r="H50" i="15" a="1"/>
  <c r="H50" i="15" s="1"/>
  <c r="G50" i="15" a="1"/>
  <c r="G50" i="15" s="1"/>
  <c r="F50" i="15" a="1"/>
  <c r="F50" i="15" s="1"/>
  <c r="E50" i="15" a="1"/>
  <c r="E50" i="15" s="1"/>
  <c r="D50" i="15" a="1"/>
  <c r="D50" i="15" s="1"/>
  <c r="C50" i="15" a="1"/>
  <c r="C50" i="15" s="1"/>
  <c r="Z49" i="15" a="1"/>
  <c r="Z49" i="15" s="1"/>
  <c r="Y49" i="15" a="1"/>
  <c r="Y49" i="15" s="1"/>
  <c r="X49" i="15" a="1"/>
  <c r="X49" i="15" s="1"/>
  <c r="X74" i="15" a="1"/>
  <c r="X74" i="15" s="1"/>
  <c r="W74" i="15" a="1"/>
  <c r="W74" i="15" s="1"/>
  <c r="V74" i="15" a="1"/>
  <c r="V74" i="15" s="1"/>
  <c r="U74" i="15" a="1"/>
  <c r="U74" i="15" s="1"/>
  <c r="H74" i="15" a="1"/>
  <c r="H74" i="15" s="1"/>
  <c r="G74" i="15" a="1"/>
  <c r="G74" i="15" s="1"/>
  <c r="F74" i="15" a="1"/>
  <c r="F74" i="15" s="1"/>
  <c r="E74" i="15" a="1"/>
  <c r="E74" i="15" s="1"/>
  <c r="D74" i="15" a="1"/>
  <c r="D74" i="15" s="1"/>
  <c r="C74" i="15" a="1"/>
  <c r="C74" i="15" s="1"/>
  <c r="Z73" i="15" a="1"/>
  <c r="Z73" i="15" s="1"/>
  <c r="Y73" i="15" a="1"/>
  <c r="Y73" i="15" s="1"/>
  <c r="X73" i="15" a="1"/>
  <c r="X73" i="15" s="1"/>
  <c r="W73" i="15" a="1"/>
  <c r="W73" i="15" s="1"/>
  <c r="V73" i="15" a="1"/>
  <c r="V73" i="15" s="1"/>
  <c r="U73" i="15" a="1"/>
  <c r="U73" i="15" s="1"/>
  <c r="H73" i="15" a="1"/>
  <c r="H73" i="15" s="1"/>
  <c r="G73" i="15" a="1"/>
  <c r="G73" i="15" s="1"/>
  <c r="F73" i="15" a="1"/>
  <c r="F73" i="15" s="1"/>
  <c r="E73" i="15" a="1"/>
  <c r="E73" i="15" s="1"/>
  <c r="D73" i="15" a="1"/>
  <c r="D73" i="15" s="1"/>
  <c r="C73" i="15" a="1"/>
  <c r="C73" i="15" s="1"/>
  <c r="Z72" i="15" a="1"/>
  <c r="Z72" i="15" s="1"/>
  <c r="Y72" i="15" a="1"/>
  <c r="Y72" i="15" s="1"/>
  <c r="X72" i="15" a="1"/>
  <c r="X72" i="15" s="1"/>
  <c r="W72" i="15" a="1"/>
  <c r="W72" i="15" s="1"/>
  <c r="V72" i="15" a="1"/>
  <c r="V72" i="15" s="1"/>
  <c r="U72" i="15" a="1"/>
  <c r="U72" i="15" s="1"/>
  <c r="H72" i="15" a="1"/>
  <c r="H72" i="15" s="1"/>
  <c r="G72" i="15" a="1"/>
  <c r="G72" i="15" s="1"/>
  <c r="F72" i="15" a="1"/>
  <c r="F72" i="15" s="1"/>
  <c r="E72" i="15" a="1"/>
  <c r="E72" i="15" s="1"/>
  <c r="D72" i="15" a="1"/>
  <c r="D72" i="15" s="1"/>
  <c r="C72" i="15" a="1"/>
  <c r="C72" i="15" s="1"/>
  <c r="Z71" i="15" a="1"/>
  <c r="Z71" i="15" s="1"/>
  <c r="Y71" i="15" a="1"/>
  <c r="Y71" i="15" s="1"/>
  <c r="X71" i="15" a="1"/>
  <c r="X71" i="15" s="1"/>
  <c r="W71" i="15" a="1"/>
  <c r="W71" i="15" s="1"/>
  <c r="V71" i="15" a="1"/>
  <c r="V71" i="15" s="1"/>
  <c r="U71" i="15" a="1"/>
  <c r="U71" i="15" s="1"/>
  <c r="H71" i="15" a="1"/>
  <c r="H71" i="15" s="1"/>
  <c r="G71" i="15" a="1"/>
  <c r="G71" i="15" s="1"/>
  <c r="F71" i="15" a="1"/>
  <c r="F71" i="15" s="1"/>
  <c r="E71" i="15" a="1"/>
  <c r="E71" i="15" s="1"/>
  <c r="D71" i="15" a="1"/>
  <c r="D71" i="15" s="1"/>
  <c r="C71" i="15" a="1"/>
  <c r="C71" i="15" s="1"/>
  <c r="Z70" i="15" a="1"/>
  <c r="Z70" i="15" s="1"/>
  <c r="Y70" i="15" a="1"/>
  <c r="Y70" i="15" s="1"/>
  <c r="X70" i="15" a="1"/>
  <c r="X70" i="15" s="1"/>
  <c r="W70" i="15" a="1"/>
  <c r="W70" i="15" s="1"/>
  <c r="V70" i="15" a="1"/>
  <c r="V70" i="15" s="1"/>
  <c r="U70" i="15" a="1"/>
  <c r="U70" i="15" s="1"/>
  <c r="H70" i="15" a="1"/>
  <c r="H70" i="15" s="1"/>
  <c r="G70" i="15" a="1"/>
  <c r="G70" i="15" s="1"/>
  <c r="F70" i="15" a="1"/>
  <c r="F70" i="15" s="1"/>
  <c r="E70" i="15" a="1"/>
  <c r="E70" i="15" s="1"/>
  <c r="D70" i="15" a="1"/>
  <c r="D70" i="15" s="1"/>
  <c r="C70" i="15" a="1"/>
  <c r="C70" i="15" s="1"/>
  <c r="Z69" i="15" a="1"/>
  <c r="Z69" i="15" s="1"/>
  <c r="Y69" i="15" a="1"/>
  <c r="Y69" i="15" s="1"/>
  <c r="X69" i="15" a="1"/>
  <c r="X69" i="15" s="1"/>
  <c r="W69" i="15" a="1"/>
  <c r="W69" i="15" s="1"/>
  <c r="V69" i="15" a="1"/>
  <c r="V69" i="15" s="1"/>
  <c r="U69" i="15" a="1"/>
  <c r="U69" i="15" s="1"/>
  <c r="H69" i="15" a="1"/>
  <c r="H69" i="15" s="1"/>
  <c r="G69" i="15" a="1"/>
  <c r="G69" i="15" s="1"/>
  <c r="F69" i="15" a="1"/>
  <c r="F69" i="15" s="1"/>
  <c r="E69" i="15" a="1"/>
  <c r="E69" i="15" s="1"/>
  <c r="D69" i="15" a="1"/>
  <c r="D69" i="15" s="1"/>
  <c r="C69" i="15" a="1"/>
  <c r="C69" i="15" s="1"/>
  <c r="Z68" i="15" a="1"/>
  <c r="Z68" i="15" s="1"/>
  <c r="Y68" i="15" a="1"/>
  <c r="Y68" i="15" s="1"/>
  <c r="X68" i="15" a="1"/>
  <c r="X68" i="15" s="1"/>
  <c r="W68" i="15" a="1"/>
  <c r="W68" i="15" s="1"/>
  <c r="V68" i="15" a="1"/>
  <c r="V68" i="15" s="1"/>
  <c r="U68" i="15" a="1"/>
  <c r="U68" i="15" s="1"/>
  <c r="H68" i="15" a="1"/>
  <c r="H68" i="15" s="1"/>
  <c r="G68" i="15" a="1"/>
  <c r="G68" i="15" s="1"/>
  <c r="F68" i="15" a="1"/>
  <c r="F68" i="15" s="1"/>
  <c r="E68" i="15" a="1"/>
  <c r="E68" i="15" s="1"/>
  <c r="D68" i="15" a="1"/>
  <c r="D68" i="15" s="1"/>
  <c r="C68" i="15" a="1"/>
  <c r="C68" i="15" s="1"/>
  <c r="Z67" i="15" a="1"/>
  <c r="Z67" i="15" s="1"/>
  <c r="Y67" i="15" a="1"/>
  <c r="Y67" i="15" s="1"/>
  <c r="X67" i="15" a="1"/>
  <c r="X67" i="15" s="1"/>
  <c r="W67" i="15" a="1"/>
  <c r="W67" i="15" s="1"/>
  <c r="V67" i="15" a="1"/>
  <c r="V67" i="15" s="1"/>
  <c r="U67" i="15" a="1"/>
  <c r="U67" i="15" s="1"/>
  <c r="H67" i="15" a="1"/>
  <c r="H67" i="15" s="1"/>
  <c r="G67" i="15" a="1"/>
  <c r="G67" i="15" s="1"/>
  <c r="F67" i="15" a="1"/>
  <c r="F67" i="15" s="1"/>
  <c r="E67" i="15" a="1"/>
  <c r="E67" i="15" s="1"/>
  <c r="D67" i="15" a="1"/>
  <c r="D67" i="15" s="1"/>
  <c r="C67" i="15" a="1"/>
  <c r="C67" i="15" s="1"/>
  <c r="Z66" i="15" a="1"/>
  <c r="Z66" i="15" s="1"/>
  <c r="Y66" i="15" a="1"/>
  <c r="Y66" i="15" s="1"/>
  <c r="X66" i="15" a="1"/>
  <c r="X66" i="15" s="1"/>
  <c r="W66" i="15" a="1"/>
  <c r="W66" i="15" s="1"/>
  <c r="V66" i="15" a="1"/>
  <c r="V66" i="15" s="1"/>
  <c r="U66" i="15" a="1"/>
  <c r="U66" i="15" s="1"/>
  <c r="W45" i="15" a="1"/>
  <c r="W45" i="15" s="1"/>
  <c r="V45" i="15" a="1"/>
  <c r="V45" i="15" s="1"/>
  <c r="U45" i="15" a="1"/>
  <c r="U45" i="15" s="1"/>
  <c r="H45" i="15" a="1"/>
  <c r="H45" i="15" s="1"/>
  <c r="G45" i="15" a="1"/>
  <c r="G45" i="15" s="1"/>
  <c r="F45" i="15" a="1"/>
  <c r="F45" i="15" s="1"/>
  <c r="E45" i="15" a="1"/>
  <c r="E45" i="15" s="1"/>
  <c r="D45" i="15" a="1"/>
  <c r="D45" i="15" s="1"/>
  <c r="C45" i="15" a="1"/>
  <c r="C45" i="15" s="1"/>
  <c r="Z44" i="15" a="1"/>
  <c r="Z44" i="15" s="1"/>
  <c r="Y44" i="15" a="1"/>
  <c r="Y44" i="15" s="1"/>
  <c r="X44" i="15" a="1"/>
  <c r="X44" i="15" s="1"/>
  <c r="W44" i="15" a="1"/>
  <c r="W44" i="15" s="1"/>
  <c r="V44" i="15" a="1"/>
  <c r="V44" i="15" s="1"/>
  <c r="U44" i="15" a="1"/>
  <c r="U44" i="15" s="1"/>
  <c r="H44" i="15" a="1"/>
  <c r="H44" i="15" s="1"/>
  <c r="G44" i="15" a="1"/>
  <c r="G44" i="15" s="1"/>
  <c r="F44" i="15" a="1"/>
  <c r="F44" i="15" s="1"/>
  <c r="E44" i="15" a="1"/>
  <c r="E44" i="15" s="1"/>
  <c r="D44" i="15" a="1"/>
  <c r="D44" i="15" s="1"/>
  <c r="C44" i="15" a="1"/>
  <c r="C44" i="15" s="1"/>
  <c r="Z43" i="15" a="1"/>
  <c r="Z43" i="15" s="1"/>
  <c r="Y43" i="15" a="1"/>
  <c r="Y43" i="15" s="1"/>
  <c r="X43" i="15" a="1"/>
  <c r="X43" i="15" s="1"/>
  <c r="W43" i="15" a="1"/>
  <c r="W43" i="15" s="1"/>
  <c r="V43" i="15" a="1"/>
  <c r="V43" i="15" s="1"/>
  <c r="U43" i="15" a="1"/>
  <c r="U43" i="15" s="1"/>
  <c r="H43" i="15" a="1"/>
  <c r="H43" i="15" s="1"/>
  <c r="G43" i="15" a="1"/>
  <c r="G43" i="15" s="1"/>
  <c r="F43" i="15" a="1"/>
  <c r="F43" i="15" s="1"/>
  <c r="E43" i="15" a="1"/>
  <c r="E43" i="15" s="1"/>
  <c r="D43" i="15" a="1"/>
  <c r="D43" i="15" s="1"/>
  <c r="C43" i="15" a="1"/>
  <c r="C43" i="15" s="1"/>
  <c r="Z42" i="15" a="1"/>
  <c r="Z42" i="15" s="1"/>
  <c r="Y42" i="15" a="1"/>
  <c r="Y42" i="15" s="1"/>
  <c r="X42" i="15" a="1"/>
  <c r="X42" i="15" s="1"/>
  <c r="F132" i="15" a="1"/>
  <c r="F132" i="15" s="1"/>
  <c r="E132" i="15" a="1"/>
  <c r="E132" i="15" s="1"/>
  <c r="D132" i="15" a="1"/>
  <c r="D132" i="15" s="1"/>
  <c r="C132" i="15" a="1"/>
  <c r="C132" i="15" s="1"/>
  <c r="Z131" i="15" a="1"/>
  <c r="Z131" i="15" s="1"/>
  <c r="Y131" i="15" a="1"/>
  <c r="Y131" i="15" s="1"/>
  <c r="X131" i="15" a="1"/>
  <c r="X131" i="15" s="1"/>
  <c r="W131" i="15" a="1"/>
  <c r="W131" i="15" s="1"/>
  <c r="V131" i="15" a="1"/>
  <c r="V131" i="15" s="1"/>
  <c r="U131" i="15" a="1"/>
  <c r="U131" i="15" s="1"/>
  <c r="H131" i="15" a="1"/>
  <c r="H131" i="15" s="1"/>
  <c r="G131" i="15" a="1"/>
  <c r="G131" i="15" s="1"/>
  <c r="F131" i="15" a="1"/>
  <c r="F131" i="15" s="1"/>
  <c r="E131" i="15" a="1"/>
  <c r="E131" i="15" s="1"/>
  <c r="D131" i="15" a="1"/>
  <c r="D131" i="15" s="1"/>
  <c r="C131" i="15" a="1"/>
  <c r="C131" i="15" s="1"/>
  <c r="Z130" i="15" a="1"/>
  <c r="Z130" i="15" s="1"/>
  <c r="X130" i="15" a="1"/>
  <c r="X130" i="15" s="1"/>
  <c r="W130" i="15" a="1"/>
  <c r="W130" i="15" s="1"/>
  <c r="H130" i="15" a="1"/>
  <c r="H130" i="15" s="1"/>
  <c r="F130" i="15" a="1"/>
  <c r="F130" i="15" s="1"/>
  <c r="E130" i="15" a="1"/>
  <c r="E130" i="15" s="1"/>
  <c r="Z129" i="15" a="1"/>
  <c r="Z129" i="15" s="1"/>
  <c r="Y129" i="15" a="1"/>
  <c r="Y129" i="15" s="1"/>
  <c r="X129" i="15" a="1"/>
  <c r="X129" i="15" s="1"/>
  <c r="W129" i="15" a="1"/>
  <c r="W129" i="15" s="1"/>
  <c r="V129" i="15" a="1"/>
  <c r="V129" i="15" s="1"/>
  <c r="H129" i="15" a="1"/>
  <c r="H129" i="15" s="1"/>
  <c r="G129" i="15" a="1"/>
  <c r="G129" i="15" s="1"/>
  <c r="F129" i="15" a="1"/>
  <c r="F129" i="15" s="1"/>
  <c r="E129" i="15" a="1"/>
  <c r="E129" i="15" s="1"/>
  <c r="D129" i="15" a="1"/>
  <c r="D129" i="15" s="1"/>
  <c r="Z118" i="15" a="1"/>
  <c r="Z118" i="15" s="1"/>
  <c r="Y118" i="15" a="1"/>
  <c r="Y118" i="15" s="1"/>
  <c r="X118" i="15" a="1"/>
  <c r="X118" i="15" s="1"/>
  <c r="W118" i="15" a="1"/>
  <c r="W118" i="15" s="1"/>
  <c r="V118" i="15" a="1"/>
  <c r="V118" i="15" s="1"/>
  <c r="U118" i="15" a="1"/>
  <c r="U118" i="15" s="1"/>
  <c r="Z24" i="15" a="1"/>
  <c r="Z24" i="15" s="1"/>
  <c r="Y24" i="15" a="1"/>
  <c r="Y24" i="15" s="1"/>
  <c r="X24" i="15" a="1"/>
  <c r="X24" i="15" s="1"/>
  <c r="W24" i="15" a="1"/>
  <c r="W24" i="15" s="1"/>
  <c r="V24" i="15" a="1"/>
  <c r="V24" i="15" s="1"/>
  <c r="U24" i="15" a="1"/>
  <c r="U24" i="15" s="1"/>
  <c r="H24" i="15" a="1"/>
  <c r="H24" i="15" s="1"/>
  <c r="G24" i="15" a="1"/>
  <c r="G24" i="15" s="1"/>
  <c r="F24" i="15" a="1"/>
  <c r="F24" i="15" s="1"/>
  <c r="E24" i="15" a="1"/>
  <c r="E24" i="15" s="1"/>
  <c r="D24" i="15" a="1"/>
  <c r="D24" i="15" s="1"/>
  <c r="C24" i="15" a="1"/>
  <c r="C24" i="15" s="1"/>
  <c r="Z23" i="15" a="1"/>
  <c r="Z23" i="15" s="1"/>
  <c r="Y23" i="15" a="1"/>
  <c r="Y23" i="15" s="1"/>
  <c r="X23" i="15" a="1"/>
  <c r="X23" i="15" s="1"/>
  <c r="W23" i="15" a="1"/>
  <c r="W23" i="15" s="1"/>
  <c r="V23" i="15" a="1"/>
  <c r="V23" i="15" s="1"/>
  <c r="U23" i="15" a="1"/>
  <c r="U23" i="15" s="1"/>
  <c r="H23" i="15" a="1"/>
  <c r="H23" i="15" s="1"/>
  <c r="G23" i="15" a="1"/>
  <c r="G23" i="15" s="1"/>
  <c r="F23" i="15" a="1"/>
  <c r="F23" i="15" s="1"/>
  <c r="E23" i="15" a="1"/>
  <c r="E23" i="15" s="1"/>
  <c r="D23" i="15" a="1"/>
  <c r="D23" i="15" s="1"/>
  <c r="C23" i="15" a="1"/>
  <c r="C23" i="15" s="1"/>
  <c r="Z22" i="15" a="1"/>
  <c r="Z22" i="15" s="1"/>
  <c r="Y22" i="15" a="1"/>
  <c r="Y22" i="15" s="1"/>
  <c r="X22" i="15" a="1"/>
  <c r="X22" i="15" s="1"/>
  <c r="W22" i="15" a="1"/>
  <c r="W22" i="15" s="1"/>
  <c r="V22" i="15" a="1"/>
  <c r="V22" i="15" s="1"/>
  <c r="U22" i="15" a="1"/>
  <c r="U22" i="15" s="1"/>
  <c r="H22" i="15" a="1"/>
  <c r="H22" i="15" s="1"/>
  <c r="G22" i="15" a="1"/>
  <c r="G22" i="15" s="1"/>
  <c r="F22" i="15" a="1"/>
  <c r="F22" i="15" s="1"/>
  <c r="E22" i="15" a="1"/>
  <c r="E22" i="15" s="1"/>
  <c r="D22" i="15" a="1"/>
  <c r="D22" i="15" s="1"/>
  <c r="C22" i="15" a="1"/>
  <c r="C22" i="15" s="1"/>
  <c r="Z21" i="15" a="1"/>
  <c r="Z21" i="15" s="1"/>
  <c r="Y21" i="15" a="1"/>
  <c r="Y21" i="15" s="1"/>
  <c r="X21" i="15" a="1"/>
  <c r="X21" i="15" s="1"/>
  <c r="W21" i="15" a="1"/>
  <c r="W21" i="15" s="1"/>
  <c r="V21" i="15" a="1"/>
  <c r="V21" i="15" s="1"/>
  <c r="U21" i="15" a="1"/>
  <c r="U21" i="15" s="1"/>
  <c r="H21" i="15" a="1"/>
  <c r="H21" i="15" s="1"/>
  <c r="G21" i="15" a="1"/>
  <c r="G21" i="15" s="1"/>
  <c r="F21" i="15" a="1"/>
  <c r="F21" i="15" s="1"/>
  <c r="E21" i="15" a="1"/>
  <c r="E21" i="15" s="1"/>
  <c r="D21" i="15" a="1"/>
  <c r="D21" i="15" s="1"/>
  <c r="C21" i="15" a="1"/>
  <c r="C21" i="15" s="1"/>
  <c r="Z20" i="15" a="1"/>
  <c r="Z20" i="15" s="1"/>
  <c r="Y20" i="15" a="1"/>
  <c r="Y20" i="15" s="1"/>
  <c r="X20" i="15" a="1"/>
  <c r="X20" i="15" s="1"/>
  <c r="W20" i="15" a="1"/>
  <c r="W20" i="15" s="1"/>
  <c r="V20" i="15" a="1"/>
  <c r="V20" i="15" s="1"/>
  <c r="U20" i="15" a="1"/>
  <c r="U20" i="15" s="1"/>
  <c r="H20" i="15" a="1"/>
  <c r="H20" i="15" s="1"/>
  <c r="G20" i="15" a="1"/>
  <c r="G20" i="15" s="1"/>
  <c r="F20" i="15" a="1"/>
  <c r="F20" i="15" s="1"/>
  <c r="E20" i="15" a="1"/>
  <c r="E20" i="15" s="1"/>
  <c r="D20" i="15" a="1"/>
  <c r="D20" i="15" s="1"/>
  <c r="C20" i="15" a="1"/>
  <c r="C20" i="15" s="1"/>
  <c r="Z19" i="15" a="1"/>
  <c r="Z19" i="15" s="1"/>
  <c r="Y19" i="15" a="1"/>
  <c r="Y19" i="15" s="1"/>
  <c r="X19" i="15" a="1"/>
  <c r="X19" i="15" s="1"/>
  <c r="W19" i="15" a="1"/>
  <c r="W19" i="15" s="1"/>
  <c r="V19" i="15" a="1"/>
  <c r="V19" i="15" s="1"/>
  <c r="H19" i="15" a="1"/>
  <c r="H19" i="15" s="1"/>
  <c r="G19" i="15" a="1"/>
  <c r="G19" i="15" s="1"/>
  <c r="F19" i="15" a="1"/>
  <c r="F19" i="15" s="1"/>
  <c r="E19" i="15" a="1"/>
  <c r="E19" i="15" s="1"/>
  <c r="D19" i="15" a="1"/>
  <c r="D19" i="15" s="1"/>
  <c r="Z18" i="15" a="1"/>
  <c r="Z18" i="15" s="1"/>
  <c r="Y18" i="15" a="1"/>
  <c r="Y18" i="15" s="1"/>
  <c r="X18" i="15" a="1"/>
  <c r="X18" i="15" s="1"/>
  <c r="W18" i="15" a="1"/>
  <c r="W18" i="15" s="1"/>
  <c r="V18" i="15" a="1"/>
  <c r="V18" i="15" s="1"/>
  <c r="U18" i="15" a="1"/>
  <c r="U18" i="15" s="1"/>
  <c r="H18" i="15" a="1"/>
  <c r="H18" i="15" s="1"/>
  <c r="G18" i="15" a="1"/>
  <c r="G18" i="15" s="1"/>
  <c r="F18" i="15" a="1"/>
  <c r="F18" i="15" s="1"/>
  <c r="E18" i="15" a="1"/>
  <c r="E18" i="15" s="1"/>
  <c r="D18" i="15" a="1"/>
  <c r="D18" i="15" s="1"/>
  <c r="C18" i="15" a="1"/>
  <c r="C18" i="15" s="1"/>
  <c r="Z17" i="15" a="1"/>
  <c r="Z17" i="15" s="1"/>
  <c r="Y17" i="15" a="1"/>
  <c r="Y17" i="15" s="1"/>
  <c r="X17" i="15" a="1"/>
  <c r="X17" i="15" s="1"/>
  <c r="W17" i="15" a="1"/>
  <c r="W17" i="15" s="1"/>
  <c r="V17" i="15" a="1"/>
  <c r="V17" i="15" s="1"/>
  <c r="U17" i="15" a="1"/>
  <c r="U17" i="15" s="1"/>
  <c r="H36" i="15" a="1"/>
  <c r="H36" i="15" s="1"/>
  <c r="G36" i="15" a="1"/>
  <c r="G36" i="15" s="1"/>
  <c r="F36" i="15" a="1"/>
  <c r="F36" i="15" s="1"/>
  <c r="E36" i="15" a="1"/>
  <c r="E36" i="15" s="1"/>
  <c r="D36" i="15" a="1"/>
  <c r="D36" i="15" s="1"/>
  <c r="C36" i="15" a="1"/>
  <c r="C36" i="15" s="1"/>
  <c r="Z35" i="15" a="1"/>
  <c r="Z35" i="15" s="1"/>
  <c r="Y35" i="15" a="1"/>
  <c r="Y35" i="15" s="1"/>
  <c r="X35" i="15" a="1"/>
  <c r="X35" i="15" s="1"/>
  <c r="W35" i="15" a="1"/>
  <c r="W35" i="15" s="1"/>
  <c r="V35" i="15" a="1"/>
  <c r="V35" i="15" s="1"/>
  <c r="U35" i="15" a="1"/>
  <c r="U35" i="15" s="1"/>
  <c r="H35" i="15" a="1"/>
  <c r="H35" i="15" s="1"/>
  <c r="G35" i="15" a="1"/>
  <c r="G35" i="15" s="1"/>
  <c r="F35" i="15" a="1"/>
  <c r="F35" i="15" s="1"/>
  <c r="E35" i="15" a="1"/>
  <c r="E35" i="15" s="1"/>
  <c r="D35" i="15" a="1"/>
  <c r="D35" i="15" s="1"/>
  <c r="C35" i="15" a="1"/>
  <c r="C35" i="15" s="1"/>
  <c r="H17" i="15" a="1"/>
  <c r="H17" i="15" s="1"/>
  <c r="G17" i="15" a="1"/>
  <c r="G17" i="15" s="1"/>
  <c r="F17" i="15" a="1"/>
  <c r="F17" i="15" s="1"/>
  <c r="E17" i="15" a="1"/>
  <c r="E17" i="15" s="1"/>
  <c r="D17" i="15" a="1"/>
  <c r="D17" i="15" s="1"/>
  <c r="C17" i="15" a="1"/>
  <c r="C17" i="15" s="1"/>
  <c r="K336" i="15" s="1"/>
  <c r="P336" i="15" s="1" a="1"/>
  <c r="P336" i="15" s="1"/>
  <c r="Z16" i="15" a="1"/>
  <c r="Z16" i="15" s="1"/>
  <c r="Y16" i="15" a="1"/>
  <c r="Y16" i="15" s="1"/>
  <c r="X16" i="15" a="1"/>
  <c r="X16" i="15" s="1"/>
  <c r="W16" i="15" a="1"/>
  <c r="W16" i="15" s="1"/>
  <c r="V16" i="15" a="1"/>
  <c r="V16" i="15" s="1"/>
  <c r="U16" i="15" a="1"/>
  <c r="U16" i="15" s="1"/>
  <c r="H16" i="15" a="1"/>
  <c r="H16" i="15" s="1"/>
  <c r="G16" i="15" a="1"/>
  <c r="G16" i="15" s="1"/>
  <c r="F16" i="15" a="1"/>
  <c r="F16" i="15" s="1"/>
  <c r="E16" i="15" a="1"/>
  <c r="E16" i="15" s="1"/>
  <c r="D16" i="15" a="1"/>
  <c r="D16" i="15" s="1"/>
  <c r="C16" i="15" a="1"/>
  <c r="C16" i="15" s="1"/>
  <c r="Z15" i="15" a="1"/>
  <c r="Z15" i="15" s="1"/>
  <c r="Y15" i="15" a="1"/>
  <c r="Y15" i="15" s="1"/>
  <c r="X15" i="15" a="1"/>
  <c r="X15" i="15" s="1"/>
  <c r="W15" i="15" a="1"/>
  <c r="W15" i="15" s="1"/>
  <c r="V15" i="15" a="1"/>
  <c r="V15" i="15" s="1"/>
  <c r="U15" i="15" a="1"/>
  <c r="U15" i="15" s="1"/>
  <c r="H15" i="15" a="1"/>
  <c r="H15" i="15" s="1"/>
  <c r="G15" i="15" a="1"/>
  <c r="G15" i="15" s="1"/>
  <c r="F15" i="15" a="1"/>
  <c r="F15" i="15" s="1"/>
  <c r="E15" i="15" a="1"/>
  <c r="E15" i="15" s="1"/>
  <c r="D15" i="15" a="1"/>
  <c r="D15" i="15" s="1"/>
  <c r="C15" i="15" a="1"/>
  <c r="C15" i="15" s="1"/>
  <c r="Z14" i="15" a="1"/>
  <c r="Z14" i="15" s="1"/>
  <c r="Y14" i="15" a="1"/>
  <c r="Y14" i="15" s="1"/>
  <c r="X14" i="15" a="1"/>
  <c r="X14" i="15" s="1"/>
  <c r="W14" i="15" a="1"/>
  <c r="W14" i="15" s="1"/>
  <c r="V14" i="15" a="1"/>
  <c r="V14" i="15" s="1"/>
  <c r="U14" i="15" a="1"/>
  <c r="U14" i="15" s="1"/>
  <c r="H14" i="15" a="1"/>
  <c r="H14" i="15" s="1"/>
  <c r="G14" i="15" a="1"/>
  <c r="G14" i="15" s="1"/>
  <c r="F14" i="15" a="1"/>
  <c r="F14" i="15" s="1"/>
  <c r="E14" i="15" a="1"/>
  <c r="E14" i="15" s="1"/>
  <c r="D14" i="15" a="1"/>
  <c r="D14" i="15" s="1"/>
  <c r="C14" i="15" a="1"/>
  <c r="C14" i="15" s="1"/>
  <c r="Z13" i="15" a="1"/>
  <c r="Z13" i="15" s="1"/>
  <c r="Y13" i="15" a="1"/>
  <c r="Y13" i="15" s="1"/>
  <c r="X13" i="15" a="1"/>
  <c r="X13" i="15" s="1"/>
  <c r="W13" i="15" a="1"/>
  <c r="W13" i="15" s="1"/>
  <c r="V13" i="15" a="1"/>
  <c r="V13" i="15" s="1"/>
  <c r="U13" i="15" a="1"/>
  <c r="U13" i="15" s="1"/>
  <c r="H13" i="15" a="1"/>
  <c r="H13" i="15" s="1"/>
  <c r="G13" i="15" a="1"/>
  <c r="G13" i="15" s="1"/>
  <c r="F13" i="15" a="1"/>
  <c r="F13" i="15" s="1"/>
  <c r="E13" i="15" a="1"/>
  <c r="E13" i="15" s="1"/>
  <c r="D13" i="15" a="1"/>
  <c r="D13" i="15" s="1"/>
  <c r="C13" i="15" a="1"/>
  <c r="C13" i="15" s="1"/>
  <c r="Z12" i="15" a="1"/>
  <c r="Z12" i="15" s="1"/>
  <c r="Y12" i="15" a="1"/>
  <c r="Y12" i="15" s="1"/>
  <c r="X12" i="15" a="1"/>
  <c r="X12" i="15" s="1"/>
  <c r="W12" i="15" a="1"/>
  <c r="W12" i="15" s="1"/>
  <c r="V12" i="15" a="1"/>
  <c r="V12" i="15" s="1"/>
  <c r="U12" i="15" a="1"/>
  <c r="U12" i="15" s="1"/>
  <c r="H12" i="15" a="1"/>
  <c r="H12" i="15" s="1"/>
  <c r="G12" i="15" a="1"/>
  <c r="G12" i="15" s="1"/>
  <c r="F12" i="15" a="1"/>
  <c r="F12" i="15" s="1"/>
  <c r="E12" i="15" a="1"/>
  <c r="E12" i="15" s="1"/>
  <c r="D12" i="15" a="1"/>
  <c r="D12" i="15" s="1"/>
  <c r="C12" i="15" a="1"/>
  <c r="C12" i="15" s="1"/>
  <c r="Z11" i="15" a="1"/>
  <c r="Z11" i="15" s="1"/>
  <c r="Y11" i="15" a="1"/>
  <c r="Y11" i="15" s="1"/>
  <c r="X11" i="15" a="1"/>
  <c r="X11" i="15" s="1"/>
  <c r="W11" i="15" a="1"/>
  <c r="W11" i="15" s="1"/>
  <c r="V11" i="15" a="1"/>
  <c r="V11" i="15" s="1"/>
  <c r="U11" i="15" a="1"/>
  <c r="U11" i="15" s="1"/>
  <c r="H11" i="15" a="1"/>
  <c r="H11" i="15" s="1"/>
  <c r="G11" i="15" a="1"/>
  <c r="G11" i="15" s="1"/>
  <c r="F11" i="15" a="1"/>
  <c r="F11" i="15" s="1"/>
  <c r="E11" i="15" a="1"/>
  <c r="E11" i="15" s="1"/>
  <c r="D11" i="15" a="1"/>
  <c r="D11" i="15" s="1"/>
  <c r="C11" i="15" a="1"/>
  <c r="C11" i="15" s="1"/>
  <c r="Z10" i="15" a="1"/>
  <c r="Z10" i="15" s="1"/>
  <c r="Y10" i="15" a="1"/>
  <c r="Y10" i="15" s="1"/>
  <c r="X10" i="15" a="1"/>
  <c r="X10" i="15" s="1"/>
  <c r="W10" i="15" a="1"/>
  <c r="W10" i="15" s="1"/>
  <c r="V10" i="15" a="1"/>
  <c r="V10" i="15" s="1"/>
  <c r="U10" i="15" a="1"/>
  <c r="U10" i="15" s="1"/>
  <c r="H10" i="15" a="1"/>
  <c r="H10" i="15" s="1"/>
  <c r="G10" i="15" a="1"/>
  <c r="G10" i="15" s="1"/>
  <c r="F10" i="15" a="1"/>
  <c r="F10" i="15" s="1"/>
  <c r="E10" i="15" a="1"/>
  <c r="E10" i="15" s="1"/>
  <c r="D10" i="15" a="1"/>
  <c r="D10" i="15" s="1"/>
  <c r="C10" i="15" a="1"/>
  <c r="C10" i="15" s="1"/>
  <c r="Z9" i="15" a="1"/>
  <c r="Z9" i="15" s="1"/>
  <c r="Y9" i="15" a="1"/>
  <c r="Y9" i="15" s="1"/>
  <c r="X9" i="15" a="1"/>
  <c r="X9" i="15" s="1"/>
  <c r="W9" i="15" a="1"/>
  <c r="W9" i="15" s="1"/>
  <c r="V9" i="15" a="1"/>
  <c r="V9" i="15" s="1"/>
  <c r="U9" i="15" a="1"/>
  <c r="U9" i="15" s="1"/>
  <c r="H9" i="15" a="1"/>
  <c r="H9" i="15" s="1"/>
  <c r="G9" i="15" a="1"/>
  <c r="G9" i="15" s="1"/>
  <c r="F9" i="15" a="1"/>
  <c r="F9" i="15" s="1"/>
  <c r="E9" i="15" a="1"/>
  <c r="E9" i="15" s="1"/>
  <c r="D9" i="15" a="1"/>
  <c r="D9" i="15" s="1"/>
  <c r="C9" i="15" a="1"/>
  <c r="C9" i="15" s="1"/>
  <c r="Z8" i="15" a="1"/>
  <c r="Z8" i="15" s="1"/>
  <c r="Y8" i="15" a="1"/>
  <c r="Y8" i="15" s="1"/>
  <c r="X8" i="15" a="1"/>
  <c r="X8" i="15" s="1"/>
  <c r="W8" i="15" a="1"/>
  <c r="W8" i="15" s="1"/>
  <c r="V8" i="15" a="1"/>
  <c r="V8" i="15" s="1"/>
  <c r="H8" i="15" a="1"/>
  <c r="H8" i="15" s="1"/>
  <c r="G8" i="15" a="1"/>
  <c r="G8" i="15" s="1"/>
  <c r="F8" i="15" a="1"/>
  <c r="F8" i="15" s="1"/>
  <c r="E8" i="15" a="1"/>
  <c r="E8" i="15" s="1"/>
  <c r="D8" i="15" a="1"/>
  <c r="D8" i="15" s="1"/>
  <c r="Z7" i="15" a="1"/>
  <c r="Z7" i="15" s="1"/>
  <c r="Y7" i="15" a="1"/>
  <c r="Y7" i="15" s="1"/>
  <c r="X7" i="15" a="1"/>
  <c r="X7" i="15" s="1"/>
  <c r="W7" i="15" a="1"/>
  <c r="W7" i="15" s="1"/>
  <c r="V7" i="15" a="1"/>
  <c r="V7" i="15" s="1"/>
  <c r="U7" i="15" a="1"/>
  <c r="U7" i="15" s="1"/>
  <c r="H40" i="15" a="1"/>
  <c r="H40" i="15" s="1"/>
  <c r="G40" i="15" a="1"/>
  <c r="G40" i="15" s="1"/>
  <c r="F40" i="15" a="1"/>
  <c r="F40" i="15" s="1"/>
  <c r="E40" i="15" a="1"/>
  <c r="E40" i="15" s="1"/>
  <c r="D40" i="15" a="1"/>
  <c r="D40" i="15" s="1"/>
  <c r="C40" i="15" a="1"/>
  <c r="C40" i="15" s="1"/>
  <c r="Z39" i="15" a="1"/>
  <c r="Z39" i="15" s="1"/>
  <c r="Y39" i="15" a="1"/>
  <c r="Y39" i="15" s="1"/>
  <c r="X39" i="15" a="1"/>
  <c r="X39" i="15" s="1"/>
  <c r="W39" i="15" a="1"/>
  <c r="W39" i="15" s="1"/>
  <c r="V39" i="15" a="1"/>
  <c r="V39" i="15" s="1"/>
  <c r="U39" i="15" a="1"/>
  <c r="U39" i="15" s="1"/>
  <c r="H39" i="15" a="1"/>
  <c r="H39" i="15" s="1"/>
  <c r="G39" i="15" a="1"/>
  <c r="G39" i="15" s="1"/>
  <c r="F39" i="15" a="1"/>
  <c r="F39" i="15" s="1"/>
  <c r="E39" i="15" a="1"/>
  <c r="E39" i="15" s="1"/>
  <c r="D39" i="15" a="1"/>
  <c r="D39" i="15" s="1"/>
  <c r="C39" i="15" a="1"/>
  <c r="C39" i="15" s="1"/>
  <c r="Z38" i="15" a="1"/>
  <c r="Z38" i="15" s="1"/>
  <c r="Y38" i="15" a="1"/>
  <c r="Y38" i="15" s="1"/>
  <c r="X38" i="15" a="1"/>
  <c r="X38" i="15" s="1"/>
  <c r="W38" i="15" a="1"/>
  <c r="W38" i="15" s="1"/>
  <c r="V38" i="15" a="1"/>
  <c r="V38" i="15" s="1"/>
  <c r="U38" i="15" a="1"/>
  <c r="U38" i="15" s="1"/>
  <c r="H38" i="15" a="1"/>
  <c r="H38" i="15" s="1"/>
  <c r="G38" i="15" a="1"/>
  <c r="G38" i="15" s="1"/>
  <c r="F38" i="15" a="1"/>
  <c r="F38" i="15" s="1"/>
  <c r="E38" i="15" a="1"/>
  <c r="E38" i="15" s="1"/>
  <c r="D38" i="15" a="1"/>
  <c r="D38" i="15" s="1"/>
  <c r="C38" i="15" a="1"/>
  <c r="C38" i="15" s="1"/>
  <c r="Z37" i="15" a="1"/>
  <c r="Z37" i="15" s="1"/>
  <c r="Y37" i="15" a="1"/>
  <c r="Y37" i="15" s="1"/>
  <c r="X37" i="15" a="1"/>
  <c r="X37" i="15" s="1"/>
  <c r="W37" i="15" a="1"/>
  <c r="W37" i="15" s="1"/>
  <c r="V37" i="15" a="1"/>
  <c r="V37" i="15" s="1"/>
  <c r="U37" i="15" a="1"/>
  <c r="U37" i="15" s="1"/>
  <c r="H37" i="15" a="1"/>
  <c r="H37" i="15" s="1"/>
  <c r="G37" i="15" a="1"/>
  <c r="G37" i="15" s="1"/>
  <c r="F37" i="15" a="1"/>
  <c r="F37" i="15" s="1"/>
  <c r="E37" i="15" a="1"/>
  <c r="E37" i="15" s="1"/>
  <c r="D37" i="15" a="1"/>
  <c r="D37" i="15" s="1"/>
  <c r="C37" i="15" a="1"/>
  <c r="C37" i="15" s="1"/>
  <c r="Z36" i="15" a="1"/>
  <c r="Z36" i="15" s="1"/>
  <c r="Y36" i="15" a="1"/>
  <c r="Y36" i="15" s="1"/>
  <c r="X36" i="15" a="1"/>
  <c r="X36" i="15" s="1"/>
  <c r="W36" i="15" a="1"/>
  <c r="W36" i="15" s="1"/>
  <c r="V36" i="15" a="1"/>
  <c r="V36" i="15" s="1"/>
  <c r="U36" i="15" a="1"/>
  <c r="U36" i="15" s="1"/>
  <c r="H7" i="15" a="1"/>
  <c r="H7" i="15" s="1"/>
  <c r="G7" i="15" a="1"/>
  <c r="G7" i="15" s="1"/>
  <c r="F7" i="15" a="1"/>
  <c r="F7" i="15" s="1"/>
  <c r="E7" i="15" a="1"/>
  <c r="E7" i="15" s="1"/>
  <c r="D7" i="15" a="1"/>
  <c r="D7" i="15" s="1"/>
  <c r="C7" i="15" a="1"/>
  <c r="C7" i="15" s="1"/>
  <c r="W42" i="15" a="1"/>
  <c r="W42" i="15" s="1"/>
  <c r="V42" i="15" a="1"/>
  <c r="V42" i="15" s="1"/>
  <c r="U42" i="15" a="1"/>
  <c r="U42" i="15" s="1"/>
  <c r="H42" i="15" a="1"/>
  <c r="H42" i="15" s="1"/>
  <c r="G42" i="15" a="1"/>
  <c r="G42" i="15" s="1"/>
  <c r="F42" i="15" a="1"/>
  <c r="F42" i="15" s="1"/>
  <c r="E42" i="15" a="1"/>
  <c r="E42" i="15" s="1"/>
  <c r="D42" i="15" a="1"/>
  <c r="D42" i="15" s="1"/>
  <c r="C42" i="15" a="1"/>
  <c r="C42" i="15" s="1"/>
  <c r="Z41" i="15" a="1"/>
  <c r="Z41" i="15" s="1"/>
  <c r="Y41" i="15" a="1"/>
  <c r="Y41" i="15" s="1"/>
  <c r="X41" i="15" a="1"/>
  <c r="X41" i="15" s="1"/>
  <c r="W41" i="15" a="1"/>
  <c r="W41" i="15" s="1"/>
  <c r="V41" i="15" a="1"/>
  <c r="V41" i="15" s="1"/>
  <c r="U41" i="15" a="1"/>
  <c r="U41" i="15" s="1"/>
  <c r="H41" i="15" a="1"/>
  <c r="H41" i="15" s="1"/>
  <c r="G41" i="15" a="1"/>
  <c r="G41" i="15" s="1"/>
  <c r="F41" i="15" a="1"/>
  <c r="F41" i="15" s="1"/>
  <c r="E41" i="15" a="1"/>
  <c r="E41" i="15" s="1"/>
  <c r="D41" i="15" a="1"/>
  <c r="D41" i="15" s="1"/>
  <c r="C41" i="15" a="1"/>
  <c r="C41" i="15" s="1"/>
  <c r="Z40" i="15" a="1"/>
  <c r="Z40" i="15" s="1"/>
  <c r="Y40" i="15" a="1"/>
  <c r="Y40" i="15" s="1"/>
  <c r="X40" i="15" a="1"/>
  <c r="X40" i="15" s="1"/>
  <c r="W40" i="15" a="1"/>
  <c r="W40" i="15" s="1"/>
  <c r="V40" i="15" a="1"/>
  <c r="V40" i="15" s="1"/>
  <c r="U40" i="15" a="1"/>
  <c r="U40" i="15" s="1"/>
  <c r="C102" i="15" a="1"/>
  <c r="C102" i="15" s="1"/>
  <c r="U8" i="15" a="1"/>
  <c r="U8" i="15" s="1"/>
  <c r="U129" i="15" a="1"/>
  <c r="U129" i="15" s="1"/>
  <c r="W169" i="15" a="1"/>
  <c r="W169" i="15" s="1"/>
  <c r="E169" i="15" a="1"/>
  <c r="E169" i="15" s="1"/>
  <c r="C129" i="15" a="1"/>
  <c r="C129" i="15" s="1"/>
  <c r="U254" i="15" a="1"/>
  <c r="U254" i="15" s="1"/>
  <c r="C254" i="15" a="1"/>
  <c r="C254" i="15" s="1"/>
  <c r="V252" i="15" a="1"/>
  <c r="V252" i="15" s="1"/>
  <c r="D252" i="15" a="1"/>
  <c r="D252" i="15" s="1"/>
  <c r="U102" i="15" a="1"/>
  <c r="U102" i="15" s="1"/>
  <c r="C130" i="15" a="1"/>
  <c r="C130" i="15" s="1"/>
  <c r="C8" i="15" a="1"/>
  <c r="C8" i="15" s="1"/>
  <c r="C252" i="15" a="1"/>
  <c r="C252" i="15" s="1"/>
  <c r="U252" i="15" a="1"/>
  <c r="U252" i="15" s="1"/>
  <c r="X134" i="15" a="1"/>
  <c r="X134" i="15" s="1"/>
  <c r="F134" i="15" a="1"/>
  <c r="F134" i="15" s="1"/>
  <c r="U134" i="15" a="1"/>
  <c r="U134" i="15" s="1"/>
  <c r="C134" i="15" a="1"/>
  <c r="C134" i="15" s="1"/>
  <c r="Q241" i="15" a="1"/>
  <c r="Q241" i="15" s="1"/>
  <c r="P241" i="15" a="1"/>
  <c r="P241" i="15" s="1"/>
  <c r="O241" i="15" a="1"/>
  <c r="O241" i="15" s="1"/>
  <c r="N241" i="15" a="1"/>
  <c r="N241" i="15" s="1"/>
  <c r="M241" i="15" a="1"/>
  <c r="M241" i="15" s="1"/>
  <c r="L241" i="15" a="1"/>
  <c r="L241" i="15" s="1"/>
  <c r="Q240" i="15" a="1"/>
  <c r="Q240" i="15" s="1"/>
  <c r="P240" i="15" a="1"/>
  <c r="P240" i="15" s="1"/>
  <c r="O240" i="15" a="1"/>
  <c r="O240" i="15" s="1"/>
  <c r="N240" i="15" a="1"/>
  <c r="N240" i="15" s="1"/>
  <c r="M240" i="15" a="1"/>
  <c r="M240" i="15" s="1"/>
  <c r="L240" i="15" a="1"/>
  <c r="L240" i="15" s="1"/>
  <c r="Q239" i="15" a="1"/>
  <c r="Q239" i="15" s="1"/>
  <c r="P239" i="15" a="1"/>
  <c r="P239" i="15" s="1"/>
  <c r="O239" i="15" a="1"/>
  <c r="O239" i="15" s="1"/>
  <c r="N239" i="15" a="1"/>
  <c r="N239" i="15" s="1"/>
  <c r="M239" i="15" a="1"/>
  <c r="M239" i="15" s="1"/>
  <c r="L239" i="15" a="1"/>
  <c r="L239" i="15" s="1"/>
  <c r="Q238" i="15" a="1"/>
  <c r="Q238" i="15" s="1"/>
  <c r="P238" i="15" a="1"/>
  <c r="P238" i="15" s="1"/>
  <c r="O238" i="15" a="1"/>
  <c r="O238" i="15" s="1"/>
  <c r="N238" i="15" a="1"/>
  <c r="N238" i="15" s="1"/>
  <c r="M238" i="15" a="1"/>
  <c r="M238" i="15" s="1"/>
  <c r="L238" i="15" a="1"/>
  <c r="L238" i="15" s="1"/>
  <c r="Q237" i="15" a="1"/>
  <c r="Q237" i="15" s="1"/>
  <c r="P237" i="15" a="1"/>
  <c r="P237" i="15" s="1"/>
  <c r="O237" i="15" a="1"/>
  <c r="O237" i="15" s="1"/>
  <c r="N237" i="15" a="1"/>
  <c r="N237" i="15" s="1"/>
  <c r="M237" i="15" a="1"/>
  <c r="M237" i="15" s="1"/>
  <c r="L237" i="15" a="1"/>
  <c r="L237" i="15" s="1"/>
  <c r="Q236" i="15" a="1"/>
  <c r="Q236" i="15" s="1"/>
  <c r="P236" i="15" a="1"/>
  <c r="P236" i="15" s="1"/>
  <c r="O236" i="15" a="1"/>
  <c r="O236" i="15" s="1"/>
  <c r="N236" i="15" a="1"/>
  <c r="N236" i="15" s="1"/>
  <c r="M236" i="15" a="1"/>
  <c r="M236" i="15" s="1"/>
  <c r="L236" i="15" a="1"/>
  <c r="L236" i="15" s="1"/>
  <c r="Q235" i="15" a="1"/>
  <c r="Q235" i="15" s="1"/>
  <c r="P235" i="15" a="1"/>
  <c r="P235" i="15" s="1"/>
  <c r="O235" i="15" a="1"/>
  <c r="O235" i="15" s="1"/>
  <c r="N235" i="15" a="1"/>
  <c r="N235" i="15" s="1"/>
  <c r="M235" i="15" a="1"/>
  <c r="M235" i="15" s="1"/>
  <c r="L235" i="15" a="1"/>
  <c r="L235" i="15" s="1"/>
  <c r="Q234" i="15" a="1"/>
  <c r="Q234" i="15" s="1"/>
  <c r="P234" i="15" a="1"/>
  <c r="P234" i="15" s="1"/>
  <c r="O234" i="15" a="1"/>
  <c r="O234" i="15" s="1"/>
  <c r="N234" i="15" a="1"/>
  <c r="N234" i="15" s="1"/>
  <c r="M234" i="15" a="1"/>
  <c r="M234" i="15" s="1"/>
  <c r="L234" i="15" a="1"/>
  <c r="L234" i="15" s="1"/>
  <c r="Q233" i="15" a="1"/>
  <c r="Q233" i="15" s="1"/>
  <c r="P233" i="15" a="1"/>
  <c r="P233" i="15" s="1"/>
  <c r="O233" i="15" a="1"/>
  <c r="O233" i="15" s="1"/>
  <c r="N233" i="15" a="1"/>
  <c r="N233" i="15" s="1"/>
  <c r="M233" i="15" a="1"/>
  <c r="M233" i="15" s="1"/>
  <c r="L233" i="15" a="1"/>
  <c r="L233" i="15" s="1"/>
  <c r="Q232" i="15" a="1"/>
  <c r="Q232" i="15" s="1"/>
  <c r="P232" i="15" a="1"/>
  <c r="P232" i="15" s="1"/>
  <c r="O232" i="15" a="1"/>
  <c r="O232" i="15" s="1"/>
  <c r="N232" i="15" a="1"/>
  <c r="N232" i="15" s="1"/>
  <c r="M232" i="15" a="1"/>
  <c r="M232" i="15" s="1"/>
  <c r="L232" i="15" a="1"/>
  <c r="L232" i="15" s="1"/>
  <c r="Q231" i="15" a="1"/>
  <c r="Q231" i="15" s="1"/>
  <c r="P231" i="15" a="1"/>
  <c r="P231" i="15" s="1"/>
  <c r="O231" i="15" a="1"/>
  <c r="O231" i="15" s="1"/>
  <c r="N231" i="15" a="1"/>
  <c r="N231" i="15" s="1"/>
  <c r="M231" i="15" a="1"/>
  <c r="M231" i="15" s="1"/>
  <c r="L231" i="15" a="1"/>
  <c r="L231" i="15" s="1"/>
  <c r="Q230" i="15" a="1"/>
  <c r="Q230" i="15" s="1"/>
  <c r="P230" i="15" a="1"/>
  <c r="P230" i="15" s="1"/>
  <c r="O230" i="15" a="1"/>
  <c r="O230" i="15" s="1"/>
  <c r="N230" i="15" a="1"/>
  <c r="N230" i="15" s="1"/>
  <c r="M230" i="15" a="1"/>
  <c r="M230" i="15" s="1"/>
  <c r="L230" i="15" a="1"/>
  <c r="L230" i="15" s="1"/>
  <c r="Q229" i="15" a="1"/>
  <c r="Q229" i="15" s="1"/>
  <c r="P229" i="15" a="1"/>
  <c r="P229" i="15" s="1"/>
  <c r="O229" i="15" a="1"/>
  <c r="O229" i="15" s="1"/>
  <c r="N229" i="15" a="1"/>
  <c r="N229" i="15" s="1"/>
  <c r="M229" i="15" a="1"/>
  <c r="M229" i="15" s="1"/>
  <c r="L229" i="15" a="1"/>
  <c r="L229" i="15" s="1"/>
  <c r="Q228" i="15" a="1"/>
  <c r="Q228" i="15" s="1"/>
  <c r="P228" i="15" a="1"/>
  <c r="P228" i="15" s="1"/>
  <c r="O228" i="15" a="1"/>
  <c r="O228" i="15" s="1"/>
  <c r="N228" i="15" a="1"/>
  <c r="N228" i="15" s="1"/>
  <c r="M228" i="15" a="1"/>
  <c r="M228" i="15" s="1"/>
  <c r="L228" i="15" a="1"/>
  <c r="L228" i="15" s="1"/>
  <c r="Q227" i="15" a="1"/>
  <c r="Q227" i="15" s="1"/>
  <c r="P227" i="15" a="1"/>
  <c r="P227" i="15" s="1"/>
  <c r="O227" i="15" a="1"/>
  <c r="O227" i="15" s="1"/>
  <c r="N227" i="15" a="1"/>
  <c r="N227" i="15" s="1"/>
  <c r="M227" i="15" a="1"/>
  <c r="M227" i="15" s="1"/>
  <c r="L227" i="15" a="1"/>
  <c r="L227" i="15" s="1"/>
  <c r="Q226" i="15" a="1"/>
  <c r="Q226" i="15" s="1"/>
  <c r="P226" i="15" a="1"/>
  <c r="P226" i="15" s="1"/>
  <c r="O226" i="15" a="1"/>
  <c r="O226" i="15" s="1"/>
  <c r="N226" i="15" a="1"/>
  <c r="N226" i="15" s="1"/>
  <c r="M226" i="15" a="1"/>
  <c r="M226" i="15" s="1"/>
  <c r="L226" i="15" a="1"/>
  <c r="L226" i="15" s="1"/>
  <c r="Q225" i="15" a="1"/>
  <c r="Q225" i="15" s="1"/>
  <c r="P225" i="15" a="1"/>
  <c r="P225" i="15" s="1"/>
  <c r="O225" i="15" a="1"/>
  <c r="O225" i="15" s="1"/>
  <c r="N225" i="15" a="1"/>
  <c r="N225" i="15" s="1"/>
  <c r="M225" i="15" a="1"/>
  <c r="M225" i="15" s="1"/>
  <c r="L225" i="15" a="1"/>
  <c r="L225" i="15" s="1"/>
  <c r="Q224" i="15" a="1"/>
  <c r="Q224" i="15" s="1"/>
  <c r="P224" i="15" a="1"/>
  <c r="P224" i="15" s="1"/>
  <c r="O224" i="15" a="1"/>
  <c r="O224" i="15" s="1"/>
  <c r="N224" i="15" a="1"/>
  <c r="N224" i="15" s="1"/>
  <c r="M224" i="15" a="1"/>
  <c r="M224" i="15" s="1"/>
  <c r="L224" i="15" a="1"/>
  <c r="L224" i="15" s="1"/>
  <c r="Q269" i="15" a="1"/>
  <c r="Q269" i="15" s="1"/>
  <c r="P269" i="15" a="1"/>
  <c r="P269" i="15" s="1"/>
  <c r="O269" i="15" a="1"/>
  <c r="O269" i="15" s="1"/>
  <c r="N269" i="15" a="1"/>
  <c r="N269" i="15" s="1"/>
  <c r="M269" i="15" a="1"/>
  <c r="M269" i="15" s="1"/>
  <c r="L269" i="15" a="1"/>
  <c r="L269" i="15" s="1"/>
  <c r="Q268" i="15" a="1"/>
  <c r="Q268" i="15" s="1"/>
  <c r="P268" i="15" a="1"/>
  <c r="P268" i="15" s="1"/>
  <c r="O268" i="15" a="1"/>
  <c r="O268" i="15" s="1"/>
  <c r="N268" i="15" a="1"/>
  <c r="N268" i="15" s="1"/>
  <c r="M268" i="15" a="1"/>
  <c r="M268" i="15" s="1"/>
  <c r="L268" i="15" a="1"/>
  <c r="L268" i="15" s="1"/>
  <c r="Q267" i="15" a="1"/>
  <c r="Q267" i="15" s="1"/>
  <c r="P267" i="15" a="1"/>
  <c r="P267" i="15" s="1"/>
  <c r="O267" i="15" a="1"/>
  <c r="O267" i="15" s="1"/>
  <c r="N267" i="15" a="1"/>
  <c r="N267" i="15" s="1"/>
  <c r="M267" i="15" a="1"/>
  <c r="M267" i="15" s="1"/>
  <c r="L267" i="15" a="1"/>
  <c r="L267" i="15" s="1"/>
  <c r="Q266" i="15" a="1"/>
  <c r="Q266" i="15" s="1"/>
  <c r="P266" i="15" a="1"/>
  <c r="P266" i="15" s="1"/>
  <c r="O266" i="15" a="1"/>
  <c r="O266" i="15" s="1"/>
  <c r="N266" i="15" a="1"/>
  <c r="N266" i="15" s="1"/>
  <c r="M266" i="15" a="1"/>
  <c r="M266" i="15" s="1"/>
  <c r="L266" i="15" a="1"/>
  <c r="L266" i="15" s="1"/>
  <c r="Q265" i="15" a="1"/>
  <c r="Q265" i="15" s="1"/>
  <c r="P265" i="15" a="1"/>
  <c r="P265" i="15" s="1"/>
  <c r="O265" i="15" a="1"/>
  <c r="O265" i="15" s="1"/>
  <c r="N265" i="15" a="1"/>
  <c r="N265" i="15" s="1"/>
  <c r="M265" i="15" a="1"/>
  <c r="M265" i="15" s="1"/>
  <c r="L265" i="15" a="1"/>
  <c r="L265" i="15" s="1"/>
  <c r="Q264" i="15" a="1"/>
  <c r="Q264" i="15" s="1"/>
  <c r="P264" i="15" a="1"/>
  <c r="P264" i="15" s="1"/>
  <c r="O264" i="15" a="1"/>
  <c r="O264" i="15" s="1"/>
  <c r="N264" i="15" a="1"/>
  <c r="N264" i="15" s="1"/>
  <c r="M264" i="15" a="1"/>
  <c r="M264" i="15" s="1"/>
  <c r="L264" i="15" a="1"/>
  <c r="L264" i="15" s="1"/>
  <c r="Q263" i="15" a="1"/>
  <c r="Q263" i="15" s="1"/>
  <c r="P263" i="15" a="1"/>
  <c r="P263" i="15" s="1"/>
  <c r="O263" i="15" a="1"/>
  <c r="O263" i="15" s="1"/>
  <c r="N263" i="15" a="1"/>
  <c r="N263" i="15" s="1"/>
  <c r="M263" i="15" a="1"/>
  <c r="M263" i="15" s="1"/>
  <c r="L263" i="15" a="1"/>
  <c r="L263" i="15" s="1"/>
  <c r="Q262" i="15" a="1"/>
  <c r="Q262" i="15" s="1"/>
  <c r="P262" i="15" a="1"/>
  <c r="P262" i="15" s="1"/>
  <c r="O262" i="15" a="1"/>
  <c r="O262" i="15" s="1"/>
  <c r="N262" i="15" a="1"/>
  <c r="N262" i="15" s="1"/>
  <c r="M262" i="15" a="1"/>
  <c r="M262" i="15" s="1"/>
  <c r="L262" i="15" a="1"/>
  <c r="L262" i="15" s="1"/>
  <c r="Q261" i="15" a="1"/>
  <c r="Q261" i="15" s="1"/>
  <c r="P261" i="15" a="1"/>
  <c r="P261" i="15" s="1"/>
  <c r="O261" i="15" a="1"/>
  <c r="O261" i="15" s="1"/>
  <c r="N261" i="15" a="1"/>
  <c r="N261" i="15" s="1"/>
  <c r="M261" i="15" a="1"/>
  <c r="M261" i="15" s="1"/>
  <c r="L261" i="15" a="1"/>
  <c r="L261" i="15" s="1"/>
  <c r="Q260" i="15" a="1"/>
  <c r="Q260" i="15" s="1"/>
  <c r="P260" i="15" a="1"/>
  <c r="P260" i="15" s="1"/>
  <c r="O260" i="15" a="1"/>
  <c r="O260" i="15" s="1"/>
  <c r="N260" i="15" a="1"/>
  <c r="N260" i="15" s="1"/>
  <c r="M260" i="15" a="1"/>
  <c r="M260" i="15" s="1"/>
  <c r="L260" i="15" a="1"/>
  <c r="L260" i="15" s="1"/>
  <c r="Q259" i="15" a="1"/>
  <c r="Q259" i="15" s="1"/>
  <c r="P259" i="15" a="1"/>
  <c r="P259" i="15" s="1"/>
  <c r="O259" i="15" a="1"/>
  <c r="O259" i="15" s="1"/>
  <c r="N259" i="15" a="1"/>
  <c r="N259" i="15" s="1"/>
  <c r="M259" i="15" a="1"/>
  <c r="M259" i="15" s="1"/>
  <c r="L259" i="15" a="1"/>
  <c r="L259" i="15" s="1"/>
  <c r="Q258" i="15" a="1"/>
  <c r="Q258" i="15" s="1"/>
  <c r="P258" i="15" a="1"/>
  <c r="P258" i="15" s="1"/>
  <c r="O258" i="15" a="1"/>
  <c r="O258" i="15" s="1"/>
  <c r="N258" i="15" a="1"/>
  <c r="N258" i="15" s="1"/>
  <c r="M258" i="15" a="1"/>
  <c r="M258" i="15" s="1"/>
  <c r="L258" i="15" a="1"/>
  <c r="L258" i="15" s="1"/>
  <c r="Q257" i="15" a="1"/>
  <c r="Q257" i="15" s="1"/>
  <c r="P257" i="15" a="1"/>
  <c r="P257" i="15" s="1"/>
  <c r="O257" i="15" a="1"/>
  <c r="O257" i="15" s="1"/>
  <c r="N257" i="15" a="1"/>
  <c r="N257" i="15" s="1"/>
  <c r="M257" i="15" a="1"/>
  <c r="M257" i="15" s="1"/>
  <c r="L257" i="15" a="1"/>
  <c r="L257" i="15" s="1"/>
  <c r="Q256" i="15" a="1"/>
  <c r="Q256" i="15" s="1"/>
  <c r="P256" i="15" a="1"/>
  <c r="P256" i="15" s="1"/>
  <c r="O256" i="15" a="1"/>
  <c r="O256" i="15" s="1"/>
  <c r="N256" i="15" a="1"/>
  <c r="N256" i="15" s="1"/>
  <c r="M256" i="15" a="1"/>
  <c r="M256" i="15" s="1"/>
  <c r="L256" i="15" a="1"/>
  <c r="L256" i="15" s="1"/>
  <c r="Q255" i="15" a="1"/>
  <c r="Q255" i="15" s="1"/>
  <c r="P255" i="15" a="1"/>
  <c r="P255" i="15" s="1"/>
  <c r="O255" i="15" a="1"/>
  <c r="O255" i="15" s="1"/>
  <c r="N255" i="15" a="1"/>
  <c r="N255" i="15" s="1"/>
  <c r="M255" i="15" a="1"/>
  <c r="M255" i="15" s="1"/>
  <c r="L255" i="15" a="1"/>
  <c r="L255" i="15" s="1"/>
  <c r="Q254" i="15" a="1"/>
  <c r="Q254" i="15" s="1"/>
  <c r="P254" i="15" a="1"/>
  <c r="P254" i="15" s="1"/>
  <c r="O254" i="15" a="1"/>
  <c r="O254" i="15" s="1"/>
  <c r="N254" i="15" a="1"/>
  <c r="N254" i="15" s="1"/>
  <c r="M254" i="15" a="1"/>
  <c r="M254" i="15" s="1"/>
  <c r="L254" i="15" a="1"/>
  <c r="L254" i="15" s="1"/>
  <c r="Q253" i="15" a="1"/>
  <c r="Q253" i="15" s="1"/>
  <c r="P253" i="15" a="1"/>
  <c r="P253" i="15" s="1"/>
  <c r="O253" i="15" a="1"/>
  <c r="O253" i="15" s="1"/>
  <c r="N253" i="15" a="1"/>
  <c r="N253" i="15" s="1"/>
  <c r="M253" i="15" a="1"/>
  <c r="M253" i="15" s="1"/>
  <c r="L253" i="15" a="1"/>
  <c r="L253" i="15" s="1"/>
  <c r="Q252" i="15" a="1"/>
  <c r="Q252" i="15" s="1"/>
  <c r="P252" i="15" a="1"/>
  <c r="P252" i="15" s="1"/>
  <c r="O252" i="15" a="1"/>
  <c r="O252" i="15" s="1"/>
  <c r="N252" i="15" a="1"/>
  <c r="N252" i="15" s="1"/>
  <c r="M252" i="15" a="1"/>
  <c r="M252" i="15" s="1"/>
  <c r="L252" i="15" a="1"/>
  <c r="L252" i="15" s="1"/>
  <c r="D130" i="15" a="1"/>
  <c r="D130" i="15" s="1"/>
  <c r="V130" i="15" a="1"/>
  <c r="V130" i="15" s="1"/>
  <c r="F133" i="15" a="1"/>
  <c r="F133" i="15" s="1"/>
  <c r="X133" i="15" a="1"/>
  <c r="X133" i="15" s="1"/>
  <c r="AH433" i="10"/>
  <c r="AP433" i="10"/>
  <c r="AU433" i="10"/>
  <c r="AY433" i="10"/>
  <c r="BA433" i="10" s="1"/>
  <c r="BF433" i="10"/>
  <c r="BH433" i="10" s="1"/>
  <c r="BJ433" i="10" s="1"/>
  <c r="BK433" i="10" s="1"/>
  <c r="BL433" i="10" s="1"/>
  <c r="BE432" i="10"/>
  <c r="AH428" i="10"/>
  <c r="AP428" i="10"/>
  <c r="AH424" i="10"/>
  <c r="AP424" i="10"/>
  <c r="AH421" i="10"/>
  <c r="AP421" i="10"/>
  <c r="AU428" i="10"/>
  <c r="AU424" i="10"/>
  <c r="AU421" i="10"/>
  <c r="AH415" i="10"/>
  <c r="AP415" i="10"/>
  <c r="AU418" i="10"/>
  <c r="AU415" i="10"/>
  <c r="AH418" i="10"/>
  <c r="AP418" i="10"/>
  <c r="BE408" i="10"/>
  <c r="AH409" i="10"/>
  <c r="AP409" i="10"/>
  <c r="AU405" i="10"/>
  <c r="AU409" i="10"/>
  <c r="BE407" i="10"/>
  <c r="AH405" i="10"/>
  <c r="AP405" i="10"/>
  <c r="BE404" i="10"/>
  <c r="BE417" i="10"/>
  <c r="AH402" i="10"/>
  <c r="AP402" i="10"/>
  <c r="AU398" i="10"/>
  <c r="AU402" i="10"/>
  <c r="N298" i="15"/>
  <c r="O298" i="15"/>
  <c r="O299" i="15" s="1"/>
  <c r="P298" i="15"/>
  <c r="Q298" i="15"/>
  <c r="Q299" i="15" s="1"/>
  <c r="AH398" i="10"/>
  <c r="AP398" i="10"/>
  <c r="BE397" i="10"/>
  <c r="O354" i="15" a="1"/>
  <c r="O354" i="15" s="1"/>
  <c r="F15" i="3"/>
  <c r="I21" i="3"/>
  <c r="AH365" i="10" s="1"/>
  <c r="AP147" i="10"/>
  <c r="AH379" i="10"/>
  <c r="AH389" i="10"/>
  <c r="AP341" i="10"/>
  <c r="AQ341" i="10" s="1"/>
  <c r="BH341" i="10" s="1"/>
  <c r="BJ341" i="10" s="1"/>
  <c r="BK341" i="10" s="1"/>
  <c r="BL341" i="10" s="1"/>
  <c r="AP342" i="10"/>
  <c r="AQ342" i="10" s="1"/>
  <c r="BH342" i="10" s="1"/>
  <c r="BJ342" i="10" s="1"/>
  <c r="AH330" i="10"/>
  <c r="AH334" i="10"/>
  <c r="AH224" i="10"/>
  <c r="AH204" i="10"/>
  <c r="AH200" i="10"/>
  <c r="AP153" i="10"/>
  <c r="AQ153" i="10" s="1"/>
  <c r="BH153" i="10" s="1"/>
  <c r="BJ153" i="10" s="1"/>
  <c r="BK153" i="10" s="1"/>
  <c r="AH138" i="10"/>
  <c r="AH175" i="10"/>
  <c r="AP145" i="10"/>
  <c r="AH104" i="10"/>
  <c r="AH98" i="10"/>
  <c r="AI98" i="10" s="1"/>
  <c r="BA98" i="10" s="1"/>
  <c r="BC98" i="10" s="1"/>
  <c r="AH59" i="10"/>
  <c r="AH50" i="10"/>
  <c r="AH13" i="10"/>
  <c r="AH22" i="10"/>
  <c r="AH21" i="10"/>
  <c r="AI21" i="10" s="1"/>
  <c r="BA21" i="10" s="1"/>
  <c r="BC21" i="10" s="1"/>
  <c r="AP232" i="10"/>
  <c r="AQ232" i="10" s="1"/>
  <c r="BH232" i="10" s="1"/>
  <c r="BJ232" i="10" s="1"/>
  <c r="BK232" i="10" s="1"/>
  <c r="BL232" i="10" s="1"/>
  <c r="AH382" i="10"/>
  <c r="AH376" i="10"/>
  <c r="AP146" i="10"/>
  <c r="AP239" i="10"/>
  <c r="AQ239" i="10" s="1"/>
  <c r="BH239" i="10" s="1"/>
  <c r="BJ239" i="10" s="1"/>
  <c r="BK239" i="10" s="1"/>
  <c r="BL239" i="10" s="1"/>
  <c r="AH158" i="10"/>
  <c r="AH165" i="10"/>
  <c r="AH174" i="10"/>
  <c r="AP148" i="10"/>
  <c r="AQ148" i="10" s="1"/>
  <c r="BH148" i="10" s="1"/>
  <c r="BJ148" i="10" s="1"/>
  <c r="BK148" i="10" s="1"/>
  <c r="BL148" i="10" s="1"/>
  <c r="AH51" i="10"/>
  <c r="AH31" i="10"/>
  <c r="AI31" i="10" s="1"/>
  <c r="BA31" i="10" s="1"/>
  <c r="BC31" i="10" s="1"/>
  <c r="AH4" i="10"/>
  <c r="AI4" i="10" s="1"/>
  <c r="BA4" i="10" s="1"/>
  <c r="BC4" i="10" s="1"/>
  <c r="AP218" i="10"/>
  <c r="AQ218" i="10" s="1"/>
  <c r="BH218" i="10" s="1"/>
  <c r="BJ218" i="10" s="1"/>
  <c r="BK218" i="10" s="1"/>
  <c r="BL218" i="10" s="1"/>
  <c r="AH385" i="10"/>
  <c r="AH272" i="10"/>
  <c r="AI272" i="10" s="1"/>
  <c r="BA272" i="10" s="1"/>
  <c r="BC272" i="10" s="1"/>
  <c r="AH252" i="10"/>
  <c r="AH92" i="10"/>
  <c r="AI92" i="10" s="1"/>
  <c r="BA92" i="10" s="1"/>
  <c r="BC92" i="10" s="1"/>
  <c r="AH58" i="10"/>
  <c r="AH40" i="10"/>
  <c r="AI40" i="10" s="1"/>
  <c r="BA40" i="10" s="1"/>
  <c r="BC40" i="10" s="1"/>
  <c r="BF393" i="10"/>
  <c r="BH393" i="10" s="1"/>
  <c r="BJ393" i="10" s="1"/>
  <c r="BK393" i="10" s="1"/>
  <c r="BL393" i="10" s="1"/>
  <c r="AY393" i="10"/>
  <c r="BA393" i="10" s="1"/>
  <c r="AU393" i="10"/>
  <c r="AH393" i="10"/>
  <c r="AP393" i="10"/>
  <c r="BE392" i="10"/>
  <c r="AH390" i="10"/>
  <c r="AP390" i="10"/>
  <c r="AU386" i="10"/>
  <c r="AU390" i="10"/>
  <c r="AH386" i="10"/>
  <c r="AP386" i="10"/>
  <c r="AU377" i="10"/>
  <c r="AU383" i="10"/>
  <c r="AU380" i="10"/>
  <c r="AH383" i="10"/>
  <c r="AP383" i="10"/>
  <c r="AH380" i="10"/>
  <c r="AP380" i="10"/>
  <c r="AH377" i="10"/>
  <c r="AP377" i="10"/>
  <c r="AU366" i="10"/>
  <c r="AU374" i="10"/>
  <c r="AH374" i="10"/>
  <c r="AP374" i="10"/>
  <c r="AH366" i="10"/>
  <c r="AP366" i="10"/>
  <c r="AP362" i="10"/>
  <c r="AH362" i="10"/>
  <c r="AH363" i="10"/>
  <c r="AP363" i="10"/>
  <c r="AH360" i="10"/>
  <c r="AP360" i="10"/>
  <c r="AH358" i="10"/>
  <c r="AP358" i="10"/>
  <c r="AU349" i="10"/>
  <c r="AU358" i="10"/>
  <c r="K7" i="8"/>
  <c r="K11" i="8"/>
  <c r="E11" i="8"/>
  <c r="J11" i="8"/>
  <c r="J8" i="8"/>
  <c r="D11" i="8"/>
  <c r="D8" i="8"/>
  <c r="D7" i="8"/>
  <c r="D10" i="8"/>
  <c r="E8" i="8"/>
  <c r="D8" i="19" a="1"/>
  <c r="D8" i="19" s="1"/>
  <c r="C7" i="19" a="1"/>
  <c r="C7" i="19" s="1"/>
  <c r="D5" i="19" a="1"/>
  <c r="D5" i="19" s="1"/>
  <c r="C12" i="19" a="1"/>
  <c r="C12" i="19" s="1"/>
  <c r="D10" i="19" a="1"/>
  <c r="D10" i="19" s="1"/>
  <c r="D7" i="19" a="1"/>
  <c r="D7" i="19" s="1"/>
  <c r="D12" i="19" a="1"/>
  <c r="D12" i="19" s="1"/>
  <c r="D6" i="19" a="1"/>
  <c r="D6" i="19" s="1"/>
  <c r="C5" i="19" a="1"/>
  <c r="C5" i="19" s="1"/>
  <c r="BE353" i="10"/>
  <c r="AY176" i="10"/>
  <c r="BA176" i="10" s="1"/>
  <c r="AP361" i="10"/>
  <c r="AH361" i="10"/>
  <c r="AH349" i="10"/>
  <c r="AP349" i="10"/>
  <c r="BE347" i="10"/>
  <c r="O370" i="15"/>
  <c r="AU331" i="10"/>
  <c r="AU345" i="10"/>
  <c r="AH345" i="10"/>
  <c r="AP345" i="10"/>
  <c r="AX305" i="10"/>
  <c r="BN172" i="10"/>
  <c r="AV305" i="10"/>
  <c r="BM172" i="10"/>
  <c r="BF340" i="10"/>
  <c r="BH340" i="10" s="1"/>
  <c r="BJ340" i="10" s="1"/>
  <c r="BK340" i="10" s="1"/>
  <c r="BL340" i="10" s="1"/>
  <c r="AY340" i="10"/>
  <c r="BA340" i="10" s="1"/>
  <c r="BC340" i="10" s="1"/>
  <c r="BE339" i="10"/>
  <c r="BE338" i="10"/>
  <c r="BE335" i="10"/>
  <c r="AH331" i="10"/>
  <c r="AP331" i="10"/>
  <c r="BE337" i="10"/>
  <c r="BK327" i="10"/>
  <c r="BL327" i="10" s="1"/>
  <c r="BD327" i="10"/>
  <c r="AX327" i="10"/>
  <c r="AV327" i="10"/>
  <c r="BM328" i="10"/>
  <c r="BE328" i="10"/>
  <c r="BN328" i="10" s="1"/>
  <c r="BE326" i="10"/>
  <c r="AU319" i="10"/>
  <c r="AU322" i="10"/>
  <c r="AH322" i="10"/>
  <c r="AP322" i="10"/>
  <c r="AH319" i="10"/>
  <c r="AP319" i="10"/>
  <c r="BE318" i="10"/>
  <c r="BE317" i="10"/>
  <c r="BM324" i="10"/>
  <c r="BE324" i="10"/>
  <c r="BN324" i="10" s="1"/>
  <c r="BK310" i="10"/>
  <c r="BL310" i="10" s="1"/>
  <c r="I313" i="10"/>
  <c r="AT310" i="10"/>
  <c r="AY310" i="10" s="1"/>
  <c r="BA310" i="10" s="1"/>
  <c r="BC310" i="10" s="1"/>
  <c r="Q311" i="10"/>
  <c r="AU306" i="10"/>
  <c r="E6" i="5"/>
  <c r="G6" i="5" s="1"/>
  <c r="E10" i="5"/>
  <c r="G10" i="5" s="1"/>
  <c r="E14" i="5"/>
  <c r="G14" i="5" s="1"/>
  <c r="BE299" i="10"/>
  <c r="BM305" i="10"/>
  <c r="BL305" i="10"/>
  <c r="BN305" i="10" s="1"/>
  <c r="BF273" i="10"/>
  <c r="BH273" i="10" s="1"/>
  <c r="BJ273" i="10" s="1"/>
  <c r="BK273" i="10" s="1"/>
  <c r="BL273" i="10" s="1"/>
  <c r="AH306" i="10"/>
  <c r="AP306" i="10"/>
  <c r="BE304" i="10"/>
  <c r="AH300" i="10"/>
  <c r="AP300" i="10"/>
  <c r="AU300" i="10"/>
  <c r="AY300" i="10"/>
  <c r="BA300" i="10" s="1"/>
  <c r="BF300" i="10"/>
  <c r="BH300" i="10" s="1"/>
  <c r="BJ300" i="10" s="1"/>
  <c r="BK300" i="10" s="1"/>
  <c r="BL300" i="10" s="1"/>
  <c r="AH296" i="10"/>
  <c r="AP296" i="10"/>
  <c r="AU286" i="10"/>
  <c r="AU296" i="10"/>
  <c r="BE298" i="10"/>
  <c r="BM292" i="10"/>
  <c r="BE292" i="10"/>
  <c r="BN292" i="10" s="1"/>
  <c r="AH293" i="10"/>
  <c r="AP293" i="10"/>
  <c r="AP291" i="10"/>
  <c r="AH291" i="10"/>
  <c r="AH289" i="10"/>
  <c r="AP289" i="10"/>
  <c r="AP288" i="10"/>
  <c r="AH288" i="10"/>
  <c r="AH286" i="10"/>
  <c r="AP286" i="10"/>
  <c r="AH282" i="10"/>
  <c r="AP282" i="10"/>
  <c r="AH283" i="10"/>
  <c r="AP283" i="10"/>
  <c r="AH280" i="10"/>
  <c r="AP280" i="10"/>
  <c r="AT295" i="10"/>
  <c r="AU280" i="10"/>
  <c r="BE279" i="10"/>
  <c r="AP295" i="10"/>
  <c r="AH295" i="10"/>
  <c r="AH277" i="10"/>
  <c r="AP277" i="10"/>
  <c r="AU265" i="10"/>
  <c r="AU277" i="10"/>
  <c r="BE276" i="10"/>
  <c r="BE273" i="10"/>
  <c r="BE271" i="10"/>
  <c r="BM194" i="10"/>
  <c r="BE194" i="10"/>
  <c r="BN194" i="10" s="1"/>
  <c r="BM193" i="10"/>
  <c r="BE193" i="10"/>
  <c r="BN193" i="10" s="1"/>
  <c r="AY263" i="10"/>
  <c r="BA263" i="10" s="1"/>
  <c r="BC263" i="10" s="1"/>
  <c r="BD263" i="10" s="1"/>
  <c r="AX263" i="10"/>
  <c r="AV263" i="10"/>
  <c r="AH269" i="10"/>
  <c r="AP269" i="10"/>
  <c r="AH267" i="10"/>
  <c r="AP267" i="10"/>
  <c r="AH268" i="10"/>
  <c r="AP268" i="10"/>
  <c r="AH265" i="10"/>
  <c r="AP265" i="10"/>
  <c r="BE262" i="10"/>
  <c r="BE261" i="10"/>
  <c r="AH250" i="10"/>
  <c r="AP250" i="10"/>
  <c r="AU259" i="10"/>
  <c r="AU250" i="10"/>
  <c r="BM303" i="10"/>
  <c r="BE303" i="10"/>
  <c r="BN303" i="10" s="1"/>
  <c r="BE302" i="10"/>
  <c r="BE249" i="10"/>
  <c r="BM241" i="10"/>
  <c r="BE241" i="10"/>
  <c r="BN241" i="10" s="1"/>
  <c r="AH259" i="10"/>
  <c r="AP259" i="10"/>
  <c r="AH214" i="10"/>
  <c r="AP214" i="10"/>
  <c r="AU213" i="10"/>
  <c r="AU214" i="10"/>
  <c r="BM207" i="10"/>
  <c r="BE207" i="10"/>
  <c r="BN207" i="10" s="1"/>
  <c r="BM238" i="10"/>
  <c r="BE238" i="10"/>
  <c r="BN238" i="10" s="1"/>
  <c r="BK237" i="10"/>
  <c r="BL237" i="10" s="1"/>
  <c r="BD237" i="10"/>
  <c r="AH213" i="10"/>
  <c r="AP213" i="10"/>
  <c r="BE235" i="10"/>
  <c r="BE256" i="10"/>
  <c r="AH254" i="10"/>
  <c r="AP254" i="10"/>
  <c r="AU254" i="10"/>
  <c r="AY217" i="10"/>
  <c r="BA217" i="10" s="1"/>
  <c r="BC217" i="10" s="1"/>
  <c r="BD217" i="10" s="1"/>
  <c r="AV217" i="10"/>
  <c r="AR231" i="10"/>
  <c r="J231" i="10" s="1"/>
  <c r="AT231" i="10" s="1"/>
  <c r="R231" i="10"/>
  <c r="I233" i="10" s="1"/>
  <c r="BD221" i="10"/>
  <c r="AH222" i="10"/>
  <c r="AP222" i="10"/>
  <c r="AP220" i="10"/>
  <c r="AH220" i="10"/>
  <c r="BE216" i="10"/>
  <c r="BE229" i="10"/>
  <c r="BE230" i="10"/>
  <c r="AU210" i="10"/>
  <c r="BF210" i="10" s="1"/>
  <c r="BH210" i="10" s="1"/>
  <c r="BJ210" i="10" s="1"/>
  <c r="BK210" i="10" s="1"/>
  <c r="BL210" i="10" s="1"/>
  <c r="AH212" i="10"/>
  <c r="AP212" i="10"/>
  <c r="AU208" i="10"/>
  <c r="BF208" i="10" s="1"/>
  <c r="AU209" i="10"/>
  <c r="BF209" i="10" s="1"/>
  <c r="BH209" i="10" s="1"/>
  <c r="BJ209" i="10" s="1"/>
  <c r="AP208" i="10"/>
  <c r="AQ208" i="10" s="1"/>
  <c r="BE201" i="10"/>
  <c r="BM188" i="10"/>
  <c r="BE188" i="10"/>
  <c r="BN188" i="10" s="1"/>
  <c r="BE202" i="10"/>
  <c r="AH182" i="10"/>
  <c r="AP182" i="10"/>
  <c r="AU176" i="10"/>
  <c r="AU182" i="10"/>
  <c r="AP199" i="10"/>
  <c r="AH199" i="10"/>
  <c r="BE203" i="10"/>
  <c r="BF176" i="10"/>
  <c r="BH176" i="10" s="1"/>
  <c r="BJ176" i="10" s="1"/>
  <c r="BK176" i="10" s="1"/>
  <c r="BM140" i="10"/>
  <c r="BE140" i="10"/>
  <c r="BN140" i="10" s="1"/>
  <c r="AH170" i="10"/>
  <c r="AP170" i="10"/>
  <c r="AU167" i="10"/>
  <c r="AU170" i="10"/>
  <c r="AV151" i="10"/>
  <c r="BE162" i="10"/>
  <c r="BM144" i="10"/>
  <c r="BE144" i="10"/>
  <c r="BN144" i="10" s="1"/>
  <c r="BN143" i="10"/>
  <c r="AH167" i="10"/>
  <c r="AP167" i="10"/>
  <c r="BM143" i="10"/>
  <c r="BM160" i="10"/>
  <c r="BE160" i="10"/>
  <c r="BN160" i="10" s="1"/>
  <c r="AU156" i="10"/>
  <c r="AH156" i="10"/>
  <c r="AP156" i="10"/>
  <c r="BE136" i="10"/>
  <c r="AU111" i="10"/>
  <c r="AT155" i="10"/>
  <c r="AP155" i="10"/>
  <c r="AH155" i="10"/>
  <c r="AH130" i="10"/>
  <c r="AP130" i="10"/>
  <c r="BE124" i="10"/>
  <c r="BE122" i="10"/>
  <c r="BE121" i="10"/>
  <c r="AH111" i="10"/>
  <c r="AP111" i="10"/>
  <c r="BE114" i="10"/>
  <c r="BN114" i="10" s="1"/>
  <c r="BE113" i="10"/>
  <c r="BN113" i="10" s="1"/>
  <c r="AV77" i="10"/>
  <c r="AX77" i="10"/>
  <c r="BE123" i="10"/>
  <c r="AH108" i="10"/>
  <c r="AP108" i="10"/>
  <c r="AU99" i="10"/>
  <c r="AU108" i="10"/>
  <c r="BE110" i="10"/>
  <c r="BE105" i="10"/>
  <c r="E179" i="9"/>
  <c r="AH99" i="10"/>
  <c r="AP99" i="10"/>
  <c r="AH96" i="10"/>
  <c r="AP96" i="10"/>
  <c r="AU93" i="10"/>
  <c r="AU96" i="10"/>
  <c r="AH93" i="10"/>
  <c r="AP93" i="10"/>
  <c r="AH90" i="10"/>
  <c r="AP90" i="10"/>
  <c r="AU86" i="10"/>
  <c r="AU90" i="10"/>
  <c r="AH86" i="10"/>
  <c r="AP86" i="10"/>
  <c r="I77" i="1"/>
  <c r="I6" i="1"/>
  <c r="AH83" i="10"/>
  <c r="AP83" i="10"/>
  <c r="AU74" i="10"/>
  <c r="AU83" i="10"/>
  <c r="BM82" i="10"/>
  <c r="BE82" i="10"/>
  <c r="BN82" i="10" s="1"/>
  <c r="BF77" i="10"/>
  <c r="BH77" i="10" s="1"/>
  <c r="BJ77" i="10" s="1"/>
  <c r="BK77" i="10" s="1"/>
  <c r="BL77" i="10" s="1"/>
  <c r="AH78" i="10"/>
  <c r="AP78" i="10"/>
  <c r="AS78" i="10"/>
  <c r="R78" i="10" s="1"/>
  <c r="J78" i="10"/>
  <c r="AH74" i="10"/>
  <c r="AP74" i="10"/>
  <c r="BE71" i="10"/>
  <c r="BE70" i="10"/>
  <c r="AH66" i="10"/>
  <c r="AP66" i="10"/>
  <c r="AU60" i="10"/>
  <c r="AU66" i="10"/>
  <c r="BE68" i="10"/>
  <c r="AU44" i="10"/>
  <c r="BF44" i="10" s="1"/>
  <c r="BH44" i="10" s="1"/>
  <c r="BM52" i="10"/>
  <c r="BN52" i="10"/>
  <c r="BL34" i="10"/>
  <c r="BN34" i="10" s="1"/>
  <c r="BD77" i="10"/>
  <c r="AH63" i="10"/>
  <c r="AP63" i="10"/>
  <c r="AP62" i="10"/>
  <c r="AH62" i="10"/>
  <c r="AH60" i="10"/>
  <c r="AP60" i="10"/>
  <c r="BF43" i="10"/>
  <c r="BH43" i="10" s="1"/>
  <c r="BJ43" i="10" s="1"/>
  <c r="AY43" i="10"/>
  <c r="BA43" i="10" s="1"/>
  <c r="BC43" i="10" s="1"/>
  <c r="AY44" i="10"/>
  <c r="BA44" i="10" s="1"/>
  <c r="BC44" i="10" s="1"/>
  <c r="BD44" i="10" s="1"/>
  <c r="BE42" i="10"/>
  <c r="AH53" i="10"/>
  <c r="AP53" i="10"/>
  <c r="AT65" i="10"/>
  <c r="BE49" i="10"/>
  <c r="BM55" i="10"/>
  <c r="BE55" i="10"/>
  <c r="BN55" i="10" s="1"/>
  <c r="BE48" i="10"/>
  <c r="AH38" i="10"/>
  <c r="AP38" i="10"/>
  <c r="AP65" i="10"/>
  <c r="AH65" i="10"/>
  <c r="AP37" i="10"/>
  <c r="AH37" i="10"/>
  <c r="BE14" i="10"/>
  <c r="BN14" i="10" s="1"/>
  <c r="BM14" i="10"/>
  <c r="BE19" i="10"/>
  <c r="AP28" i="10"/>
  <c r="AH28" i="10"/>
  <c r="AH32" i="10"/>
  <c r="AP32" i="10"/>
  <c r="AU23" i="10"/>
  <c r="AU32" i="10"/>
  <c r="AH29" i="10"/>
  <c r="AP29" i="10"/>
  <c r="AH26" i="10"/>
  <c r="AP26" i="10"/>
  <c r="AP25" i="10"/>
  <c r="AH25" i="10"/>
  <c r="BE20" i="10"/>
  <c r="AH23" i="10"/>
  <c r="AP23" i="10"/>
  <c r="BE18" i="10"/>
  <c r="BE17" i="10"/>
  <c r="AY6" i="10"/>
  <c r="BA6" i="10" s="1"/>
  <c r="BC6" i="10" s="1"/>
  <c r="BF6" i="10"/>
  <c r="BH6" i="10" s="1"/>
  <c r="BJ6" i="10" s="1"/>
  <c r="AH10" i="10"/>
  <c r="AP10" i="10"/>
  <c r="BK10" i="10"/>
  <c r="BL10" i="10" s="1"/>
  <c r="AH9" i="10"/>
  <c r="AP9" i="10"/>
  <c r="BE9" i="10"/>
  <c r="AH7" i="10"/>
  <c r="AP7" i="10"/>
  <c r="AU7" i="10"/>
  <c r="I30" i="1"/>
  <c r="BE72" i="10"/>
  <c r="I5" i="1"/>
  <c r="BG729" i="10"/>
  <c r="E18" i="5"/>
  <c r="G18" i="5" s="1"/>
  <c r="E22" i="5"/>
  <c r="G22" i="5" s="1"/>
  <c r="E26" i="5"/>
  <c r="E30" i="5"/>
  <c r="G30" i="5" s="1"/>
  <c r="E34" i="5"/>
  <c r="G34" i="5" s="1"/>
  <c r="E38" i="5"/>
  <c r="G38" i="5" s="1"/>
  <c r="E42" i="5"/>
  <c r="E46" i="5"/>
  <c r="G46" i="5" s="1"/>
  <c r="E51" i="5"/>
  <c r="G51" i="5" s="1"/>
  <c r="E65" i="5"/>
  <c r="E70" i="5"/>
  <c r="E74" i="5"/>
  <c r="E80" i="5"/>
  <c r="E84" i="5"/>
  <c r="E95" i="5"/>
  <c r="E96" i="5"/>
  <c r="E102" i="5"/>
  <c r="E106" i="5"/>
  <c r="E110" i="5"/>
  <c r="E114" i="5"/>
  <c r="E115" i="5"/>
  <c r="E131" i="5"/>
  <c r="E132" i="5"/>
  <c r="E139" i="5"/>
  <c r="E143" i="5"/>
  <c r="E144" i="5"/>
  <c r="E146" i="5"/>
  <c r="G149" i="5" s="1"/>
  <c r="E171" i="5"/>
  <c r="E174" i="5"/>
  <c r="E177" i="5"/>
  <c r="E214" i="5"/>
  <c r="E216" i="5"/>
  <c r="E219" i="5"/>
  <c r="E122" i="5"/>
  <c r="E155" i="5"/>
  <c r="E159" i="5"/>
  <c r="E190" i="5"/>
  <c r="E194" i="5"/>
  <c r="E197" i="5"/>
  <c r="I8" i="1"/>
  <c r="AC728" i="10"/>
  <c r="AH95" i="10"/>
  <c r="AI95" i="10" s="1"/>
  <c r="R371" i="15"/>
  <c r="Q371" i="15"/>
  <c r="P371" i="15"/>
  <c r="O371" i="15"/>
  <c r="R370" i="15"/>
  <c r="Q370" i="15"/>
  <c r="P370" i="15"/>
  <c r="R369" i="15"/>
  <c r="Q369" i="15"/>
  <c r="P369" i="15"/>
  <c r="O369" i="15"/>
  <c r="R368" i="15"/>
  <c r="Q368" i="15"/>
  <c r="O368" i="15"/>
  <c r="AF728" i="10"/>
  <c r="BB723" i="10"/>
  <c r="BI726" i="10"/>
  <c r="BG722" i="10"/>
  <c r="AF676" i="10"/>
  <c r="I11" i="1"/>
  <c r="AC676" i="10"/>
  <c r="AE676" i="10" s="1"/>
  <c r="AS676" i="10" s="1"/>
  <c r="AF95" i="10"/>
  <c r="AI659" i="10" s="1"/>
  <c r="BC659" i="10" s="1"/>
  <c r="BB95" i="10"/>
  <c r="D356" i="15"/>
  <c r="BB729" i="10"/>
  <c r="AZ728" i="10"/>
  <c r="AF725" i="10"/>
  <c r="AC723" i="10"/>
  <c r="AE723" i="10" s="1"/>
  <c r="AS723" i="10" s="1"/>
  <c r="R723" i="10" s="1"/>
  <c r="AU723" i="10" s="1"/>
  <c r="AC722" i="10"/>
  <c r="AN729" i="10"/>
  <c r="BI728" i="10"/>
  <c r="BI725" i="10"/>
  <c r="BI722" i="10"/>
  <c r="AZ95" i="10"/>
  <c r="BB676" i="10"/>
  <c r="AF726" i="10"/>
  <c r="AC726" i="10"/>
  <c r="AZ726" i="10"/>
  <c r="BB726" i="10"/>
  <c r="BG726" i="10"/>
  <c r="AN726" i="10"/>
  <c r="AZ723" i="10"/>
  <c r="AN722" i="10"/>
  <c r="AZ676" i="10"/>
  <c r="AK726" i="10"/>
  <c r="AM726" i="10" s="1"/>
  <c r="AS726" i="10" s="1"/>
  <c r="BB728" i="10"/>
  <c r="AC95" i="10"/>
  <c r="AF723" i="10"/>
  <c r="BG728" i="10"/>
  <c r="AN95" i="10"/>
  <c r="BG95" i="10"/>
  <c r="AK725" i="10"/>
  <c r="AK729" i="10"/>
  <c r="AK95" i="10"/>
  <c r="AM95" i="10" s="1"/>
  <c r="AZ722" i="10"/>
  <c r="BB722" i="10"/>
  <c r="AF722" i="10"/>
  <c r="AK723" i="10"/>
  <c r="BI723" i="10"/>
  <c r="BG723" i="10"/>
  <c r="AK728" i="10"/>
  <c r="AM728" i="10" s="1"/>
  <c r="AR728" i="10" s="1"/>
  <c r="J728" i="10" s="1"/>
  <c r="AT728" i="10" s="1"/>
  <c r="AN725" i="10"/>
  <c r="AZ725" i="10"/>
  <c r="BB725" i="10"/>
  <c r="BI676" i="10"/>
  <c r="BG676" i="10"/>
  <c r="AK676" i="10"/>
  <c r="AF729" i="10"/>
  <c r="AZ729" i="10"/>
  <c r="BG725" i="10"/>
  <c r="BI729" i="10"/>
  <c r="AC725" i="10"/>
  <c r="AE725" i="10" s="1"/>
  <c r="AR725" i="10" s="1"/>
  <c r="BI95" i="10"/>
  <c r="AN676" i="10"/>
  <c r="AC729" i="10"/>
  <c r="AE729" i="10" s="1"/>
  <c r="AT729" i="10" s="1"/>
  <c r="BG4" i="20"/>
  <c r="BG6" i="20" s="1"/>
  <c r="BG7" i="20" s="1"/>
  <c r="BG8" i="20" s="1"/>
  <c r="L98" i="15"/>
  <c r="L32" i="15"/>
  <c r="L60" i="15"/>
  <c r="L165" i="15"/>
  <c r="L193" i="15"/>
  <c r="AN728" i="10"/>
  <c r="AK722" i="10"/>
  <c r="AM722" i="10" s="1"/>
  <c r="AS722" i="10" s="1"/>
  <c r="AN723" i="10"/>
  <c r="G165" i="9"/>
  <c r="G43" i="12"/>
  <c r="G23" i="12"/>
  <c r="P368" i="15"/>
  <c r="L4" i="15"/>
  <c r="I33" i="1"/>
  <c r="F10" i="3"/>
  <c r="E68" i="5" s="1"/>
  <c r="F11" i="3"/>
  <c r="L126" i="15"/>
  <c r="R364" i="15"/>
  <c r="Q367" i="15"/>
  <c r="I78" i="1"/>
  <c r="I28" i="1"/>
  <c r="P365" i="15"/>
  <c r="Q363" i="15"/>
  <c r="I26" i="1"/>
  <c r="Q365" i="15"/>
  <c r="R365" i="15"/>
  <c r="Q366" i="15"/>
  <c r="O366" i="15"/>
  <c r="O365" i="15"/>
  <c r="P366" i="15"/>
  <c r="O363" i="15"/>
  <c r="P363" i="15"/>
  <c r="O364" i="15"/>
  <c r="R367" i="15"/>
  <c r="I3" i="1"/>
  <c r="P364" i="15"/>
  <c r="H16" i="8"/>
  <c r="F7" i="3"/>
  <c r="I6" i="3"/>
  <c r="F9" i="3"/>
  <c r="I12" i="3"/>
  <c r="F4" i="3"/>
  <c r="I5" i="3"/>
  <c r="I43" i="8"/>
  <c r="F6" i="3"/>
  <c r="AT659" i="10" s="1"/>
  <c r="I9" i="3"/>
  <c r="E234" i="5"/>
  <c r="I14" i="23"/>
  <c r="AP676" i="10"/>
  <c r="AH676" i="10"/>
  <c r="G16" i="19"/>
  <c r="G29" i="19"/>
  <c r="F8" i="3"/>
  <c r="I11" i="3"/>
  <c r="F3" i="3"/>
  <c r="I4" i="3"/>
  <c r="AX538" i="10" l="1"/>
  <c r="W298" i="15"/>
  <c r="AQ659" i="10"/>
  <c r="BD659" i="10"/>
  <c r="BM659" i="10" s="1"/>
  <c r="AX659" i="10"/>
  <c r="AV659" i="10"/>
  <c r="AI655" i="10"/>
  <c r="BC655" i="10" s="1"/>
  <c r="BD655" i="10" s="1"/>
  <c r="BM655" i="10" s="1"/>
  <c r="AI662" i="10"/>
  <c r="BC662" i="10" s="1"/>
  <c r="AH662" i="10"/>
  <c r="AQ654" i="10"/>
  <c r="BJ654" i="10" s="1"/>
  <c r="BK654" i="10" s="1"/>
  <c r="BL654" i="10" s="1"/>
  <c r="BN654" i="10" s="1"/>
  <c r="AQ653" i="10"/>
  <c r="BJ653" i="10" s="1"/>
  <c r="BK653" i="10" s="1"/>
  <c r="AQ652" i="10"/>
  <c r="BJ652" i="10" s="1"/>
  <c r="BK652" i="10" s="1"/>
  <c r="AQ651" i="10"/>
  <c r="BJ651" i="10" s="1"/>
  <c r="BK651" i="10" s="1"/>
  <c r="AP653" i="10"/>
  <c r="AP652" i="10"/>
  <c r="AP651" i="10"/>
  <c r="AH655" i="10"/>
  <c r="AP654" i="10"/>
  <c r="AP693" i="10"/>
  <c r="AP649" i="10"/>
  <c r="AQ649" i="10"/>
  <c r="BJ649" i="10" s="1"/>
  <c r="BK649" i="10" s="1"/>
  <c r="AQ693" i="10"/>
  <c r="BJ693" i="10" s="1"/>
  <c r="BK693" i="10" s="1"/>
  <c r="AQ648" i="10"/>
  <c r="BJ648" i="10" s="1"/>
  <c r="AQ691" i="10"/>
  <c r="AQ650" i="10"/>
  <c r="BJ650" i="10" s="1"/>
  <c r="AH680" i="10"/>
  <c r="AE680" i="10" s="1"/>
  <c r="AT680" i="10" s="1"/>
  <c r="AH691" i="10"/>
  <c r="AE691" i="10" s="1"/>
  <c r="AP648" i="10"/>
  <c r="AP691" i="10"/>
  <c r="AP650" i="10"/>
  <c r="AI646" i="10"/>
  <c r="BC646" i="10" s="1"/>
  <c r="BD646" i="10" s="1"/>
  <c r="BM646" i="10" s="1"/>
  <c r="AQ646" i="10"/>
  <c r="AT643" i="10"/>
  <c r="AV643" i="10" s="1"/>
  <c r="AT646" i="10"/>
  <c r="AU689" i="10"/>
  <c r="AT689" i="10"/>
  <c r="AU688" i="10"/>
  <c r="AU687" i="10"/>
  <c r="AT688" i="10"/>
  <c r="AT687" i="10"/>
  <c r="AQ658" i="10"/>
  <c r="BJ658" i="10" s="1"/>
  <c r="BK658" i="10" s="1"/>
  <c r="AQ657" i="10"/>
  <c r="BJ657" i="10" s="1"/>
  <c r="AP657" i="10"/>
  <c r="AP658" i="10"/>
  <c r="AP685" i="10"/>
  <c r="AQ661" i="10"/>
  <c r="BJ661" i="10" s="1"/>
  <c r="BK661" i="10" s="1"/>
  <c r="AQ685" i="10"/>
  <c r="AQ683" i="10"/>
  <c r="AP661" i="10"/>
  <c r="AP683" i="10"/>
  <c r="W214" i="15"/>
  <c r="Y214" i="15"/>
  <c r="H298" i="15"/>
  <c r="H299" i="15" s="1"/>
  <c r="BD577" i="10"/>
  <c r="BM577" i="10" s="1"/>
  <c r="X298" i="15"/>
  <c r="X299" i="15" s="1"/>
  <c r="D298" i="15"/>
  <c r="D299" i="15" s="1"/>
  <c r="V298" i="15"/>
  <c r="V299" i="15" s="1"/>
  <c r="F298" i="15"/>
  <c r="F299" i="15" s="1"/>
  <c r="Y298" i="15"/>
  <c r="Y299" i="15" s="1"/>
  <c r="G298" i="15"/>
  <c r="G299" i="15" s="1"/>
  <c r="AI643" i="10"/>
  <c r="BC643" i="10" s="1"/>
  <c r="BD643" i="10" s="1"/>
  <c r="BM643" i="10" s="1"/>
  <c r="AQ642" i="10"/>
  <c r="BJ642" i="10" s="1"/>
  <c r="BK642" i="10" s="1"/>
  <c r="AQ643" i="10"/>
  <c r="AP642" i="10"/>
  <c r="AQ618" i="10"/>
  <c r="AI618" i="10"/>
  <c r="BC618" i="10" s="1"/>
  <c r="AH618" i="10"/>
  <c r="AP618" i="10"/>
  <c r="AQ637" i="10"/>
  <c r="AI637" i="10"/>
  <c r="BC637" i="10" s="1"/>
  <c r="AH637" i="10"/>
  <c r="AP637" i="10"/>
  <c r="AQ645" i="10"/>
  <c r="BJ645" i="10" s="1"/>
  <c r="BK645" i="10" s="1"/>
  <c r="AQ633" i="10"/>
  <c r="BJ633" i="10" s="1"/>
  <c r="BK633" i="10" s="1"/>
  <c r="AP633" i="10"/>
  <c r="AP645" i="10"/>
  <c r="AQ632" i="10"/>
  <c r="BJ632" i="10" s="1"/>
  <c r="BK632" i="10" s="1"/>
  <c r="BM632" i="10" s="1"/>
  <c r="AH640" i="10"/>
  <c r="AP632" i="10"/>
  <c r="AU611" i="10"/>
  <c r="AV611" i="10" s="1"/>
  <c r="AU678" i="10"/>
  <c r="AQ678" i="10"/>
  <c r="BJ678" i="10" s="1"/>
  <c r="BK678" i="10" s="1"/>
  <c r="AI678" i="10"/>
  <c r="AX625" i="10"/>
  <c r="AV625" i="10"/>
  <c r="AY625" i="10"/>
  <c r="BA625" i="10" s="1"/>
  <c r="R634" i="10"/>
  <c r="I636" i="10" s="1"/>
  <c r="AR634" i="10"/>
  <c r="J634" i="10" s="1"/>
  <c r="AT634" i="10" s="1"/>
  <c r="AQ624" i="10"/>
  <c r="BJ624" i="10" s="1"/>
  <c r="BK624" i="10" s="1"/>
  <c r="BM624" i="10" s="1"/>
  <c r="AI640" i="10"/>
  <c r="BC640" i="10" s="1"/>
  <c r="AP639" i="10"/>
  <c r="AP624" i="10"/>
  <c r="AQ639" i="10"/>
  <c r="BJ639" i="10" s="1"/>
  <c r="BK639" i="10" s="1"/>
  <c r="BM639" i="10" s="1"/>
  <c r="AQ636" i="10"/>
  <c r="AI636" i="10"/>
  <c r="AI635" i="10"/>
  <c r="BC635" i="10" s="1"/>
  <c r="AH636" i="10"/>
  <c r="AP636" i="10"/>
  <c r="AH635" i="10"/>
  <c r="AQ630" i="10"/>
  <c r="BJ630" i="10" s="1"/>
  <c r="BK630" i="10" s="1"/>
  <c r="AQ680" i="10"/>
  <c r="AQ631" i="10"/>
  <c r="BJ631" i="10" s="1"/>
  <c r="BK631" i="10" s="1"/>
  <c r="AQ629" i="10"/>
  <c r="BJ629" i="10" s="1"/>
  <c r="BK629" i="10" s="1"/>
  <c r="AQ634" i="10"/>
  <c r="AQ625" i="10"/>
  <c r="AP680" i="10"/>
  <c r="AP630" i="10"/>
  <c r="AR680" i="10"/>
  <c r="AS680" i="10"/>
  <c r="R680" i="10" s="1"/>
  <c r="AU680" i="10" s="1"/>
  <c r="BF680" i="10" s="1"/>
  <c r="BH680" i="10" s="1"/>
  <c r="BA680" i="10"/>
  <c r="BC680" i="10" s="1"/>
  <c r="BD680" i="10" s="1"/>
  <c r="AI634" i="10"/>
  <c r="AI625" i="10"/>
  <c r="AP629" i="10"/>
  <c r="AP631" i="10"/>
  <c r="AH634" i="10"/>
  <c r="AP634" i="10"/>
  <c r="AH625" i="10"/>
  <c r="AP625" i="10"/>
  <c r="AI627" i="10"/>
  <c r="BC627" i="10" s="1"/>
  <c r="AI626" i="10"/>
  <c r="BC626" i="10" s="1"/>
  <c r="AH627" i="10"/>
  <c r="AH626" i="10"/>
  <c r="AQ622" i="10"/>
  <c r="BJ622" i="10" s="1"/>
  <c r="BK622" i="10" s="1"/>
  <c r="BM622" i="10" s="1"/>
  <c r="AI622" i="10"/>
  <c r="AP613" i="10"/>
  <c r="AP622" i="10"/>
  <c r="AH622" i="10"/>
  <c r="AI611" i="10"/>
  <c r="AQ613" i="10"/>
  <c r="BJ613" i="10" s="1"/>
  <c r="BF611" i="10"/>
  <c r="BH611" i="10" s="1"/>
  <c r="AI617" i="10"/>
  <c r="AQ617" i="10"/>
  <c r="AP614" i="10"/>
  <c r="AH617" i="10"/>
  <c r="AP617" i="10"/>
  <c r="AQ614" i="10"/>
  <c r="BJ614" i="10" s="1"/>
  <c r="BK614" i="10" s="1"/>
  <c r="BM614" i="10" s="1"/>
  <c r="AQ589" i="10"/>
  <c r="AI589" i="10"/>
  <c r="BC589" i="10" s="1"/>
  <c r="AP615" i="10"/>
  <c r="AH589" i="10"/>
  <c r="AP589" i="10"/>
  <c r="AQ615" i="10"/>
  <c r="BJ615" i="10" s="1"/>
  <c r="AQ616" i="10"/>
  <c r="BH616" i="10" s="1"/>
  <c r="BJ616" i="10" s="1"/>
  <c r="BK616" i="10" s="1"/>
  <c r="BL616" i="10" s="1"/>
  <c r="AI616" i="10"/>
  <c r="AS616" i="10"/>
  <c r="BA616" i="10"/>
  <c r="AR616" i="10"/>
  <c r="J616" i="10" s="1"/>
  <c r="I617" i="10" s="1"/>
  <c r="AU616" i="10"/>
  <c r="C14" i="12" s="1" a="1"/>
  <c r="C14" i="12" s="1"/>
  <c r="AQ623" i="10"/>
  <c r="BJ623" i="10" s="1"/>
  <c r="AP623" i="10"/>
  <c r="AU620" i="10"/>
  <c r="AT620" i="10"/>
  <c r="AP611" i="10"/>
  <c r="AQ611" i="10"/>
  <c r="AQ612" i="10"/>
  <c r="BJ612" i="10" s="1"/>
  <c r="BK612" i="10" s="1"/>
  <c r="BM612" i="10" s="1"/>
  <c r="AI612" i="10"/>
  <c r="AP610" i="10"/>
  <c r="AP612" i="10"/>
  <c r="AH612" i="10"/>
  <c r="AQ610" i="10"/>
  <c r="BJ610" i="10" s="1"/>
  <c r="BK610" i="10" s="1"/>
  <c r="BM610" i="10" s="1"/>
  <c r="AH604" i="10"/>
  <c r="AE604" i="10" s="1"/>
  <c r="AR604" i="10" s="1"/>
  <c r="AP601" i="10"/>
  <c r="AP609" i="10"/>
  <c r="AP608" i="10"/>
  <c r="AQ609" i="10"/>
  <c r="BJ609" i="10" s="1"/>
  <c r="BK609" i="10" s="1"/>
  <c r="AQ608" i="10"/>
  <c r="BJ608" i="10" s="1"/>
  <c r="BK608" i="10" s="1"/>
  <c r="AQ601" i="10"/>
  <c r="BJ601" i="10" s="1"/>
  <c r="AQ602" i="10"/>
  <c r="AI602" i="10"/>
  <c r="BC602" i="10" s="1"/>
  <c r="BD602" i="10" s="1"/>
  <c r="BM602" i="10" s="1"/>
  <c r="AT599" i="10"/>
  <c r="AX599" i="10" s="1"/>
  <c r="AT602" i="10"/>
  <c r="AQ599" i="10"/>
  <c r="AI599" i="10"/>
  <c r="BC599" i="10" s="1"/>
  <c r="AQ598" i="10"/>
  <c r="BJ598" i="10" s="1"/>
  <c r="BK598" i="10" s="1"/>
  <c r="BM598" i="10" s="1"/>
  <c r="AP598" i="10"/>
  <c r="O372" i="15"/>
  <c r="AT577" i="10"/>
  <c r="AU577" i="10"/>
  <c r="AQ590" i="10"/>
  <c r="AI590" i="10"/>
  <c r="AH590" i="10"/>
  <c r="AP590" i="10"/>
  <c r="BF588" i="10"/>
  <c r="BH588" i="10" s="1"/>
  <c r="BJ588" i="10" s="1"/>
  <c r="BK588" i="10" s="1"/>
  <c r="BL588" i="10" s="1"/>
  <c r="AP595" i="10"/>
  <c r="AH595" i="10"/>
  <c r="AQ595" i="10"/>
  <c r="AI595" i="10"/>
  <c r="AQ587" i="10"/>
  <c r="AI587" i="10"/>
  <c r="AT588" i="10"/>
  <c r="AV588" i="10" s="1"/>
  <c r="AP584" i="10"/>
  <c r="AH587" i="10"/>
  <c r="AP587" i="10"/>
  <c r="AQ584" i="10"/>
  <c r="BJ584" i="10" s="1"/>
  <c r="BK584" i="10" s="1"/>
  <c r="BM584" i="10" s="1"/>
  <c r="AQ586" i="10"/>
  <c r="BJ586" i="10" s="1"/>
  <c r="BK586" i="10" s="1"/>
  <c r="BM586" i="10" s="1"/>
  <c r="AP594" i="10"/>
  <c r="AP586" i="10"/>
  <c r="AQ594" i="10"/>
  <c r="BJ594" i="10" s="1"/>
  <c r="BK594" i="10" s="1"/>
  <c r="BM594" i="10" s="1"/>
  <c r="AI596" i="10"/>
  <c r="AQ596" i="10"/>
  <c r="AH596" i="10"/>
  <c r="AP596" i="10"/>
  <c r="AQ588" i="10"/>
  <c r="AQ593" i="10"/>
  <c r="AI588" i="10"/>
  <c r="AI604" i="10"/>
  <c r="AP593" i="10"/>
  <c r="AM593" i="10" s="1"/>
  <c r="AS593" i="10" s="1"/>
  <c r="R593" i="10" s="1"/>
  <c r="AH588" i="10"/>
  <c r="AP588" i="10"/>
  <c r="AR593" i="10"/>
  <c r="J593" i="10" s="1"/>
  <c r="K63" i="8" s="1"/>
  <c r="AP585" i="10"/>
  <c r="AP592" i="10"/>
  <c r="AQ592" i="10" s="1"/>
  <c r="BJ592" i="10" s="1"/>
  <c r="AQ583" i="10"/>
  <c r="BJ583" i="10" s="1"/>
  <c r="BK583" i="10" s="1"/>
  <c r="AQ585" i="10"/>
  <c r="BJ585" i="10" s="1"/>
  <c r="AP582" i="10"/>
  <c r="AP583" i="10"/>
  <c r="AQ582" i="10"/>
  <c r="BJ582" i="10" s="1"/>
  <c r="BK582" i="10" s="1"/>
  <c r="BM582" i="10" s="1"/>
  <c r="W81" i="15"/>
  <c r="W82" i="15" s="1"/>
  <c r="Z81" i="15"/>
  <c r="Z82" i="15" s="1"/>
  <c r="X81" i="15"/>
  <c r="X82" i="15" s="1"/>
  <c r="AQ572" i="10"/>
  <c r="AI572" i="10"/>
  <c r="V81" i="15"/>
  <c r="V82" i="15" s="1"/>
  <c r="Y81" i="15"/>
  <c r="Y82" i="15" s="1"/>
  <c r="AH572" i="10"/>
  <c r="AP572" i="10"/>
  <c r="AP567" i="10"/>
  <c r="AM567" i="10" s="1"/>
  <c r="AS567" i="10" s="1"/>
  <c r="AH571" i="10"/>
  <c r="AE571" i="10" s="1"/>
  <c r="AP571" i="10"/>
  <c r="AQ567" i="10"/>
  <c r="AQ568" i="10"/>
  <c r="AT529" i="10"/>
  <c r="AX529" i="10" s="1"/>
  <c r="AP568" i="10"/>
  <c r="AM568" i="10" s="1"/>
  <c r="AH568" i="10"/>
  <c r="AI568" i="10" s="1"/>
  <c r="BA568" i="10" s="1"/>
  <c r="BC568" i="10" s="1"/>
  <c r="AQ570" i="10"/>
  <c r="BJ570" i="10" s="1"/>
  <c r="BK570" i="10" s="1"/>
  <c r="BM570" i="10" s="1"/>
  <c r="AP570" i="10"/>
  <c r="AQ566" i="10"/>
  <c r="BJ566" i="10" s="1"/>
  <c r="BK566" i="10" s="1"/>
  <c r="BM566" i="10" s="1"/>
  <c r="AP566" i="10"/>
  <c r="AQ574" i="10"/>
  <c r="BH574" i="10" s="1"/>
  <c r="BJ574" i="10" s="1"/>
  <c r="BK574" i="10" s="1"/>
  <c r="BL574" i="10" s="1"/>
  <c r="AQ571" i="10"/>
  <c r="AI574" i="10"/>
  <c r="AT574" i="10"/>
  <c r="AY574" i="10" s="1"/>
  <c r="AI565" i="10"/>
  <c r="AP565" i="10"/>
  <c r="AM565" i="10" s="1"/>
  <c r="AQ565" i="10"/>
  <c r="AQ581" i="10"/>
  <c r="BJ581" i="10" s="1"/>
  <c r="BK581" i="10" s="1"/>
  <c r="AP576" i="10"/>
  <c r="AP581" i="10"/>
  <c r="AQ576" i="10"/>
  <c r="BJ576" i="10" s="1"/>
  <c r="BK576" i="10" s="1"/>
  <c r="BM576" i="10" s="1"/>
  <c r="AQ563" i="10"/>
  <c r="AI563" i="10"/>
  <c r="BC563" i="10" s="1"/>
  <c r="BD563" i="10" s="1"/>
  <c r="BM563" i="10" s="1"/>
  <c r="AH563" i="10"/>
  <c r="AP563" i="10"/>
  <c r="AQ562" i="10"/>
  <c r="BJ562" i="10" s="1"/>
  <c r="BK562" i="10" s="1"/>
  <c r="AP562" i="10"/>
  <c r="AQ559" i="10"/>
  <c r="BJ559" i="10" s="1"/>
  <c r="BK559" i="10" s="1"/>
  <c r="AP561" i="10"/>
  <c r="AP559" i="10"/>
  <c r="AQ561" i="10"/>
  <c r="BJ561" i="10" s="1"/>
  <c r="BK561" i="10" s="1"/>
  <c r="AQ560" i="10"/>
  <c r="BJ560" i="10" s="1"/>
  <c r="BK560" i="10" s="1"/>
  <c r="AP558" i="10"/>
  <c r="AP560" i="10"/>
  <c r="AQ558" i="10"/>
  <c r="BJ558" i="10" s="1"/>
  <c r="BK558" i="10" s="1"/>
  <c r="BM558" i="10" s="1"/>
  <c r="AQ553" i="10"/>
  <c r="AQ554" i="10"/>
  <c r="AI553" i="10"/>
  <c r="BC553" i="10" s="1"/>
  <c r="BD553" i="10" s="1"/>
  <c r="AI554" i="10"/>
  <c r="BC554" i="10" s="1"/>
  <c r="AP550" i="10"/>
  <c r="AH553" i="10"/>
  <c r="AP553" i="10"/>
  <c r="AH554" i="10"/>
  <c r="AP554" i="10"/>
  <c r="AQ550" i="10"/>
  <c r="BJ550" i="10" s="1"/>
  <c r="BK550" i="10" s="1"/>
  <c r="BM550" i="10" s="1"/>
  <c r="AP549" i="10"/>
  <c r="AQ549" i="10"/>
  <c r="BJ549" i="10" s="1"/>
  <c r="AQ546" i="10"/>
  <c r="BJ546" i="10" s="1"/>
  <c r="BK546" i="10" s="1"/>
  <c r="BM546" i="10" s="1"/>
  <c r="AP551" i="10"/>
  <c r="AP546" i="10"/>
  <c r="AQ551" i="10"/>
  <c r="BJ551" i="10" s="1"/>
  <c r="BK551" i="10" s="1"/>
  <c r="BM551" i="10" s="1"/>
  <c r="AQ445" i="10"/>
  <c r="BJ445" i="10" s="1"/>
  <c r="BK445" i="10" s="1"/>
  <c r="AH445" i="10"/>
  <c r="AE445" i="10" s="1"/>
  <c r="AP446" i="10"/>
  <c r="AM446" i="10" s="1"/>
  <c r="AS446" i="10" s="1"/>
  <c r="AP548" i="10"/>
  <c r="AP445" i="10"/>
  <c r="AI545" i="10"/>
  <c r="AQ548" i="10"/>
  <c r="BJ548" i="10" s="1"/>
  <c r="BK548" i="10" s="1"/>
  <c r="AQ545" i="10"/>
  <c r="BJ545" i="10" s="1"/>
  <c r="BK545" i="10" s="1"/>
  <c r="AQ547" i="10"/>
  <c r="BJ547" i="10" s="1"/>
  <c r="BK547" i="10" s="1"/>
  <c r="AQ552" i="10"/>
  <c r="BJ552" i="10" s="1"/>
  <c r="BK552" i="10" s="1"/>
  <c r="AP545" i="10"/>
  <c r="AH545" i="10"/>
  <c r="AP552" i="10"/>
  <c r="AP547" i="10"/>
  <c r="AQ533" i="10"/>
  <c r="BJ533" i="10" s="1"/>
  <c r="BK533" i="10" s="1"/>
  <c r="BM533" i="10" s="1"/>
  <c r="AH541" i="10"/>
  <c r="AP533" i="10"/>
  <c r="AI541" i="10"/>
  <c r="BC541" i="10" s="1"/>
  <c r="R537" i="10"/>
  <c r="AR537" i="10"/>
  <c r="J537" i="10" s="1"/>
  <c r="AP535" i="10"/>
  <c r="AH538" i="10"/>
  <c r="AI538" i="10"/>
  <c r="BC538" i="10" s="1"/>
  <c r="AQ535" i="10"/>
  <c r="BJ535" i="10" s="1"/>
  <c r="AQ536" i="10"/>
  <c r="BJ536" i="10" s="1"/>
  <c r="BK536" i="10" s="1"/>
  <c r="AP534" i="10"/>
  <c r="AP536" i="10"/>
  <c r="AQ534" i="10"/>
  <c r="BJ534" i="10" s="1"/>
  <c r="BK534" i="10" s="1"/>
  <c r="BM534" i="10" s="1"/>
  <c r="E135" i="5"/>
  <c r="AT531" i="10"/>
  <c r="AU531" i="10"/>
  <c r="D14" i="12" s="1" a="1"/>
  <c r="D14" i="12" s="1"/>
  <c r="AQ529" i="10"/>
  <c r="AI529" i="10"/>
  <c r="BC529" i="10" s="1"/>
  <c r="BD529" i="10" s="1"/>
  <c r="BM529" i="10" s="1"/>
  <c r="AI526" i="10"/>
  <c r="BC526" i="10" s="1"/>
  <c r="BD526" i="10" s="1"/>
  <c r="BM526" i="10" s="1"/>
  <c r="AQ525" i="10"/>
  <c r="BJ525" i="10" s="1"/>
  <c r="AQ526" i="10"/>
  <c r="AQ528" i="10"/>
  <c r="BJ528" i="10" s="1"/>
  <c r="AP528" i="10"/>
  <c r="AP525" i="10"/>
  <c r="AT523" i="10"/>
  <c r="AX523" i="10" s="1"/>
  <c r="AT526" i="10"/>
  <c r="AQ522" i="10"/>
  <c r="AQ523" i="10"/>
  <c r="AQ514" i="10"/>
  <c r="AI523" i="10"/>
  <c r="BC523" i="10" s="1"/>
  <c r="AI514" i="10"/>
  <c r="AI522" i="10"/>
  <c r="AP522" i="10"/>
  <c r="AH514" i="10"/>
  <c r="AH522" i="10"/>
  <c r="AP514" i="10"/>
  <c r="AQ521" i="10"/>
  <c r="BJ521" i="10" s="1"/>
  <c r="AP521" i="10"/>
  <c r="BF517" i="10"/>
  <c r="BH517" i="10" s="1"/>
  <c r="BJ517" i="10" s="1"/>
  <c r="BK517" i="10" s="1"/>
  <c r="BL517" i="10" s="1"/>
  <c r="AX517" i="10"/>
  <c r="AV517" i="10"/>
  <c r="AY517" i="10"/>
  <c r="BA517" i="10" s="1"/>
  <c r="BC517" i="10" s="1"/>
  <c r="AI515" i="10"/>
  <c r="AP515" i="10"/>
  <c r="AM515" i="10" s="1"/>
  <c r="AH515" i="10"/>
  <c r="AQ512" i="10"/>
  <c r="BJ512" i="10" s="1"/>
  <c r="AQ513" i="10"/>
  <c r="BJ513" i="10" s="1"/>
  <c r="AP512" i="10"/>
  <c r="AP513" i="10"/>
  <c r="AQ510" i="10"/>
  <c r="AQ507" i="10"/>
  <c r="AI510" i="10"/>
  <c r="BC510" i="10" s="1"/>
  <c r="AI507" i="10"/>
  <c r="BC507" i="10" s="1"/>
  <c r="AP509" i="10"/>
  <c r="AT510" i="10"/>
  <c r="AT507" i="10"/>
  <c r="AQ509" i="10"/>
  <c r="BJ509" i="10" s="1"/>
  <c r="BK509" i="10" s="1"/>
  <c r="AQ506" i="10"/>
  <c r="BJ506" i="10" s="1"/>
  <c r="BK506" i="10" s="1"/>
  <c r="AP506" i="10"/>
  <c r="AQ504" i="10"/>
  <c r="AI504" i="10"/>
  <c r="BC504" i="10" s="1"/>
  <c r="AT501" i="10"/>
  <c r="AX501" i="10" s="1"/>
  <c r="AT504" i="10"/>
  <c r="AQ501" i="10"/>
  <c r="AI501" i="10"/>
  <c r="BC501" i="10" s="1"/>
  <c r="AQ494" i="10"/>
  <c r="AI494" i="10"/>
  <c r="BC494" i="10" s="1"/>
  <c r="AT490" i="10"/>
  <c r="AX490" i="10" s="1"/>
  <c r="AT494" i="10"/>
  <c r="AQ503" i="10"/>
  <c r="BJ503" i="10" s="1"/>
  <c r="BK503" i="10" s="1"/>
  <c r="BM503" i="10" s="1"/>
  <c r="AP540" i="10"/>
  <c r="AP503" i="10"/>
  <c r="AQ540" i="10"/>
  <c r="BJ540" i="10" s="1"/>
  <c r="BK540" i="10" s="1"/>
  <c r="AQ492" i="10"/>
  <c r="BJ492" i="10" s="1"/>
  <c r="BK492" i="10" s="1"/>
  <c r="AP489" i="10"/>
  <c r="AP492" i="10"/>
  <c r="AI490" i="10"/>
  <c r="BC490" i="10" s="1"/>
  <c r="BD490" i="10" s="1"/>
  <c r="BM490" i="10" s="1"/>
  <c r="AQ490" i="10"/>
  <c r="AQ489" i="10"/>
  <c r="BJ489" i="10" s="1"/>
  <c r="AQ500" i="10"/>
  <c r="BJ500" i="10" s="1"/>
  <c r="BK500" i="10" s="1"/>
  <c r="BM500" i="10" s="1"/>
  <c r="AH481" i="10"/>
  <c r="AE481" i="10" s="1"/>
  <c r="AS481" i="10" s="1"/>
  <c r="AP500" i="10"/>
  <c r="AI481" i="10"/>
  <c r="AQ481" i="10"/>
  <c r="AT480" i="10"/>
  <c r="G17" i="23" s="1" a="1"/>
  <c r="G17" i="23" s="1"/>
  <c r="AU481" i="10"/>
  <c r="C11" i="12" s="1" a="1"/>
  <c r="C11" i="12" s="1"/>
  <c r="AR481" i="10"/>
  <c r="J481" i="10" s="1"/>
  <c r="AT481" i="10" s="1"/>
  <c r="AP443" i="10"/>
  <c r="AP481" i="10"/>
  <c r="BM476" i="10"/>
  <c r="BE476" i="10"/>
  <c r="BN476" i="10" s="1"/>
  <c r="BD477" i="10"/>
  <c r="BM477" i="10" s="1"/>
  <c r="AU480" i="10"/>
  <c r="D53" i="12" s="1" a="1"/>
  <c r="D53" i="12" s="1"/>
  <c r="AU477" i="10"/>
  <c r="AT477" i="10"/>
  <c r="AQ476" i="10"/>
  <c r="AI476" i="10"/>
  <c r="AP476" i="10"/>
  <c r="AH476" i="10"/>
  <c r="AQ472" i="10"/>
  <c r="AP475" i="10"/>
  <c r="AH472" i="10"/>
  <c r="AH478" i="10"/>
  <c r="AP472" i="10"/>
  <c r="AI472" i="10"/>
  <c r="AI478" i="10"/>
  <c r="BC478" i="10" s="1"/>
  <c r="AQ471" i="10"/>
  <c r="BJ471" i="10" s="1"/>
  <c r="AQ480" i="10"/>
  <c r="BJ480" i="10" s="1"/>
  <c r="BK480" i="10" s="1"/>
  <c r="AQ473" i="10"/>
  <c r="AI480" i="10"/>
  <c r="AI473" i="10"/>
  <c r="BC473" i="10" s="1"/>
  <c r="AI471" i="10"/>
  <c r="AT473" i="10"/>
  <c r="AU471" i="10"/>
  <c r="AU473" i="10"/>
  <c r="AT471" i="10"/>
  <c r="AQ469" i="10"/>
  <c r="AI469" i="10"/>
  <c r="BC469" i="10" s="1"/>
  <c r="AT469" i="10"/>
  <c r="AQ475" i="10"/>
  <c r="BJ475" i="10" s="1"/>
  <c r="BK475" i="10" s="1"/>
  <c r="BM475" i="10" s="1"/>
  <c r="AQ457" i="10"/>
  <c r="BJ457" i="10" s="1"/>
  <c r="BK457" i="10" s="1"/>
  <c r="AQ466" i="10"/>
  <c r="AQ493" i="10"/>
  <c r="BJ493" i="10" s="1"/>
  <c r="AI466" i="10"/>
  <c r="AI493" i="10"/>
  <c r="AH493" i="10"/>
  <c r="AP493" i="10"/>
  <c r="AV466" i="10"/>
  <c r="AY466" i="10"/>
  <c r="BA466" i="10" s="1"/>
  <c r="AP457" i="10"/>
  <c r="AH466" i="10"/>
  <c r="AP466" i="10"/>
  <c r="BD465" i="10"/>
  <c r="BM465" i="10" s="1"/>
  <c r="AU465" i="10"/>
  <c r="AT465" i="10"/>
  <c r="AQ461" i="10"/>
  <c r="BJ461" i="10" s="1"/>
  <c r="BK461" i="10" s="1"/>
  <c r="BM461" i="10" s="1"/>
  <c r="AI462" i="10"/>
  <c r="BC462" i="10" s="1"/>
  <c r="BD462" i="10" s="1"/>
  <c r="BM462" i="10" s="1"/>
  <c r="AP461" i="10"/>
  <c r="AH462" i="10"/>
  <c r="AQ464" i="10"/>
  <c r="BJ464" i="10" s="1"/>
  <c r="BK464" i="10" s="1"/>
  <c r="AP464" i="10"/>
  <c r="AP468" i="10"/>
  <c r="AP499" i="10"/>
  <c r="AQ499" i="10"/>
  <c r="BJ499" i="10" s="1"/>
  <c r="BK499" i="10" s="1"/>
  <c r="AQ468" i="10"/>
  <c r="BJ468" i="10" s="1"/>
  <c r="BK468" i="10" s="1"/>
  <c r="AT459" i="10"/>
  <c r="AY459" i="10" s="1"/>
  <c r="BA459" i="10" s="1"/>
  <c r="BF459" i="10"/>
  <c r="BH459" i="10" s="1"/>
  <c r="BJ459" i="10" s="1"/>
  <c r="BK459" i="10" s="1"/>
  <c r="BL459" i="10" s="1"/>
  <c r="H11" i="23" a="1"/>
  <c r="H11" i="23" s="1"/>
  <c r="AQ450" i="10"/>
  <c r="AQ451" i="10"/>
  <c r="AI450" i="10"/>
  <c r="BC450" i="10" s="1"/>
  <c r="AI451" i="10"/>
  <c r="BC451" i="10" s="1"/>
  <c r="BD451" i="10" s="1"/>
  <c r="AH450" i="10"/>
  <c r="AP450" i="10"/>
  <c r="AH451" i="10"/>
  <c r="AP451" i="10"/>
  <c r="BK451" i="10"/>
  <c r="BL451" i="10" s="1"/>
  <c r="AP449" i="10"/>
  <c r="AP456" i="10"/>
  <c r="AP455" i="10"/>
  <c r="AQ456" i="10"/>
  <c r="BJ456" i="10" s="1"/>
  <c r="BK456" i="10" s="1"/>
  <c r="AQ455" i="10"/>
  <c r="BJ455" i="10" s="1"/>
  <c r="AQ449" i="10"/>
  <c r="BJ449" i="10" s="1"/>
  <c r="BK449" i="10" s="1"/>
  <c r="AQ448" i="10"/>
  <c r="BJ448" i="10" s="1"/>
  <c r="BK448" i="10" s="1"/>
  <c r="AQ431" i="10"/>
  <c r="BJ431" i="10" s="1"/>
  <c r="BK431" i="10" s="1"/>
  <c r="AI459" i="10"/>
  <c r="AI431" i="10"/>
  <c r="AH459" i="10"/>
  <c r="AP448" i="10"/>
  <c r="AP431" i="10"/>
  <c r="AH431" i="10"/>
  <c r="AP453" i="10"/>
  <c r="AP454" i="10"/>
  <c r="AQ454" i="10"/>
  <c r="BJ454" i="10" s="1"/>
  <c r="BK454" i="10" s="1"/>
  <c r="BM454" i="10" s="1"/>
  <c r="AY428" i="10"/>
  <c r="BA428" i="10" s="1"/>
  <c r="BF428" i="10"/>
  <c r="BH428" i="10" s="1"/>
  <c r="BJ428" i="10" s="1"/>
  <c r="BK428" i="10" s="1"/>
  <c r="BL428" i="10" s="1"/>
  <c r="AY729" i="10"/>
  <c r="BA729" i="10" s="1"/>
  <c r="AQ440" i="10"/>
  <c r="AI440" i="10"/>
  <c r="BC440" i="10" s="1"/>
  <c r="BD440" i="10" s="1"/>
  <c r="BM440" i="10" s="1"/>
  <c r="AT440" i="10"/>
  <c r="AT427" i="10"/>
  <c r="AU427" i="10"/>
  <c r="AQ453" i="10"/>
  <c r="BJ453" i="10" s="1"/>
  <c r="BK453" i="10" s="1"/>
  <c r="BM453" i="10" s="1"/>
  <c r="V119" i="15"/>
  <c r="V120" i="15" s="1"/>
  <c r="AQ437" i="10"/>
  <c r="AI437" i="10"/>
  <c r="BC437" i="10" s="1"/>
  <c r="AT433" i="10"/>
  <c r="AX433" i="10" s="1"/>
  <c r="AT437" i="10"/>
  <c r="AQ436" i="10"/>
  <c r="BJ436" i="10" s="1"/>
  <c r="BK436" i="10" s="1"/>
  <c r="AQ435" i="10"/>
  <c r="BJ435" i="10" s="1"/>
  <c r="BK435" i="10" s="1"/>
  <c r="AI436" i="10"/>
  <c r="AI435" i="10"/>
  <c r="Z119" i="15"/>
  <c r="Z120" i="15" s="1"/>
  <c r="AP436" i="10"/>
  <c r="AH436" i="10"/>
  <c r="AP435" i="10"/>
  <c r="AH435" i="10"/>
  <c r="AQ439" i="10"/>
  <c r="BJ439" i="10" s="1"/>
  <c r="BK439" i="10" s="1"/>
  <c r="AQ433" i="10"/>
  <c r="AI433" i="10"/>
  <c r="BC433" i="10" s="1"/>
  <c r="BD433" i="10" s="1"/>
  <c r="BM433" i="10" s="1"/>
  <c r="W119" i="15"/>
  <c r="W120" i="15" s="1"/>
  <c r="AP432" i="10"/>
  <c r="AP439" i="10"/>
  <c r="AI430" i="10"/>
  <c r="AQ432" i="10"/>
  <c r="BJ432" i="10" s="1"/>
  <c r="BK432" i="10" s="1"/>
  <c r="AQ430" i="10"/>
  <c r="BJ430" i="10" s="1"/>
  <c r="BK430" i="10" s="1"/>
  <c r="AP430" i="10"/>
  <c r="AH430" i="10"/>
  <c r="AQ412" i="10"/>
  <c r="BJ412" i="10" s="1"/>
  <c r="AQ413" i="10"/>
  <c r="BJ413" i="10" s="1"/>
  <c r="AQ414" i="10"/>
  <c r="BJ414" i="10" s="1"/>
  <c r="AP412" i="10"/>
  <c r="AP413" i="10"/>
  <c r="AP414" i="10"/>
  <c r="AQ426" i="10"/>
  <c r="BJ426" i="10" s="1"/>
  <c r="AQ428" i="10"/>
  <c r="AQ423" i="10"/>
  <c r="BJ423" i="10" s="1"/>
  <c r="AQ424" i="10"/>
  <c r="AQ420" i="10"/>
  <c r="BJ420" i="10" s="1"/>
  <c r="AQ421" i="10"/>
  <c r="AI428" i="10"/>
  <c r="AI424" i="10"/>
  <c r="BC424" i="10" s="1"/>
  <c r="AI421" i="10"/>
  <c r="BC421" i="10" s="1"/>
  <c r="AP426" i="10"/>
  <c r="AP423" i="10"/>
  <c r="AP420" i="10"/>
  <c r="AT415" i="10"/>
  <c r="AV415" i="10" s="1"/>
  <c r="AT428" i="10"/>
  <c r="AT424" i="10"/>
  <c r="AT421" i="10"/>
  <c r="AQ415" i="10"/>
  <c r="AI415" i="10"/>
  <c r="BC415" i="10" s="1"/>
  <c r="AI418" i="10"/>
  <c r="BC418" i="10" s="1"/>
  <c r="BD418" i="10" s="1"/>
  <c r="BM418" i="10" s="1"/>
  <c r="AQ408" i="10"/>
  <c r="BJ408" i="10" s="1"/>
  <c r="BK408" i="10" s="1"/>
  <c r="AQ418" i="10"/>
  <c r="AT409" i="10"/>
  <c r="AV409" i="10" s="1"/>
  <c r="AT418" i="10"/>
  <c r="AI442" i="10"/>
  <c r="AP408" i="10"/>
  <c r="AH442" i="10"/>
  <c r="AE442" i="10" s="1"/>
  <c r="AQ409" i="10"/>
  <c r="AI409" i="10"/>
  <c r="BC409" i="10" s="1"/>
  <c r="AQ407" i="10"/>
  <c r="BJ407" i="10" s="1"/>
  <c r="BK407" i="10" s="1"/>
  <c r="AQ442" i="10"/>
  <c r="AP442" i="10"/>
  <c r="AM442" i="10" s="1"/>
  <c r="AP407" i="10"/>
  <c r="AQ405" i="10"/>
  <c r="AI405" i="10"/>
  <c r="BC405" i="10" s="1"/>
  <c r="BD405" i="10" s="1"/>
  <c r="AT402" i="10"/>
  <c r="AV402" i="10" s="1"/>
  <c r="AT405" i="10"/>
  <c r="AQ404" i="10"/>
  <c r="BJ404" i="10" s="1"/>
  <c r="BK404" i="10" s="1"/>
  <c r="BM404" i="10" s="1"/>
  <c r="AP417" i="10"/>
  <c r="AP404" i="10"/>
  <c r="AQ417" i="10"/>
  <c r="BJ417" i="10" s="1"/>
  <c r="BK417" i="10" s="1"/>
  <c r="BM417" i="10" s="1"/>
  <c r="AI402" i="10"/>
  <c r="BC402" i="10" s="1"/>
  <c r="AP411" i="10"/>
  <c r="AQ411" i="10"/>
  <c r="BJ411" i="10" s="1"/>
  <c r="AQ402" i="10"/>
  <c r="AI401" i="10"/>
  <c r="AQ401" i="10"/>
  <c r="BJ401" i="10" s="1"/>
  <c r="BK401" i="10" s="1"/>
  <c r="AP401" i="10"/>
  <c r="AH401" i="10"/>
  <c r="AQ400" i="10"/>
  <c r="BJ400" i="10" s="1"/>
  <c r="BK400" i="10" s="1"/>
  <c r="AI400" i="10"/>
  <c r="AP400" i="10"/>
  <c r="AH400" i="10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R281" i="15"/>
  <c r="R282" i="15"/>
  <c r="R283" i="15"/>
  <c r="R284" i="15"/>
  <c r="R285" i="15"/>
  <c r="R286" i="15"/>
  <c r="R287" i="15"/>
  <c r="R288" i="15"/>
  <c r="R289" i="15"/>
  <c r="R290" i="15"/>
  <c r="R291" i="15"/>
  <c r="R292" i="15"/>
  <c r="R293" i="15"/>
  <c r="R294" i="15"/>
  <c r="R295" i="15"/>
  <c r="R296" i="15"/>
  <c r="R297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M298" i="15"/>
  <c r="M299" i="15" s="1"/>
  <c r="E50" i="5"/>
  <c r="G50" i="5" s="1"/>
  <c r="P299" i="15"/>
  <c r="E191" i="5"/>
  <c r="E299" i="15"/>
  <c r="N299" i="15"/>
  <c r="W299" i="15"/>
  <c r="Y186" i="15"/>
  <c r="Y187" i="15" s="1"/>
  <c r="W186" i="15"/>
  <c r="W187" i="15" s="1"/>
  <c r="Z186" i="15"/>
  <c r="Z187" i="15" s="1"/>
  <c r="AQ398" i="10"/>
  <c r="AI398" i="10"/>
  <c r="BC398" i="10" s="1"/>
  <c r="U186" i="15"/>
  <c r="U187" i="15" s="1"/>
  <c r="X186" i="15"/>
  <c r="X187" i="15" s="1"/>
  <c r="AT393" i="10"/>
  <c r="AV393" i="10" s="1"/>
  <c r="AT398" i="10"/>
  <c r="AQ397" i="10"/>
  <c r="BJ397" i="10" s="1"/>
  <c r="BK397" i="10" s="1"/>
  <c r="BM397" i="10" s="1"/>
  <c r="AP392" i="10"/>
  <c r="AP397" i="10"/>
  <c r="V186" i="15"/>
  <c r="V187" i="15" s="1"/>
  <c r="BD92" i="10"/>
  <c r="BE92" i="10" s="1"/>
  <c r="BD4" i="10"/>
  <c r="BE4" i="10" s="1"/>
  <c r="AI158" i="10"/>
  <c r="AE158" i="10"/>
  <c r="AI376" i="10"/>
  <c r="AE376" i="10"/>
  <c r="AI13" i="10"/>
  <c r="AE13" i="10"/>
  <c r="BD98" i="10"/>
  <c r="BE98" i="10" s="1"/>
  <c r="AI175" i="10"/>
  <c r="AE175" i="10"/>
  <c r="AI200" i="10"/>
  <c r="BA200" i="10" s="1"/>
  <c r="BC200" i="10" s="1"/>
  <c r="AI334" i="10"/>
  <c r="BA334" i="10" s="1"/>
  <c r="BC334" i="10" s="1"/>
  <c r="BD334" i="10" s="1"/>
  <c r="AI379" i="10"/>
  <c r="AE379" i="10"/>
  <c r="BD40" i="10"/>
  <c r="BE40" i="10" s="1"/>
  <c r="AI252" i="10"/>
  <c r="BA252" i="10" s="1"/>
  <c r="BC252" i="10" s="1"/>
  <c r="BD252" i="10" s="1"/>
  <c r="AE385" i="10"/>
  <c r="AI385" i="10"/>
  <c r="BD31" i="10"/>
  <c r="BE31" i="10" s="1"/>
  <c r="AI174" i="10"/>
  <c r="AE174" i="10"/>
  <c r="AE382" i="10"/>
  <c r="AI382" i="10"/>
  <c r="BD21" i="10"/>
  <c r="BE21" i="10" s="1"/>
  <c r="AI50" i="10"/>
  <c r="BA50" i="10" s="1"/>
  <c r="BC50" i="10" s="1"/>
  <c r="AI104" i="10"/>
  <c r="AE104" i="10"/>
  <c r="AI138" i="10"/>
  <c r="AE138" i="10"/>
  <c r="AI204" i="10"/>
  <c r="BA204" i="10" s="1"/>
  <c r="BC204" i="10" s="1"/>
  <c r="BD204" i="10" s="1"/>
  <c r="AI330" i="10"/>
  <c r="BA330" i="10" s="1"/>
  <c r="BC330" i="10" s="1"/>
  <c r="AQ147" i="10"/>
  <c r="AM147" i="10"/>
  <c r="AI58" i="10"/>
  <c r="AE58" i="10"/>
  <c r="BD272" i="10"/>
  <c r="BE272" i="10" s="1"/>
  <c r="AI51" i="10"/>
  <c r="BA51" i="10" s="1"/>
  <c r="BC51" i="10" s="1"/>
  <c r="AI165" i="10"/>
  <c r="BA165" i="10" s="1"/>
  <c r="BC165" i="10" s="1"/>
  <c r="BD165" i="10" s="1"/>
  <c r="AQ146" i="10"/>
  <c r="AM146" i="10"/>
  <c r="AI22" i="10"/>
  <c r="AE22" i="10"/>
  <c r="AI59" i="10"/>
  <c r="BA59" i="10" s="1"/>
  <c r="BC59" i="10" s="1"/>
  <c r="BD59" i="10" s="1"/>
  <c r="AQ145" i="10"/>
  <c r="AM145" i="10"/>
  <c r="BL153" i="10"/>
  <c r="BN153" i="10" s="1"/>
  <c r="BM153" i="10"/>
  <c r="AI224" i="10"/>
  <c r="BA224" i="10" s="1"/>
  <c r="BC224" i="10" s="1"/>
  <c r="BD224" i="10" s="1"/>
  <c r="BK342" i="10"/>
  <c r="BL342" i="10" s="1"/>
  <c r="AI389" i="10"/>
  <c r="BA389" i="10" s="1"/>
  <c r="BC389" i="10" s="1"/>
  <c r="AQ393" i="10"/>
  <c r="AQ392" i="10"/>
  <c r="BJ392" i="10" s="1"/>
  <c r="BK392" i="10" s="1"/>
  <c r="AI393" i="10"/>
  <c r="BC393" i="10" s="1"/>
  <c r="AT395" i="10"/>
  <c r="G18" i="23" s="1" a="1"/>
  <c r="G18" i="23" s="1"/>
  <c r="AH395" i="10"/>
  <c r="AP385" i="10"/>
  <c r="AP395" i="10"/>
  <c r="AQ395" i="10" s="1"/>
  <c r="AQ390" i="10"/>
  <c r="AI390" i="10"/>
  <c r="BC390" i="10" s="1"/>
  <c r="AT386" i="10"/>
  <c r="AX386" i="10" s="1"/>
  <c r="AT390" i="10"/>
  <c r="AQ382" i="10"/>
  <c r="AQ380" i="10"/>
  <c r="AQ385" i="10"/>
  <c r="AQ383" i="10"/>
  <c r="AQ386" i="10"/>
  <c r="AQ379" i="10"/>
  <c r="AI386" i="10"/>
  <c r="BC386" i="10" s="1"/>
  <c r="AI380" i="10"/>
  <c r="BC380" i="10" s="1"/>
  <c r="AI383" i="10"/>
  <c r="BC383" i="10" s="1"/>
  <c r="AP348" i="10"/>
  <c r="AP382" i="10"/>
  <c r="AP379" i="10"/>
  <c r="AT383" i="10"/>
  <c r="AT380" i="10"/>
  <c r="AQ348" i="10"/>
  <c r="BJ348" i="10" s="1"/>
  <c r="AQ377" i="10"/>
  <c r="AI377" i="10"/>
  <c r="BC377" i="10" s="1"/>
  <c r="AT374" i="10"/>
  <c r="AX374" i="10" s="1"/>
  <c r="AT377" i="10"/>
  <c r="AQ388" i="10"/>
  <c r="BJ388" i="10" s="1"/>
  <c r="BK388" i="10" s="1"/>
  <c r="AP389" i="10"/>
  <c r="AP388" i="10"/>
  <c r="AQ389" i="10"/>
  <c r="BJ389" i="10" s="1"/>
  <c r="BK389" i="10" s="1"/>
  <c r="AQ370" i="10"/>
  <c r="BJ370" i="10" s="1"/>
  <c r="AP370" i="10"/>
  <c r="AQ374" i="10"/>
  <c r="AI374" i="10"/>
  <c r="BC374" i="10" s="1"/>
  <c r="AQ369" i="10"/>
  <c r="BJ369" i="10" s="1"/>
  <c r="BK369" i="10" s="1"/>
  <c r="AP373" i="10"/>
  <c r="AP369" i="10"/>
  <c r="AQ373" i="10"/>
  <c r="BJ373" i="10" s="1"/>
  <c r="BK373" i="10" s="1"/>
  <c r="AQ366" i="10"/>
  <c r="AI366" i="10"/>
  <c r="BC366" i="10" s="1"/>
  <c r="AU362" i="10"/>
  <c r="AT366" i="10"/>
  <c r="AQ362" i="10"/>
  <c r="BJ362" i="10" s="1"/>
  <c r="BK362" i="10" s="1"/>
  <c r="AQ363" i="10"/>
  <c r="AI362" i="10"/>
  <c r="AI363" i="10"/>
  <c r="BC363" i="10" s="1"/>
  <c r="AU363" i="10"/>
  <c r="H13" i="23" s="1" a="1"/>
  <c r="H13" i="23" s="1"/>
  <c r="AT362" i="10"/>
  <c r="AU360" i="10"/>
  <c r="AT363" i="10"/>
  <c r="AT361" i="10"/>
  <c r="AT360" i="10"/>
  <c r="AQ360" i="10"/>
  <c r="BJ360" i="10" s="1"/>
  <c r="AI360" i="10"/>
  <c r="AQ356" i="10"/>
  <c r="BJ356" i="10" s="1"/>
  <c r="BK356" i="10" s="1"/>
  <c r="AQ355" i="10"/>
  <c r="BJ355" i="10" s="1"/>
  <c r="AQ354" i="10"/>
  <c r="BJ354" i="10" s="1"/>
  <c r="BK354" i="10" s="1"/>
  <c r="AQ352" i="10"/>
  <c r="BJ352" i="10" s="1"/>
  <c r="BK352" i="10" s="1"/>
  <c r="AP356" i="10"/>
  <c r="AP355" i="10"/>
  <c r="AP354" i="10"/>
  <c r="AP352" i="10"/>
  <c r="AQ358" i="10"/>
  <c r="AI358" i="10"/>
  <c r="BC358" i="10" s="1"/>
  <c r="AU361" i="10"/>
  <c r="AT358" i="10"/>
  <c r="AP376" i="10"/>
  <c r="K51" i="8"/>
  <c r="K68" i="8"/>
  <c r="J64" i="8"/>
  <c r="J54" i="8"/>
  <c r="E55" i="8"/>
  <c r="D51" i="8"/>
  <c r="E66" i="8"/>
  <c r="J55" i="8"/>
  <c r="K50" i="8"/>
  <c r="D52" i="8"/>
  <c r="K64" i="8"/>
  <c r="D66" i="8"/>
  <c r="E51" i="8"/>
  <c r="J67" i="8"/>
  <c r="E68" i="8"/>
  <c r="K52" i="8"/>
  <c r="D54" i="8"/>
  <c r="J68" i="8"/>
  <c r="D65" i="8"/>
  <c r="K53" i="8"/>
  <c r="D55" i="8"/>
  <c r="E50" i="8"/>
  <c r="E64" i="8"/>
  <c r="J53" i="8"/>
  <c r="E54" i="8"/>
  <c r="D50" i="8"/>
  <c r="K65" i="8"/>
  <c r="K55" i="8"/>
  <c r="J51" i="8"/>
  <c r="E52" i="8"/>
  <c r="K66" i="8"/>
  <c r="D68" i="8"/>
  <c r="J52" i="8"/>
  <c r="K21" i="8"/>
  <c r="E24" i="8"/>
  <c r="E21" i="8"/>
  <c r="K25" i="8"/>
  <c r="E25" i="8"/>
  <c r="D24" i="8"/>
  <c r="E22" i="8"/>
  <c r="D21" i="8"/>
  <c r="J25" i="8"/>
  <c r="J22" i="8"/>
  <c r="D25" i="8"/>
  <c r="D22" i="8"/>
  <c r="C18" i="19" a="1"/>
  <c r="C18" i="19" s="1"/>
  <c r="D21" i="19" a="1"/>
  <c r="D21" i="19" s="1"/>
  <c r="C25" i="19" a="1"/>
  <c r="C25" i="19" s="1"/>
  <c r="D20" i="19" a="1"/>
  <c r="D20" i="19" s="1"/>
  <c r="D25" i="19" a="1"/>
  <c r="D25" i="19" s="1"/>
  <c r="C20" i="19" a="1"/>
  <c r="C20" i="19" s="1"/>
  <c r="D23" i="19" a="1"/>
  <c r="D23" i="19" s="1"/>
  <c r="D19" i="19" a="1"/>
  <c r="D19" i="19" s="1"/>
  <c r="D18" i="19" a="1"/>
  <c r="D18" i="19" s="1"/>
  <c r="G55" i="12" a="1"/>
  <c r="G55" i="12" s="1"/>
  <c r="C52" i="12" a="1"/>
  <c r="C52" i="12" s="1"/>
  <c r="F55" i="12" a="1"/>
  <c r="F55" i="12" s="1"/>
  <c r="D52" i="12" a="1"/>
  <c r="D52" i="12" s="1"/>
  <c r="C50" i="12" a="1"/>
  <c r="C50" i="12" s="1"/>
  <c r="C57" i="12" a="1"/>
  <c r="C57" i="12" s="1"/>
  <c r="F56" i="12" a="1"/>
  <c r="F56" i="12" s="1"/>
  <c r="H56" i="12" a="1"/>
  <c r="H56" i="12" s="1"/>
  <c r="C55" i="12" a="1"/>
  <c r="C55" i="12" s="1"/>
  <c r="C54" i="12" a="1"/>
  <c r="C54" i="12" s="1"/>
  <c r="G56" i="12" a="1"/>
  <c r="G56" i="12" s="1"/>
  <c r="D51" i="12" a="1"/>
  <c r="D51" i="12" s="1"/>
  <c r="C56" i="12" a="1"/>
  <c r="C56" i="12" s="1"/>
  <c r="H52" i="12" a="1"/>
  <c r="H52" i="12" s="1"/>
  <c r="F47" i="12" a="1"/>
  <c r="F47" i="12" s="1"/>
  <c r="D45" i="12" a="1"/>
  <c r="D45" i="12" s="1"/>
  <c r="D56" i="12" a="1"/>
  <c r="D56" i="12" s="1"/>
  <c r="G52" i="12" a="1"/>
  <c r="G52" i="12" s="1"/>
  <c r="D47" i="12" a="1"/>
  <c r="D47" i="12" s="1"/>
  <c r="F45" i="12" a="1"/>
  <c r="F45" i="12" s="1"/>
  <c r="H55" i="12" a="1"/>
  <c r="H55" i="12" s="1"/>
  <c r="C45" i="12" a="1"/>
  <c r="C45" i="12" s="1"/>
  <c r="D55" i="12" a="1"/>
  <c r="D55" i="12" s="1"/>
  <c r="C53" i="12" a="1"/>
  <c r="C53" i="12" s="1"/>
  <c r="F52" i="12" a="1"/>
  <c r="F52" i="12" s="1"/>
  <c r="C47" i="12" a="1"/>
  <c r="C47" i="12" s="1"/>
  <c r="AQ72" i="10"/>
  <c r="BJ72" i="10" s="1"/>
  <c r="BK72" i="10" s="1"/>
  <c r="AQ23" i="10"/>
  <c r="AQ60" i="10"/>
  <c r="AQ98" i="10"/>
  <c r="BJ98" i="10" s="1"/>
  <c r="BK98" i="10" s="1"/>
  <c r="AQ7" i="10"/>
  <c r="AQ31" i="10"/>
  <c r="BJ31" i="10" s="1"/>
  <c r="BK31" i="10" s="1"/>
  <c r="AQ28" i="10"/>
  <c r="AQ51" i="10"/>
  <c r="BJ51" i="10" s="1"/>
  <c r="BK51" i="10" s="1"/>
  <c r="AQ44" i="10"/>
  <c r="BJ44" i="10" s="1"/>
  <c r="BK44" i="10" s="1"/>
  <c r="AQ49" i="10"/>
  <c r="BJ49" i="10" s="1"/>
  <c r="BK49" i="10" s="1"/>
  <c r="BM49" i="10" s="1"/>
  <c r="AQ42" i="10"/>
  <c r="BJ42" i="10" s="1"/>
  <c r="BK42" i="10" s="1"/>
  <c r="AQ58" i="10"/>
  <c r="AQ70" i="10"/>
  <c r="BJ70" i="10" s="1"/>
  <c r="BK70" i="10" s="1"/>
  <c r="AQ89" i="10"/>
  <c r="BJ89" i="10" s="1"/>
  <c r="BK89" i="10" s="1"/>
  <c r="AQ106" i="10"/>
  <c r="BJ106" i="10" s="1"/>
  <c r="BK106" i="10" s="1"/>
  <c r="AQ105" i="10"/>
  <c r="BJ105" i="10" s="1"/>
  <c r="BK105" i="10" s="1"/>
  <c r="AQ162" i="10"/>
  <c r="BJ162" i="10" s="1"/>
  <c r="BK162" i="10" s="1"/>
  <c r="AQ306" i="10"/>
  <c r="AQ316" i="10"/>
  <c r="BJ316" i="10" s="1"/>
  <c r="AQ17" i="10"/>
  <c r="BJ17" i="10" s="1"/>
  <c r="BK17" i="10" s="1"/>
  <c r="BM17" i="10" s="1"/>
  <c r="AQ85" i="10"/>
  <c r="BJ85" i="10" s="1"/>
  <c r="BK85" i="10" s="1"/>
  <c r="AQ155" i="10"/>
  <c r="BJ155" i="10" s="1"/>
  <c r="BK155" i="10" s="1"/>
  <c r="AQ204" i="10"/>
  <c r="BJ204" i="10" s="1"/>
  <c r="AQ267" i="10"/>
  <c r="AQ274" i="10"/>
  <c r="AQ295" i="10"/>
  <c r="BJ295" i="10" s="1"/>
  <c r="AQ21" i="10"/>
  <c r="BJ21" i="10" s="1"/>
  <c r="BK21" i="10" s="1"/>
  <c r="AQ20" i="10"/>
  <c r="BJ20" i="10" s="1"/>
  <c r="BK20" i="10" s="1"/>
  <c r="BM20" i="10" s="1"/>
  <c r="AQ127" i="10"/>
  <c r="BJ127" i="10" s="1"/>
  <c r="AQ4" i="10"/>
  <c r="BJ4" i="10" s="1"/>
  <c r="BK4" i="10" s="1"/>
  <c r="AQ32" i="10"/>
  <c r="AQ19" i="10"/>
  <c r="BJ19" i="10" s="1"/>
  <c r="BK19" i="10" s="1"/>
  <c r="AQ47" i="10"/>
  <c r="BJ47" i="10" s="1"/>
  <c r="BK47" i="10" s="1"/>
  <c r="AQ59" i="10"/>
  <c r="BJ59" i="10" s="1"/>
  <c r="BK59" i="10" s="1"/>
  <c r="AQ68" i="10"/>
  <c r="BJ68" i="10" s="1"/>
  <c r="BK68" i="10" s="1"/>
  <c r="AQ88" i="10"/>
  <c r="BJ88" i="10" s="1"/>
  <c r="BK88" i="10" s="1"/>
  <c r="AQ123" i="10"/>
  <c r="BJ123" i="10" s="1"/>
  <c r="BK123" i="10" s="1"/>
  <c r="BM123" i="10" s="1"/>
  <c r="AQ121" i="10"/>
  <c r="BJ121" i="10" s="1"/>
  <c r="AQ125" i="10"/>
  <c r="BJ125" i="10" s="1"/>
  <c r="BK125" i="10" s="1"/>
  <c r="AQ169" i="10"/>
  <c r="BJ169" i="10" s="1"/>
  <c r="BK169" i="10" s="1"/>
  <c r="BM169" i="10" s="1"/>
  <c r="AQ247" i="10"/>
  <c r="BJ247" i="10" s="1"/>
  <c r="BK247" i="10" s="1"/>
  <c r="AQ344" i="10"/>
  <c r="BJ344" i="10" s="1"/>
  <c r="AQ349" i="10"/>
  <c r="AQ265" i="10"/>
  <c r="AQ286" i="10"/>
  <c r="AQ318" i="10"/>
  <c r="BJ318" i="10" s="1"/>
  <c r="BK318" i="10" s="1"/>
  <c r="AQ302" i="10"/>
  <c r="BJ302" i="10" s="1"/>
  <c r="BK302" i="10" s="1"/>
  <c r="BM302" i="10" s="1"/>
  <c r="AQ269" i="10"/>
  <c r="AQ289" i="10"/>
  <c r="AQ321" i="10"/>
  <c r="BJ321" i="10" s="1"/>
  <c r="BK321" i="10" s="1"/>
  <c r="AQ365" i="10"/>
  <c r="BJ365" i="10" s="1"/>
  <c r="AQ351" i="10"/>
  <c r="BJ351" i="10" s="1"/>
  <c r="BK351" i="10" s="1"/>
  <c r="AQ131" i="10"/>
  <c r="AQ141" i="10"/>
  <c r="BJ141" i="10" s="1"/>
  <c r="AQ173" i="10"/>
  <c r="BJ173" i="10" s="1"/>
  <c r="AQ200" i="10"/>
  <c r="BJ200" i="10" s="1"/>
  <c r="BK200" i="10" s="1"/>
  <c r="AQ181" i="10"/>
  <c r="BJ181" i="10" s="1"/>
  <c r="BK181" i="10" s="1"/>
  <c r="AQ197" i="10"/>
  <c r="BJ197" i="10" s="1"/>
  <c r="BK197" i="10" s="1"/>
  <c r="BM197" i="10" s="1"/>
  <c r="AQ202" i="10"/>
  <c r="BJ202" i="10" s="1"/>
  <c r="BK202" i="10" s="1"/>
  <c r="AQ201" i="10"/>
  <c r="BJ201" i="10" s="1"/>
  <c r="BK201" i="10" s="1"/>
  <c r="BM201" i="10" s="1"/>
  <c r="AQ209" i="10"/>
  <c r="AQ212" i="10"/>
  <c r="AQ227" i="10"/>
  <c r="BJ227" i="10" s="1"/>
  <c r="BK227" i="10" s="1"/>
  <c r="AQ224" i="10"/>
  <c r="BJ224" i="10" s="1"/>
  <c r="BK224" i="10" s="1"/>
  <c r="AQ217" i="10"/>
  <c r="AQ245" i="10"/>
  <c r="BJ245" i="10" s="1"/>
  <c r="AQ226" i="10"/>
  <c r="BJ226" i="10" s="1"/>
  <c r="BK226" i="10" s="1"/>
  <c r="AQ213" i="10"/>
  <c r="AQ259" i="10"/>
  <c r="AQ249" i="10"/>
  <c r="BJ249" i="10" s="1"/>
  <c r="BK249" i="10" s="1"/>
  <c r="AQ261" i="10"/>
  <c r="BJ261" i="10" s="1"/>
  <c r="BK261" i="10" s="1"/>
  <c r="AQ263" i="10"/>
  <c r="BJ263" i="10" s="1"/>
  <c r="BK263" i="10" s="1"/>
  <c r="AQ283" i="10"/>
  <c r="AQ248" i="10"/>
  <c r="BJ248" i="10" s="1"/>
  <c r="BK248" i="10" s="1"/>
  <c r="AQ293" i="10"/>
  <c r="AQ296" i="10"/>
  <c r="AQ307" i="10"/>
  <c r="AQ308" i="10"/>
  <c r="AQ322" i="10"/>
  <c r="AQ5" i="10"/>
  <c r="BJ5" i="10" s="1"/>
  <c r="BK5" i="10" s="1"/>
  <c r="AQ53" i="10"/>
  <c r="AQ45" i="10"/>
  <c r="BJ45" i="10" s="1"/>
  <c r="BK45" i="10" s="1"/>
  <c r="AQ111" i="10"/>
  <c r="AQ3" i="10"/>
  <c r="BJ3" i="10" s="1"/>
  <c r="BK3" i="10" s="1"/>
  <c r="AQ9" i="10"/>
  <c r="BJ9" i="10" s="1"/>
  <c r="BK9" i="10" s="1"/>
  <c r="AQ25" i="10"/>
  <c r="BJ25" i="10" s="1"/>
  <c r="AQ13" i="10"/>
  <c r="AQ38" i="10"/>
  <c r="AQ40" i="10"/>
  <c r="BJ40" i="10" s="1"/>
  <c r="BK40" i="10" s="1"/>
  <c r="AQ46" i="10"/>
  <c r="BJ46" i="10" s="1"/>
  <c r="BK46" i="10" s="1"/>
  <c r="BM46" i="10" s="1"/>
  <c r="AQ63" i="10"/>
  <c r="AQ66" i="10"/>
  <c r="AQ74" i="10"/>
  <c r="AQ93" i="10"/>
  <c r="AQ107" i="10"/>
  <c r="BJ107" i="10" s="1"/>
  <c r="BK107" i="10" s="1"/>
  <c r="AQ108" i="10"/>
  <c r="AQ117" i="10"/>
  <c r="AQ138" i="10"/>
  <c r="AQ151" i="10"/>
  <c r="AQ170" i="10"/>
  <c r="AQ299" i="10"/>
  <c r="BJ299" i="10" s="1"/>
  <c r="BK299" i="10" s="1"/>
  <c r="AQ317" i="10"/>
  <c r="BJ317" i="10" s="1"/>
  <c r="AQ48" i="10"/>
  <c r="BJ48" i="10" s="1"/>
  <c r="BK48" i="10" s="1"/>
  <c r="BM48" i="10" s="1"/>
  <c r="AQ133" i="10"/>
  <c r="AQ256" i="10"/>
  <c r="BJ256" i="10" s="1"/>
  <c r="BK256" i="10" s="1"/>
  <c r="AQ268" i="10"/>
  <c r="AQ345" i="10"/>
  <c r="AQ371" i="10"/>
  <c r="BJ371" i="10" s="1"/>
  <c r="AQ353" i="10"/>
  <c r="BJ353" i="10" s="1"/>
  <c r="BK353" i="10" s="1"/>
  <c r="AQ29" i="10"/>
  <c r="AQ76" i="10"/>
  <c r="BJ76" i="10" s="1"/>
  <c r="AQ174" i="10"/>
  <c r="AQ12" i="10"/>
  <c r="BJ12" i="10" s="1"/>
  <c r="BK12" i="10" s="1"/>
  <c r="BM12" i="10" s="1"/>
  <c r="AQ92" i="10"/>
  <c r="BJ92" i="10" s="1"/>
  <c r="BK92" i="10" s="1"/>
  <c r="AQ99" i="10"/>
  <c r="AQ104" i="10"/>
  <c r="AQ175" i="10"/>
  <c r="AQ136" i="10"/>
  <c r="BJ136" i="10" s="1"/>
  <c r="BK136" i="10" s="1"/>
  <c r="AQ336" i="10"/>
  <c r="BJ336" i="10" s="1"/>
  <c r="BK336" i="10" s="1"/>
  <c r="AQ277" i="10"/>
  <c r="AQ368" i="10"/>
  <c r="BJ368" i="10" s="1"/>
  <c r="AQ250" i="10"/>
  <c r="AQ372" i="10"/>
  <c r="BJ372" i="10" s="1"/>
  <c r="AQ176" i="10"/>
  <c r="AQ203" i="10"/>
  <c r="BJ203" i="10" s="1"/>
  <c r="BK203" i="10" s="1"/>
  <c r="AQ199" i="10"/>
  <c r="BJ199" i="10" s="1"/>
  <c r="BK199" i="10" s="1"/>
  <c r="AQ182" i="10"/>
  <c r="AQ210" i="10"/>
  <c r="AQ228" i="10"/>
  <c r="BJ228" i="10" s="1"/>
  <c r="AQ229" i="10"/>
  <c r="BJ229" i="10" s="1"/>
  <c r="BK229" i="10" s="1"/>
  <c r="AQ216" i="10"/>
  <c r="BJ216" i="10" s="1"/>
  <c r="BK216" i="10" s="1"/>
  <c r="AQ252" i="10"/>
  <c r="BJ252" i="10" s="1"/>
  <c r="BK252" i="10" s="1"/>
  <c r="AQ221" i="10"/>
  <c r="AQ233" i="10"/>
  <c r="AQ253" i="10"/>
  <c r="BJ253" i="10" s="1"/>
  <c r="BK253" i="10" s="1"/>
  <c r="AQ235" i="10"/>
  <c r="BJ235" i="10" s="1"/>
  <c r="BK235" i="10" s="1"/>
  <c r="AQ214" i="10"/>
  <c r="AQ264" i="10"/>
  <c r="BJ264" i="10" s="1"/>
  <c r="BK264" i="10" s="1"/>
  <c r="AQ285" i="10"/>
  <c r="BJ285" i="10" s="1"/>
  <c r="BK285" i="10" s="1"/>
  <c r="AQ291" i="10"/>
  <c r="BJ291" i="10" s="1"/>
  <c r="AQ298" i="10"/>
  <c r="BJ298" i="10" s="1"/>
  <c r="BK298" i="10" s="1"/>
  <c r="AQ300" i="10"/>
  <c r="AQ304" i="10"/>
  <c r="BJ304" i="10" s="1"/>
  <c r="BK304" i="10" s="1"/>
  <c r="AQ330" i="10"/>
  <c r="BJ330" i="10" s="1"/>
  <c r="AQ338" i="10"/>
  <c r="BJ338" i="10" s="1"/>
  <c r="AQ339" i="10"/>
  <c r="BJ339" i="10" s="1"/>
  <c r="BK339" i="10" s="1"/>
  <c r="BM339" i="10" s="1"/>
  <c r="AQ69" i="10"/>
  <c r="BJ69" i="10" s="1"/>
  <c r="BK69" i="10" s="1"/>
  <c r="AQ90" i="10"/>
  <c r="AQ10" i="10"/>
  <c r="AQ18" i="10"/>
  <c r="BJ18" i="10" s="1"/>
  <c r="BK18" i="10" s="1"/>
  <c r="BM18" i="10" s="1"/>
  <c r="AQ26" i="10"/>
  <c r="AQ80" i="10"/>
  <c r="BJ80" i="10" s="1"/>
  <c r="BK80" i="10" s="1"/>
  <c r="BM80" i="10" s="1"/>
  <c r="AQ78" i="10"/>
  <c r="AQ86" i="10"/>
  <c r="AQ110" i="10"/>
  <c r="BJ110" i="10" s="1"/>
  <c r="BK110" i="10" s="1"/>
  <c r="BM110" i="10" s="1"/>
  <c r="AQ144" i="10"/>
  <c r="AQ222" i="10"/>
  <c r="AQ347" i="10"/>
  <c r="BJ347" i="10" s="1"/>
  <c r="BK347" i="10" s="1"/>
  <c r="BM347" i="10" s="1"/>
  <c r="AQ57" i="10"/>
  <c r="AQ96" i="10"/>
  <c r="AQ124" i="10"/>
  <c r="BJ124" i="10" s="1"/>
  <c r="AQ134" i="10"/>
  <c r="AQ276" i="10"/>
  <c r="BJ276" i="10" s="1"/>
  <c r="AQ37" i="10"/>
  <c r="BJ37" i="10" s="1"/>
  <c r="BK37" i="10" s="1"/>
  <c r="AQ165" i="10"/>
  <c r="BJ165" i="10" s="1"/>
  <c r="BK165" i="10" s="1"/>
  <c r="AQ22" i="10"/>
  <c r="AQ65" i="10"/>
  <c r="BJ65" i="10" s="1"/>
  <c r="AQ50" i="10"/>
  <c r="BJ50" i="10" s="1"/>
  <c r="AQ62" i="10"/>
  <c r="BJ62" i="10" s="1"/>
  <c r="BK62" i="10" s="1"/>
  <c r="AQ71" i="10"/>
  <c r="BJ71" i="10" s="1"/>
  <c r="BK71" i="10" s="1"/>
  <c r="AQ83" i="10"/>
  <c r="AQ122" i="10"/>
  <c r="BJ122" i="10" s="1"/>
  <c r="AQ130" i="10"/>
  <c r="AQ137" i="10"/>
  <c r="BJ137" i="10" s="1"/>
  <c r="BK137" i="10" s="1"/>
  <c r="AQ139" i="10"/>
  <c r="BJ139" i="10" s="1"/>
  <c r="BK139" i="10" s="1"/>
  <c r="AQ337" i="10"/>
  <c r="BJ337" i="10" s="1"/>
  <c r="BK337" i="10" s="1"/>
  <c r="AQ361" i="10"/>
  <c r="BJ361" i="10" s="1"/>
  <c r="BK361" i="10" s="1"/>
  <c r="AQ262" i="10"/>
  <c r="BJ262" i="10" s="1"/>
  <c r="BK262" i="10" s="1"/>
  <c r="AQ279" i="10"/>
  <c r="BJ279" i="10" s="1"/>
  <c r="AQ335" i="10"/>
  <c r="BJ335" i="10" s="1"/>
  <c r="BK335" i="10" s="1"/>
  <c r="AQ272" i="10"/>
  <c r="BJ272" i="10" s="1"/>
  <c r="BK272" i="10" s="1"/>
  <c r="AQ280" i="10"/>
  <c r="AQ319" i="10"/>
  <c r="AQ376" i="10"/>
  <c r="AQ156" i="10"/>
  <c r="AQ149" i="10"/>
  <c r="AQ150" i="10"/>
  <c r="AQ166" i="10"/>
  <c r="BJ166" i="10" s="1"/>
  <c r="BK166" i="10" s="1"/>
  <c r="AQ167" i="10"/>
  <c r="AQ184" i="10"/>
  <c r="AQ177" i="10"/>
  <c r="AQ180" i="10"/>
  <c r="BJ180" i="10" s="1"/>
  <c r="BK180" i="10" s="1"/>
  <c r="AQ179" i="10"/>
  <c r="BJ179" i="10" s="1"/>
  <c r="BK179" i="10" s="1"/>
  <c r="AQ198" i="10"/>
  <c r="BJ198" i="10" s="1"/>
  <c r="BK198" i="10" s="1"/>
  <c r="BM198" i="10" s="1"/>
  <c r="AQ211" i="10"/>
  <c r="AQ225" i="10"/>
  <c r="BJ225" i="10" s="1"/>
  <c r="AQ230" i="10"/>
  <c r="BJ230" i="10" s="1"/>
  <c r="BK230" i="10" s="1"/>
  <c r="AQ220" i="10"/>
  <c r="BJ220" i="10" s="1"/>
  <c r="AQ231" i="10"/>
  <c r="AQ246" i="10"/>
  <c r="AQ254" i="10"/>
  <c r="AQ257" i="10"/>
  <c r="BJ257" i="10" s="1"/>
  <c r="BK257" i="10" s="1"/>
  <c r="BM257" i="10" s="1"/>
  <c r="AQ271" i="10"/>
  <c r="BJ271" i="10" s="1"/>
  <c r="BK271" i="10" s="1"/>
  <c r="AQ282" i="10"/>
  <c r="BJ282" i="10" s="1"/>
  <c r="AQ288" i="10"/>
  <c r="BJ288" i="10" s="1"/>
  <c r="AQ334" i="10"/>
  <c r="BJ334" i="10" s="1"/>
  <c r="BK334" i="10" s="1"/>
  <c r="AQ333" i="10"/>
  <c r="BJ333" i="10" s="1"/>
  <c r="BK333" i="10" s="1"/>
  <c r="BM333" i="10" s="1"/>
  <c r="AQ331" i="10"/>
  <c r="AQ723" i="10"/>
  <c r="AQ95" i="10"/>
  <c r="AQ725" i="10"/>
  <c r="AQ726" i="10"/>
  <c r="AQ676" i="10"/>
  <c r="AQ728" i="10"/>
  <c r="AQ722" i="10"/>
  <c r="AQ729" i="10"/>
  <c r="AI74" i="10"/>
  <c r="BC74" i="10" s="1"/>
  <c r="AI69" i="10"/>
  <c r="AI83" i="10"/>
  <c r="BC83" i="10" s="1"/>
  <c r="AI107" i="10"/>
  <c r="AI145" i="10"/>
  <c r="AI38" i="10"/>
  <c r="AI63" i="10"/>
  <c r="BC63" i="10" s="1"/>
  <c r="AI108" i="10"/>
  <c r="BC108" i="10" s="1"/>
  <c r="AI169" i="10"/>
  <c r="AI282" i="10"/>
  <c r="AI357" i="10"/>
  <c r="AI65" i="10"/>
  <c r="AI148" i="10"/>
  <c r="BC148" i="10" s="1"/>
  <c r="AI23" i="10"/>
  <c r="BC23" i="10" s="1"/>
  <c r="AI96" i="10"/>
  <c r="BC96" i="10" s="1"/>
  <c r="AI124" i="10"/>
  <c r="AI133" i="10"/>
  <c r="AI144" i="10"/>
  <c r="AI361" i="10"/>
  <c r="AI265" i="10"/>
  <c r="BC265" i="10" s="1"/>
  <c r="AI277" i="10"/>
  <c r="BC277" i="10" s="1"/>
  <c r="AI317" i="10"/>
  <c r="AI349" i="10"/>
  <c r="BC349" i="10" s="1"/>
  <c r="BD349" i="10" s="1"/>
  <c r="BM349" i="10" s="1"/>
  <c r="AI146" i="10"/>
  <c r="AI176" i="10"/>
  <c r="BC176" i="10" s="1"/>
  <c r="AI180" i="10"/>
  <c r="AI182" i="10"/>
  <c r="BC182" i="10" s="1"/>
  <c r="AI210" i="10"/>
  <c r="AI228" i="10"/>
  <c r="AI220" i="10"/>
  <c r="AI231" i="10"/>
  <c r="AI233" i="10"/>
  <c r="AI247" i="10"/>
  <c r="AI295" i="10"/>
  <c r="AI288" i="10"/>
  <c r="AI300" i="10"/>
  <c r="BC300" i="10" s="1"/>
  <c r="AI341" i="10"/>
  <c r="BC341" i="10" s="1"/>
  <c r="BD341" i="10" s="1"/>
  <c r="BM341" i="10" s="1"/>
  <c r="AI25" i="10"/>
  <c r="AI86" i="10"/>
  <c r="BC86" i="10" s="1"/>
  <c r="BD86" i="10" s="1"/>
  <c r="BM86" i="10" s="1"/>
  <c r="AI85" i="10"/>
  <c r="AI130" i="10"/>
  <c r="BC130" i="10" s="1"/>
  <c r="AI137" i="10"/>
  <c r="AI280" i="10"/>
  <c r="BC280" i="10" s="1"/>
  <c r="BD280" i="10" s="1"/>
  <c r="BM280" i="10" s="1"/>
  <c r="AI66" i="10"/>
  <c r="BC66" i="10" s="1"/>
  <c r="BD66" i="10" s="1"/>
  <c r="BM66" i="10" s="1"/>
  <c r="AI93" i="10"/>
  <c r="BC93" i="10" s="1"/>
  <c r="AI28" i="10"/>
  <c r="AI60" i="10"/>
  <c r="BC60" i="10" s="1"/>
  <c r="AI134" i="10"/>
  <c r="AI170" i="10"/>
  <c r="BC170" i="10" s="1"/>
  <c r="AI222" i="10"/>
  <c r="BC222" i="10" s="1"/>
  <c r="AI254" i="10"/>
  <c r="BC254" i="10" s="1"/>
  <c r="AI365" i="10"/>
  <c r="BC365" i="10" s="1"/>
  <c r="AI214" i="10"/>
  <c r="BC214" i="10" s="1"/>
  <c r="AI250" i="10"/>
  <c r="BC250" i="10" s="1"/>
  <c r="AI274" i="10"/>
  <c r="BC274" i="10" s="1"/>
  <c r="AI291" i="10"/>
  <c r="AI321" i="10"/>
  <c r="AI342" i="10"/>
  <c r="BC342" i="10" s="1"/>
  <c r="BD342" i="10" s="1"/>
  <c r="AI267" i="10"/>
  <c r="AI156" i="10"/>
  <c r="BC156" i="10" s="1"/>
  <c r="AI149" i="10"/>
  <c r="AI141" i="10"/>
  <c r="AI150" i="10"/>
  <c r="AI167" i="10"/>
  <c r="BC167" i="10" s="1"/>
  <c r="AI177" i="10"/>
  <c r="AI181" i="10"/>
  <c r="AI208" i="10"/>
  <c r="AI211" i="10"/>
  <c r="AI225" i="10"/>
  <c r="AI227" i="10"/>
  <c r="AI218" i="10"/>
  <c r="BC218" i="10" s="1"/>
  <c r="AI226" i="10"/>
  <c r="AI239" i="10"/>
  <c r="BC239" i="10" s="1"/>
  <c r="BD239" i="10" s="1"/>
  <c r="BM239" i="10" s="1"/>
  <c r="AI286" i="10"/>
  <c r="BC286" i="10" s="1"/>
  <c r="AI248" i="10"/>
  <c r="AI306" i="10"/>
  <c r="BC306" i="10" s="1"/>
  <c r="AI319" i="10"/>
  <c r="BC319" i="10" s="1"/>
  <c r="AI331" i="10"/>
  <c r="BC331" i="10" s="1"/>
  <c r="AI10" i="10"/>
  <c r="BC10" i="10" s="1"/>
  <c r="BD10" i="10" s="1"/>
  <c r="AI47" i="10"/>
  <c r="AI128" i="10"/>
  <c r="AI12" i="10"/>
  <c r="AI32" i="10"/>
  <c r="BC32" i="10" s="1"/>
  <c r="AI99" i="10"/>
  <c r="BC99" i="10" s="1"/>
  <c r="AI106" i="10"/>
  <c r="AI121" i="10"/>
  <c r="AI122" i="10"/>
  <c r="AI155" i="10"/>
  <c r="AI9" i="10"/>
  <c r="AI26" i="10"/>
  <c r="BC26" i="10" s="1"/>
  <c r="AI78" i="10"/>
  <c r="AI139" i="10"/>
  <c r="AI162" i="10"/>
  <c r="AI269" i="10"/>
  <c r="BC269" i="10" s="1"/>
  <c r="AI283" i="10"/>
  <c r="BC283" i="10" s="1"/>
  <c r="AI62" i="10"/>
  <c r="AI7" i="10"/>
  <c r="BC7" i="10" s="1"/>
  <c r="AI29" i="10"/>
  <c r="BC29" i="10" s="1"/>
  <c r="AI37" i="10"/>
  <c r="AI53" i="10"/>
  <c r="AI90" i="10"/>
  <c r="BC90" i="10" s="1"/>
  <c r="BD90" i="10" s="1"/>
  <c r="BM90" i="10" s="1"/>
  <c r="AI111" i="10"/>
  <c r="BC111" i="10" s="1"/>
  <c r="AI117" i="10"/>
  <c r="BC117" i="10" s="1"/>
  <c r="AI151" i="10"/>
  <c r="BC151" i="10" s="1"/>
  <c r="AI221" i="10"/>
  <c r="AI268" i="10"/>
  <c r="AI316" i="10"/>
  <c r="AI333" i="10"/>
  <c r="AI345" i="10"/>
  <c r="BC345" i="10" s="1"/>
  <c r="BD345" i="10" s="1"/>
  <c r="AI351" i="10"/>
  <c r="AI147" i="10"/>
  <c r="AI131" i="10"/>
  <c r="AI163" i="10"/>
  <c r="AI186" i="10"/>
  <c r="AI199" i="10"/>
  <c r="AI209" i="10"/>
  <c r="AI212" i="10"/>
  <c r="AI232" i="10"/>
  <c r="BC232" i="10" s="1"/>
  <c r="AI217" i="10"/>
  <c r="AI213" i="10"/>
  <c r="BC213" i="10" s="1"/>
  <c r="BD213" i="10" s="1"/>
  <c r="BM213" i="10" s="1"/>
  <c r="AI259" i="10"/>
  <c r="BC259" i="10" s="1"/>
  <c r="AI264" i="10"/>
  <c r="AI285" i="10"/>
  <c r="AI289" i="10"/>
  <c r="BC289" i="10" s="1"/>
  <c r="AI293" i="10"/>
  <c r="BC293" i="10" s="1"/>
  <c r="AI296" i="10"/>
  <c r="BC296" i="10" s="1"/>
  <c r="AI307" i="10"/>
  <c r="BC307" i="10" s="1"/>
  <c r="AI308" i="10"/>
  <c r="AI322" i="10"/>
  <c r="BC322" i="10" s="1"/>
  <c r="AI729" i="10"/>
  <c r="AI723" i="10"/>
  <c r="AI726" i="10"/>
  <c r="AI725" i="10"/>
  <c r="AI676" i="10"/>
  <c r="AI722" i="10"/>
  <c r="AI728" i="10"/>
  <c r="D36" i="19" a="1"/>
  <c r="D36" i="19" s="1"/>
  <c r="C31" i="19" a="1"/>
  <c r="C31" i="19" s="1"/>
  <c r="D34" i="19" a="1"/>
  <c r="D34" i="19" s="1"/>
  <c r="D38" i="19" a="1"/>
  <c r="D38" i="19" s="1"/>
  <c r="C33" i="19" a="1"/>
  <c r="C33" i="19" s="1"/>
  <c r="C38" i="19" a="1"/>
  <c r="C38" i="19" s="1"/>
  <c r="D33" i="19" a="1"/>
  <c r="D33" i="19" s="1"/>
  <c r="D32" i="19" a="1"/>
  <c r="D32" i="19" s="1"/>
  <c r="D31" i="19" a="1"/>
  <c r="D31" i="19" s="1"/>
  <c r="C36" i="12" a="1"/>
  <c r="C36" i="12" s="1"/>
  <c r="F32" i="12" a="1"/>
  <c r="F32" i="12" s="1"/>
  <c r="C27" i="12" a="1"/>
  <c r="C27" i="12" s="1"/>
  <c r="D25" i="12" a="1"/>
  <c r="D25" i="12" s="1"/>
  <c r="H35" i="12" a="1"/>
  <c r="H35" i="12" s="1"/>
  <c r="G32" i="12" a="1"/>
  <c r="G32" i="12" s="1"/>
  <c r="D27" i="12" a="1"/>
  <c r="D27" i="12" s="1"/>
  <c r="C25" i="12" a="1"/>
  <c r="C25" i="12" s="1"/>
  <c r="G35" i="12" a="1"/>
  <c r="G35" i="12" s="1"/>
  <c r="H36" i="12" a="1"/>
  <c r="H36" i="12" s="1"/>
  <c r="F35" i="12" a="1"/>
  <c r="F35" i="12" s="1"/>
  <c r="C30" i="12" a="1"/>
  <c r="C30" i="12" s="1"/>
  <c r="D32" i="12" a="1"/>
  <c r="D32" i="12" s="1"/>
  <c r="D35" i="12" a="1"/>
  <c r="D35" i="12" s="1"/>
  <c r="C32" i="12" a="1"/>
  <c r="C32" i="12" s="1"/>
  <c r="F36" i="12" a="1"/>
  <c r="F36" i="12" s="1"/>
  <c r="G36" i="12" a="1"/>
  <c r="G36" i="12" s="1"/>
  <c r="C33" i="12" a="1"/>
  <c r="C33" i="12" s="1"/>
  <c r="D31" i="12" a="1"/>
  <c r="D31" i="12" s="1"/>
  <c r="D36" i="12" a="1"/>
  <c r="D36" i="12" s="1"/>
  <c r="C34" i="12" a="1"/>
  <c r="C34" i="12" s="1"/>
  <c r="F25" i="12" a="1"/>
  <c r="F25" i="12" s="1"/>
  <c r="C37" i="12" a="1"/>
  <c r="C37" i="12" s="1"/>
  <c r="C35" i="12" a="1"/>
  <c r="C35" i="12" s="1"/>
  <c r="H32" i="12" a="1"/>
  <c r="H32" i="12" s="1"/>
  <c r="F27" i="12" a="1"/>
  <c r="F27" i="12" s="1"/>
  <c r="AP353" i="10"/>
  <c r="AP351" i="10"/>
  <c r="AH351" i="10"/>
  <c r="AP368" i="10"/>
  <c r="AP371" i="10"/>
  <c r="AP372" i="10"/>
  <c r="AH357" i="10"/>
  <c r="AE357" i="10" s="1"/>
  <c r="AS357" i="10" s="1"/>
  <c r="V147" i="15"/>
  <c r="V148" i="15" s="1"/>
  <c r="W147" i="15"/>
  <c r="W148" i="15" s="1"/>
  <c r="Z147" i="15"/>
  <c r="Z148" i="15" s="1"/>
  <c r="AT345" i="10"/>
  <c r="AV345" i="10" s="1"/>
  <c r="AT349" i="10"/>
  <c r="AP347" i="10"/>
  <c r="V53" i="15"/>
  <c r="V54" i="15" s="1"/>
  <c r="Y53" i="15"/>
  <c r="Y54" i="15" s="1"/>
  <c r="V25" i="15"/>
  <c r="V26" i="15" s="1"/>
  <c r="Z53" i="15"/>
  <c r="Z54" i="15" s="1"/>
  <c r="W53" i="15"/>
  <c r="W54" i="15" s="1"/>
  <c r="X53" i="15"/>
  <c r="X54" i="15" s="1"/>
  <c r="Y25" i="15"/>
  <c r="Y26" i="15" s="1"/>
  <c r="AP336" i="10"/>
  <c r="AP339" i="10"/>
  <c r="AP344" i="10"/>
  <c r="BD340" i="10"/>
  <c r="BM340" i="10" s="1"/>
  <c r="AU340" i="10"/>
  <c r="AT340" i="10"/>
  <c r="AH341" i="10"/>
  <c r="AP338" i="10"/>
  <c r="AH342" i="10"/>
  <c r="AP335" i="10"/>
  <c r="AP337" i="10"/>
  <c r="AT322" i="10"/>
  <c r="AX322" i="10" s="1"/>
  <c r="AT331" i="10"/>
  <c r="AP330" i="10"/>
  <c r="AP365" i="10"/>
  <c r="AP333" i="10"/>
  <c r="AH333" i="10"/>
  <c r="BM327" i="10"/>
  <c r="BE327" i="10"/>
  <c r="BN327" i="10" s="1"/>
  <c r="AP326" i="10"/>
  <c r="AQ326" i="10" s="1"/>
  <c r="AH321" i="10"/>
  <c r="AP321" i="10"/>
  <c r="BN273" i="10"/>
  <c r="AT306" i="10"/>
  <c r="AX306" i="10" s="1"/>
  <c r="AT319" i="10"/>
  <c r="AP318" i="10"/>
  <c r="BM273" i="10"/>
  <c r="AH317" i="10"/>
  <c r="AP317" i="10"/>
  <c r="AH316" i="10"/>
  <c r="AP316" i="10"/>
  <c r="AP334" i="10"/>
  <c r="BD310" i="10"/>
  <c r="BM310" i="10" s="1"/>
  <c r="R311" i="10"/>
  <c r="AU311" i="10" s="1"/>
  <c r="AR311" i="10"/>
  <c r="J311" i="10" s="1"/>
  <c r="AT311" i="10" s="1"/>
  <c r="AY311" i="10" s="1"/>
  <c r="BA311" i="10" s="1"/>
  <c r="BC311" i="10" s="1"/>
  <c r="AV310" i="10"/>
  <c r="AX310" i="10"/>
  <c r="J313" i="10"/>
  <c r="AS313" i="10"/>
  <c r="R313" i="10" s="1"/>
  <c r="AU313" i="10" s="1"/>
  <c r="BF313" i="10" s="1"/>
  <c r="BH313" i="10" s="1"/>
  <c r="BJ313" i="10" s="1"/>
  <c r="E4" i="5"/>
  <c r="E8" i="5"/>
  <c r="G8" i="5" s="1"/>
  <c r="E12" i="5"/>
  <c r="G12" i="5" s="1"/>
  <c r="E5" i="5"/>
  <c r="G5" i="5" s="1"/>
  <c r="E9" i="5"/>
  <c r="G9" i="5" s="1"/>
  <c r="E13" i="5"/>
  <c r="G13" i="5" s="1"/>
  <c r="AP299" i="10"/>
  <c r="AS308" i="10"/>
  <c r="R308" i="10" s="1"/>
  <c r="J308" i="10"/>
  <c r="AT308" i="10" s="1"/>
  <c r="AH308" i="10"/>
  <c r="AP308" i="10"/>
  <c r="AP298" i="10"/>
  <c r="AH307" i="10"/>
  <c r="AP304" i="10"/>
  <c r="AP307" i="10"/>
  <c r="AT296" i="10"/>
  <c r="AV296" i="10" s="1"/>
  <c r="AT300" i="10"/>
  <c r="AT293" i="10"/>
  <c r="AU292" i="10"/>
  <c r="AT292" i="10"/>
  <c r="AT291" i="10"/>
  <c r="AU293" i="10"/>
  <c r="AT289" i="10"/>
  <c r="AU291" i="10"/>
  <c r="AT288" i="10"/>
  <c r="AU289" i="10"/>
  <c r="AH285" i="10"/>
  <c r="AP248" i="10"/>
  <c r="AH248" i="10"/>
  <c r="AT286" i="10"/>
  <c r="AV286" i="10" s="1"/>
  <c r="AU288" i="10"/>
  <c r="AT280" i="10"/>
  <c r="AV280" i="10" s="1"/>
  <c r="AU282" i="10"/>
  <c r="AT283" i="10"/>
  <c r="AU269" i="10"/>
  <c r="AT282" i="10"/>
  <c r="AU283" i="10"/>
  <c r="AP279" i="10"/>
  <c r="AP285" i="10"/>
  <c r="AT277" i="10"/>
  <c r="AX277" i="10" s="1"/>
  <c r="AU295" i="10"/>
  <c r="AP276" i="10"/>
  <c r="AH198" i="10"/>
  <c r="AT269" i="10"/>
  <c r="AU273" i="10"/>
  <c r="AT273" i="10"/>
  <c r="AP272" i="10"/>
  <c r="AH274" i="10"/>
  <c r="AP274" i="10"/>
  <c r="BE263" i="10"/>
  <c r="AP271" i="10"/>
  <c r="AT267" i="10"/>
  <c r="AT268" i="10"/>
  <c r="AT265" i="10"/>
  <c r="AV265" i="10" s="1"/>
  <c r="AU268" i="10"/>
  <c r="AU267" i="10"/>
  <c r="AP263" i="10"/>
  <c r="AP261" i="10"/>
  <c r="AP262" i="10"/>
  <c r="AP264" i="10"/>
  <c r="AH264" i="10"/>
  <c r="AT250" i="10"/>
  <c r="AP249" i="10"/>
  <c r="AP302" i="10"/>
  <c r="AT214" i="10"/>
  <c r="AV214" i="10" s="1"/>
  <c r="AT259" i="10"/>
  <c r="AU207" i="10"/>
  <c r="AT207" i="10"/>
  <c r="BM237" i="10"/>
  <c r="AU238" i="10"/>
  <c r="AT238" i="10"/>
  <c r="BE237" i="10"/>
  <c r="BN237" i="10" s="1"/>
  <c r="AH239" i="10"/>
  <c r="AU236" i="10"/>
  <c r="AT236" i="10"/>
  <c r="AT237" i="10"/>
  <c r="AU237" i="10"/>
  <c r="AT205" i="10"/>
  <c r="AU205" i="10"/>
  <c r="AT213" i="10"/>
  <c r="AV213" i="10" s="1"/>
  <c r="AP235" i="10"/>
  <c r="AP257" i="10"/>
  <c r="AT206" i="10"/>
  <c r="AU206" i="10"/>
  <c r="AP256" i="10"/>
  <c r="AT222" i="10"/>
  <c r="AT254" i="10"/>
  <c r="AP226" i="10"/>
  <c r="AH226" i="10"/>
  <c r="AP245" i="10"/>
  <c r="AP246" i="10"/>
  <c r="AH247" i="10"/>
  <c r="AP253" i="10"/>
  <c r="AP247" i="10"/>
  <c r="AU231" i="10"/>
  <c r="BF231" i="10" s="1"/>
  <c r="BH231" i="10" s="1"/>
  <c r="AH233" i="10"/>
  <c r="AP233" i="10"/>
  <c r="BM221" i="10"/>
  <c r="BE221" i="10"/>
  <c r="BN221" i="10" s="1"/>
  <c r="BM217" i="10"/>
  <c r="BE217" i="10"/>
  <c r="BN217" i="10" s="1"/>
  <c r="AY231" i="10"/>
  <c r="BA231" i="10" s="1"/>
  <c r="BC231" i="10" s="1"/>
  <c r="AP252" i="10"/>
  <c r="AP231" i="10"/>
  <c r="AH221" i="10"/>
  <c r="AH217" i="10"/>
  <c r="AH231" i="10"/>
  <c r="AP217" i="10"/>
  <c r="AP221" i="10"/>
  <c r="AT220" i="10"/>
  <c r="AU222" i="10"/>
  <c r="AP216" i="10"/>
  <c r="AH218" i="10"/>
  <c r="AU220" i="10"/>
  <c r="AP224" i="10"/>
  <c r="AH232" i="10"/>
  <c r="AH227" i="10"/>
  <c r="AP229" i="10"/>
  <c r="AH101" i="10"/>
  <c r="AI101" i="10" s="1"/>
  <c r="AP230" i="10"/>
  <c r="AP227" i="10"/>
  <c r="AH225" i="10"/>
  <c r="AP225" i="10"/>
  <c r="AH228" i="10"/>
  <c r="AP228" i="10"/>
  <c r="AH210" i="10"/>
  <c r="AP210" i="10"/>
  <c r="AH209" i="10"/>
  <c r="AP209" i="10"/>
  <c r="BK209" i="10"/>
  <c r="BL209" i="10" s="1"/>
  <c r="AT209" i="10"/>
  <c r="AT210" i="10"/>
  <c r="AH208" i="10"/>
  <c r="AH211" i="10"/>
  <c r="AP211" i="10"/>
  <c r="BH208" i="10"/>
  <c r="BJ208" i="10" s="1"/>
  <c r="BK208" i="10" s="1"/>
  <c r="BL208" i="10" s="1"/>
  <c r="AT208" i="10"/>
  <c r="AY208" i="10" s="1"/>
  <c r="BA208" i="10" s="1"/>
  <c r="E120" i="5"/>
  <c r="AP201" i="10"/>
  <c r="AP198" i="10"/>
  <c r="AP202" i="10"/>
  <c r="AU199" i="10"/>
  <c r="AT182" i="10"/>
  <c r="AP179" i="10"/>
  <c r="AP197" i="10"/>
  <c r="AU130" i="10"/>
  <c r="AT199" i="10"/>
  <c r="AP203" i="10"/>
  <c r="AP181" i="10"/>
  <c r="AH181" i="10"/>
  <c r="AP180" i="10"/>
  <c r="AH180" i="10"/>
  <c r="BL176" i="10"/>
  <c r="AT176" i="10"/>
  <c r="AV176" i="10" s="1"/>
  <c r="AH177" i="10"/>
  <c r="AH176" i="10"/>
  <c r="AP176" i="10"/>
  <c r="AP177" i="10"/>
  <c r="AT140" i="10"/>
  <c r="AU140" i="10"/>
  <c r="AU132" i="10"/>
  <c r="AT132" i="10"/>
  <c r="AP204" i="10"/>
  <c r="AT167" i="10"/>
  <c r="AX167" i="10" s="1"/>
  <c r="AT170" i="10"/>
  <c r="AP184" i="10"/>
  <c r="AM184" i="10" s="1"/>
  <c r="AS184" i="10" s="1"/>
  <c r="R184" i="10" s="1"/>
  <c r="AH186" i="10"/>
  <c r="AE186" i="10" s="1"/>
  <c r="AH162" i="10"/>
  <c r="AP162" i="10"/>
  <c r="AP186" i="10"/>
  <c r="AQ186" i="10" s="1"/>
  <c r="AH144" i="10"/>
  <c r="AP144" i="10"/>
  <c r="AP200" i="10"/>
  <c r="AH163" i="10"/>
  <c r="AE163" i="10" s="1"/>
  <c r="AS163" i="10" s="1"/>
  <c r="R163" i="10" s="1"/>
  <c r="AU163" i="10" s="1"/>
  <c r="AP173" i="10"/>
  <c r="AH243" i="10"/>
  <c r="AI243" i="10" s="1"/>
  <c r="AP243" i="10"/>
  <c r="AQ243" i="10" s="1"/>
  <c r="AT143" i="10"/>
  <c r="AU143" i="10"/>
  <c r="AP166" i="10"/>
  <c r="AH151" i="10"/>
  <c r="AP151" i="10"/>
  <c r="AT142" i="10"/>
  <c r="AU142" i="10"/>
  <c r="AH150" i="10"/>
  <c r="AP150" i="10"/>
  <c r="AH141" i="10"/>
  <c r="AP141" i="10"/>
  <c r="AP131" i="10"/>
  <c r="AP149" i="10"/>
  <c r="AH131" i="10"/>
  <c r="AH149" i="10"/>
  <c r="AH146" i="10"/>
  <c r="AH147" i="10"/>
  <c r="AT156" i="10"/>
  <c r="AX156" i="10" s="1"/>
  <c r="AP169" i="10"/>
  <c r="AH169" i="10"/>
  <c r="AP136" i="10"/>
  <c r="AP139" i="10"/>
  <c r="AH139" i="10"/>
  <c r="AP138" i="10"/>
  <c r="AP137" i="10"/>
  <c r="AH137" i="10"/>
  <c r="AT130" i="10"/>
  <c r="AU155" i="10"/>
  <c r="AP134" i="10"/>
  <c r="AP133" i="10"/>
  <c r="AH134" i="10"/>
  <c r="AH133" i="10"/>
  <c r="AP127" i="10"/>
  <c r="AP165" i="10"/>
  <c r="AU129" i="10"/>
  <c r="AT129" i="10"/>
  <c r="BC127" i="10"/>
  <c r="AP125" i="10"/>
  <c r="BC126" i="10"/>
  <c r="AP175" i="10"/>
  <c r="AH128" i="10"/>
  <c r="AH124" i="10"/>
  <c r="AP124" i="10"/>
  <c r="AE128" i="10"/>
  <c r="AP174" i="10"/>
  <c r="AH122" i="10"/>
  <c r="AP122" i="10"/>
  <c r="AH121" i="10"/>
  <c r="AP121" i="10"/>
  <c r="AH117" i="10"/>
  <c r="AP117" i="10"/>
  <c r="AH145" i="10"/>
  <c r="AT111" i="10"/>
  <c r="AV111" i="10" s="1"/>
  <c r="AT116" i="10"/>
  <c r="AU116" i="10"/>
  <c r="BM77" i="10"/>
  <c r="AP123" i="10"/>
  <c r="AH148" i="10"/>
  <c r="AP102" i="10"/>
  <c r="AQ102" i="10" s="1"/>
  <c r="AT99" i="10"/>
  <c r="AX99" i="10" s="1"/>
  <c r="AT108" i="10"/>
  <c r="AP105" i="10"/>
  <c r="AP110" i="10"/>
  <c r="AP104" i="10"/>
  <c r="AP106" i="10"/>
  <c r="AH106" i="10"/>
  <c r="AP107" i="10"/>
  <c r="AH107" i="10"/>
  <c r="AP98" i="10"/>
  <c r="AT93" i="10"/>
  <c r="AV93" i="10" s="1"/>
  <c r="AT96" i="10"/>
  <c r="AT86" i="10"/>
  <c r="AX86" i="10" s="1"/>
  <c r="AT90" i="10"/>
  <c r="AP89" i="10"/>
  <c r="AP92" i="10"/>
  <c r="AH88" i="10"/>
  <c r="AH89" i="10"/>
  <c r="AP85" i="10"/>
  <c r="AH85" i="10"/>
  <c r="AP71" i="10"/>
  <c r="AP88" i="10"/>
  <c r="AT83" i="10"/>
  <c r="AV83" i="10" s="1"/>
  <c r="AU82" i="10"/>
  <c r="AT82" i="10"/>
  <c r="AT78" i="10"/>
  <c r="AU78" i="10"/>
  <c r="AY78" i="10"/>
  <c r="BA78" i="10" s="1"/>
  <c r="BF78" i="10"/>
  <c r="BH78" i="10" s="1"/>
  <c r="BJ78" i="10" s="1"/>
  <c r="AT66" i="10"/>
  <c r="AV66" i="10" s="1"/>
  <c r="AT74" i="10"/>
  <c r="AP70" i="10"/>
  <c r="AP69" i="10"/>
  <c r="AH69" i="10"/>
  <c r="AP68" i="10"/>
  <c r="AP80" i="10"/>
  <c r="AX44" i="10"/>
  <c r="AV44" i="10"/>
  <c r="BE44" i="10"/>
  <c r="AT63" i="10"/>
  <c r="AT52" i="10"/>
  <c r="AU52" i="10"/>
  <c r="AS53" i="10"/>
  <c r="R53" i="10" s="1"/>
  <c r="J53" i="10"/>
  <c r="AT53" i="10" s="1"/>
  <c r="AH80" i="10"/>
  <c r="AP81" i="10"/>
  <c r="AP45" i="10"/>
  <c r="BE77" i="10"/>
  <c r="BN77" i="10" s="1"/>
  <c r="AT62" i="10"/>
  <c r="AU63" i="10"/>
  <c r="AT60" i="10"/>
  <c r="AX60" i="10" s="1"/>
  <c r="AU62" i="10"/>
  <c r="AP59" i="10"/>
  <c r="AP58" i="10"/>
  <c r="AH57" i="10"/>
  <c r="AI57" i="10" s="1"/>
  <c r="AP57" i="10"/>
  <c r="BD43" i="10"/>
  <c r="BE43" i="10" s="1"/>
  <c r="BK43" i="10"/>
  <c r="AU43" i="10"/>
  <c r="AT43" i="10"/>
  <c r="AP42" i="10"/>
  <c r="AP46" i="10"/>
  <c r="AT38" i="10"/>
  <c r="AP48" i="10"/>
  <c r="AP49" i="10"/>
  <c r="AP50" i="10"/>
  <c r="AP76" i="10"/>
  <c r="AP40" i="10"/>
  <c r="BC38" i="10"/>
  <c r="AP44" i="10"/>
  <c r="AT37" i="10"/>
  <c r="AU38" i="10"/>
  <c r="AU37" i="10"/>
  <c r="AU65" i="10"/>
  <c r="AP51" i="10"/>
  <c r="AP47" i="10"/>
  <c r="AH47" i="10"/>
  <c r="AP19" i="10"/>
  <c r="AT14" i="10"/>
  <c r="AU14" i="10"/>
  <c r="AT32" i="10"/>
  <c r="AX32" i="10" s="1"/>
  <c r="AU28" i="10"/>
  <c r="AU29" i="10"/>
  <c r="AT28" i="10"/>
  <c r="AT26" i="10"/>
  <c r="AT29" i="10"/>
  <c r="AP31" i="10"/>
  <c r="AP13" i="10"/>
  <c r="AT25" i="10"/>
  <c r="AU26" i="10"/>
  <c r="AT23" i="10"/>
  <c r="AV23" i="10" s="1"/>
  <c r="AU25" i="10"/>
  <c r="AP22" i="10"/>
  <c r="AP20" i="10"/>
  <c r="AP17" i="10"/>
  <c r="AP18" i="10"/>
  <c r="AT6" i="10"/>
  <c r="AU6" i="10"/>
  <c r="BK6" i="10"/>
  <c r="BL6" i="10" s="1"/>
  <c r="BD6" i="10"/>
  <c r="AU9" i="10"/>
  <c r="AT10" i="10"/>
  <c r="AT9" i="10"/>
  <c r="AU10" i="10"/>
  <c r="AT7" i="10"/>
  <c r="AP3" i="10"/>
  <c r="AP12" i="10"/>
  <c r="AH12" i="10"/>
  <c r="AP4" i="10"/>
  <c r="AP5" i="10"/>
  <c r="AP21" i="10"/>
  <c r="AP72" i="10"/>
  <c r="N186" i="15"/>
  <c r="N187" i="15" s="1"/>
  <c r="P186" i="15"/>
  <c r="P187" i="15" s="1"/>
  <c r="G242" i="15"/>
  <c r="G243" i="15" s="1"/>
  <c r="E16" i="5"/>
  <c r="G16" i="5" s="1"/>
  <c r="E20" i="5"/>
  <c r="G20" i="5" s="1"/>
  <c r="E24" i="5"/>
  <c r="E28" i="5"/>
  <c r="G28" i="5" s="1"/>
  <c r="E32" i="5"/>
  <c r="G32" i="5" s="1"/>
  <c r="E36" i="5"/>
  <c r="G36" i="5" s="1"/>
  <c r="E44" i="5"/>
  <c r="G44" i="5" s="1"/>
  <c r="E48" i="5"/>
  <c r="G48" i="5" s="1"/>
  <c r="E63" i="5"/>
  <c r="E67" i="5"/>
  <c r="E72" i="5"/>
  <c r="E82" i="5"/>
  <c r="E93" i="5"/>
  <c r="E100" i="5"/>
  <c r="E104" i="5"/>
  <c r="E108" i="5"/>
  <c r="E112" i="5"/>
  <c r="E129" i="5"/>
  <c r="E137" i="5"/>
  <c r="E141" i="5"/>
  <c r="E154" i="5"/>
  <c r="E158" i="5"/>
  <c r="E173" i="5"/>
  <c r="E189" i="5"/>
  <c r="E193" i="5"/>
  <c r="E196" i="5"/>
  <c r="E218" i="5"/>
  <c r="E54" i="5"/>
  <c r="G54" i="5" s="1"/>
  <c r="E56" i="5"/>
  <c r="E53" i="5"/>
  <c r="E55" i="5"/>
  <c r="E57" i="5"/>
  <c r="G57" i="5" s="1"/>
  <c r="E123" i="5"/>
  <c r="E148" i="5"/>
  <c r="E161" i="5"/>
  <c r="E162" i="5"/>
  <c r="E202" i="5"/>
  <c r="E203" i="5" s="1"/>
  <c r="D16" i="23" s="1"/>
  <c r="E207" i="5"/>
  <c r="E209" i="5" s="1"/>
  <c r="E220" i="5"/>
  <c r="E17" i="5"/>
  <c r="G17" i="5" s="1"/>
  <c r="E21" i="5"/>
  <c r="G21" i="5" s="1"/>
  <c r="E25" i="5"/>
  <c r="E29" i="5"/>
  <c r="G29" i="5" s="1"/>
  <c r="E33" i="5"/>
  <c r="G33" i="5" s="1"/>
  <c r="E37" i="5"/>
  <c r="G37" i="5" s="1"/>
  <c r="E41" i="5"/>
  <c r="E45" i="5"/>
  <c r="G45" i="5" s="1"/>
  <c r="E49" i="5"/>
  <c r="G49" i="5" s="1"/>
  <c r="E52" i="5"/>
  <c r="E69" i="5"/>
  <c r="E83" i="5"/>
  <c r="E94" i="5"/>
  <c r="E97" i="5"/>
  <c r="E101" i="5"/>
  <c r="E105" i="5"/>
  <c r="E109" i="5"/>
  <c r="E113" i="5"/>
  <c r="E117" i="5"/>
  <c r="E121" i="5"/>
  <c r="E130" i="5"/>
  <c r="E134" i="5"/>
  <c r="E138" i="5"/>
  <c r="E142" i="5"/>
  <c r="E156" i="5"/>
  <c r="E160" i="5"/>
  <c r="E176" i="5"/>
  <c r="E182" i="5"/>
  <c r="E184" i="5" s="1"/>
  <c r="D17" i="23" s="1"/>
  <c r="E64" i="5"/>
  <c r="E73" i="5"/>
  <c r="AE95" i="10"/>
  <c r="AT95" i="10" s="1"/>
  <c r="F242" i="15"/>
  <c r="F243" i="15" s="1"/>
  <c r="R138" i="15"/>
  <c r="AA138" i="15"/>
  <c r="I140" i="15"/>
  <c r="I181" i="15"/>
  <c r="AA77" i="15"/>
  <c r="R77" i="15"/>
  <c r="I65" i="15"/>
  <c r="I66" i="15"/>
  <c r="I67" i="15"/>
  <c r="I68" i="15"/>
  <c r="I69" i="15"/>
  <c r="I73" i="15"/>
  <c r="I74" i="15"/>
  <c r="I75" i="15"/>
  <c r="I76" i="15"/>
  <c r="I70" i="15"/>
  <c r="I71" i="15"/>
  <c r="I72" i="15"/>
  <c r="I78" i="15"/>
  <c r="I79" i="15"/>
  <c r="I80" i="15"/>
  <c r="R63" i="15"/>
  <c r="AA63" i="15"/>
  <c r="R65" i="15"/>
  <c r="AA65" i="15"/>
  <c r="R66" i="15"/>
  <c r="AA66" i="15"/>
  <c r="R67" i="15"/>
  <c r="AA67" i="15"/>
  <c r="R68" i="15"/>
  <c r="AA68" i="15"/>
  <c r="R69" i="15"/>
  <c r="AA69" i="15"/>
  <c r="R70" i="15"/>
  <c r="AA70" i="15"/>
  <c r="R71" i="15"/>
  <c r="AA71" i="15"/>
  <c r="R72" i="15"/>
  <c r="AA72" i="15"/>
  <c r="R73" i="15"/>
  <c r="AA73" i="15"/>
  <c r="R74" i="15"/>
  <c r="AA74" i="15"/>
  <c r="R75" i="15"/>
  <c r="AA75" i="15"/>
  <c r="R76" i="15"/>
  <c r="AA76" i="15"/>
  <c r="R78" i="15"/>
  <c r="AA78" i="15"/>
  <c r="R79" i="15"/>
  <c r="AA79" i="15"/>
  <c r="R80" i="15"/>
  <c r="AA80" i="15"/>
  <c r="I37" i="15"/>
  <c r="R109" i="15"/>
  <c r="I112" i="15"/>
  <c r="I63" i="15"/>
  <c r="I77" i="15"/>
  <c r="AA40" i="15"/>
  <c r="R42" i="15"/>
  <c r="R43" i="15"/>
  <c r="R44" i="15"/>
  <c r="R45" i="15"/>
  <c r="R46" i="15"/>
  <c r="R47" i="15"/>
  <c r="R48" i="15"/>
  <c r="R50" i="15"/>
  <c r="R51" i="15"/>
  <c r="R52" i="15"/>
  <c r="R38" i="15"/>
  <c r="R39" i="15"/>
  <c r="R40" i="15"/>
  <c r="I41" i="15"/>
  <c r="I42" i="15"/>
  <c r="I43" i="15"/>
  <c r="R36" i="15"/>
  <c r="AA36" i="15"/>
  <c r="R37" i="15"/>
  <c r="AA37" i="15"/>
  <c r="AA38" i="15"/>
  <c r="AA39" i="15"/>
  <c r="R41" i="15"/>
  <c r="AA41" i="15"/>
  <c r="AA42" i="15"/>
  <c r="AA43" i="15"/>
  <c r="AA44" i="15"/>
  <c r="AA45" i="15"/>
  <c r="AA46" i="15"/>
  <c r="AA47" i="15"/>
  <c r="AA48" i="15"/>
  <c r="AA50" i="15"/>
  <c r="AA51" i="15"/>
  <c r="AA52" i="15"/>
  <c r="AA13" i="15"/>
  <c r="R13" i="15"/>
  <c r="R49" i="15"/>
  <c r="AA49" i="15"/>
  <c r="I7" i="15"/>
  <c r="I14" i="15"/>
  <c r="AA181" i="15"/>
  <c r="I40" i="15"/>
  <c r="I44" i="15"/>
  <c r="I45" i="15"/>
  <c r="I46" i="15"/>
  <c r="I47" i="15"/>
  <c r="I36" i="15"/>
  <c r="I38" i="15"/>
  <c r="I39" i="15"/>
  <c r="I50" i="15"/>
  <c r="I51" i="15"/>
  <c r="I52" i="15"/>
  <c r="R108" i="15"/>
  <c r="I136" i="15"/>
  <c r="AA142" i="15"/>
  <c r="AA112" i="15"/>
  <c r="R104" i="15"/>
  <c r="I104" i="15"/>
  <c r="I108" i="15"/>
  <c r="I48" i="15"/>
  <c r="I49" i="15"/>
  <c r="R140" i="15"/>
  <c r="I115" i="15"/>
  <c r="AA175" i="15"/>
  <c r="I260" i="15"/>
  <c r="R261" i="15"/>
  <c r="R178" i="15"/>
  <c r="R263" i="15"/>
  <c r="AA258" i="15"/>
  <c r="R256" i="15"/>
  <c r="I237" i="15"/>
  <c r="AA230" i="15"/>
  <c r="R229" i="15"/>
  <c r="I204" i="15"/>
  <c r="AA203" i="15"/>
  <c r="R204" i="15"/>
  <c r="I308" i="15"/>
  <c r="R320" i="15"/>
  <c r="AA314" i="15"/>
  <c r="I172" i="15"/>
  <c r="I176" i="15"/>
  <c r="R171" i="15"/>
  <c r="AA171" i="15"/>
  <c r="V327" i="15"/>
  <c r="V215" i="15"/>
  <c r="Y327" i="15"/>
  <c r="Y215" i="15"/>
  <c r="W327" i="15"/>
  <c r="W215" i="15"/>
  <c r="G25" i="15"/>
  <c r="G26" i="15" s="1"/>
  <c r="H25" i="15"/>
  <c r="H26" i="15" s="1"/>
  <c r="I141" i="15"/>
  <c r="R141" i="15"/>
  <c r="AA140" i="15"/>
  <c r="AA141" i="15"/>
  <c r="AA114" i="15"/>
  <c r="AA115" i="15"/>
  <c r="R114" i="15"/>
  <c r="R115" i="15"/>
  <c r="I114" i="15"/>
  <c r="I261" i="15"/>
  <c r="AA260" i="15"/>
  <c r="AA261" i="15"/>
  <c r="R260" i="15"/>
  <c r="I234" i="15"/>
  <c r="I235" i="15"/>
  <c r="AA234" i="15"/>
  <c r="AA235" i="15"/>
  <c r="R234" i="15"/>
  <c r="R235" i="15"/>
  <c r="I206" i="15"/>
  <c r="I207" i="15"/>
  <c r="R206" i="15"/>
  <c r="R207" i="15"/>
  <c r="AA206" i="15"/>
  <c r="AA207" i="15"/>
  <c r="I318" i="15"/>
  <c r="I319" i="15"/>
  <c r="AA318" i="15"/>
  <c r="AA319" i="15"/>
  <c r="R318" i="15"/>
  <c r="R319" i="15"/>
  <c r="I177" i="15"/>
  <c r="I178" i="15"/>
  <c r="R177" i="15"/>
  <c r="AA177" i="15"/>
  <c r="AA178" i="15"/>
  <c r="I17" i="15"/>
  <c r="I174" i="15"/>
  <c r="AA15" i="15"/>
  <c r="R15" i="15"/>
  <c r="K8" i="8"/>
  <c r="C53" i="15"/>
  <c r="C54" i="15" s="1"/>
  <c r="D242" i="15"/>
  <c r="D243" i="15" s="1"/>
  <c r="X25" i="15"/>
  <c r="X26" i="15" s="1"/>
  <c r="W25" i="15"/>
  <c r="W26" i="15" s="1"/>
  <c r="Z25" i="15"/>
  <c r="Z26" i="15" s="1"/>
  <c r="E242" i="15"/>
  <c r="E243" i="15" s="1"/>
  <c r="AY728" i="10"/>
  <c r="BA728" i="10" s="1"/>
  <c r="BC728" i="10" s="1"/>
  <c r="BD728" i="10" s="1"/>
  <c r="BE728" i="10" s="1"/>
  <c r="H242" i="15"/>
  <c r="H243" i="15" s="1"/>
  <c r="C20" i="23"/>
  <c r="D20" i="23"/>
  <c r="H270" i="15"/>
  <c r="H271" i="15" s="1"/>
  <c r="E270" i="15"/>
  <c r="E271" i="15" s="1"/>
  <c r="D270" i="15"/>
  <c r="D271" i="15" s="1"/>
  <c r="G270" i="15"/>
  <c r="G271" i="15" s="1"/>
  <c r="F270" i="15"/>
  <c r="F271" i="15" s="1"/>
  <c r="AA313" i="15"/>
  <c r="R313" i="15"/>
  <c r="AA312" i="15"/>
  <c r="R312" i="15"/>
  <c r="AA311" i="15"/>
  <c r="R311" i="15"/>
  <c r="AA310" i="15"/>
  <c r="R310" i="15"/>
  <c r="AA309" i="15"/>
  <c r="R309" i="15"/>
  <c r="AA308" i="15"/>
  <c r="R308" i="15"/>
  <c r="I309" i="15"/>
  <c r="I310" i="15"/>
  <c r="I312" i="15"/>
  <c r="I313" i="15"/>
  <c r="I324" i="15"/>
  <c r="I325" i="15"/>
  <c r="I314" i="15"/>
  <c r="I315" i="15"/>
  <c r="I316" i="15"/>
  <c r="I317" i="15"/>
  <c r="I320" i="15"/>
  <c r="I321" i="15"/>
  <c r="I322" i="15"/>
  <c r="I323" i="15"/>
  <c r="AA325" i="15"/>
  <c r="R325" i="15"/>
  <c r="AA324" i="15"/>
  <c r="R324" i="15"/>
  <c r="AA323" i="15"/>
  <c r="R323" i="15"/>
  <c r="AA322" i="15"/>
  <c r="R322" i="15"/>
  <c r="AA321" i="15"/>
  <c r="R321" i="15"/>
  <c r="AA320" i="15"/>
  <c r="AA317" i="15"/>
  <c r="R317" i="15"/>
  <c r="AA316" i="15"/>
  <c r="R316" i="15"/>
  <c r="AA315" i="15"/>
  <c r="R315" i="15"/>
  <c r="R314" i="15"/>
  <c r="AA259" i="15"/>
  <c r="AA252" i="15"/>
  <c r="R262" i="15"/>
  <c r="R269" i="15"/>
  <c r="R268" i="15"/>
  <c r="R267" i="15"/>
  <c r="R266" i="15"/>
  <c r="R265" i="15"/>
  <c r="R264" i="15"/>
  <c r="R259" i="15"/>
  <c r="R258" i="15"/>
  <c r="R257" i="15"/>
  <c r="R255" i="15"/>
  <c r="R254" i="15"/>
  <c r="R253" i="15"/>
  <c r="I268" i="15"/>
  <c r="I265" i="15"/>
  <c r="I262" i="15"/>
  <c r="I257" i="15"/>
  <c r="I254" i="15"/>
  <c r="AA268" i="15"/>
  <c r="AA263" i="15"/>
  <c r="AA255" i="15"/>
  <c r="AA264" i="15"/>
  <c r="R252" i="15"/>
  <c r="I267" i="15"/>
  <c r="I264" i="15"/>
  <c r="I259" i="15"/>
  <c r="I256" i="15"/>
  <c r="I253" i="15"/>
  <c r="AA267" i="15"/>
  <c r="AA262" i="15"/>
  <c r="AA257" i="15"/>
  <c r="AA254" i="15"/>
  <c r="AA253" i="15"/>
  <c r="I269" i="15"/>
  <c r="I266" i="15"/>
  <c r="I263" i="15"/>
  <c r="I258" i="15"/>
  <c r="I255" i="15"/>
  <c r="AA269" i="15"/>
  <c r="AA266" i="15"/>
  <c r="AA256" i="15"/>
  <c r="AA265" i="15"/>
  <c r="R241" i="15"/>
  <c r="R240" i="15"/>
  <c r="R239" i="15"/>
  <c r="R238" i="15"/>
  <c r="R237" i="15"/>
  <c r="R236" i="15"/>
  <c r="R233" i="15"/>
  <c r="R232" i="15"/>
  <c r="R231" i="15"/>
  <c r="R230" i="15"/>
  <c r="R228" i="15"/>
  <c r="R227" i="15"/>
  <c r="R226" i="15"/>
  <c r="R225" i="15"/>
  <c r="AA201" i="15"/>
  <c r="I252" i="15"/>
  <c r="I241" i="15"/>
  <c r="I240" i="15"/>
  <c r="I239" i="15"/>
  <c r="I238" i="15"/>
  <c r="I236" i="15"/>
  <c r="I233" i="15"/>
  <c r="I232" i="15"/>
  <c r="I231" i="15"/>
  <c r="I230" i="15"/>
  <c r="I229" i="15"/>
  <c r="I228" i="15"/>
  <c r="I227" i="15"/>
  <c r="I226" i="15"/>
  <c r="I225" i="15"/>
  <c r="R201" i="15"/>
  <c r="AA241" i="15"/>
  <c r="AA240" i="15"/>
  <c r="AA239" i="15"/>
  <c r="AA238" i="15"/>
  <c r="AA237" i="15"/>
  <c r="AA236" i="15"/>
  <c r="AA233" i="15"/>
  <c r="AA232" i="15"/>
  <c r="AA231" i="15"/>
  <c r="AA229" i="15"/>
  <c r="AA228" i="15"/>
  <c r="AA227" i="15"/>
  <c r="AA226" i="15"/>
  <c r="AA225" i="15"/>
  <c r="R224" i="15"/>
  <c r="I201" i="15"/>
  <c r="AA213" i="15"/>
  <c r="AA212" i="15"/>
  <c r="AA211" i="15"/>
  <c r="AA210" i="15"/>
  <c r="AA209" i="15"/>
  <c r="AA208" i="15"/>
  <c r="AA205" i="15"/>
  <c r="AA204" i="15"/>
  <c r="AA202" i="15"/>
  <c r="AA200" i="15"/>
  <c r="AA199" i="15"/>
  <c r="AA198" i="15"/>
  <c r="AA197" i="15"/>
  <c r="AA196" i="15"/>
  <c r="I175" i="15"/>
  <c r="R213" i="15"/>
  <c r="R212" i="15"/>
  <c r="R211" i="15"/>
  <c r="R210" i="15"/>
  <c r="R209" i="15"/>
  <c r="R208" i="15"/>
  <c r="R205" i="15"/>
  <c r="R203" i="15"/>
  <c r="R202" i="15"/>
  <c r="R200" i="15"/>
  <c r="R199" i="15"/>
  <c r="R198" i="15"/>
  <c r="R197" i="15"/>
  <c r="R196" i="15"/>
  <c r="R170" i="15"/>
  <c r="I213" i="15"/>
  <c r="I212" i="15"/>
  <c r="I211" i="15"/>
  <c r="I210" i="15"/>
  <c r="I209" i="15"/>
  <c r="I208" i="15"/>
  <c r="I205" i="15"/>
  <c r="I203" i="15"/>
  <c r="I202" i="15"/>
  <c r="I200" i="15"/>
  <c r="I199" i="15"/>
  <c r="I198" i="15"/>
  <c r="I197" i="15"/>
  <c r="I196" i="15"/>
  <c r="I168" i="15"/>
  <c r="R132" i="15"/>
  <c r="Z242" i="15"/>
  <c r="Z243" i="15" s="1"/>
  <c r="V270" i="15"/>
  <c r="V271" i="15" s="1"/>
  <c r="W270" i="15"/>
  <c r="W271" i="15" s="1"/>
  <c r="X270" i="15"/>
  <c r="X271" i="15" s="1"/>
  <c r="Y270" i="15"/>
  <c r="Y271" i="15" s="1"/>
  <c r="Z270" i="15"/>
  <c r="Z271" i="15" s="1"/>
  <c r="L270" i="15"/>
  <c r="L271" i="15" s="1"/>
  <c r="M270" i="15"/>
  <c r="M271" i="15" s="1"/>
  <c r="N270" i="15"/>
  <c r="N271" i="15" s="1"/>
  <c r="O270" i="15"/>
  <c r="O271" i="15" s="1"/>
  <c r="P270" i="15"/>
  <c r="P271" i="15" s="1"/>
  <c r="Q270" i="15"/>
  <c r="Q271" i="15" s="1"/>
  <c r="V242" i="15"/>
  <c r="V243" i="15" s="1"/>
  <c r="W242" i="15"/>
  <c r="W243" i="15" s="1"/>
  <c r="X242" i="15"/>
  <c r="X243" i="15" s="1"/>
  <c r="Y242" i="15"/>
  <c r="Y243" i="15" s="1"/>
  <c r="L242" i="15"/>
  <c r="L243" i="15" s="1"/>
  <c r="M242" i="15"/>
  <c r="M243" i="15" s="1"/>
  <c r="N242" i="15"/>
  <c r="N243" i="15" s="1"/>
  <c r="O242" i="15"/>
  <c r="O243" i="15" s="1"/>
  <c r="P242" i="15"/>
  <c r="P243" i="15" s="1"/>
  <c r="Q242" i="15"/>
  <c r="Q243" i="15" s="1"/>
  <c r="BF723" i="10"/>
  <c r="BH723" i="10" s="1"/>
  <c r="BJ723" i="10" s="1"/>
  <c r="BK723" i="10" s="1"/>
  <c r="BL723" i="10" s="1"/>
  <c r="AR723" i="10"/>
  <c r="AT723" i="10"/>
  <c r="AY723" i="10" s="1"/>
  <c r="BA723" i="10" s="1"/>
  <c r="BG5" i="20"/>
  <c r="AR726" i="10"/>
  <c r="J726" i="10" s="1"/>
  <c r="AT726" i="10" s="1"/>
  <c r="AY726" i="10" s="1"/>
  <c r="BA726" i="10" s="1"/>
  <c r="BC726" i="10" s="1"/>
  <c r="BD726" i="10" s="1"/>
  <c r="AU726" i="10"/>
  <c r="BF726" i="10" s="1"/>
  <c r="BH726" i="10" s="1"/>
  <c r="I169" i="15"/>
  <c r="AS728" i="10"/>
  <c r="AU728" i="10"/>
  <c r="BF728" i="10" s="1"/>
  <c r="BH728" i="10" s="1"/>
  <c r="BJ728" i="10" s="1"/>
  <c r="BK728" i="10" s="1"/>
  <c r="BL728" i="10" s="1"/>
  <c r="AS729" i="10"/>
  <c r="R729" i="10" s="1"/>
  <c r="AU729" i="10" s="1"/>
  <c r="BF729" i="10" s="1"/>
  <c r="BH729" i="10" s="1"/>
  <c r="BJ729" i="10" s="1"/>
  <c r="BK729" i="10" s="1"/>
  <c r="BL729" i="10" s="1"/>
  <c r="AT725" i="10"/>
  <c r="AR729" i="10"/>
  <c r="AS725" i="10"/>
  <c r="R725" i="10" s="1"/>
  <c r="AU725" i="10" s="1"/>
  <c r="BF725" i="10" s="1"/>
  <c r="BH725" i="10" s="1"/>
  <c r="BJ725" i="10" s="1"/>
  <c r="BK725" i="10" s="1"/>
  <c r="AR722" i="10"/>
  <c r="J722" i="10" s="1"/>
  <c r="AT722" i="10" s="1"/>
  <c r="AY722" i="10" s="1"/>
  <c r="BA722" i="10" s="1"/>
  <c r="BC722" i="10" s="1"/>
  <c r="BD722" i="10" s="1"/>
  <c r="AU722" i="10"/>
  <c r="BF722" i="10" s="1"/>
  <c r="BH722" i="10" s="1"/>
  <c r="BJ722" i="10" s="1"/>
  <c r="BK722" i="10" s="1"/>
  <c r="BL722" i="10" s="1"/>
  <c r="L29" i="9"/>
  <c r="F11" i="8"/>
  <c r="G11" i="8" s="1"/>
  <c r="L31" i="9"/>
  <c r="L19" i="9"/>
  <c r="L12" i="9"/>
  <c r="L17" i="9"/>
  <c r="L6" i="9"/>
  <c r="P349" i="15"/>
  <c r="D81" i="15"/>
  <c r="D82" i="15" s="1"/>
  <c r="N81" i="15"/>
  <c r="N82" i="15" s="1"/>
  <c r="M326" i="15"/>
  <c r="M327" i="15" s="1"/>
  <c r="L186" i="15"/>
  <c r="L187" i="15" s="1"/>
  <c r="O186" i="15"/>
  <c r="O187" i="15" s="1"/>
  <c r="P214" i="15"/>
  <c r="P215" i="15" s="1"/>
  <c r="P326" i="15"/>
  <c r="P327" i="15" s="1"/>
  <c r="Q214" i="15"/>
  <c r="Q215" i="15" s="1"/>
  <c r="Q186" i="15"/>
  <c r="Q187" i="15" s="1"/>
  <c r="G81" i="15"/>
  <c r="G82" i="15" s="1"/>
  <c r="D186" i="15"/>
  <c r="D187" i="15" s="1"/>
  <c r="O81" i="15"/>
  <c r="O82" i="15" s="1"/>
  <c r="O326" i="15"/>
  <c r="O327" i="15" s="1"/>
  <c r="G186" i="15"/>
  <c r="G187" i="15" s="1"/>
  <c r="H81" i="15"/>
  <c r="H82" i="15" s="1"/>
  <c r="Q81" i="15"/>
  <c r="Q82" i="15" s="1"/>
  <c r="E326" i="15"/>
  <c r="E327" i="15" s="1"/>
  <c r="H326" i="15"/>
  <c r="H327" i="15" s="1"/>
  <c r="O214" i="15"/>
  <c r="O215" i="15" s="1"/>
  <c r="O53" i="15"/>
  <c r="O54" i="15" s="1"/>
  <c r="N326" i="15"/>
  <c r="N327" i="15" s="1"/>
  <c r="L214" i="15"/>
  <c r="L215" i="15" s="1"/>
  <c r="H214" i="15"/>
  <c r="H215" i="15" s="1"/>
  <c r="D147" i="15"/>
  <c r="D148" i="15" s="1"/>
  <c r="P81" i="15"/>
  <c r="P82" i="15" s="1"/>
  <c r="F53" i="15"/>
  <c r="F54" i="15" s="1"/>
  <c r="F214" i="15"/>
  <c r="F215" i="15" s="1"/>
  <c r="H147" i="15"/>
  <c r="H148" i="15" s="1"/>
  <c r="F186" i="15"/>
  <c r="F187" i="15" s="1"/>
  <c r="G214" i="15"/>
  <c r="G215" i="15" s="1"/>
  <c r="H186" i="15"/>
  <c r="H187" i="15" s="1"/>
  <c r="C326" i="15"/>
  <c r="C327" i="15" s="1"/>
  <c r="D214" i="15"/>
  <c r="D215" i="15" s="1"/>
  <c r="N214" i="15"/>
  <c r="N215" i="15" s="1"/>
  <c r="H53" i="15"/>
  <c r="H54" i="15" s="1"/>
  <c r="D326" i="15"/>
  <c r="D327" i="15" s="1"/>
  <c r="C214" i="15"/>
  <c r="C215" i="15" s="1"/>
  <c r="F81" i="15"/>
  <c r="F82" i="15" s="1"/>
  <c r="N147" i="15"/>
  <c r="N148" i="15" s="1"/>
  <c r="M81" i="15"/>
  <c r="M82" i="15" s="1"/>
  <c r="L326" i="15"/>
  <c r="L327" i="15" s="1"/>
  <c r="M214" i="15"/>
  <c r="M215" i="15" s="1"/>
  <c r="G53" i="15"/>
  <c r="G54" i="15" s="1"/>
  <c r="Q53" i="15"/>
  <c r="Q54" i="15" s="1"/>
  <c r="M186" i="15"/>
  <c r="M187" i="15" s="1"/>
  <c r="C186" i="15"/>
  <c r="C187" i="15" s="1"/>
  <c r="F326" i="15"/>
  <c r="F327" i="15" s="1"/>
  <c r="Q326" i="15"/>
  <c r="Q327" i="15" s="1"/>
  <c r="D53" i="15"/>
  <c r="D54" i="15" s="1"/>
  <c r="N53" i="15"/>
  <c r="N54" i="15" s="1"/>
  <c r="Q147" i="15"/>
  <c r="Q148" i="15" s="1"/>
  <c r="E53" i="15"/>
  <c r="E54" i="15" s="1"/>
  <c r="E147" i="15"/>
  <c r="E148" i="15" s="1"/>
  <c r="L11" i="8"/>
  <c r="M11" i="8" s="1"/>
  <c r="F8" i="8"/>
  <c r="G8" i="8" s="1"/>
  <c r="H30" i="8"/>
  <c r="E81" i="15"/>
  <c r="E82" i="15" s="1"/>
  <c r="E214" i="15"/>
  <c r="E215" i="15" s="1"/>
  <c r="AH723" i="10"/>
  <c r="AP95" i="10"/>
  <c r="AH726" i="10"/>
  <c r="AP726" i="10"/>
  <c r="O2" i="3"/>
  <c r="O3" i="3" s="1"/>
  <c r="I23" i="3"/>
  <c r="AP728" i="10"/>
  <c r="AP729" i="10"/>
  <c r="AH725" i="10"/>
  <c r="AP723" i="10"/>
  <c r="AH729" i="10"/>
  <c r="AP722" i="10"/>
  <c r="AH722" i="10"/>
  <c r="AH728" i="10"/>
  <c r="AP725" i="10"/>
  <c r="L28" i="9"/>
  <c r="L108" i="9"/>
  <c r="L10" i="9"/>
  <c r="L26" i="9"/>
  <c r="L24" i="9"/>
  <c r="L118" i="9"/>
  <c r="L20" i="9"/>
  <c r="L143" i="9"/>
  <c r="L112" i="9"/>
  <c r="L149" i="9"/>
  <c r="L145" i="9"/>
  <c r="L3" i="9"/>
  <c r="L116" i="9"/>
  <c r="L27" i="9"/>
  <c r="L144" i="9"/>
  <c r="L114" i="9"/>
  <c r="L4" i="9"/>
  <c r="L8" i="9"/>
  <c r="L15" i="9"/>
  <c r="L119" i="9"/>
  <c r="L146" i="9"/>
  <c r="L7" i="9"/>
  <c r="L148" i="9"/>
  <c r="L30" i="9"/>
  <c r="L13" i="9"/>
  <c r="L109" i="9"/>
  <c r="L122" i="9"/>
  <c r="L25" i="9"/>
  <c r="L115" i="9"/>
  <c r="L151" i="9"/>
  <c r="L23" i="9"/>
  <c r="L121" i="9"/>
  <c r="L22" i="9"/>
  <c r="L14" i="9"/>
  <c r="L21" i="9"/>
  <c r="L113" i="9"/>
  <c r="L142" i="9"/>
  <c r="L152" i="9"/>
  <c r="L111" i="9"/>
  <c r="L123" i="9"/>
  <c r="L9" i="9"/>
  <c r="L33" i="9"/>
  <c r="L126" i="9"/>
  <c r="L153" i="9"/>
  <c r="L120" i="9"/>
  <c r="L18" i="9"/>
  <c r="L125" i="9"/>
  <c r="L32" i="9"/>
  <c r="L154" i="9"/>
  <c r="L11" i="9"/>
  <c r="L107" i="9"/>
  <c r="L117" i="9"/>
  <c r="L16" i="9"/>
  <c r="L150" i="9"/>
  <c r="L110" i="9"/>
  <c r="L124" i="9"/>
  <c r="L147" i="9"/>
  <c r="L5" i="9"/>
  <c r="L119" i="15"/>
  <c r="L120" i="15" s="1"/>
  <c r="D119" i="15"/>
  <c r="D120" i="15" s="1"/>
  <c r="M119" i="15"/>
  <c r="M120" i="15" s="1"/>
  <c r="M25" i="15"/>
  <c r="M26" i="15" s="1"/>
  <c r="P25" i="15"/>
  <c r="P26" i="15" s="1"/>
  <c r="Q25" i="15"/>
  <c r="Q26" i="15" s="1"/>
  <c r="L25" i="15"/>
  <c r="L26" i="15" s="1"/>
  <c r="O25" i="15"/>
  <c r="O26" i="15" s="1"/>
  <c r="N25" i="15"/>
  <c r="N26" i="15" s="1"/>
  <c r="P53" i="15"/>
  <c r="P54" i="15" s="1"/>
  <c r="H119" i="15"/>
  <c r="H120" i="15" s="1"/>
  <c r="N119" i="15"/>
  <c r="N120" i="15" s="1"/>
  <c r="Q119" i="15"/>
  <c r="Q120" i="15" s="1"/>
  <c r="D25" i="15"/>
  <c r="D26" i="15" s="1"/>
  <c r="E25" i="15"/>
  <c r="E26" i="15" s="1"/>
  <c r="M53" i="15"/>
  <c r="M54" i="15" s="1"/>
  <c r="M147" i="15"/>
  <c r="M148" i="15" s="1"/>
  <c r="AA107" i="15"/>
  <c r="R174" i="15"/>
  <c r="R101" i="15"/>
  <c r="R183" i="15"/>
  <c r="AA139" i="15"/>
  <c r="R139" i="15"/>
  <c r="I103" i="15"/>
  <c r="R146" i="15"/>
  <c r="R131" i="15"/>
  <c r="AA170" i="15"/>
  <c r="AA113" i="15"/>
  <c r="I113" i="15"/>
  <c r="AA145" i="15"/>
  <c r="AA183" i="15"/>
  <c r="I143" i="15"/>
  <c r="AA104" i="15"/>
  <c r="R117" i="15"/>
  <c r="I131" i="15"/>
  <c r="R112" i="15"/>
  <c r="AA116" i="15"/>
  <c r="R129" i="15"/>
  <c r="I129" i="15"/>
  <c r="I107" i="15"/>
  <c r="AA182" i="15"/>
  <c r="R185" i="15"/>
  <c r="AA144" i="15"/>
  <c r="I139" i="15"/>
  <c r="AA143" i="15"/>
  <c r="I173" i="15"/>
  <c r="I180" i="15"/>
  <c r="R136" i="15"/>
  <c r="AA176" i="15"/>
  <c r="R173" i="15"/>
  <c r="R180" i="15"/>
  <c r="AA137" i="15"/>
  <c r="I179" i="15"/>
  <c r="R102" i="15"/>
  <c r="AA172" i="15"/>
  <c r="I182" i="15"/>
  <c r="AA180" i="15"/>
  <c r="I171" i="15"/>
  <c r="R172" i="15"/>
  <c r="R143" i="15"/>
  <c r="R111" i="15"/>
  <c r="AA173" i="15"/>
  <c r="AA102" i="15"/>
  <c r="AA136" i="15"/>
  <c r="AA179" i="15"/>
  <c r="I183" i="15"/>
  <c r="I184" i="15"/>
  <c r="I142" i="15"/>
  <c r="I102" i="15"/>
  <c r="R181" i="15"/>
  <c r="R103" i="15"/>
  <c r="AA111" i="15"/>
  <c r="I185" i="15"/>
  <c r="AA108" i="15"/>
  <c r="AA117" i="15"/>
  <c r="AA129" i="15"/>
  <c r="AA184" i="15"/>
  <c r="R179" i="15"/>
  <c r="AA146" i="15"/>
  <c r="R175" i="15"/>
  <c r="I137" i="15"/>
  <c r="R168" i="15"/>
  <c r="R144" i="15"/>
  <c r="AA185" i="15"/>
  <c r="I170" i="15"/>
  <c r="I132" i="15"/>
  <c r="R182" i="15"/>
  <c r="R9" i="15"/>
  <c r="R18" i="15"/>
  <c r="I18" i="15"/>
  <c r="R11" i="15"/>
  <c r="AA10" i="15"/>
  <c r="I116" i="15"/>
  <c r="AA174" i="15"/>
  <c r="I109" i="15"/>
  <c r="I138" i="15"/>
  <c r="R137" i="15"/>
  <c r="AA131" i="15"/>
  <c r="R107" i="15"/>
  <c r="I111" i="15"/>
  <c r="I146" i="15"/>
  <c r="I144" i="15"/>
  <c r="I145" i="15"/>
  <c r="AA132" i="15"/>
  <c r="AA109" i="15"/>
  <c r="R176" i="15"/>
  <c r="AA11" i="15"/>
  <c r="AA17" i="15"/>
  <c r="AA21" i="15"/>
  <c r="R7" i="15"/>
  <c r="R169" i="15"/>
  <c r="I117" i="15"/>
  <c r="AA118" i="15"/>
  <c r="AA169" i="15"/>
  <c r="I3" i="3"/>
  <c r="R12" i="15"/>
  <c r="I13" i="15"/>
  <c r="AA103" i="15"/>
  <c r="AA168" i="15"/>
  <c r="R118" i="15"/>
  <c r="R145" i="15"/>
  <c r="R116" i="15"/>
  <c r="R113" i="15"/>
  <c r="R184" i="15"/>
  <c r="I118" i="15"/>
  <c r="R142" i="15"/>
  <c r="AA8" i="15"/>
  <c r="AA22" i="15"/>
  <c r="R19" i="15"/>
  <c r="AA24" i="15"/>
  <c r="I9" i="15"/>
  <c r="I15" i="15"/>
  <c r="I21" i="15"/>
  <c r="I20" i="15"/>
  <c r="I10" i="15"/>
  <c r="R24" i="15"/>
  <c r="R23" i="15"/>
  <c r="R10" i="15"/>
  <c r="AA14" i="15"/>
  <c r="AA20" i="15"/>
  <c r="AA12" i="15"/>
  <c r="AA9" i="15"/>
  <c r="I23" i="15"/>
  <c r="R14" i="15"/>
  <c r="AA23" i="15"/>
  <c r="I24" i="15"/>
  <c r="R21" i="15"/>
  <c r="I12" i="15"/>
  <c r="R22" i="15"/>
  <c r="AA7" i="15"/>
  <c r="R20" i="15"/>
  <c r="R16" i="15"/>
  <c r="I22" i="15"/>
  <c r="AA16" i="15"/>
  <c r="AA18" i="15"/>
  <c r="I16" i="15"/>
  <c r="R17" i="15"/>
  <c r="R8" i="15"/>
  <c r="AX611" i="10" l="1"/>
  <c r="BE659" i="10"/>
  <c r="BN659" i="10" s="1"/>
  <c r="BD662" i="10"/>
  <c r="BM662" i="10" s="1"/>
  <c r="BL658" i="10"/>
  <c r="BN658" i="10" s="1"/>
  <c r="BM658" i="10"/>
  <c r="BK657" i="10"/>
  <c r="BM657" i="10" s="1"/>
  <c r="BM654" i="10"/>
  <c r="BL651" i="10"/>
  <c r="BN651" i="10" s="1"/>
  <c r="BM651" i="10"/>
  <c r="BL652" i="10"/>
  <c r="BN652" i="10" s="1"/>
  <c r="BM652" i="10"/>
  <c r="BL653" i="10"/>
  <c r="BN653" i="10" s="1"/>
  <c r="BM653" i="10"/>
  <c r="AX643" i="10"/>
  <c r="BE655" i="10"/>
  <c r="BN655" i="10" s="1"/>
  <c r="BK650" i="10"/>
  <c r="BM650" i="10" s="1"/>
  <c r="BK648" i="10"/>
  <c r="BM648" i="10" s="1"/>
  <c r="BL649" i="10"/>
  <c r="BN649" i="10" s="1"/>
  <c r="BM649" i="10"/>
  <c r="BL693" i="10"/>
  <c r="BN693" i="10" s="1"/>
  <c r="BM693" i="10"/>
  <c r="AR691" i="10"/>
  <c r="AT691" i="10"/>
  <c r="AS691" i="10"/>
  <c r="BA691" i="10"/>
  <c r="BC691" i="10" s="1"/>
  <c r="BD691" i="10" s="1"/>
  <c r="BM691" i="10" s="1"/>
  <c r="BE646" i="10"/>
  <c r="BN646" i="10" s="1"/>
  <c r="AX646" i="10"/>
  <c r="AV646" i="10"/>
  <c r="E7" i="8"/>
  <c r="F7" i="8" s="1"/>
  <c r="G7" i="8" s="1"/>
  <c r="AX689" i="10"/>
  <c r="AV689" i="10"/>
  <c r="AX687" i="10"/>
  <c r="AV687" i="10"/>
  <c r="AX688" i="10"/>
  <c r="AV688" i="10"/>
  <c r="BL661" i="10"/>
  <c r="BN661" i="10" s="1"/>
  <c r="BM661" i="10"/>
  <c r="BE577" i="10"/>
  <c r="BN577" i="10" s="1"/>
  <c r="BJ680" i="10"/>
  <c r="BK680" i="10" s="1"/>
  <c r="BL680" i="10" s="1"/>
  <c r="BK615" i="10"/>
  <c r="BM615" i="10" s="1"/>
  <c r="BE643" i="10"/>
  <c r="BN643" i="10" s="1"/>
  <c r="BL642" i="10"/>
  <c r="BN642" i="10" s="1"/>
  <c r="BM642" i="10"/>
  <c r="BD618" i="10"/>
  <c r="BM618" i="10" s="1"/>
  <c r="BJ611" i="10"/>
  <c r="BK611" i="10" s="1"/>
  <c r="BM611" i="10" s="1"/>
  <c r="BD637" i="10"/>
  <c r="BM637" i="10" s="1"/>
  <c r="AU634" i="10"/>
  <c r="BF634" i="10" s="1"/>
  <c r="BH634" i="10" s="1"/>
  <c r="BJ634" i="10" s="1"/>
  <c r="BK634" i="10" s="1"/>
  <c r="BL634" i="10" s="1"/>
  <c r="BL633" i="10"/>
  <c r="BN633" i="10" s="1"/>
  <c r="BM633" i="10"/>
  <c r="BL645" i="10"/>
  <c r="BN645" i="10" s="1"/>
  <c r="BM645" i="10"/>
  <c r="BC625" i="10"/>
  <c r="BD625" i="10" s="1"/>
  <c r="BM625" i="10" s="1"/>
  <c r="BL632" i="10"/>
  <c r="BN632" i="10" s="1"/>
  <c r="AX678" i="10"/>
  <c r="AV678" i="10"/>
  <c r="BD640" i="10"/>
  <c r="BM640" i="10" s="1"/>
  <c r="BM678" i="10"/>
  <c r="BL678" i="10"/>
  <c r="BN678" i="10" s="1"/>
  <c r="AX634" i="10"/>
  <c r="AY634" i="10"/>
  <c r="BA634" i="10" s="1"/>
  <c r="BC634" i="10" s="1"/>
  <c r="BL624" i="10"/>
  <c r="BN624" i="10" s="1"/>
  <c r="BL639" i="10"/>
  <c r="BN639" i="10" s="1"/>
  <c r="BD635" i="10"/>
  <c r="BM635" i="10" s="1"/>
  <c r="BL629" i="10"/>
  <c r="BN629" i="10" s="1"/>
  <c r="BM629" i="10"/>
  <c r="BL631" i="10"/>
  <c r="BN631" i="10" s="1"/>
  <c r="BM631" i="10"/>
  <c r="BL630" i="10"/>
  <c r="BN630" i="10" s="1"/>
  <c r="BM630" i="10"/>
  <c r="BE680" i="10"/>
  <c r="AX680" i="10"/>
  <c r="AV680" i="10"/>
  <c r="BD626" i="10"/>
  <c r="BM626" i="10" s="1"/>
  <c r="BD627" i="10"/>
  <c r="BM627" i="10" s="1"/>
  <c r="BL622" i="10"/>
  <c r="BN622" i="10" s="1"/>
  <c r="E198" i="5"/>
  <c r="D18" i="23" s="1"/>
  <c r="AT616" i="10"/>
  <c r="AX616" i="10" s="1"/>
  <c r="BK613" i="10"/>
  <c r="BM613" i="10" s="1"/>
  <c r="AT604" i="10"/>
  <c r="AY604" i="10" s="1"/>
  <c r="BA604" i="10" s="1"/>
  <c r="BC604" i="10" s="1"/>
  <c r="BL614" i="10"/>
  <c r="BN614" i="10" s="1"/>
  <c r="AS604" i="10"/>
  <c r="R604" i="10" s="1"/>
  <c r="AU604" i="10" s="1"/>
  <c r="BD589" i="10"/>
  <c r="BM589" i="10" s="1"/>
  <c r="BC616" i="10"/>
  <c r="BD616" i="10" s="1"/>
  <c r="BE616" i="10" s="1"/>
  <c r="BN616" i="10" s="1"/>
  <c r="BK623" i="10"/>
  <c r="BM623" i="10" s="1"/>
  <c r="AX620" i="10"/>
  <c r="AV620" i="10"/>
  <c r="BL612" i="10"/>
  <c r="BN612" i="10" s="1"/>
  <c r="BL610" i="10"/>
  <c r="BN610" i="10" s="1"/>
  <c r="L280" i="15" a="1"/>
  <c r="L280" i="15" s="1"/>
  <c r="BK601" i="10"/>
  <c r="BM601" i="10" s="1"/>
  <c r="BL608" i="10"/>
  <c r="BN608" i="10" s="1"/>
  <c r="BM608" i="10"/>
  <c r="BL609" i="10"/>
  <c r="BN609" i="10" s="1"/>
  <c r="BM609" i="10"/>
  <c r="AV599" i="10"/>
  <c r="BE602" i="10"/>
  <c r="BN602" i="10" s="1"/>
  <c r="AX602" i="10"/>
  <c r="AV602" i="10"/>
  <c r="BD599" i="10"/>
  <c r="BM599" i="10" s="1"/>
  <c r="BL598" i="10"/>
  <c r="BN598" i="10" s="1"/>
  <c r="AT593" i="10"/>
  <c r="U101" i="15" a="1"/>
  <c r="U101" i="15" s="1"/>
  <c r="C101" i="15" a="1"/>
  <c r="C101" i="15" s="1"/>
  <c r="AV577" i="10"/>
  <c r="AX577" i="10"/>
  <c r="AY588" i="10"/>
  <c r="BA588" i="10" s="1"/>
  <c r="BC588" i="10" s="1"/>
  <c r="BD588" i="10" s="1"/>
  <c r="BM588" i="10" s="1"/>
  <c r="AU593" i="10"/>
  <c r="BF593" i="10" s="1"/>
  <c r="BH593" i="10" s="1"/>
  <c r="BJ593" i="10" s="1"/>
  <c r="BK593" i="10" s="1"/>
  <c r="BL593" i="10" s="1"/>
  <c r="P110" i="15" a="1"/>
  <c r="P110" i="15" s="1"/>
  <c r="Y110" i="15" a="1"/>
  <c r="Y110" i="15" s="1"/>
  <c r="BL584" i="10"/>
  <c r="BN584" i="10" s="1"/>
  <c r="BL586" i="10"/>
  <c r="BN586" i="10" s="1"/>
  <c r="BL594" i="10"/>
  <c r="BN594" i="10" s="1"/>
  <c r="BK592" i="10"/>
  <c r="BM592" i="10" s="1"/>
  <c r="G7" i="12" s="1" a="1"/>
  <c r="G7" i="12" s="1"/>
  <c r="BK585" i="10"/>
  <c r="BM585" i="10" s="1"/>
  <c r="BL583" i="10"/>
  <c r="BN583" i="10" s="1"/>
  <c r="BM583" i="10"/>
  <c r="BL582" i="10"/>
  <c r="BN582" i="10" s="1"/>
  <c r="J65" i="8"/>
  <c r="AV529" i="10"/>
  <c r="E85" i="5"/>
  <c r="AI571" i="10"/>
  <c r="AU567" i="10"/>
  <c r="BF567" i="10" s="1"/>
  <c r="BH567" i="10" s="1"/>
  <c r="BJ567" i="10" s="1"/>
  <c r="AR567" i="10"/>
  <c r="J567" i="10" s="1"/>
  <c r="AR571" i="10"/>
  <c r="J571" i="10" s="1"/>
  <c r="AS571" i="10"/>
  <c r="R571" i="10" s="1"/>
  <c r="Y135" i="15" s="1" a="1"/>
  <c r="Y135" i="15" s="1"/>
  <c r="BA574" i="10"/>
  <c r="BC574" i="10" s="1"/>
  <c r="BD574" i="10" s="1"/>
  <c r="BM574" i="10" s="1"/>
  <c r="U130" i="15" a="1"/>
  <c r="U130" i="15" s="1"/>
  <c r="L133" i="15" a="1"/>
  <c r="L133" i="15" s="1"/>
  <c r="R133" i="15" s="1"/>
  <c r="BD568" i="10"/>
  <c r="BE568" i="10" s="1"/>
  <c r="AR568" i="10"/>
  <c r="AS568" i="10"/>
  <c r="R568" i="10" s="1"/>
  <c r="AU568" i="10" s="1"/>
  <c r="AT567" i="10"/>
  <c r="L130" i="15" a="1"/>
  <c r="L130" i="15" s="1"/>
  <c r="BL570" i="10"/>
  <c r="BN570" i="10" s="1"/>
  <c r="BL566" i="10"/>
  <c r="BN566" i="10" s="1"/>
  <c r="AX415" i="10"/>
  <c r="AX574" i="10"/>
  <c r="AV574" i="10"/>
  <c r="AR565" i="10"/>
  <c r="AS565" i="10"/>
  <c r="R565" i="10" s="1"/>
  <c r="BH565" i="10"/>
  <c r="BJ565" i="10" s="1"/>
  <c r="BL581" i="10"/>
  <c r="BN581" i="10" s="1"/>
  <c r="BM581" i="10"/>
  <c r="BL576" i="10"/>
  <c r="BN576" i="10" s="1"/>
  <c r="BE563" i="10"/>
  <c r="BN563" i="10" s="1"/>
  <c r="BL562" i="10"/>
  <c r="BN562" i="10" s="1"/>
  <c r="BM562" i="10"/>
  <c r="BM559" i="10"/>
  <c r="BL559" i="10"/>
  <c r="BN559" i="10" s="1"/>
  <c r="BL560" i="10"/>
  <c r="BN560" i="10" s="1"/>
  <c r="BM560" i="10"/>
  <c r="BL561" i="10"/>
  <c r="BN561" i="10" s="1"/>
  <c r="BM561" i="10"/>
  <c r="BL558" i="10"/>
  <c r="BN558" i="10" s="1"/>
  <c r="BM553" i="10"/>
  <c r="BE553" i="10"/>
  <c r="BN553" i="10" s="1"/>
  <c r="BD554" i="10"/>
  <c r="BM554" i="10" s="1"/>
  <c r="BL550" i="10"/>
  <c r="BN550" i="10" s="1"/>
  <c r="BK549" i="10"/>
  <c r="BM549" i="10" s="1"/>
  <c r="BL546" i="10"/>
  <c r="BN546" i="10" s="1"/>
  <c r="BL551" i="10"/>
  <c r="BN551" i="10" s="1"/>
  <c r="BL445" i="10"/>
  <c r="AR445" i="10"/>
  <c r="J445" i="10" s="1"/>
  <c r="AS445" i="10"/>
  <c r="AQ446" i="10"/>
  <c r="AI445" i="10"/>
  <c r="BL552" i="10"/>
  <c r="BN552" i="10" s="1"/>
  <c r="BM552" i="10"/>
  <c r="BL547" i="10"/>
  <c r="BN547" i="10" s="1"/>
  <c r="BM547" i="10"/>
  <c r="BL545" i="10"/>
  <c r="BN545" i="10" s="1"/>
  <c r="BM545" i="10"/>
  <c r="BL548" i="10"/>
  <c r="BN548" i="10" s="1"/>
  <c r="BM548" i="10"/>
  <c r="BL533" i="10"/>
  <c r="BN533" i="10" s="1"/>
  <c r="BD541" i="10"/>
  <c r="BM541" i="10" s="1"/>
  <c r="AT537" i="10"/>
  <c r="AY537" i="10"/>
  <c r="BA537" i="10" s="1"/>
  <c r="BC537" i="10" s="1"/>
  <c r="AU537" i="10"/>
  <c r="BF537" i="10"/>
  <c r="BH537" i="10" s="1"/>
  <c r="BJ537" i="10" s="1"/>
  <c r="BK537" i="10" s="1"/>
  <c r="BL537" i="10" s="1"/>
  <c r="BD538" i="10"/>
  <c r="BM538" i="10" s="1"/>
  <c r="BL536" i="10"/>
  <c r="BN536" i="10" s="1"/>
  <c r="BM536" i="10"/>
  <c r="BK535" i="10"/>
  <c r="BM535" i="10" s="1"/>
  <c r="BL534" i="10"/>
  <c r="BN534" i="10" s="1"/>
  <c r="C31" i="12" a="1"/>
  <c r="C31" i="12" s="1"/>
  <c r="AX531" i="10"/>
  <c r="F14" i="12" s="1" a="1"/>
  <c r="F14" i="12" s="1"/>
  <c r="AV531" i="10"/>
  <c r="BE529" i="10"/>
  <c r="BN529" i="10" s="1"/>
  <c r="AV523" i="10"/>
  <c r="BE526" i="10"/>
  <c r="BN526" i="10" s="1"/>
  <c r="BK528" i="10"/>
  <c r="BM528" i="10" s="1"/>
  <c r="BK525" i="10"/>
  <c r="BM525" i="10" s="1"/>
  <c r="AV526" i="10"/>
  <c r="AX526" i="10"/>
  <c r="I106" i="15"/>
  <c r="BD523" i="10"/>
  <c r="BM523" i="10" s="1"/>
  <c r="BC729" i="10"/>
  <c r="BD729" i="10" s="1"/>
  <c r="BM729" i="10" s="1"/>
  <c r="BK521" i="10"/>
  <c r="BM521" i="10" s="1"/>
  <c r="BD517" i="10"/>
  <c r="BM517" i="10" s="1"/>
  <c r="AQ515" i="10"/>
  <c r="AR515" i="10"/>
  <c r="J515" i="10" s="1"/>
  <c r="G130" i="15" s="1" a="1"/>
  <c r="G130" i="15" s="1"/>
  <c r="AS515" i="10"/>
  <c r="R515" i="10" s="1"/>
  <c r="BK513" i="10"/>
  <c r="BM513" i="10" s="1"/>
  <c r="BK512" i="10"/>
  <c r="BM512" i="10" s="1"/>
  <c r="AV490" i="10"/>
  <c r="BD507" i="10"/>
  <c r="BM507" i="10" s="1"/>
  <c r="BD510" i="10"/>
  <c r="BM510" i="10" s="1"/>
  <c r="AX507" i="10"/>
  <c r="AV507" i="10"/>
  <c r="AX510" i="10"/>
  <c r="AV510" i="10"/>
  <c r="BL506" i="10"/>
  <c r="BN506" i="10" s="1"/>
  <c r="BM506" i="10"/>
  <c r="BL509" i="10"/>
  <c r="BN509" i="10" s="1"/>
  <c r="BM509" i="10"/>
  <c r="BD504" i="10"/>
  <c r="BM504" i="10" s="1"/>
  <c r="AV501" i="10"/>
  <c r="AX504" i="10"/>
  <c r="AV504" i="10"/>
  <c r="BD501" i="10"/>
  <c r="BM501" i="10" s="1"/>
  <c r="BD494" i="10"/>
  <c r="BM494" i="10" s="1"/>
  <c r="AX494" i="10"/>
  <c r="AV494" i="10"/>
  <c r="BL503" i="10"/>
  <c r="BN503" i="10" s="1"/>
  <c r="BL492" i="10"/>
  <c r="BN492" i="10" s="1"/>
  <c r="BM492" i="10"/>
  <c r="BL540" i="10"/>
  <c r="BN540" i="10" s="1"/>
  <c r="BM540" i="10"/>
  <c r="C51" i="12" a="1"/>
  <c r="C51" i="12" s="1"/>
  <c r="D33" i="12" a="1"/>
  <c r="D33" i="12" s="1"/>
  <c r="BE490" i="10"/>
  <c r="BN490" i="10" s="1"/>
  <c r="BA481" i="10"/>
  <c r="BC481" i="10" s="1"/>
  <c r="BD481" i="10" s="1"/>
  <c r="BK489" i="10"/>
  <c r="BM489" i="10" s="1"/>
  <c r="BL500" i="10"/>
  <c r="BN500" i="10" s="1"/>
  <c r="AV480" i="10"/>
  <c r="BF481" i="10"/>
  <c r="BH481" i="10" s="1"/>
  <c r="BJ481" i="10" s="1"/>
  <c r="BK481" i="10" s="1"/>
  <c r="BL481" i="10" s="1"/>
  <c r="H17" i="23" a="1"/>
  <c r="H17" i="23" s="1"/>
  <c r="AX480" i="10"/>
  <c r="D13" i="12" a="1"/>
  <c r="D13" i="12" s="1"/>
  <c r="AX481" i="10"/>
  <c r="AV481" i="10"/>
  <c r="BE477" i="10"/>
  <c r="BN477" i="10" s="1"/>
  <c r="AX477" i="10"/>
  <c r="AV477" i="10"/>
  <c r="BD478" i="10"/>
  <c r="BM478" i="10" s="1"/>
  <c r="BD473" i="10"/>
  <c r="BM473" i="10" s="1"/>
  <c r="BL480" i="10"/>
  <c r="BN480" i="10" s="1"/>
  <c r="BM480" i="10"/>
  <c r="BK471" i="10"/>
  <c r="BM471" i="10" s="1"/>
  <c r="AX471" i="10"/>
  <c r="AV471" i="10"/>
  <c r="AX473" i="10"/>
  <c r="AV473" i="10"/>
  <c r="BD469" i="10"/>
  <c r="BM469" i="10" s="1"/>
  <c r="AV361" i="10"/>
  <c r="AX469" i="10"/>
  <c r="AV469" i="10"/>
  <c r="BL475" i="10"/>
  <c r="BN475" i="10" s="1"/>
  <c r="BC466" i="10"/>
  <c r="BD466" i="10" s="1"/>
  <c r="BM466" i="10" s="1"/>
  <c r="BK493" i="10"/>
  <c r="BM493" i="10" s="1"/>
  <c r="BL457" i="10"/>
  <c r="BN457" i="10" s="1"/>
  <c r="BM457" i="10"/>
  <c r="AX459" i="10"/>
  <c r="BE465" i="10"/>
  <c r="BN465" i="10" s="1"/>
  <c r="AX465" i="10"/>
  <c r="AV465" i="10"/>
  <c r="BE462" i="10"/>
  <c r="BN462" i="10" s="1"/>
  <c r="BL461" i="10"/>
  <c r="BN461" i="10" s="1"/>
  <c r="AV459" i="10"/>
  <c r="BC459" i="10"/>
  <c r="BD459" i="10" s="1"/>
  <c r="BM459" i="10" s="1"/>
  <c r="BL464" i="10"/>
  <c r="BN464" i="10" s="1"/>
  <c r="BM464" i="10"/>
  <c r="BL468" i="10"/>
  <c r="BN468" i="10" s="1"/>
  <c r="BM468" i="10"/>
  <c r="BL499" i="10"/>
  <c r="BN499" i="10" s="1"/>
  <c r="BM499" i="10"/>
  <c r="AS458" i="10"/>
  <c r="R458" i="10" s="1"/>
  <c r="J458" i="10"/>
  <c r="BM451" i="10"/>
  <c r="BE451" i="10"/>
  <c r="BN451" i="10" s="1"/>
  <c r="BD450" i="10"/>
  <c r="BM450" i="10" s="1"/>
  <c r="BK455" i="10"/>
  <c r="BM455" i="10" s="1"/>
  <c r="BL456" i="10"/>
  <c r="BN456" i="10" s="1"/>
  <c r="BM456" i="10"/>
  <c r="BL431" i="10"/>
  <c r="BN431" i="10" s="1"/>
  <c r="BM431" i="10"/>
  <c r="BL448" i="10"/>
  <c r="BN448" i="10" s="1"/>
  <c r="BM448" i="10"/>
  <c r="BL449" i="10"/>
  <c r="BN449" i="10" s="1"/>
  <c r="BM449" i="10"/>
  <c r="BC428" i="10"/>
  <c r="BD428" i="10" s="1"/>
  <c r="BM428" i="10" s="1"/>
  <c r="AV433" i="10"/>
  <c r="BL454" i="10"/>
  <c r="BN454" i="10" s="1"/>
  <c r="BE440" i="10"/>
  <c r="BN440" i="10" s="1"/>
  <c r="AX427" i="10"/>
  <c r="AV427" i="10"/>
  <c r="AX440" i="10"/>
  <c r="AV440" i="10"/>
  <c r="BL453" i="10"/>
  <c r="BN453" i="10" s="1"/>
  <c r="BD437" i="10"/>
  <c r="BM437" i="10" s="1"/>
  <c r="AX437" i="10"/>
  <c r="AV437" i="10"/>
  <c r="BL435" i="10"/>
  <c r="BN435" i="10" s="1"/>
  <c r="BM435" i="10"/>
  <c r="BL436" i="10"/>
  <c r="BN436" i="10" s="1"/>
  <c r="BM436" i="10"/>
  <c r="BL439" i="10"/>
  <c r="BN439" i="10" s="1"/>
  <c r="BM439" i="10"/>
  <c r="U19" i="15" a="1"/>
  <c r="U19" i="15" s="1"/>
  <c r="C19" i="15" a="1"/>
  <c r="C19" i="15" s="1"/>
  <c r="BE433" i="10"/>
  <c r="BN433" i="10" s="1"/>
  <c r="BL430" i="10"/>
  <c r="BN430" i="10" s="1"/>
  <c r="BM430" i="10"/>
  <c r="BL432" i="10"/>
  <c r="BN432" i="10" s="1"/>
  <c r="BM432" i="10"/>
  <c r="AX361" i="10"/>
  <c r="BM342" i="10"/>
  <c r="BK414" i="10"/>
  <c r="BM414" i="10" s="1"/>
  <c r="BK413" i="10"/>
  <c r="BM413" i="10" s="1"/>
  <c r="BK412" i="10"/>
  <c r="BM412" i="10" s="1"/>
  <c r="BD421" i="10"/>
  <c r="BM421" i="10" s="1"/>
  <c r="BD424" i="10"/>
  <c r="BM424" i="10" s="1"/>
  <c r="BK420" i="10"/>
  <c r="BM420" i="10" s="1"/>
  <c r="BK423" i="10"/>
  <c r="BM423" i="10" s="1"/>
  <c r="BK426" i="10"/>
  <c r="BM426" i="10" s="1"/>
  <c r="AV421" i="10"/>
  <c r="AX421" i="10"/>
  <c r="AV424" i="10"/>
  <c r="AX424" i="10"/>
  <c r="AV428" i="10"/>
  <c r="AX428" i="10"/>
  <c r="BD415" i="10"/>
  <c r="BM415" i="10" s="1"/>
  <c r="AX409" i="10"/>
  <c r="BE418" i="10"/>
  <c r="BN418" i="10" s="1"/>
  <c r="BL408" i="10"/>
  <c r="BN408" i="10" s="1"/>
  <c r="BM408" i="10"/>
  <c r="AX418" i="10"/>
  <c r="AV418" i="10"/>
  <c r="AX402" i="10"/>
  <c r="AR442" i="10"/>
  <c r="J442" i="10" s="1"/>
  <c r="Q443" i="10" s="1"/>
  <c r="AS442" i="10"/>
  <c r="BD409" i="10"/>
  <c r="BM409" i="10" s="1"/>
  <c r="BL407" i="10"/>
  <c r="BN407" i="10" s="1"/>
  <c r="BM407" i="10"/>
  <c r="C36" i="19" a="1"/>
  <c r="C36" i="19" s="1"/>
  <c r="BM40" i="10"/>
  <c r="Z158" i="15"/>
  <c r="BM405" i="10"/>
  <c r="BE405" i="10"/>
  <c r="BN405" i="10" s="1"/>
  <c r="AX405" i="10"/>
  <c r="AV405" i="10"/>
  <c r="BL404" i="10"/>
  <c r="BN404" i="10" s="1"/>
  <c r="BL417" i="10"/>
  <c r="BN417" i="10" s="1"/>
  <c r="BD402" i="10"/>
  <c r="BM402" i="10" s="1"/>
  <c r="BK411" i="10"/>
  <c r="BM411" i="10" s="1"/>
  <c r="BL401" i="10"/>
  <c r="BN401" i="10" s="1"/>
  <c r="BM401" i="10"/>
  <c r="BL400" i="10"/>
  <c r="BN400" i="10" s="1"/>
  <c r="BM400" i="10"/>
  <c r="AC297" i="15"/>
  <c r="AC294" i="15"/>
  <c r="AC291" i="15"/>
  <c r="AC288" i="15"/>
  <c r="AC285" i="15"/>
  <c r="AC282" i="15"/>
  <c r="AC296" i="15"/>
  <c r="AC293" i="15"/>
  <c r="AC290" i="15"/>
  <c r="AC287" i="15"/>
  <c r="AC284" i="15"/>
  <c r="AC281" i="15"/>
  <c r="AC295" i="15"/>
  <c r="AC292" i="15"/>
  <c r="AC289" i="15"/>
  <c r="AC286" i="15"/>
  <c r="AC283" i="15"/>
  <c r="AX393" i="10"/>
  <c r="BD398" i="10"/>
  <c r="BM398" i="10" s="1"/>
  <c r="AX398" i="10"/>
  <c r="AV398" i="10"/>
  <c r="BL397" i="10"/>
  <c r="BN397" i="10" s="1"/>
  <c r="E149" i="5"/>
  <c r="G163" i="5" s="1"/>
  <c r="BD365" i="10"/>
  <c r="BE365" i="10" s="1"/>
  <c r="BM59" i="10"/>
  <c r="AR22" i="10"/>
  <c r="AS22" i="10"/>
  <c r="AU22" i="10" s="1"/>
  <c r="BF22" i="10" s="1"/>
  <c r="BH22" i="10" s="1"/>
  <c r="BJ22" i="10" s="1"/>
  <c r="AT22" i="10"/>
  <c r="AS147" i="10"/>
  <c r="AR147" i="10"/>
  <c r="J147" i="10" s="1"/>
  <c r="AT147" i="10" s="1"/>
  <c r="AU147" i="10"/>
  <c r="BF147" i="10" s="1"/>
  <c r="BH147" i="10" s="1"/>
  <c r="BJ147" i="10" s="1"/>
  <c r="BK147" i="10" s="1"/>
  <c r="BL147" i="10" s="1"/>
  <c r="AS138" i="10"/>
  <c r="R138" i="10" s="1"/>
  <c r="AR138" i="10"/>
  <c r="J138" i="10" s="1"/>
  <c r="AT138" i="10" s="1"/>
  <c r="AS104" i="10"/>
  <c r="R104" i="10" s="1"/>
  <c r="AU104" i="10" s="1"/>
  <c r="BF104" i="10" s="1"/>
  <c r="BH104" i="10" s="1"/>
  <c r="BJ104" i="10" s="1"/>
  <c r="AT104" i="10"/>
  <c r="AR104" i="10"/>
  <c r="AT382" i="10"/>
  <c r="AR382" i="10"/>
  <c r="AS382" i="10"/>
  <c r="R382" i="10" s="1"/>
  <c r="AU382" i="10" s="1"/>
  <c r="BF382" i="10" s="1"/>
  <c r="BH382" i="10" s="1"/>
  <c r="BJ382" i="10" s="1"/>
  <c r="BE224" i="10"/>
  <c r="AU145" i="10"/>
  <c r="BF145" i="10" s="1"/>
  <c r="BH145" i="10" s="1"/>
  <c r="BJ145" i="10" s="1"/>
  <c r="AR145" i="10"/>
  <c r="J145" i="10" s="1"/>
  <c r="AT145" i="10" s="1"/>
  <c r="AS145" i="10"/>
  <c r="BE59" i="10"/>
  <c r="AS146" i="10"/>
  <c r="AU146" i="10"/>
  <c r="BF146" i="10" s="1"/>
  <c r="BH146" i="10" s="1"/>
  <c r="BJ146" i="10" s="1"/>
  <c r="BK146" i="10" s="1"/>
  <c r="BL146" i="10" s="1"/>
  <c r="AR146" i="10"/>
  <c r="J146" i="10" s="1"/>
  <c r="AT146" i="10" s="1"/>
  <c r="BE165" i="10"/>
  <c r="AT58" i="10"/>
  <c r="AR58" i="10"/>
  <c r="AS58" i="10"/>
  <c r="R58" i="10" s="1"/>
  <c r="AU58" i="10" s="1"/>
  <c r="BF58" i="10" s="1"/>
  <c r="BH58" i="10" s="1"/>
  <c r="BJ58" i="10" s="1"/>
  <c r="BE252" i="10"/>
  <c r="BE334" i="10"/>
  <c r="AR13" i="10"/>
  <c r="J13" i="10" s="1"/>
  <c r="AT13" i="10" s="1"/>
  <c r="AS13" i="10"/>
  <c r="R13" i="10" s="1"/>
  <c r="AT376" i="10"/>
  <c r="AR376" i="10"/>
  <c r="AS376" i="10"/>
  <c r="R376" i="10" s="1"/>
  <c r="AR158" i="10"/>
  <c r="J158" i="10" s="1"/>
  <c r="AS158" i="10"/>
  <c r="BD389" i="10"/>
  <c r="BE389" i="10" s="1"/>
  <c r="BD51" i="10"/>
  <c r="BE51" i="10" s="1"/>
  <c r="BD330" i="10"/>
  <c r="BE330" i="10" s="1"/>
  <c r="BE204" i="10"/>
  <c r="BD50" i="10"/>
  <c r="BE50" i="10" s="1"/>
  <c r="AT174" i="10"/>
  <c r="AR174" i="10"/>
  <c r="AS174" i="10"/>
  <c r="R174" i="10" s="1"/>
  <c r="AS385" i="10"/>
  <c r="R385" i="10" s="1"/>
  <c r="AU385" i="10" s="1"/>
  <c r="BF385" i="10" s="1"/>
  <c r="BH385" i="10" s="1"/>
  <c r="BJ385" i="10" s="1"/>
  <c r="AT385" i="10"/>
  <c r="AR385" i="10"/>
  <c r="AR379" i="10"/>
  <c r="AS379" i="10"/>
  <c r="R379" i="10" s="1"/>
  <c r="AU379" i="10" s="1"/>
  <c r="BF379" i="10" s="1"/>
  <c r="BH379" i="10" s="1"/>
  <c r="BJ379" i="10" s="1"/>
  <c r="AT379" i="10"/>
  <c r="BD200" i="10"/>
  <c r="BE200" i="10" s="1"/>
  <c r="AR175" i="10"/>
  <c r="AS175" i="10"/>
  <c r="R175" i="10" s="1"/>
  <c r="AT175" i="10"/>
  <c r="AE395" i="10"/>
  <c r="AI395" i="10"/>
  <c r="BD393" i="10"/>
  <c r="BM393" i="10" s="1"/>
  <c r="BL392" i="10"/>
  <c r="BN392" i="10" s="1"/>
  <c r="BM392" i="10"/>
  <c r="AV386" i="10"/>
  <c r="BD390" i="10"/>
  <c r="BM390" i="10" s="1"/>
  <c r="AX390" i="10"/>
  <c r="AV390" i="10"/>
  <c r="AV374" i="10"/>
  <c r="BD380" i="10"/>
  <c r="BM380" i="10" s="1"/>
  <c r="BD386" i="10"/>
  <c r="BM386" i="10" s="1"/>
  <c r="BD383" i="10"/>
  <c r="BM383" i="10" s="1"/>
  <c r="AX380" i="10"/>
  <c r="AV380" i="10"/>
  <c r="AX383" i="10"/>
  <c r="AV383" i="10"/>
  <c r="BD377" i="10"/>
  <c r="BM377" i="10" s="1"/>
  <c r="BK348" i="10"/>
  <c r="BM348" i="10" s="1"/>
  <c r="AV377" i="10"/>
  <c r="AX377" i="10"/>
  <c r="BL388" i="10"/>
  <c r="BN388" i="10" s="1"/>
  <c r="BM388" i="10"/>
  <c r="AX265" i="10"/>
  <c r="BL389" i="10"/>
  <c r="BK370" i="10"/>
  <c r="BM370" i="10" s="1"/>
  <c r="BD374" i="10"/>
  <c r="BM374" i="10" s="1"/>
  <c r="G13" i="23" a="1"/>
  <c r="G13" i="23" s="1"/>
  <c r="D30" i="12" a="1"/>
  <c r="D30" i="12" s="1"/>
  <c r="D50" i="12" a="1"/>
  <c r="D50" i="12" s="1"/>
  <c r="Z157" i="15"/>
  <c r="C23" i="19" a="1"/>
  <c r="C23" i="19" s="1"/>
  <c r="C10" i="19" a="1"/>
  <c r="C10" i="19" s="1"/>
  <c r="BL369" i="10"/>
  <c r="BN369" i="10" s="1"/>
  <c r="BM369" i="10"/>
  <c r="BD366" i="10"/>
  <c r="BM366" i="10" s="1"/>
  <c r="BL373" i="10"/>
  <c r="BN373" i="10" s="1"/>
  <c r="BM373" i="10"/>
  <c r="AX366" i="10"/>
  <c r="AV366" i="10"/>
  <c r="BD363" i="10"/>
  <c r="BM363" i="10" s="1"/>
  <c r="BL362" i="10"/>
  <c r="BN362" i="10" s="1"/>
  <c r="BM362" i="10"/>
  <c r="BK365" i="10"/>
  <c r="AX362" i="10"/>
  <c r="AV362" i="10"/>
  <c r="AV363" i="10"/>
  <c r="AX363" i="10"/>
  <c r="BL361" i="10"/>
  <c r="BN361" i="10" s="1"/>
  <c r="BM361" i="10"/>
  <c r="D10" i="12" a="1"/>
  <c r="D10" i="12" s="1"/>
  <c r="AX360" i="10"/>
  <c r="AV360" i="10"/>
  <c r="BL352" i="10"/>
  <c r="BN352" i="10" s="1"/>
  <c r="BM352" i="10"/>
  <c r="BL356" i="10"/>
  <c r="BN356" i="10" s="1"/>
  <c r="BM356" i="10"/>
  <c r="BL354" i="10"/>
  <c r="BN354" i="10" s="1"/>
  <c r="BM354" i="10"/>
  <c r="BK355" i="10"/>
  <c r="BM355" i="10" s="1"/>
  <c r="BK360" i="10"/>
  <c r="BM360" i="10" s="1"/>
  <c r="BD358" i="10"/>
  <c r="BM358" i="10" s="1"/>
  <c r="AX358" i="10"/>
  <c r="AV358" i="10"/>
  <c r="Y91" i="15"/>
  <c r="V91" i="15"/>
  <c r="V157" i="15"/>
  <c r="K35" i="8"/>
  <c r="E38" i="8"/>
  <c r="E35" i="8"/>
  <c r="K39" i="8"/>
  <c r="K36" i="8"/>
  <c r="E39" i="8"/>
  <c r="D38" i="8"/>
  <c r="E36" i="8"/>
  <c r="D35" i="8"/>
  <c r="J39" i="8"/>
  <c r="J36" i="8"/>
  <c r="D39" i="8"/>
  <c r="D36" i="8"/>
  <c r="W157" i="15"/>
  <c r="AR357" i="10"/>
  <c r="J357" i="10" s="1"/>
  <c r="AT357" i="10" s="1"/>
  <c r="AY357" i="10" s="1"/>
  <c r="BA357" i="10" s="1"/>
  <c r="BC357" i="10" s="1"/>
  <c r="K22" i="8"/>
  <c r="L22" i="8" s="1"/>
  <c r="M22" i="8" s="1"/>
  <c r="E65" i="8"/>
  <c r="F65" i="8" s="1"/>
  <c r="G65" i="8" s="1"/>
  <c r="AX345" i="10"/>
  <c r="BK372" i="10"/>
  <c r="BM372" i="10" s="1"/>
  <c r="BK371" i="10"/>
  <c r="BM371" i="10" s="1"/>
  <c r="BK368" i="10"/>
  <c r="BM368" i="10" s="1"/>
  <c r="BL353" i="10"/>
  <c r="BN353" i="10" s="1"/>
  <c r="BM353" i="10"/>
  <c r="BL351" i="10"/>
  <c r="BN351" i="10" s="1"/>
  <c r="BM351" i="10"/>
  <c r="AX349" i="10"/>
  <c r="AV349" i="10"/>
  <c r="BE349" i="10"/>
  <c r="BN349" i="10" s="1"/>
  <c r="BL347" i="10"/>
  <c r="BN347" i="10" s="1"/>
  <c r="BE345" i="10"/>
  <c r="BN345" i="10" s="1"/>
  <c r="BM345" i="10"/>
  <c r="BL336" i="10"/>
  <c r="BN336" i="10" s="1"/>
  <c r="BM336" i="10"/>
  <c r="BK344" i="10"/>
  <c r="BM344" i="10" s="1"/>
  <c r="AX280" i="10"/>
  <c r="AX288" i="10"/>
  <c r="AX269" i="10"/>
  <c r="AX130" i="10"/>
  <c r="AR163" i="10"/>
  <c r="J163" i="10" s="1"/>
  <c r="AT163" i="10" s="1"/>
  <c r="AV163" i="10" s="1"/>
  <c r="BH326" i="10"/>
  <c r="BJ326" i="10" s="1"/>
  <c r="BK326" i="10" s="1"/>
  <c r="BM326" i="10" s="1"/>
  <c r="AM186" i="10"/>
  <c r="AR186" i="10" s="1"/>
  <c r="BE340" i="10"/>
  <c r="BN340" i="10" s="1"/>
  <c r="BL339" i="10"/>
  <c r="BN339" i="10" s="1"/>
  <c r="AX340" i="10"/>
  <c r="AV340" i="10"/>
  <c r="BE341" i="10"/>
  <c r="BN341" i="10" s="1"/>
  <c r="BK338" i="10"/>
  <c r="BM338" i="10" s="1"/>
  <c r="AV322" i="10"/>
  <c r="BE342" i="10"/>
  <c r="BN342" i="10" s="1"/>
  <c r="BL335" i="10"/>
  <c r="BN335" i="10" s="1"/>
  <c r="BM335" i="10"/>
  <c r="BD331" i="10"/>
  <c r="BM331" i="10" s="1"/>
  <c r="AX331" i="10"/>
  <c r="AV331" i="10"/>
  <c r="BK330" i="10"/>
  <c r="BL337" i="10"/>
  <c r="BN337" i="10" s="1"/>
  <c r="BM337" i="10"/>
  <c r="BL333" i="10"/>
  <c r="BN333" i="10" s="1"/>
  <c r="AE101" i="10"/>
  <c r="AR101" i="10" s="1"/>
  <c r="J101" i="10" s="1"/>
  <c r="AT101" i="10" s="1"/>
  <c r="AV101" i="10" s="1"/>
  <c r="AV306" i="10"/>
  <c r="BD322" i="10"/>
  <c r="BM322" i="10" s="1"/>
  <c r="BD319" i="10"/>
  <c r="BM319" i="10" s="1"/>
  <c r="BL321" i="10"/>
  <c r="BN321" i="10" s="1"/>
  <c r="BM321" i="10"/>
  <c r="AX319" i="10"/>
  <c r="AV319" i="10"/>
  <c r="BL318" i="10"/>
  <c r="BN318" i="10" s="1"/>
  <c r="BM318" i="10"/>
  <c r="BK316" i="10"/>
  <c r="BM316" i="10" s="1"/>
  <c r="BK317" i="10"/>
  <c r="BM317" i="10" s="1"/>
  <c r="BL334" i="10"/>
  <c r="BM334" i="10"/>
  <c r="BF311" i="10"/>
  <c r="BH311" i="10" s="1"/>
  <c r="BJ311" i="10" s="1"/>
  <c r="BK311" i="10" s="1"/>
  <c r="BL311" i="10" s="1"/>
  <c r="BE310" i="10"/>
  <c r="BN310" i="10" s="1"/>
  <c r="BK313" i="10"/>
  <c r="BL313" i="10" s="1"/>
  <c r="BD311" i="10"/>
  <c r="AT313" i="10"/>
  <c r="AY313" i="10" s="1"/>
  <c r="BA313" i="10" s="1"/>
  <c r="BC313" i="10" s="1"/>
  <c r="Q314" i="10"/>
  <c r="AV311" i="10"/>
  <c r="AX311" i="10"/>
  <c r="AU308" i="10"/>
  <c r="H8" i="23" s="1" a="1"/>
  <c r="H8" i="23" s="1"/>
  <c r="AX296" i="10"/>
  <c r="AX286" i="10"/>
  <c r="AX291" i="10"/>
  <c r="AV288" i="10"/>
  <c r="AV291" i="10"/>
  <c r="BD300" i="10"/>
  <c r="BM300" i="10" s="1"/>
  <c r="AV269" i="10"/>
  <c r="BL299" i="10"/>
  <c r="BN299" i="10" s="1"/>
  <c r="BM299" i="10"/>
  <c r="AY308" i="10"/>
  <c r="BA308" i="10" s="1"/>
  <c r="BC308" i="10" s="1"/>
  <c r="BD308" i="10" s="1"/>
  <c r="BD307" i="10"/>
  <c r="BM307" i="10" s="1"/>
  <c r="BD306" i="10"/>
  <c r="BM306" i="10" s="1"/>
  <c r="BL304" i="10"/>
  <c r="BN304" i="10" s="1"/>
  <c r="BM304" i="10"/>
  <c r="AX300" i="10"/>
  <c r="AV300" i="10"/>
  <c r="BD296" i="10"/>
  <c r="BM296" i="10" s="1"/>
  <c r="BL298" i="10"/>
  <c r="BN298" i="10" s="1"/>
  <c r="BM298" i="10"/>
  <c r="AX292" i="10"/>
  <c r="AV292" i="10"/>
  <c r="BD293" i="10"/>
  <c r="BM293" i="10" s="1"/>
  <c r="AX293" i="10"/>
  <c r="AV293" i="10"/>
  <c r="BK291" i="10"/>
  <c r="BM291" i="10" s="1"/>
  <c r="AX289" i="10"/>
  <c r="AV289" i="10"/>
  <c r="BD289" i="10"/>
  <c r="BM289" i="10" s="1"/>
  <c r="BL248" i="10"/>
  <c r="BN248" i="10" s="1"/>
  <c r="BM248" i="10"/>
  <c r="BK288" i="10"/>
  <c r="BM288" i="10" s="1"/>
  <c r="BD286" i="10"/>
  <c r="BM286" i="10" s="1"/>
  <c r="BK282" i="10"/>
  <c r="BM282" i="10" s="1"/>
  <c r="BD283" i="10"/>
  <c r="BM283" i="10" s="1"/>
  <c r="AV282" i="10"/>
  <c r="AX282" i="10"/>
  <c r="AV283" i="10"/>
  <c r="AX283" i="10"/>
  <c r="BL285" i="10"/>
  <c r="BN285" i="10" s="1"/>
  <c r="BM285" i="10"/>
  <c r="AV277" i="10"/>
  <c r="BE280" i="10"/>
  <c r="BN280" i="10" s="1"/>
  <c r="BK279" i="10"/>
  <c r="BM279" i="10" s="1"/>
  <c r="BD274" i="10"/>
  <c r="BM274" i="10" s="1"/>
  <c r="BD277" i="10"/>
  <c r="BM277" i="10" s="1"/>
  <c r="BK295" i="10"/>
  <c r="BM295" i="10" s="1"/>
  <c r="BK276" i="10"/>
  <c r="BM276" i="10" s="1"/>
  <c r="AX295" i="10"/>
  <c r="AV295" i="10"/>
  <c r="AX273" i="10"/>
  <c r="AV273" i="10"/>
  <c r="BL272" i="10"/>
  <c r="BN272" i="10" s="1"/>
  <c r="BM272" i="10"/>
  <c r="BL271" i="10"/>
  <c r="BN271" i="10" s="1"/>
  <c r="BM271" i="10"/>
  <c r="BD265" i="10"/>
  <c r="BM265" i="10" s="1"/>
  <c r="BD269" i="10"/>
  <c r="BM269" i="10" s="1"/>
  <c r="AX268" i="10"/>
  <c r="AV268" i="10"/>
  <c r="AX267" i="10"/>
  <c r="AV267" i="10"/>
  <c r="BL263" i="10"/>
  <c r="BN263" i="10" s="1"/>
  <c r="BM263" i="10"/>
  <c r="BL261" i="10"/>
  <c r="BN261" i="10" s="1"/>
  <c r="BM261" i="10"/>
  <c r="BL262" i="10"/>
  <c r="BN262" i="10" s="1"/>
  <c r="BM262" i="10"/>
  <c r="BL264" i="10"/>
  <c r="BN264" i="10" s="1"/>
  <c r="BM264" i="10"/>
  <c r="BD250" i="10"/>
  <c r="BM250" i="10" s="1"/>
  <c r="AX250" i="10"/>
  <c r="AV250" i="10"/>
  <c r="BL302" i="10"/>
  <c r="BN302" i="10" s="1"/>
  <c r="BL249" i="10"/>
  <c r="BN249" i="10" s="1"/>
  <c r="BM249" i="10"/>
  <c r="BD259" i="10"/>
  <c r="BM259" i="10" s="1"/>
  <c r="AX259" i="10"/>
  <c r="AV259" i="10"/>
  <c r="BD214" i="10"/>
  <c r="BM214" i="10" s="1"/>
  <c r="AX207" i="10"/>
  <c r="AV207" i="10"/>
  <c r="AX238" i="10"/>
  <c r="AV238" i="10"/>
  <c r="BE239" i="10"/>
  <c r="BN239" i="10" s="1"/>
  <c r="AV237" i="10"/>
  <c r="AX237" i="10"/>
  <c r="AV236" i="10"/>
  <c r="AX236" i="10"/>
  <c r="E16" i="12" s="1"/>
  <c r="BL257" i="10"/>
  <c r="BN257" i="10" s="1"/>
  <c r="AX205" i="10"/>
  <c r="AV205" i="10"/>
  <c r="BE213" i="10"/>
  <c r="BN213" i="10" s="1"/>
  <c r="BL235" i="10"/>
  <c r="BN235" i="10" s="1"/>
  <c r="BM235" i="10"/>
  <c r="AV206" i="10"/>
  <c r="AX206" i="10"/>
  <c r="BL256" i="10"/>
  <c r="BN256" i="10" s="1"/>
  <c r="BM256" i="10"/>
  <c r="BD254" i="10"/>
  <c r="BM254" i="10" s="1"/>
  <c r="AX254" i="10"/>
  <c r="AV254" i="10"/>
  <c r="BL226" i="10"/>
  <c r="BN226" i="10" s="1"/>
  <c r="BM226" i="10"/>
  <c r="BL253" i="10"/>
  <c r="BN253" i="10" s="1"/>
  <c r="BM253" i="10"/>
  <c r="BL247" i="10"/>
  <c r="BN247" i="10" s="1"/>
  <c r="BM247" i="10"/>
  <c r="BK245" i="10"/>
  <c r="BM245" i="10" s="1"/>
  <c r="AV231" i="10"/>
  <c r="BJ231" i="10"/>
  <c r="BK231" i="10" s="1"/>
  <c r="AX231" i="10"/>
  <c r="J233" i="10"/>
  <c r="AT233" i="10" s="1"/>
  <c r="AS233" i="10"/>
  <c r="R233" i="10" s="1"/>
  <c r="AU233" i="10" s="1"/>
  <c r="BF233" i="10" s="1"/>
  <c r="BH233" i="10" s="1"/>
  <c r="BJ233" i="10" s="1"/>
  <c r="BK233" i="10" s="1"/>
  <c r="BL233" i="10" s="1"/>
  <c r="BD231" i="10"/>
  <c r="BE231" i="10" s="1"/>
  <c r="BL252" i="10"/>
  <c r="BM252" i="10"/>
  <c r="AX222" i="10"/>
  <c r="BD222" i="10"/>
  <c r="BM222" i="10" s="1"/>
  <c r="AV222" i="10"/>
  <c r="AV220" i="10"/>
  <c r="BD218" i="10"/>
  <c r="BM218" i="10" s="1"/>
  <c r="BK220" i="10"/>
  <c r="BM220" i="10" s="1"/>
  <c r="AX220" i="10"/>
  <c r="BL216" i="10"/>
  <c r="BN216" i="10" s="1"/>
  <c r="BM216" i="10"/>
  <c r="BL224" i="10"/>
  <c r="BM224" i="10"/>
  <c r="BD232" i="10"/>
  <c r="BM232" i="10" s="1"/>
  <c r="BL229" i="10"/>
  <c r="BN229" i="10" s="1"/>
  <c r="BM229" i="10"/>
  <c r="BL227" i="10"/>
  <c r="BN227" i="10" s="1"/>
  <c r="BM227" i="10"/>
  <c r="BL230" i="10"/>
  <c r="BN230" i="10" s="1"/>
  <c r="BM230" i="10"/>
  <c r="BK228" i="10"/>
  <c r="BM228" i="10" s="1"/>
  <c r="BK225" i="10"/>
  <c r="BM225" i="10" s="1"/>
  <c r="AV209" i="10"/>
  <c r="AY209" i="10"/>
  <c r="BA209" i="10" s="1"/>
  <c r="BC209" i="10" s="1"/>
  <c r="BD209" i="10" s="1"/>
  <c r="BM209" i="10" s="1"/>
  <c r="AV210" i="10"/>
  <c r="AY210" i="10"/>
  <c r="BA210" i="10" s="1"/>
  <c r="BC210" i="10" s="1"/>
  <c r="BC208" i="10"/>
  <c r="AX208" i="10"/>
  <c r="AV208" i="10"/>
  <c r="BL201" i="10"/>
  <c r="BN201" i="10" s="1"/>
  <c r="BL202" i="10"/>
  <c r="BN202" i="10" s="1"/>
  <c r="BM202" i="10"/>
  <c r="BL198" i="10"/>
  <c r="BN198" i="10" s="1"/>
  <c r="AX182" i="10"/>
  <c r="AV182" i="10"/>
  <c r="BD182" i="10"/>
  <c r="BM182" i="10" s="1"/>
  <c r="BL197" i="10"/>
  <c r="BN197" i="10" s="1"/>
  <c r="BM199" i="10"/>
  <c r="BL199" i="10"/>
  <c r="BN199" i="10" s="1"/>
  <c r="AX199" i="10"/>
  <c r="AV199" i="10"/>
  <c r="BL203" i="10"/>
  <c r="BN203" i="10" s="1"/>
  <c r="BM203" i="10"/>
  <c r="BL179" i="10"/>
  <c r="BN179" i="10" s="1"/>
  <c r="BM179" i="10"/>
  <c r="BL180" i="10"/>
  <c r="BN180" i="10" s="1"/>
  <c r="BM180" i="10"/>
  <c r="BL181" i="10"/>
  <c r="BN181" i="10" s="1"/>
  <c r="BM181" i="10"/>
  <c r="BD176" i="10"/>
  <c r="BM176" i="10" s="1"/>
  <c r="AV167" i="10"/>
  <c r="AX140" i="10"/>
  <c r="AV140" i="10"/>
  <c r="BK204" i="10"/>
  <c r="BM204" i="10" s="1"/>
  <c r="AX132" i="10"/>
  <c r="AV132" i="10"/>
  <c r="AR184" i="10"/>
  <c r="BD170" i="10"/>
  <c r="BM170" i="10" s="1"/>
  <c r="AX170" i="10"/>
  <c r="AV170" i="10"/>
  <c r="AU184" i="10"/>
  <c r="I186" i="10"/>
  <c r="J186" i="10" s="1"/>
  <c r="AT186" i="10" s="1"/>
  <c r="AY186" i="10" s="1"/>
  <c r="BA186" i="10" s="1"/>
  <c r="BC186" i="10" s="1"/>
  <c r="BD186" i="10" s="1"/>
  <c r="BE186" i="10" s="1"/>
  <c r="BM162" i="10"/>
  <c r="BL162" i="10"/>
  <c r="BN162" i="10" s="1"/>
  <c r="BF163" i="10"/>
  <c r="BH163" i="10" s="1"/>
  <c r="BJ163" i="10" s="1"/>
  <c r="BK163" i="10" s="1"/>
  <c r="BL163" i="10" s="1"/>
  <c r="BD167" i="10"/>
  <c r="BM167" i="10" s="1"/>
  <c r="BK173" i="10"/>
  <c r="BM173" i="10" s="1"/>
  <c r="BL200" i="10"/>
  <c r="AE243" i="10"/>
  <c r="AR243" i="10" s="1"/>
  <c r="AX143" i="10"/>
  <c r="AV143" i="10"/>
  <c r="BL166" i="10"/>
  <c r="BN166" i="10" s="1"/>
  <c r="BM166" i="10"/>
  <c r="BD151" i="10"/>
  <c r="BM151" i="10" s="1"/>
  <c r="AV142" i="10"/>
  <c r="AX142" i="10"/>
  <c r="BK141" i="10"/>
  <c r="BM141" i="10" s="1"/>
  <c r="AV156" i="10"/>
  <c r="BD156" i="10"/>
  <c r="BM156" i="10" s="1"/>
  <c r="AX155" i="10"/>
  <c r="BL169" i="10"/>
  <c r="BN169" i="10" s="1"/>
  <c r="BL139" i="10"/>
  <c r="BN139" i="10" s="1"/>
  <c r="BM139" i="10"/>
  <c r="BL136" i="10"/>
  <c r="BN136" i="10" s="1"/>
  <c r="BM136" i="10"/>
  <c r="BL137" i="10"/>
  <c r="BN137" i="10" s="1"/>
  <c r="BM137" i="10"/>
  <c r="BL155" i="10"/>
  <c r="BN155" i="10" s="1"/>
  <c r="BM155" i="10"/>
  <c r="AV130" i="10"/>
  <c r="AV155" i="10"/>
  <c r="BD130" i="10"/>
  <c r="BM130" i="10" s="1"/>
  <c r="BL165" i="10"/>
  <c r="BM165" i="10"/>
  <c r="AX129" i="10"/>
  <c r="AV129" i="10"/>
  <c r="BD127" i="10"/>
  <c r="BE127" i="10" s="1"/>
  <c r="BK127" i="10"/>
  <c r="BL125" i="10"/>
  <c r="BN125" i="10" s="1"/>
  <c r="BM125" i="10"/>
  <c r="BD126" i="10"/>
  <c r="BM126" i="10" s="1"/>
  <c r="BK124" i="10"/>
  <c r="BM124" i="10" s="1"/>
  <c r="AR128" i="10"/>
  <c r="J128" i="10" s="1"/>
  <c r="I133" i="10" s="1"/>
  <c r="AS128" i="10"/>
  <c r="BK122" i="10"/>
  <c r="BM122" i="10" s="1"/>
  <c r="BK121" i="10"/>
  <c r="BM121" i="10" s="1"/>
  <c r="BD117" i="10"/>
  <c r="BM117" i="10" s="1"/>
  <c r="AX111" i="10"/>
  <c r="AX116" i="10"/>
  <c r="AV116" i="10"/>
  <c r="BD111" i="10"/>
  <c r="BM111" i="10" s="1"/>
  <c r="BC78" i="10"/>
  <c r="BD78" i="10" s="1"/>
  <c r="AX63" i="10"/>
  <c r="AX93" i="10"/>
  <c r="AV99" i="10"/>
  <c r="BL123" i="10"/>
  <c r="BN123" i="10" s="1"/>
  <c r="BD108" i="10"/>
  <c r="BM108" i="10" s="1"/>
  <c r="BH102" i="10"/>
  <c r="BJ102" i="10" s="1"/>
  <c r="BK102" i="10" s="1"/>
  <c r="AX108" i="10"/>
  <c r="AV108" i="10"/>
  <c r="BD148" i="10"/>
  <c r="BM148" i="10" s="1"/>
  <c r="BL110" i="10"/>
  <c r="BN110" i="10" s="1"/>
  <c r="BL105" i="10"/>
  <c r="BN105" i="10" s="1"/>
  <c r="BM105" i="10"/>
  <c r="BL107" i="10"/>
  <c r="BN107" i="10" s="1"/>
  <c r="BM107" i="10"/>
  <c r="BL106" i="10"/>
  <c r="BN106" i="10" s="1"/>
  <c r="BM106" i="10"/>
  <c r="BD99" i="10"/>
  <c r="BM99" i="10" s="1"/>
  <c r="BL98" i="10"/>
  <c r="BN98" i="10" s="1"/>
  <c r="BM98" i="10"/>
  <c r="BD93" i="10"/>
  <c r="BM93" i="10" s="1"/>
  <c r="BD96" i="10"/>
  <c r="BM96" i="10" s="1"/>
  <c r="AX96" i="10"/>
  <c r="AV96" i="10"/>
  <c r="AV86" i="10"/>
  <c r="BL92" i="10"/>
  <c r="BN92" i="10" s="1"/>
  <c r="BM92" i="10"/>
  <c r="BE90" i="10"/>
  <c r="BN90" i="10" s="1"/>
  <c r="AX90" i="10"/>
  <c r="AV90" i="10"/>
  <c r="BE86" i="10"/>
  <c r="BN86" i="10" s="1"/>
  <c r="BL89" i="10"/>
  <c r="BN89" i="10" s="1"/>
  <c r="BM89" i="10"/>
  <c r="AX66" i="10"/>
  <c r="BL88" i="10"/>
  <c r="BN88" i="10" s="1"/>
  <c r="BM88" i="10"/>
  <c r="BL85" i="10"/>
  <c r="BN85" i="10" s="1"/>
  <c r="BM85" i="10"/>
  <c r="AX83" i="10"/>
  <c r="BD83" i="10"/>
  <c r="BM83" i="10" s="1"/>
  <c r="AX82" i="10"/>
  <c r="AV82" i="10"/>
  <c r="BK78" i="10"/>
  <c r="BL78" i="10" s="1"/>
  <c r="AX78" i="10"/>
  <c r="AV78" i="10"/>
  <c r="BD74" i="10"/>
  <c r="BM74" i="10" s="1"/>
  <c r="AX74" i="10"/>
  <c r="AV74" i="10"/>
  <c r="BL71" i="10"/>
  <c r="BN71" i="10" s="1"/>
  <c r="BM71" i="10"/>
  <c r="BL70" i="10"/>
  <c r="BN70" i="10" s="1"/>
  <c r="BM70" i="10"/>
  <c r="BE66" i="10"/>
  <c r="BN66" i="10" s="1"/>
  <c r="BL69" i="10"/>
  <c r="BN69" i="10" s="1"/>
  <c r="BM69" i="10"/>
  <c r="BL68" i="10"/>
  <c r="BN68" i="10" s="1"/>
  <c r="BM68" i="10"/>
  <c r="AX52" i="10"/>
  <c r="AV52" i="10"/>
  <c r="AY53" i="10"/>
  <c r="BA53" i="10" s="1"/>
  <c r="BC53" i="10" s="1"/>
  <c r="BD53" i="10" s="1"/>
  <c r="BF53" i="10"/>
  <c r="BH53" i="10" s="1"/>
  <c r="BJ53" i="10" s="1"/>
  <c r="BK53" i="10" s="1"/>
  <c r="BL53" i="10" s="1"/>
  <c r="AU53" i="10"/>
  <c r="BL80" i="10"/>
  <c r="BN80" i="10" s="1"/>
  <c r="BL45" i="10"/>
  <c r="BN45" i="10" s="1"/>
  <c r="BM45" i="10"/>
  <c r="AV63" i="10"/>
  <c r="AV60" i="10"/>
  <c r="AV62" i="10"/>
  <c r="BD63" i="10"/>
  <c r="BM63" i="10" s="1"/>
  <c r="BL62" i="10"/>
  <c r="BN62" i="10" s="1"/>
  <c r="BM62" i="10"/>
  <c r="BD60" i="10"/>
  <c r="BM60" i="10" s="1"/>
  <c r="AX62" i="10"/>
  <c r="BL59" i="10"/>
  <c r="AE57" i="10"/>
  <c r="AT57" i="10" s="1"/>
  <c r="AX38" i="10"/>
  <c r="BM43" i="10"/>
  <c r="BL43" i="10"/>
  <c r="BN43" i="10" s="1"/>
  <c r="AX43" i="10"/>
  <c r="AV43" i="10"/>
  <c r="BL42" i="10"/>
  <c r="BN42" i="10" s="1"/>
  <c r="BM42" i="10"/>
  <c r="BL46" i="10"/>
  <c r="BN46" i="10" s="1"/>
  <c r="BL49" i="10"/>
  <c r="BN49" i="10" s="1"/>
  <c r="BL48" i="10"/>
  <c r="BN48" i="10" s="1"/>
  <c r="AV37" i="10"/>
  <c r="BK50" i="10"/>
  <c r="BL40" i="10"/>
  <c r="BN40" i="10" s="1"/>
  <c r="BD38" i="10"/>
  <c r="BM38" i="10" s="1"/>
  <c r="BK76" i="10"/>
  <c r="BM76" i="10" s="1"/>
  <c r="AV38" i="10"/>
  <c r="BL44" i="10"/>
  <c r="BN44" i="10" s="1"/>
  <c r="BM44" i="10"/>
  <c r="AX37" i="10"/>
  <c r="BL47" i="10"/>
  <c r="BN47" i="10" s="1"/>
  <c r="BM47" i="10"/>
  <c r="BL37" i="10"/>
  <c r="BN37" i="10" s="1"/>
  <c r="BM37" i="10"/>
  <c r="BK65" i="10"/>
  <c r="BM65" i="10" s="1"/>
  <c r="BL51" i="10"/>
  <c r="AX65" i="10"/>
  <c r="AV65" i="10"/>
  <c r="AX23" i="10"/>
  <c r="AV32" i="10"/>
  <c r="AV26" i="10"/>
  <c r="AX14" i="10"/>
  <c r="AV14" i="10"/>
  <c r="BL19" i="10"/>
  <c r="BN19" i="10" s="1"/>
  <c r="BM19" i="10"/>
  <c r="BD32" i="10"/>
  <c r="BM32" i="10" s="1"/>
  <c r="AX28" i="10"/>
  <c r="AV28" i="10"/>
  <c r="AX29" i="10"/>
  <c r="AV29" i="10"/>
  <c r="BD29" i="10"/>
  <c r="BM29" i="10" s="1"/>
  <c r="AX26" i="10"/>
  <c r="AX25" i="10"/>
  <c r="BD26" i="10"/>
  <c r="BM26" i="10" s="1"/>
  <c r="BK25" i="10"/>
  <c r="BM25" i="10" s="1"/>
  <c r="AV25" i="10"/>
  <c r="BL31" i="10"/>
  <c r="BN31" i="10" s="1"/>
  <c r="BM31" i="10"/>
  <c r="BD23" i="10"/>
  <c r="BM23" i="10" s="1"/>
  <c r="BL20" i="10"/>
  <c r="BN20" i="10" s="1"/>
  <c r="BL18" i="10"/>
  <c r="BN18" i="10" s="1"/>
  <c r="BL17" i="10"/>
  <c r="BN17" i="10" s="1"/>
  <c r="BM6" i="10"/>
  <c r="BE6" i="10"/>
  <c r="BN6" i="10" s="1"/>
  <c r="AX6" i="10"/>
  <c r="AV6" i="10"/>
  <c r="AV9" i="10"/>
  <c r="AX9" i="10"/>
  <c r="BM10" i="10"/>
  <c r="BE10" i="10"/>
  <c r="BN10" i="10" s="1"/>
  <c r="AX10" i="10"/>
  <c r="AV10" i="10"/>
  <c r="BL9" i="10"/>
  <c r="BN9" i="10" s="1"/>
  <c r="BM9" i="10"/>
  <c r="BD7" i="10"/>
  <c r="BM7" i="10" s="1"/>
  <c r="AX7" i="10"/>
  <c r="AV7" i="10"/>
  <c r="BL12" i="10"/>
  <c r="BN12" i="10" s="1"/>
  <c r="BL3" i="10"/>
  <c r="BN3" i="10" s="1"/>
  <c r="BM3" i="10"/>
  <c r="BL4" i="10"/>
  <c r="BN4" i="10" s="1"/>
  <c r="BM4" i="10"/>
  <c r="BL5" i="10"/>
  <c r="BN5" i="10" s="1"/>
  <c r="BM5" i="10"/>
  <c r="BL21" i="10"/>
  <c r="BN21" i="10" s="1"/>
  <c r="BM21" i="10"/>
  <c r="L8" i="8"/>
  <c r="M8" i="8" s="1"/>
  <c r="BL72" i="10"/>
  <c r="BN72" i="10" s="1"/>
  <c r="BM72" i="10"/>
  <c r="AA106" i="15"/>
  <c r="R106" i="15"/>
  <c r="I18" i="23"/>
  <c r="AR95" i="10"/>
  <c r="AS95" i="10"/>
  <c r="R95" i="10" s="1"/>
  <c r="AU95" i="10" s="1"/>
  <c r="E221" i="5"/>
  <c r="E178" i="5"/>
  <c r="D342" i="15" s="1"/>
  <c r="E163" i="5"/>
  <c r="E124" i="5"/>
  <c r="E125" i="5" s="1"/>
  <c r="E75" i="5"/>
  <c r="G4" i="5"/>
  <c r="G58" i="5" s="1"/>
  <c r="E58" i="5"/>
  <c r="R134" i="15"/>
  <c r="I35" i="15"/>
  <c r="H158" i="15"/>
  <c r="I54" i="15"/>
  <c r="R327" i="15"/>
  <c r="I215" i="15"/>
  <c r="G342" i="15" s="1"/>
  <c r="R215" i="15"/>
  <c r="R187" i="15"/>
  <c r="R243" i="15"/>
  <c r="R271" i="15"/>
  <c r="AA187" i="15"/>
  <c r="AA215" i="15"/>
  <c r="AA327" i="15"/>
  <c r="E92" i="15"/>
  <c r="R26" i="15"/>
  <c r="AC115" i="15"/>
  <c r="H91" i="15"/>
  <c r="AC77" i="15"/>
  <c r="AC114" i="15"/>
  <c r="AC178" i="15"/>
  <c r="AC177" i="15"/>
  <c r="AC319" i="15"/>
  <c r="AC318" i="15"/>
  <c r="AC207" i="15"/>
  <c r="AC206" i="15"/>
  <c r="AC235" i="15"/>
  <c r="AC234" i="15"/>
  <c r="AC261" i="15"/>
  <c r="AC260" i="15"/>
  <c r="AC141" i="15"/>
  <c r="AC140" i="15"/>
  <c r="AC49" i="15"/>
  <c r="R35" i="15"/>
  <c r="AA35" i="15"/>
  <c r="Z91" i="15"/>
  <c r="X91" i="15"/>
  <c r="BN728" i="10"/>
  <c r="X92" i="15"/>
  <c r="W91" i="15"/>
  <c r="D343" i="15"/>
  <c r="C17" i="23"/>
  <c r="J342" i="15"/>
  <c r="O342" i="15" s="1" a="1"/>
  <c r="O342" i="15" s="1"/>
  <c r="AV723" i="10"/>
  <c r="AX723" i="10"/>
  <c r="BC723" i="10"/>
  <c r="BD723" i="10" s="1"/>
  <c r="BE723" i="10" s="1"/>
  <c r="BN723" i="10" s="1"/>
  <c r="AC269" i="15"/>
  <c r="AC263" i="15"/>
  <c r="AC266" i="15"/>
  <c r="AC267" i="15"/>
  <c r="AC264" i="15"/>
  <c r="AC259" i="15"/>
  <c r="AC268" i="15"/>
  <c r="AC265" i="15"/>
  <c r="AC262" i="15"/>
  <c r="AC253" i="15"/>
  <c r="AC256" i="15"/>
  <c r="AC257" i="15"/>
  <c r="AC254" i="15"/>
  <c r="AC255" i="15"/>
  <c r="AC258" i="15"/>
  <c r="R270" i="15"/>
  <c r="AC232" i="15"/>
  <c r="AC237" i="15"/>
  <c r="AC240" i="15"/>
  <c r="AC233" i="15"/>
  <c r="AC238" i="15"/>
  <c r="AC236" i="15"/>
  <c r="AC239" i="15"/>
  <c r="AC241" i="15"/>
  <c r="AC229" i="15"/>
  <c r="AC227" i="15"/>
  <c r="AC230" i="15"/>
  <c r="R242" i="15"/>
  <c r="AC228" i="15"/>
  <c r="AC231" i="15"/>
  <c r="AC226" i="15"/>
  <c r="AC225" i="15"/>
  <c r="AV726" i="10"/>
  <c r="E20" i="8"/>
  <c r="D9" i="8"/>
  <c r="E186" i="15"/>
  <c r="AX726" i="10"/>
  <c r="AV728" i="10"/>
  <c r="AX728" i="10"/>
  <c r="BL725" i="10"/>
  <c r="AX725" i="10"/>
  <c r="AV725" i="10"/>
  <c r="AY725" i="10"/>
  <c r="BA725" i="10" s="1"/>
  <c r="BC725" i="10" s="1"/>
  <c r="BD725" i="10" s="1"/>
  <c r="BM725" i="10" s="1"/>
  <c r="BJ726" i="10"/>
  <c r="BK726" i="10" s="1"/>
  <c r="BM726" i="10" s="1"/>
  <c r="AX729" i="10"/>
  <c r="AV729" i="10"/>
  <c r="BE722" i="10"/>
  <c r="BN722" i="10" s="1"/>
  <c r="AV722" i="10"/>
  <c r="AX722" i="10"/>
  <c r="BM722" i="10"/>
  <c r="F24" i="8"/>
  <c r="G24" i="8" s="1"/>
  <c r="L52" i="8"/>
  <c r="M52" i="8" s="1"/>
  <c r="O92" i="15"/>
  <c r="W158" i="15"/>
  <c r="F51" i="8"/>
  <c r="G51" i="8" s="1"/>
  <c r="F68" i="8"/>
  <c r="G68" i="8" s="1"/>
  <c r="Q158" i="15"/>
  <c r="L51" i="8"/>
  <c r="M51" i="8" s="1"/>
  <c r="D157" i="15"/>
  <c r="Z92" i="15"/>
  <c r="F22" i="8"/>
  <c r="G22" i="8" s="1"/>
  <c r="D91" i="15"/>
  <c r="F54" i="8"/>
  <c r="G54" i="8" s="1"/>
  <c r="L25" i="8"/>
  <c r="M25" i="8" s="1"/>
  <c r="Q91" i="15"/>
  <c r="G92" i="15"/>
  <c r="H92" i="15"/>
  <c r="N92" i="15"/>
  <c r="G91" i="15"/>
  <c r="F25" i="8"/>
  <c r="G25" i="8" s="1"/>
  <c r="L64" i="8"/>
  <c r="M64" i="8" s="1"/>
  <c r="F21" i="8"/>
  <c r="G21" i="8" s="1"/>
  <c r="L55" i="8"/>
  <c r="M55" i="8" s="1"/>
  <c r="Y92" i="15"/>
  <c r="L68" i="8"/>
  <c r="M68" i="8" s="1"/>
  <c r="F52" i="8"/>
  <c r="G52" i="8" s="1"/>
  <c r="F55" i="8"/>
  <c r="G55" i="8" s="1"/>
  <c r="W92" i="15"/>
  <c r="D15" i="23"/>
  <c r="C15" i="23"/>
  <c r="C16" i="23"/>
  <c r="D158" i="15"/>
  <c r="AC183" i="15"/>
  <c r="E91" i="15"/>
  <c r="AC171" i="15"/>
  <c r="AC201" i="15"/>
  <c r="N91" i="15"/>
  <c r="I8" i="15"/>
  <c r="P92" i="15"/>
  <c r="Q92" i="15"/>
  <c r="P91" i="15"/>
  <c r="M157" i="15"/>
  <c r="M91" i="15"/>
  <c r="O91" i="15"/>
  <c r="Q157" i="15"/>
  <c r="BM728" i="10"/>
  <c r="H157" i="15"/>
  <c r="N157" i="15"/>
  <c r="N158" i="15"/>
  <c r="AC42" i="15"/>
  <c r="AC12" i="15"/>
  <c r="AC322" i="15"/>
  <c r="AC80" i="15"/>
  <c r="AC203" i="15"/>
  <c r="AC315" i="15"/>
  <c r="AC37" i="15"/>
  <c r="AC309" i="15"/>
  <c r="AC107" i="15"/>
  <c r="AC210" i="15"/>
  <c r="AC117" i="15"/>
  <c r="AC320" i="15"/>
  <c r="AC48" i="15"/>
  <c r="AC317" i="15"/>
  <c r="AC208" i="15"/>
  <c r="AC112" i="15"/>
  <c r="AC211" i="15"/>
  <c r="AY95" i="10"/>
  <c r="BA95" i="10" s="1"/>
  <c r="BC95" i="10" s="1"/>
  <c r="AC200" i="15"/>
  <c r="AC40" i="15"/>
  <c r="AC204" i="15"/>
  <c r="AC144" i="15"/>
  <c r="AC66" i="15"/>
  <c r="AC47" i="15"/>
  <c r="AC111" i="15"/>
  <c r="AC118" i="15"/>
  <c r="AC205" i="15"/>
  <c r="AC198" i="15"/>
  <c r="AC139" i="15"/>
  <c r="AC73" i="15"/>
  <c r="BE726" i="10"/>
  <c r="AC16" i="15"/>
  <c r="AC74" i="15"/>
  <c r="AC43" i="15"/>
  <c r="AC22" i="15"/>
  <c r="AC72" i="15"/>
  <c r="AC24" i="15"/>
  <c r="AC323" i="15"/>
  <c r="AC146" i="15"/>
  <c r="AC170" i="15"/>
  <c r="AC212" i="15"/>
  <c r="AC104" i="15"/>
  <c r="AC41" i="15"/>
  <c r="AC324" i="15"/>
  <c r="AC138" i="15"/>
  <c r="AC7" i="15"/>
  <c r="AC75" i="15"/>
  <c r="AC23" i="15"/>
  <c r="AC10" i="15"/>
  <c r="AC51" i="15"/>
  <c r="AC15" i="15"/>
  <c r="AC69" i="15"/>
  <c r="AC71" i="15"/>
  <c r="AC13" i="15"/>
  <c r="AC67" i="15"/>
  <c r="AC68" i="15"/>
  <c r="AC109" i="15"/>
  <c r="AC116" i="15"/>
  <c r="AC137" i="15"/>
  <c r="AC129" i="15"/>
  <c r="AC209" i="15"/>
  <c r="AC181" i="15"/>
  <c r="AA326" i="15"/>
  <c r="R326" i="15"/>
  <c r="AC180" i="15"/>
  <c r="AC202" i="15"/>
  <c r="AC213" i="15"/>
  <c r="AC196" i="15"/>
  <c r="I214" i="15"/>
  <c r="AC113" i="15"/>
  <c r="AC321" i="15"/>
  <c r="R214" i="15"/>
  <c r="V158" i="15"/>
  <c r="V92" i="15"/>
  <c r="AC46" i="15"/>
  <c r="AC78" i="15"/>
  <c r="AC20" i="15"/>
  <c r="AC45" i="15"/>
  <c r="AC9" i="15"/>
  <c r="AC65" i="15"/>
  <c r="AC145" i="15"/>
  <c r="M158" i="15"/>
  <c r="AC316" i="15"/>
  <c r="AC314" i="15"/>
  <c r="AC18" i="15"/>
  <c r="AC185" i="15"/>
  <c r="AC102" i="15"/>
  <c r="AC182" i="15"/>
  <c r="AC325" i="15"/>
  <c r="AC169" i="15"/>
  <c r="AC313" i="15"/>
  <c r="AC103" i="15"/>
  <c r="AC50" i="15"/>
  <c r="AC63" i="15"/>
  <c r="AC17" i="15"/>
  <c r="AC14" i="15"/>
  <c r="AC76" i="15"/>
  <c r="AC44" i="15"/>
  <c r="AC39" i="15"/>
  <c r="AC21" i="15"/>
  <c r="AC38" i="15"/>
  <c r="AC79" i="15"/>
  <c r="AA186" i="15"/>
  <c r="R25" i="15"/>
  <c r="AC168" i="15"/>
  <c r="I186" i="15"/>
  <c r="AC70" i="15"/>
  <c r="AC52" i="15"/>
  <c r="AC197" i="15"/>
  <c r="AC132" i="15"/>
  <c r="R186" i="15"/>
  <c r="AC312" i="15"/>
  <c r="AC142" i="15"/>
  <c r="AC184" i="15"/>
  <c r="AC176" i="15"/>
  <c r="AC175" i="15"/>
  <c r="AC136" i="15"/>
  <c r="AC172" i="15"/>
  <c r="AC179" i="15"/>
  <c r="AC174" i="15"/>
  <c r="AC308" i="15"/>
  <c r="AC173" i="15"/>
  <c r="AA214" i="15"/>
  <c r="AC131" i="15"/>
  <c r="AC143" i="15"/>
  <c r="AC310" i="15"/>
  <c r="M92" i="15"/>
  <c r="AC199" i="15"/>
  <c r="BE662" i="10" l="1"/>
  <c r="BN662" i="10" s="1"/>
  <c r="BL657" i="10"/>
  <c r="BN657" i="10" s="1"/>
  <c r="BL648" i="10"/>
  <c r="BN648" i="10" s="1"/>
  <c r="BL650" i="10"/>
  <c r="BN650" i="10" s="1"/>
  <c r="BE691" i="10"/>
  <c r="BN691" i="10" s="1"/>
  <c r="AX691" i="10"/>
  <c r="AV691" i="10"/>
  <c r="BN680" i="10"/>
  <c r="AT158" i="10"/>
  <c r="AV158" i="10" s="1"/>
  <c r="E53" i="8"/>
  <c r="E56" i="8" s="1"/>
  <c r="BL611" i="10"/>
  <c r="BN611" i="10" s="1"/>
  <c r="BM680" i="10"/>
  <c r="BL615" i="10"/>
  <c r="BN615" i="10" s="1"/>
  <c r="AV634" i="10"/>
  <c r="BE618" i="10"/>
  <c r="BN618" i="10" s="1"/>
  <c r="BE637" i="10"/>
  <c r="BN637" i="10" s="1"/>
  <c r="AS636" i="10"/>
  <c r="R636" i="10" s="1"/>
  <c r="AU636" i="10" s="1"/>
  <c r="BF636" i="10" s="1"/>
  <c r="BH636" i="10" s="1"/>
  <c r="BJ636" i="10" s="1"/>
  <c r="BK636" i="10" s="1"/>
  <c r="BL636" i="10" s="1"/>
  <c r="J636" i="10"/>
  <c r="AT636" i="10" s="1"/>
  <c r="BE640" i="10"/>
  <c r="BN640" i="10" s="1"/>
  <c r="BD634" i="10"/>
  <c r="BM634" i="10" s="1"/>
  <c r="BE635" i="10"/>
  <c r="BN635" i="10" s="1"/>
  <c r="BE625" i="10"/>
  <c r="BN625" i="10" s="1"/>
  <c r="BE626" i="10"/>
  <c r="BN626" i="10" s="1"/>
  <c r="BE627" i="10"/>
  <c r="BN627" i="10" s="1"/>
  <c r="AV616" i="10"/>
  <c r="J617" i="10"/>
  <c r="AT617" i="10" s="1"/>
  <c r="AS617" i="10"/>
  <c r="R617" i="10" s="1"/>
  <c r="AV593" i="10"/>
  <c r="BL613" i="10"/>
  <c r="BN613" i="10" s="1"/>
  <c r="AX593" i="10"/>
  <c r="AV604" i="10"/>
  <c r="AX604" i="10"/>
  <c r="F8" i="12" s="1" a="1"/>
  <c r="F8" i="12" s="1"/>
  <c r="BE589" i="10"/>
  <c r="BN589" i="10" s="1"/>
  <c r="BM616" i="10"/>
  <c r="BL623" i="10"/>
  <c r="BN623" i="10" s="1"/>
  <c r="L298" i="15"/>
  <c r="L299" i="15" s="1"/>
  <c r="R299" i="15" s="1"/>
  <c r="R280" i="15"/>
  <c r="R298" i="15" s="1"/>
  <c r="BL601" i="10"/>
  <c r="BN601" i="10" s="1"/>
  <c r="BF604" i="10"/>
  <c r="BH604" i="10" s="1"/>
  <c r="BJ604" i="10" s="1"/>
  <c r="BK604" i="10" s="1"/>
  <c r="BL604" i="10" s="1"/>
  <c r="D8" i="12" a="1"/>
  <c r="D8" i="12" s="1"/>
  <c r="BE599" i="10"/>
  <c r="BN599" i="10" s="1"/>
  <c r="C119" i="15"/>
  <c r="C120" i="15" s="1"/>
  <c r="I101" i="15"/>
  <c r="U119" i="15"/>
  <c r="U120" i="15" s="1"/>
  <c r="AA101" i="15"/>
  <c r="D28" i="12" a="1"/>
  <c r="D28" i="12" s="1"/>
  <c r="D48" i="12" a="1"/>
  <c r="D48" i="12" s="1"/>
  <c r="AY593" i="10"/>
  <c r="BA593" i="10" s="1"/>
  <c r="BC593" i="10" s="1"/>
  <c r="BD593" i="10" s="1"/>
  <c r="BM593" i="10" s="1"/>
  <c r="G11" i="23" a="1"/>
  <c r="G11" i="23" s="1"/>
  <c r="BE588" i="10"/>
  <c r="BN588" i="10" s="1"/>
  <c r="BD604" i="10"/>
  <c r="G47" i="12" a="1"/>
  <c r="G47" i="12" s="1"/>
  <c r="G27" i="12" a="1"/>
  <c r="G27" i="12" s="1"/>
  <c r="BL592" i="10"/>
  <c r="BN592" i="10" s="1"/>
  <c r="H47" i="12" s="1" a="1"/>
  <c r="H47" i="12" s="1"/>
  <c r="BL585" i="10"/>
  <c r="BN585" i="10" s="1"/>
  <c r="BE729" i="10"/>
  <c r="BN729" i="10" s="1"/>
  <c r="AX567" i="10"/>
  <c r="AV567" i="10"/>
  <c r="U133" i="15" a="1"/>
  <c r="U133" i="15" s="1"/>
  <c r="AA133" i="15" s="1"/>
  <c r="C133" i="15" a="1"/>
  <c r="C133" i="15" s="1"/>
  <c r="H7" i="12" a="1"/>
  <c r="H7" i="12" s="1"/>
  <c r="BF568" i="10"/>
  <c r="BH568" i="10" s="1"/>
  <c r="BJ568" i="10" s="1"/>
  <c r="BK568" i="10" s="1"/>
  <c r="BM568" i="10" s="1"/>
  <c r="AU565" i="10"/>
  <c r="AX565" i="10" s="1"/>
  <c r="I572" i="10"/>
  <c r="BK567" i="10"/>
  <c r="BL567" i="10" s="1"/>
  <c r="AX568" i="10"/>
  <c r="L64" i="15" a="1"/>
  <c r="L64" i="15" s="1"/>
  <c r="U64" i="15" a="1"/>
  <c r="U64" i="15" s="1"/>
  <c r="AU571" i="10"/>
  <c r="D26" i="12" s="1" a="1"/>
  <c r="D26" i="12" s="1"/>
  <c r="P135" i="15" a="1"/>
  <c r="P135" i="15" s="1"/>
  <c r="AT571" i="10"/>
  <c r="BE574" i="10"/>
  <c r="BN574" i="10" s="1"/>
  <c r="AY567" i="10"/>
  <c r="BA567" i="10" s="1"/>
  <c r="BC567" i="10" s="1"/>
  <c r="BD567" i="10" s="1"/>
  <c r="AV568" i="10"/>
  <c r="BK565" i="10"/>
  <c r="BM565" i="10" s="1"/>
  <c r="BE554" i="10"/>
  <c r="BN554" i="10" s="1"/>
  <c r="BL549" i="10"/>
  <c r="BN549" i="10" s="1"/>
  <c r="Q446" i="10"/>
  <c r="AT445" i="10"/>
  <c r="R442" i="10"/>
  <c r="AU442" i="10" s="1"/>
  <c r="BE541" i="10"/>
  <c r="BN541" i="10" s="1"/>
  <c r="BD537" i="10"/>
  <c r="BM537" i="10" s="1"/>
  <c r="AX537" i="10"/>
  <c r="AV537" i="10"/>
  <c r="BE538" i="10"/>
  <c r="BN538" i="10" s="1"/>
  <c r="BL535" i="10"/>
  <c r="BN535" i="10" s="1"/>
  <c r="BL525" i="10"/>
  <c r="BN525" i="10" s="1"/>
  <c r="BL528" i="10"/>
  <c r="BN528" i="10" s="1"/>
  <c r="BE523" i="10"/>
  <c r="BN523" i="10" s="1"/>
  <c r="Y130" i="15" a="1"/>
  <c r="Y130" i="15" s="1"/>
  <c r="I514" i="10"/>
  <c r="BL521" i="10"/>
  <c r="BN521" i="10" s="1"/>
  <c r="BE517" i="10"/>
  <c r="BN517" i="10" s="1"/>
  <c r="AT515" i="10"/>
  <c r="G30" i="23" s="1" a="1"/>
  <c r="G30" i="23" s="1"/>
  <c r="P130" i="15" a="1"/>
  <c r="P130" i="15" s="1"/>
  <c r="AU515" i="10"/>
  <c r="BL513" i="10"/>
  <c r="BN513" i="10" s="1"/>
  <c r="BL512" i="10"/>
  <c r="BN512" i="10" s="1"/>
  <c r="BE507" i="10"/>
  <c r="BN507" i="10" s="1"/>
  <c r="BE510" i="10"/>
  <c r="BN510" i="10" s="1"/>
  <c r="BE504" i="10"/>
  <c r="BN504" i="10" s="1"/>
  <c r="BE501" i="10"/>
  <c r="BN501" i="10" s="1"/>
  <c r="BE494" i="10"/>
  <c r="BN494" i="10" s="1"/>
  <c r="BL489" i="10"/>
  <c r="BN489" i="10" s="1"/>
  <c r="F13" i="12" a="1"/>
  <c r="F13" i="12" s="1"/>
  <c r="F33" i="12" a="1"/>
  <c r="F33" i="12" s="1"/>
  <c r="F53" i="12" a="1"/>
  <c r="F53" i="12" s="1"/>
  <c r="G13" i="12" a="1"/>
  <c r="G13" i="12" s="1"/>
  <c r="G33" i="12" a="1"/>
  <c r="G33" i="12" s="1"/>
  <c r="G53" i="12" a="1"/>
  <c r="G53" i="12" s="1"/>
  <c r="H13" i="12" a="1"/>
  <c r="H13" i="12" s="1"/>
  <c r="H53" i="12" a="1"/>
  <c r="H53" i="12" s="1"/>
  <c r="H33" i="12" a="1"/>
  <c r="H33" i="12" s="1"/>
  <c r="BM481" i="10"/>
  <c r="BE481" i="10"/>
  <c r="BN481" i="10" s="1"/>
  <c r="BE478" i="10"/>
  <c r="BN478" i="10" s="1"/>
  <c r="BE473" i="10"/>
  <c r="BN473" i="10" s="1"/>
  <c r="BL471" i="10"/>
  <c r="BN471" i="10" s="1"/>
  <c r="BE469" i="10"/>
  <c r="BN469" i="10" s="1"/>
  <c r="BL493" i="10"/>
  <c r="BN493" i="10" s="1"/>
  <c r="BE466" i="10"/>
  <c r="BN466" i="10" s="1"/>
  <c r="D10" i="23"/>
  <c r="AT458" i="10"/>
  <c r="AY458" i="10"/>
  <c r="BA458" i="10" s="1"/>
  <c r="BC458" i="10" s="1"/>
  <c r="AU458" i="10"/>
  <c r="BF458" i="10"/>
  <c r="BH458" i="10" s="1"/>
  <c r="BJ458" i="10" s="1"/>
  <c r="BK458" i="10" s="1"/>
  <c r="BL458" i="10" s="1"/>
  <c r="BE450" i="10"/>
  <c r="BN450" i="10" s="1"/>
  <c r="BL455" i="10"/>
  <c r="BN455" i="10" s="1"/>
  <c r="BE459" i="10"/>
  <c r="BN459" i="10" s="1"/>
  <c r="R443" i="10"/>
  <c r="AU443" i="10" s="1"/>
  <c r="BF443" i="10" s="1"/>
  <c r="BH443" i="10" s="1"/>
  <c r="BJ443" i="10" s="1"/>
  <c r="BK443" i="10" s="1"/>
  <c r="BL443" i="10" s="1"/>
  <c r="AR443" i="10"/>
  <c r="J443" i="10" s="1"/>
  <c r="AT443" i="10" s="1"/>
  <c r="D37" i="12" a="1"/>
  <c r="D37" i="12" s="1"/>
  <c r="H5" i="12" a="1"/>
  <c r="H5" i="12" s="1"/>
  <c r="H25" i="12" a="1"/>
  <c r="H25" i="12" s="1"/>
  <c r="G5" i="12" a="1"/>
  <c r="G5" i="12" s="1"/>
  <c r="G45" i="12" a="1"/>
  <c r="G45" i="12" s="1"/>
  <c r="G25" i="12" a="1"/>
  <c r="G25" i="12" s="1"/>
  <c r="BE437" i="10"/>
  <c r="BN437" i="10" s="1"/>
  <c r="U280" i="15" a="1"/>
  <c r="U280" i="15" s="1"/>
  <c r="U298" i="15" s="1"/>
  <c r="U299" i="15" s="1"/>
  <c r="AA299" i="15" s="1"/>
  <c r="C280" i="15" a="1"/>
  <c r="C280" i="15" s="1"/>
  <c r="I280" i="15" s="1"/>
  <c r="BN59" i="10"/>
  <c r="BN252" i="10"/>
  <c r="BL412" i="10"/>
  <c r="BN412" i="10" s="1"/>
  <c r="BL414" i="10"/>
  <c r="BN414" i="10" s="1"/>
  <c r="BL413" i="10"/>
  <c r="BN413" i="10" s="1"/>
  <c r="BL426" i="10"/>
  <c r="BN426" i="10" s="1"/>
  <c r="BE428" i="10"/>
  <c r="BN428" i="10" s="1"/>
  <c r="BE424" i="10"/>
  <c r="BN424" i="10" s="1"/>
  <c r="BL423" i="10"/>
  <c r="BN423" i="10" s="1"/>
  <c r="BL420" i="10"/>
  <c r="BN420" i="10" s="1"/>
  <c r="BE421" i="10"/>
  <c r="BN421" i="10" s="1"/>
  <c r="BE415" i="10"/>
  <c r="BN415" i="10" s="1"/>
  <c r="BN334" i="10"/>
  <c r="AT442" i="10"/>
  <c r="BE409" i="10"/>
  <c r="BN409" i="10" s="1"/>
  <c r="BM50" i="10"/>
  <c r="BM389" i="10"/>
  <c r="BM51" i="10"/>
  <c r="BN224" i="10"/>
  <c r="BE402" i="10"/>
  <c r="BN402" i="10" s="1"/>
  <c r="BL411" i="10"/>
  <c r="BN411" i="10" s="1"/>
  <c r="U25" i="15"/>
  <c r="U26" i="15" s="1"/>
  <c r="AA26" i="15" s="1"/>
  <c r="AA19" i="15"/>
  <c r="AA25" i="15" s="1"/>
  <c r="BE398" i="10"/>
  <c r="BN398" i="10" s="1"/>
  <c r="G12" i="23" a="1"/>
  <c r="G12" i="23" s="1"/>
  <c r="BK104" i="10"/>
  <c r="BL104" i="10" s="1"/>
  <c r="BN165" i="10"/>
  <c r="BM365" i="10"/>
  <c r="BM200" i="10"/>
  <c r="BM330" i="10"/>
  <c r="BK382" i="10"/>
  <c r="BL382" i="10" s="1"/>
  <c r="BK22" i="10"/>
  <c r="BL22" i="10" s="1"/>
  <c r="BK379" i="10"/>
  <c r="BL379" i="10" s="1"/>
  <c r="BK58" i="10"/>
  <c r="BK385" i="10"/>
  <c r="BL385" i="10" s="1"/>
  <c r="BN51" i="10"/>
  <c r="BN200" i="10"/>
  <c r="AY175" i="10"/>
  <c r="BA175" i="10" s="1"/>
  <c r="BC175" i="10" s="1"/>
  <c r="AY174" i="10"/>
  <c r="BA174" i="10" s="1"/>
  <c r="BC174" i="10" s="1"/>
  <c r="AU376" i="10"/>
  <c r="AV376" i="10" s="1"/>
  <c r="I15" i="10"/>
  <c r="AU13" i="10"/>
  <c r="BF13" i="10" s="1"/>
  <c r="BH13" i="10" s="1"/>
  <c r="BJ13" i="10" s="1"/>
  <c r="AV145" i="10"/>
  <c r="AY145" i="10"/>
  <c r="BA145" i="10" s="1"/>
  <c r="BC145" i="10" s="1"/>
  <c r="BD145" i="10" s="1"/>
  <c r="AX145" i="10"/>
  <c r="AY138" i="10"/>
  <c r="BA138" i="10" s="1"/>
  <c r="BC138" i="10" s="1"/>
  <c r="BN389" i="10"/>
  <c r="AU175" i="10"/>
  <c r="BF175" i="10" s="1"/>
  <c r="BH175" i="10" s="1"/>
  <c r="BJ175" i="10" s="1"/>
  <c r="I177" i="10"/>
  <c r="AY379" i="10"/>
  <c r="BA379" i="10" s="1"/>
  <c r="BC379" i="10" s="1"/>
  <c r="AX379" i="10"/>
  <c r="AV379" i="10"/>
  <c r="I134" i="10"/>
  <c r="AU174" i="10"/>
  <c r="BF174" i="10" s="1"/>
  <c r="BH174" i="10" s="1"/>
  <c r="BJ174" i="10" s="1"/>
  <c r="AY13" i="10"/>
  <c r="BA13" i="10" s="1"/>
  <c r="BC13" i="10" s="1"/>
  <c r="AV146" i="10"/>
  <c r="AX146" i="10"/>
  <c r="AY146" i="10"/>
  <c r="BA146" i="10" s="1"/>
  <c r="BC146" i="10" s="1"/>
  <c r="BD146" i="10" s="1"/>
  <c r="BM146" i="10" s="1"/>
  <c r="BK145" i="10"/>
  <c r="BL145" i="10" s="1"/>
  <c r="AY382" i="10"/>
  <c r="BA382" i="10" s="1"/>
  <c r="BC382" i="10" s="1"/>
  <c r="AX382" i="10"/>
  <c r="AV382" i="10"/>
  <c r="AX104" i="10"/>
  <c r="AV104" i="10"/>
  <c r="AY104" i="10"/>
  <c r="BA104" i="10" s="1"/>
  <c r="BC104" i="10" s="1"/>
  <c r="I150" i="10"/>
  <c r="AU138" i="10"/>
  <c r="BF138" i="10" s="1"/>
  <c r="BH138" i="10" s="1"/>
  <c r="BJ138" i="10" s="1"/>
  <c r="AY147" i="10"/>
  <c r="BA147" i="10" s="1"/>
  <c r="BC147" i="10" s="1"/>
  <c r="BD147" i="10" s="1"/>
  <c r="BM147" i="10" s="1"/>
  <c r="AX147" i="10"/>
  <c r="AV147" i="10"/>
  <c r="BA395" i="10"/>
  <c r="BC395" i="10" s="1"/>
  <c r="BD395" i="10" s="1"/>
  <c r="BE395" i="10" s="1"/>
  <c r="AX385" i="10"/>
  <c r="AV385" i="10"/>
  <c r="AY385" i="10"/>
  <c r="BA385" i="10" s="1"/>
  <c r="BC385" i="10" s="1"/>
  <c r="AX158" i="10"/>
  <c r="AY158" i="10"/>
  <c r="BA158" i="10" s="1"/>
  <c r="BC158" i="10" s="1"/>
  <c r="AY376" i="10"/>
  <c r="BA376" i="10" s="1"/>
  <c r="BC376" i="10" s="1"/>
  <c r="AX58" i="10"/>
  <c r="AY58" i="10"/>
  <c r="BA58" i="10" s="1"/>
  <c r="BC58" i="10" s="1"/>
  <c r="AV58" i="10"/>
  <c r="AX22" i="10"/>
  <c r="AY22" i="10"/>
  <c r="BA22" i="10" s="1"/>
  <c r="BC22" i="10" s="1"/>
  <c r="AV22" i="10"/>
  <c r="AR395" i="10"/>
  <c r="AS395" i="10"/>
  <c r="R395" i="10" s="1"/>
  <c r="BE393" i="10"/>
  <c r="BN393" i="10" s="1"/>
  <c r="BE390" i="10"/>
  <c r="BN390" i="10" s="1"/>
  <c r="BE380" i="10"/>
  <c r="BN380" i="10" s="1"/>
  <c r="BE383" i="10"/>
  <c r="BN383" i="10" s="1"/>
  <c r="BE386" i="10"/>
  <c r="BN386" i="10" s="1"/>
  <c r="BL348" i="10"/>
  <c r="BN348" i="10" s="1"/>
  <c r="BE377" i="10"/>
  <c r="BN377" i="10" s="1"/>
  <c r="BL370" i="10"/>
  <c r="BN370" i="10" s="1"/>
  <c r="BE374" i="10"/>
  <c r="BN374" i="10" s="1"/>
  <c r="G14" i="12" a="1"/>
  <c r="G14" i="12" s="1"/>
  <c r="AV357" i="10"/>
  <c r="AX357" i="10"/>
  <c r="BE366" i="10"/>
  <c r="BN366" i="10" s="1"/>
  <c r="BL365" i="10"/>
  <c r="BN365" i="10" s="1"/>
  <c r="BE363" i="10"/>
  <c r="BN363" i="10" s="1"/>
  <c r="G10" i="12" a="1"/>
  <c r="G10" i="12" s="1"/>
  <c r="G30" i="12" a="1"/>
  <c r="G30" i="12" s="1"/>
  <c r="G50" i="12" a="1"/>
  <c r="G50" i="12" s="1"/>
  <c r="F10" i="12" a="1"/>
  <c r="F10" i="12" s="1"/>
  <c r="F30" i="12" a="1"/>
  <c r="F30" i="12" s="1"/>
  <c r="F50" i="12" a="1"/>
  <c r="F50" i="12" s="1"/>
  <c r="BL355" i="10"/>
  <c r="BN355" i="10" s="1"/>
  <c r="BL360" i="10"/>
  <c r="BN360" i="10" s="1"/>
  <c r="BE358" i="10"/>
  <c r="BN358" i="10" s="1"/>
  <c r="E9" i="8"/>
  <c r="F9" i="8" s="1"/>
  <c r="G9" i="8" s="1"/>
  <c r="E23" i="8"/>
  <c r="E6" i="8"/>
  <c r="E37" i="8"/>
  <c r="E34" i="8"/>
  <c r="BL371" i="10"/>
  <c r="BN371" i="10" s="1"/>
  <c r="BL368" i="10"/>
  <c r="BN368" i="10" s="1"/>
  <c r="BL372" i="10"/>
  <c r="BN372" i="10" s="1"/>
  <c r="AY163" i="10"/>
  <c r="BA163" i="10" s="1"/>
  <c r="BC163" i="10" s="1"/>
  <c r="BD163" i="10" s="1"/>
  <c r="BM163" i="10" s="1"/>
  <c r="AX163" i="10"/>
  <c r="BD357" i="10"/>
  <c r="BM357" i="10" s="1"/>
  <c r="BL344" i="10"/>
  <c r="BN344" i="10" s="1"/>
  <c r="BL326" i="10"/>
  <c r="BN326" i="10" s="1"/>
  <c r="AV308" i="10"/>
  <c r="I8" i="23"/>
  <c r="BL338" i="10"/>
  <c r="BN338" i="10" s="1"/>
  <c r="BE331" i="10"/>
  <c r="BN331" i="10" s="1"/>
  <c r="BL330" i="10"/>
  <c r="BN330" i="10" s="1"/>
  <c r="AS101" i="10"/>
  <c r="BE322" i="10"/>
  <c r="BN322" i="10" s="1"/>
  <c r="BE319" i="10"/>
  <c r="BN319" i="10" s="1"/>
  <c r="BL317" i="10"/>
  <c r="BN317" i="10" s="1"/>
  <c r="BL316" i="10"/>
  <c r="BN316" i="10" s="1"/>
  <c r="BF308" i="10"/>
  <c r="BH308" i="10" s="1"/>
  <c r="BJ308" i="10" s="1"/>
  <c r="BK308" i="10" s="1"/>
  <c r="BL308" i="10" s="1"/>
  <c r="BM311" i="10"/>
  <c r="BE311" i="10"/>
  <c r="BN311" i="10" s="1"/>
  <c r="BD313" i="10"/>
  <c r="BM313" i="10" s="1"/>
  <c r="R314" i="10"/>
  <c r="AU314" i="10" s="1"/>
  <c r="AR314" i="10"/>
  <c r="J314" i="10" s="1"/>
  <c r="AT314" i="10" s="1"/>
  <c r="AY314" i="10" s="1"/>
  <c r="BA314" i="10" s="1"/>
  <c r="BC314" i="10" s="1"/>
  <c r="AV313" i="10"/>
  <c r="AX313" i="10"/>
  <c r="I13" i="23"/>
  <c r="C25" i="15"/>
  <c r="C26" i="15" s="1"/>
  <c r="I19" i="15"/>
  <c r="BE300" i="10"/>
  <c r="BN300" i="10" s="1"/>
  <c r="BL291" i="10"/>
  <c r="BN291" i="10" s="1"/>
  <c r="BE307" i="10"/>
  <c r="BN307" i="10" s="1"/>
  <c r="BL288" i="10"/>
  <c r="BN288" i="10" s="1"/>
  <c r="BE293" i="10"/>
  <c r="BN293" i="10" s="1"/>
  <c r="BE296" i="10"/>
  <c r="BN296" i="10" s="1"/>
  <c r="BE306" i="10"/>
  <c r="BN306" i="10" s="1"/>
  <c r="BE289" i="10"/>
  <c r="BN289" i="10" s="1"/>
  <c r="BE308" i="10"/>
  <c r="BE286" i="10"/>
  <c r="BN286" i="10" s="1"/>
  <c r="BL282" i="10"/>
  <c r="BN282" i="10" s="1"/>
  <c r="BE283" i="10"/>
  <c r="BN283" i="10" s="1"/>
  <c r="BL279" i="10"/>
  <c r="BN279" i="10" s="1"/>
  <c r="BL276" i="10"/>
  <c r="BN276" i="10" s="1"/>
  <c r="BE277" i="10"/>
  <c r="BN277" i="10" s="1"/>
  <c r="BE274" i="10"/>
  <c r="BN274" i="10" s="1"/>
  <c r="BL295" i="10"/>
  <c r="BN295" i="10" s="1"/>
  <c r="BE265" i="10"/>
  <c r="BN265" i="10" s="1"/>
  <c r="BE269" i="10"/>
  <c r="BN269" i="10" s="1"/>
  <c r="BE250" i="10"/>
  <c r="BN250" i="10" s="1"/>
  <c r="BE259" i="10"/>
  <c r="BN259" i="10" s="1"/>
  <c r="BE214" i="10"/>
  <c r="BN214" i="10" s="1"/>
  <c r="BE254" i="10"/>
  <c r="BN254" i="10" s="1"/>
  <c r="BL245" i="10"/>
  <c r="BN245" i="10" s="1"/>
  <c r="BM231" i="10"/>
  <c r="AV233" i="10"/>
  <c r="AY233" i="10"/>
  <c r="BA233" i="10" s="1"/>
  <c r="BC233" i="10" s="1"/>
  <c r="BL231" i="10"/>
  <c r="BN231" i="10" s="1"/>
  <c r="BE222" i="10"/>
  <c r="BN222" i="10" s="1"/>
  <c r="BE218" i="10"/>
  <c r="BN218" i="10" s="1"/>
  <c r="BL220" i="10"/>
  <c r="BN220" i="10" s="1"/>
  <c r="BE232" i="10"/>
  <c r="BN232" i="10" s="1"/>
  <c r="BL225" i="10"/>
  <c r="BN225" i="10" s="1"/>
  <c r="BL228" i="10"/>
  <c r="BN228" i="10" s="1"/>
  <c r="BE209" i="10"/>
  <c r="BN209" i="10" s="1"/>
  <c r="BD210" i="10"/>
  <c r="BD208" i="10"/>
  <c r="BM208" i="10" s="1"/>
  <c r="BF184" i="10"/>
  <c r="BH184" i="10" s="1"/>
  <c r="BJ184" i="10" s="1"/>
  <c r="BK184" i="10" s="1"/>
  <c r="BM184" i="10" s="1"/>
  <c r="BE182" i="10"/>
  <c r="BN182" i="10" s="1"/>
  <c r="BE176" i="10"/>
  <c r="BN176" i="10" s="1"/>
  <c r="BL204" i="10"/>
  <c r="BN204" i="10" s="1"/>
  <c r="BE170" i="10"/>
  <c r="BN170" i="10" s="1"/>
  <c r="AV184" i="10"/>
  <c r="AX184" i="10"/>
  <c r="AS186" i="10"/>
  <c r="R186" i="10" s="1"/>
  <c r="AU186" i="10" s="1"/>
  <c r="BE167" i="10"/>
  <c r="BN167" i="10" s="1"/>
  <c r="BL173" i="10"/>
  <c r="BN173" i="10" s="1"/>
  <c r="BE151" i="10"/>
  <c r="BN151" i="10" s="1"/>
  <c r="BL141" i="10"/>
  <c r="BN141" i="10" s="1"/>
  <c r="BE156" i="10"/>
  <c r="BN156" i="10" s="1"/>
  <c r="BE130" i="10"/>
  <c r="BN130" i="10" s="1"/>
  <c r="AS133" i="10"/>
  <c r="R133" i="10" s="1"/>
  <c r="J133" i="10"/>
  <c r="AT133" i="10" s="1"/>
  <c r="BM127" i="10"/>
  <c r="BL127" i="10"/>
  <c r="BN127" i="10" s="1"/>
  <c r="BE126" i="10"/>
  <c r="BN126" i="10" s="1"/>
  <c r="BL124" i="10"/>
  <c r="BN124" i="10" s="1"/>
  <c r="AT128" i="10"/>
  <c r="I16" i="23" s="1"/>
  <c r="BL122" i="10"/>
  <c r="BN122" i="10" s="1"/>
  <c r="BL121" i="10"/>
  <c r="BN121" i="10" s="1"/>
  <c r="AX101" i="10"/>
  <c r="AY101" i="10"/>
  <c r="BA101" i="10" s="1"/>
  <c r="BC101" i="10" s="1"/>
  <c r="BD101" i="10" s="1"/>
  <c r="BM101" i="10" s="1"/>
  <c r="BE117" i="10"/>
  <c r="BN117" i="10" s="1"/>
  <c r="BE111" i="10"/>
  <c r="BN111" i="10" s="1"/>
  <c r="BM78" i="10"/>
  <c r="AX53" i="10"/>
  <c r="BF95" i="10"/>
  <c r="BH95" i="10" s="1"/>
  <c r="BJ95" i="10" s="1"/>
  <c r="BK95" i="10" s="1"/>
  <c r="BL95" i="10" s="1"/>
  <c r="BE108" i="10"/>
  <c r="BN108" i="10" s="1"/>
  <c r="BL102" i="10"/>
  <c r="BN102" i="10" s="1"/>
  <c r="BM102" i="10"/>
  <c r="BE148" i="10"/>
  <c r="BN148" i="10" s="1"/>
  <c r="BE99" i="10"/>
  <c r="BN99" i="10" s="1"/>
  <c r="BE96" i="10"/>
  <c r="BN96" i="10" s="1"/>
  <c r="BE93" i="10"/>
  <c r="BN93" i="10" s="1"/>
  <c r="BE83" i="10"/>
  <c r="BN83" i="10" s="1"/>
  <c r="BE78" i="10"/>
  <c r="BN78" i="10" s="1"/>
  <c r="BE74" i="10"/>
  <c r="BN74" i="10" s="1"/>
  <c r="BM53" i="10"/>
  <c r="AV53" i="10"/>
  <c r="E32" i="12"/>
  <c r="BE63" i="10"/>
  <c r="BN63" i="10" s="1"/>
  <c r="BE60" i="10"/>
  <c r="BN60" i="10" s="1"/>
  <c r="AY57" i="10"/>
  <c r="BA57" i="10" s="1"/>
  <c r="BC57" i="10" s="1"/>
  <c r="BD57" i="10" s="1"/>
  <c r="AS57" i="10"/>
  <c r="R57" i="10" s="1"/>
  <c r="AR57" i="10"/>
  <c r="BE53" i="10"/>
  <c r="BN53" i="10" s="1"/>
  <c r="BL50" i="10"/>
  <c r="BN50" i="10" s="1"/>
  <c r="BL76" i="10"/>
  <c r="BN76" i="10" s="1"/>
  <c r="BE38" i="10"/>
  <c r="BN38" i="10" s="1"/>
  <c r="BL65" i="10"/>
  <c r="BN65" i="10" s="1"/>
  <c r="BE32" i="10"/>
  <c r="BN32" i="10" s="1"/>
  <c r="E12" i="12"/>
  <c r="BE29" i="10"/>
  <c r="BN29" i="10" s="1"/>
  <c r="BE26" i="10"/>
  <c r="BN26" i="10" s="1"/>
  <c r="BL25" i="10"/>
  <c r="BN25" i="10" s="1"/>
  <c r="BE23" i="10"/>
  <c r="BN23" i="10" s="1"/>
  <c r="BE7" i="10"/>
  <c r="BN7" i="10" s="1"/>
  <c r="F124" i="5"/>
  <c r="AC106" i="15"/>
  <c r="AV95" i="10"/>
  <c r="AX95" i="10"/>
  <c r="O147" i="15"/>
  <c r="O148" i="15" s="1"/>
  <c r="E88" i="5"/>
  <c r="E166" i="5"/>
  <c r="G75" i="5"/>
  <c r="G88" i="5"/>
  <c r="E187" i="15"/>
  <c r="L53" i="8"/>
  <c r="M53" i="8" s="1"/>
  <c r="D344" i="15"/>
  <c r="C18" i="23"/>
  <c r="BM723" i="10"/>
  <c r="AA224" i="15"/>
  <c r="I224" i="15"/>
  <c r="C270" i="15"/>
  <c r="C271" i="15" s="1"/>
  <c r="I271" i="15" s="1"/>
  <c r="K9" i="8"/>
  <c r="D338" i="15"/>
  <c r="C10" i="23"/>
  <c r="F25" i="15"/>
  <c r="F26" i="15" s="1"/>
  <c r="I11" i="15"/>
  <c r="I27" i="15" s="1"/>
  <c r="L36" i="8"/>
  <c r="M36" i="8" s="1"/>
  <c r="AC8" i="15"/>
  <c r="O353" i="15"/>
  <c r="D14" i="23"/>
  <c r="D92" i="15"/>
  <c r="F36" i="8"/>
  <c r="G36" i="8" s="1"/>
  <c r="F39" i="8"/>
  <c r="G39" i="8" s="1"/>
  <c r="C14" i="23"/>
  <c r="F35" i="8"/>
  <c r="G35" i="8" s="1"/>
  <c r="F38" i="8"/>
  <c r="G38" i="8" s="1"/>
  <c r="L39" i="8"/>
  <c r="M39" i="8" s="1"/>
  <c r="BL726" i="10"/>
  <c r="BN726" i="10" s="1"/>
  <c r="BE725" i="10"/>
  <c r="BN725" i="10" s="1"/>
  <c r="BD95" i="10"/>
  <c r="D337" i="15"/>
  <c r="C9" i="23"/>
  <c r="D9" i="23"/>
  <c r="C13" i="23"/>
  <c r="D341" i="15"/>
  <c r="D13" i="23"/>
  <c r="AC215" i="15"/>
  <c r="C11" i="23"/>
  <c r="D11" i="23"/>
  <c r="D339" i="15"/>
  <c r="AC186" i="15"/>
  <c r="AC214" i="15"/>
  <c r="D12" i="23"/>
  <c r="C12" i="23"/>
  <c r="D340" i="15"/>
  <c r="D336" i="15"/>
  <c r="C8" i="23"/>
  <c r="D8" i="23"/>
  <c r="AV636" i="10" l="1"/>
  <c r="AY636" i="10"/>
  <c r="BA636" i="10" s="1"/>
  <c r="BC636" i="10" s="1"/>
  <c r="BE634" i="10"/>
  <c r="BN634" i="10" s="1"/>
  <c r="BE593" i="10"/>
  <c r="BN593" i="10" s="1"/>
  <c r="AU617" i="10"/>
  <c r="BF617" i="10" s="1"/>
  <c r="BH617" i="10" s="1"/>
  <c r="BJ617" i="10" s="1"/>
  <c r="BK617" i="10" s="1"/>
  <c r="BL617" i="10" s="1"/>
  <c r="C64" i="15" a="1"/>
  <c r="C64" i="15" s="1"/>
  <c r="I64" i="15" s="1"/>
  <c r="I81" i="15" s="1"/>
  <c r="H10" i="23" a="1"/>
  <c r="H10" i="23" s="1"/>
  <c r="AY617" i="10"/>
  <c r="BA617" i="10" s="1"/>
  <c r="BC617" i="10" s="1"/>
  <c r="F48" i="12" a="1"/>
  <c r="F48" i="12" s="1"/>
  <c r="F28" i="12" a="1"/>
  <c r="F28" i="12" s="1"/>
  <c r="BM604" i="10"/>
  <c r="U147" i="15"/>
  <c r="U148" i="15" s="1"/>
  <c r="U158" i="15" s="1"/>
  <c r="AC101" i="15"/>
  <c r="K339" i="15"/>
  <c r="P339" i="15" s="1" a="1"/>
  <c r="P339" i="15" s="1"/>
  <c r="P352" i="15" s="1"/>
  <c r="H27" i="12" a="1"/>
  <c r="H27" i="12" s="1"/>
  <c r="E27" i="12" s="1"/>
  <c r="BE604" i="10"/>
  <c r="BN604" i="10" s="1"/>
  <c r="BM567" i="10"/>
  <c r="AV565" i="10"/>
  <c r="D46" i="12" a="1"/>
  <c r="D46" i="12" s="1"/>
  <c r="D6" i="12" a="1"/>
  <c r="D6" i="12" s="1"/>
  <c r="AX571" i="10"/>
  <c r="F6" i="12" s="1" a="1"/>
  <c r="F6" i="12" s="1"/>
  <c r="G10" i="23" a="1"/>
  <c r="G10" i="23" s="1"/>
  <c r="I10" i="23" s="1"/>
  <c r="AS572" i="10"/>
  <c r="R572" i="10" s="1"/>
  <c r="AU572" i="10" s="1"/>
  <c r="J572" i="10"/>
  <c r="AT572" i="10" s="1"/>
  <c r="H15" i="23" a="1"/>
  <c r="H15" i="23" s="1"/>
  <c r="C11" i="19" a="1"/>
  <c r="C11" i="19" s="1"/>
  <c r="C24" i="19" a="1"/>
  <c r="C24" i="19" s="1"/>
  <c r="C37" i="19" a="1"/>
  <c r="C37" i="19" s="1"/>
  <c r="BF571" i="10"/>
  <c r="BH571" i="10" s="1"/>
  <c r="BJ571" i="10" s="1"/>
  <c r="BK571" i="10" s="1"/>
  <c r="BL571" i="10" s="1"/>
  <c r="H12" i="23" a="1"/>
  <c r="H12" i="23" s="1"/>
  <c r="U81" i="15"/>
  <c r="U82" i="15" s="1"/>
  <c r="AA82" i="15" s="1"/>
  <c r="AA64" i="15"/>
  <c r="AA81" i="15" s="1"/>
  <c r="R64" i="15"/>
  <c r="L81" i="15"/>
  <c r="L82" i="15" s="1"/>
  <c r="R82" i="15" s="1"/>
  <c r="AV571" i="10"/>
  <c r="AY571" i="10"/>
  <c r="BA571" i="10" s="1"/>
  <c r="BC571" i="10" s="1"/>
  <c r="BD571" i="10" s="1"/>
  <c r="BL568" i="10"/>
  <c r="BN568" i="10" s="1"/>
  <c r="BE567" i="10"/>
  <c r="BN567" i="10" s="1"/>
  <c r="BL565" i="10"/>
  <c r="BN565" i="10" s="1"/>
  <c r="AX445" i="10"/>
  <c r="AV445" i="10"/>
  <c r="AY445" i="10"/>
  <c r="BA445" i="10" s="1"/>
  <c r="BC445" i="10" s="1"/>
  <c r="R446" i="10"/>
  <c r="AU446" i="10" s="1"/>
  <c r="BF446" i="10" s="1"/>
  <c r="BH446" i="10" s="1"/>
  <c r="BJ446" i="10" s="1"/>
  <c r="AR446" i="10"/>
  <c r="J446" i="10" s="1"/>
  <c r="AT446" i="10" s="1"/>
  <c r="D17" i="12" a="1"/>
  <c r="D17" i="12" s="1"/>
  <c r="BF442" i="10"/>
  <c r="BH442" i="10" s="1"/>
  <c r="BJ442" i="10" s="1"/>
  <c r="BK442" i="10" s="1"/>
  <c r="D57" i="12" a="1"/>
  <c r="D57" i="12" s="1"/>
  <c r="BE537" i="10"/>
  <c r="BN537" i="10" s="1"/>
  <c r="AS514" i="10"/>
  <c r="R514" i="10" s="1"/>
  <c r="J514" i="10"/>
  <c r="E67" i="8" s="1"/>
  <c r="AY515" i="10"/>
  <c r="BA515" i="10" s="1"/>
  <c r="BC515" i="10" s="1"/>
  <c r="BD515" i="10" s="1"/>
  <c r="AV515" i="10"/>
  <c r="BF515" i="10"/>
  <c r="BH515" i="10" s="1"/>
  <c r="BJ515" i="10" s="1"/>
  <c r="BK515" i="10" s="1"/>
  <c r="BL515" i="10" s="1"/>
  <c r="C9" i="19" a="1"/>
  <c r="C9" i="19" s="1"/>
  <c r="C35" i="19" a="1"/>
  <c r="C35" i="19" s="1"/>
  <c r="C22" i="19" a="1"/>
  <c r="C22" i="19" s="1"/>
  <c r="C29" i="12" a="1"/>
  <c r="C29" i="12" s="1"/>
  <c r="C9" i="12" a="1"/>
  <c r="C9" i="12" s="1"/>
  <c r="C49" i="12" a="1"/>
  <c r="C49" i="12" s="1"/>
  <c r="AX515" i="10"/>
  <c r="E33" i="12"/>
  <c r="E13" i="12"/>
  <c r="H45" i="12" a="1"/>
  <c r="H45" i="12" s="1"/>
  <c r="H20" i="23" a="1"/>
  <c r="H20" i="23" s="1"/>
  <c r="BD458" i="10"/>
  <c r="BM458" i="10" s="1"/>
  <c r="AX458" i="10"/>
  <c r="AV458" i="10"/>
  <c r="J66" i="8"/>
  <c r="AY443" i="10"/>
  <c r="BA443" i="10" s="1"/>
  <c r="BC443" i="10" s="1"/>
  <c r="AX443" i="10"/>
  <c r="AV443" i="10"/>
  <c r="AA280" i="15"/>
  <c r="AA298" i="15" s="1"/>
  <c r="AV442" i="10"/>
  <c r="AX442" i="10"/>
  <c r="F17" i="12" s="1" a="1"/>
  <c r="F17" i="12" s="1"/>
  <c r="AY442" i="10"/>
  <c r="BA442" i="10" s="1"/>
  <c r="BC442" i="10" s="1"/>
  <c r="BE146" i="10"/>
  <c r="BN146" i="10" s="1"/>
  <c r="BE147" i="10"/>
  <c r="BN147" i="10" s="1"/>
  <c r="BE145" i="10"/>
  <c r="BN145" i="10" s="1"/>
  <c r="J7" i="8"/>
  <c r="L7" i="8" s="1"/>
  <c r="M7" i="8" s="1"/>
  <c r="D64" i="8"/>
  <c r="F64" i="8" s="1"/>
  <c r="G64" i="8" s="1"/>
  <c r="J21" i="8"/>
  <c r="L21" i="8" s="1"/>
  <c r="M21" i="8" s="1"/>
  <c r="J35" i="8"/>
  <c r="L35" i="8" s="1"/>
  <c r="M35" i="8" s="1"/>
  <c r="AV13" i="10"/>
  <c r="AC19" i="15"/>
  <c r="AX13" i="10"/>
  <c r="C298" i="15"/>
  <c r="C299" i="15" s="1"/>
  <c r="I299" i="15" s="1"/>
  <c r="AC299" i="15" s="1"/>
  <c r="AX376" i="10"/>
  <c r="AX138" i="10"/>
  <c r="BD376" i="10"/>
  <c r="BD158" i="10"/>
  <c r="BM158" i="10" s="1"/>
  <c r="BD385" i="10"/>
  <c r="BM385" i="10" s="1"/>
  <c r="BK138" i="10"/>
  <c r="BL138" i="10" s="1"/>
  <c r="BD13" i="10"/>
  <c r="AS177" i="10"/>
  <c r="R177" i="10" s="1"/>
  <c r="J177" i="10"/>
  <c r="AT177" i="10" s="1"/>
  <c r="BD138" i="10"/>
  <c r="BK13" i="10"/>
  <c r="BL13" i="10" s="1"/>
  <c r="BF376" i="10"/>
  <c r="BH376" i="10" s="1"/>
  <c r="BJ376" i="10" s="1"/>
  <c r="D9" i="19" a="1"/>
  <c r="D9" i="19" s="1"/>
  <c r="AV174" i="10"/>
  <c r="AX175" i="10"/>
  <c r="BD22" i="10"/>
  <c r="BM22" i="10" s="1"/>
  <c r="BD58" i="10"/>
  <c r="BE58" i="10" s="1"/>
  <c r="AS150" i="10"/>
  <c r="R150" i="10" s="1"/>
  <c r="AU150" i="10" s="1"/>
  <c r="BF150" i="10" s="1"/>
  <c r="BH150" i="10" s="1"/>
  <c r="BJ150" i="10" s="1"/>
  <c r="BK150" i="10" s="1"/>
  <c r="BL150" i="10" s="1"/>
  <c r="J150" i="10"/>
  <c r="AT150" i="10" s="1"/>
  <c r="BD382" i="10"/>
  <c r="BM382" i="10" s="1"/>
  <c r="BK174" i="10"/>
  <c r="BL174" i="10" s="1"/>
  <c r="BK175" i="10"/>
  <c r="BL175" i="10" s="1"/>
  <c r="AV138" i="10"/>
  <c r="BM145" i="10"/>
  <c r="J15" i="10"/>
  <c r="AS15" i="10"/>
  <c r="R15" i="10" s="1"/>
  <c r="AX174" i="10"/>
  <c r="AV175" i="10"/>
  <c r="BD104" i="10"/>
  <c r="BM104" i="10" s="1"/>
  <c r="J134" i="10"/>
  <c r="AT134" i="10" s="1"/>
  <c r="AS134" i="10"/>
  <c r="R134" i="10" s="1"/>
  <c r="AU134" i="10" s="1"/>
  <c r="BF134" i="10" s="1"/>
  <c r="BH134" i="10" s="1"/>
  <c r="BJ134" i="10" s="1"/>
  <c r="BK134" i="10" s="1"/>
  <c r="BL134" i="10" s="1"/>
  <c r="BD379" i="10"/>
  <c r="BD174" i="10"/>
  <c r="BD175" i="10"/>
  <c r="BE175" i="10" s="1"/>
  <c r="BL58" i="10"/>
  <c r="BF395" i="10"/>
  <c r="BH395" i="10" s="1"/>
  <c r="BJ395" i="10" s="1"/>
  <c r="AU395" i="10"/>
  <c r="H14" i="12" a="1"/>
  <c r="H14" i="12" s="1"/>
  <c r="E14" i="12" s="1"/>
  <c r="H10" i="12" a="1"/>
  <c r="H10" i="12" s="1"/>
  <c r="E10" i="12" s="1"/>
  <c r="H30" i="12" a="1"/>
  <c r="H30" i="12" s="1"/>
  <c r="E30" i="12" s="1"/>
  <c r="H50" i="12" a="1"/>
  <c r="H50" i="12" s="1"/>
  <c r="E10" i="8"/>
  <c r="K54" i="8"/>
  <c r="K37" i="8"/>
  <c r="K23" i="8"/>
  <c r="G20" i="23" a="1"/>
  <c r="G20" i="23" s="1"/>
  <c r="BE357" i="10"/>
  <c r="BN357" i="10" s="1"/>
  <c r="I26" i="15"/>
  <c r="BF314" i="10"/>
  <c r="BH314" i="10" s="1"/>
  <c r="BJ314" i="10" s="1"/>
  <c r="BK314" i="10" s="1"/>
  <c r="BL314" i="10" s="1"/>
  <c r="BN308" i="10"/>
  <c r="BM308" i="10"/>
  <c r="BE313" i="10"/>
  <c r="BN313" i="10" s="1"/>
  <c r="BD314" i="10"/>
  <c r="AV314" i="10"/>
  <c r="AX314" i="10"/>
  <c r="BD233" i="10"/>
  <c r="BM233" i="10" s="1"/>
  <c r="BM210" i="10"/>
  <c r="BE210" i="10"/>
  <c r="BN210" i="10" s="1"/>
  <c r="BE208" i="10"/>
  <c r="BN208" i="10" s="1"/>
  <c r="BL184" i="10"/>
  <c r="BN184" i="10" s="1"/>
  <c r="BF186" i="10"/>
  <c r="BH186" i="10" s="1"/>
  <c r="BJ186" i="10" s="1"/>
  <c r="BK186" i="10" s="1"/>
  <c r="BM186" i="10" s="1"/>
  <c r="E36" i="12"/>
  <c r="E56" i="12"/>
  <c r="AV186" i="10"/>
  <c r="AX186" i="10"/>
  <c r="BE163" i="10"/>
  <c r="BN163" i="10" s="1"/>
  <c r="BM95" i="10"/>
  <c r="AY133" i="10"/>
  <c r="BA133" i="10" s="1"/>
  <c r="BC133" i="10" s="1"/>
  <c r="AU133" i="10"/>
  <c r="AY128" i="10"/>
  <c r="BA128" i="10" s="1"/>
  <c r="BC128" i="10" s="1"/>
  <c r="AX128" i="10"/>
  <c r="AV128" i="10"/>
  <c r="E52" i="12"/>
  <c r="BE101" i="10"/>
  <c r="BN101" i="10" s="1"/>
  <c r="AU57" i="10"/>
  <c r="BE57" i="10"/>
  <c r="I187" i="15"/>
  <c r="AC187" i="15" s="1"/>
  <c r="J341" i="15"/>
  <c r="O341" i="15" s="1" a="1"/>
  <c r="O341" i="15" s="1"/>
  <c r="E26" i="8"/>
  <c r="L53" i="15"/>
  <c r="L54" i="15" s="1"/>
  <c r="R54" i="15" s="1"/>
  <c r="U53" i="15"/>
  <c r="U54" i="15" s="1"/>
  <c r="AA54" i="15" s="1"/>
  <c r="AA53" i="15"/>
  <c r="AA130" i="15"/>
  <c r="I17" i="23"/>
  <c r="D345" i="15"/>
  <c r="D363" i="15" s="1"/>
  <c r="G344" i="15"/>
  <c r="J344" i="15"/>
  <c r="O344" i="15" s="1" a="1"/>
  <c r="O344" i="15" s="1"/>
  <c r="P147" i="15"/>
  <c r="P148" i="15" s="1"/>
  <c r="R135" i="15"/>
  <c r="U270" i="15"/>
  <c r="U271" i="15" s="1"/>
  <c r="AA271" i="15" s="1"/>
  <c r="AA270" i="15"/>
  <c r="AA242" i="15"/>
  <c r="U242" i="15"/>
  <c r="U243" i="15" s="1"/>
  <c r="AA243" i="15" s="1"/>
  <c r="R130" i="15"/>
  <c r="L147" i="15"/>
  <c r="L148" i="15" s="1"/>
  <c r="E40" i="8"/>
  <c r="I270" i="15"/>
  <c r="C242" i="15"/>
  <c r="C243" i="15" s="1"/>
  <c r="I243" i="15" s="1"/>
  <c r="AA134" i="15"/>
  <c r="I25" i="15"/>
  <c r="AC11" i="15"/>
  <c r="F91" i="15"/>
  <c r="BE95" i="10"/>
  <c r="BN95" i="10" s="1"/>
  <c r="C21" i="23"/>
  <c r="D21" i="23"/>
  <c r="AA91" i="15" l="1"/>
  <c r="U157" i="15"/>
  <c r="BD636" i="10"/>
  <c r="BM636" i="10" s="1"/>
  <c r="AV617" i="10"/>
  <c r="C81" i="15"/>
  <c r="C82" i="15" s="1"/>
  <c r="BD617" i="10"/>
  <c r="BM617" i="10" s="1"/>
  <c r="BM571" i="10"/>
  <c r="F26" i="12" a="1"/>
  <c r="F26" i="12" s="1"/>
  <c r="F46" i="12" a="1"/>
  <c r="F46" i="12" s="1"/>
  <c r="BF572" i="10"/>
  <c r="BH572" i="10" s="1"/>
  <c r="BJ572" i="10" s="1"/>
  <c r="BK572" i="10" s="1"/>
  <c r="BL572" i="10" s="1"/>
  <c r="AV572" i="10"/>
  <c r="AY572" i="10"/>
  <c r="BA572" i="10" s="1"/>
  <c r="BC572" i="10" s="1"/>
  <c r="AC64" i="15"/>
  <c r="R81" i="15"/>
  <c r="AC81" i="15" s="1"/>
  <c r="BE571" i="10"/>
  <c r="BN571" i="10" s="1"/>
  <c r="BD445" i="10"/>
  <c r="BM445" i="10" s="1"/>
  <c r="BK446" i="10"/>
  <c r="AX446" i="10"/>
  <c r="F57" i="12" s="1" a="1"/>
  <c r="F57" i="12" s="1"/>
  <c r="AV446" i="10"/>
  <c r="AY446" i="10"/>
  <c r="BA446" i="10" s="1"/>
  <c r="BC446" i="10" s="1"/>
  <c r="BL442" i="10"/>
  <c r="AU514" i="10"/>
  <c r="BF514" i="10" s="1"/>
  <c r="BH514" i="10" s="1"/>
  <c r="BJ514" i="10" s="1"/>
  <c r="BK514" i="10" s="1"/>
  <c r="BL514" i="10" s="1"/>
  <c r="J34" i="8"/>
  <c r="J6" i="8"/>
  <c r="D63" i="8"/>
  <c r="J20" i="8"/>
  <c r="Q522" i="10"/>
  <c r="AT514" i="10"/>
  <c r="BM515" i="10"/>
  <c r="BE515" i="10"/>
  <c r="BN515" i="10" s="1"/>
  <c r="BE458" i="10"/>
  <c r="BN458" i="10" s="1"/>
  <c r="BD443" i="10"/>
  <c r="BM443" i="10" s="1"/>
  <c r="F37" i="12" a="1"/>
  <c r="F37" i="12" s="1"/>
  <c r="D35" i="19" a="1"/>
  <c r="D35" i="19" s="1"/>
  <c r="D54" i="12" a="1"/>
  <c r="D54" i="12" s="1"/>
  <c r="D34" i="12" a="1"/>
  <c r="D34" i="12" s="1"/>
  <c r="BD442" i="10"/>
  <c r="BM442" i="10" s="1"/>
  <c r="G17" i="12" s="1" a="1"/>
  <c r="G17" i="12" s="1"/>
  <c r="D22" i="19" a="1"/>
  <c r="D22" i="19" s="1"/>
  <c r="AC280" i="15"/>
  <c r="I298" i="15"/>
  <c r="AC298" i="15" s="1"/>
  <c r="BM138" i="10"/>
  <c r="BM379" i="10"/>
  <c r="BE379" i="10"/>
  <c r="BN379" i="10" s="1"/>
  <c r="BE382" i="10"/>
  <c r="BN382" i="10" s="1"/>
  <c r="BE138" i="10"/>
  <c r="BN138" i="10" s="1"/>
  <c r="BN175" i="10"/>
  <c r="BM58" i="10"/>
  <c r="BE385" i="10"/>
  <c r="BN385" i="10" s="1"/>
  <c r="BM174" i="10"/>
  <c r="BN58" i="10"/>
  <c r="BE104" i="10"/>
  <c r="BN104" i="10" s="1"/>
  <c r="BF15" i="10"/>
  <c r="BH15" i="10" s="1"/>
  <c r="BJ15" i="10" s="1"/>
  <c r="BK15" i="10" s="1"/>
  <c r="BL15" i="10" s="1"/>
  <c r="AU15" i="10"/>
  <c r="AV150" i="10"/>
  <c r="AY150" i="10"/>
  <c r="BA150" i="10" s="1"/>
  <c r="BC150" i="10" s="1"/>
  <c r="BK376" i="10"/>
  <c r="BL376" i="10" s="1"/>
  <c r="AU177" i="10"/>
  <c r="BF177" i="10" s="1"/>
  <c r="BH177" i="10" s="1"/>
  <c r="BJ177" i="10" s="1"/>
  <c r="BK177" i="10" s="1"/>
  <c r="BL177" i="10" s="1"/>
  <c r="AY177" i="10"/>
  <c r="BA177" i="10" s="1"/>
  <c r="BC177" i="10" s="1"/>
  <c r="BM13" i="10"/>
  <c r="BE376" i="10"/>
  <c r="BM175" i="10"/>
  <c r="BE174" i="10"/>
  <c r="BN174" i="10" s="1"/>
  <c r="AV134" i="10"/>
  <c r="AY134" i="10"/>
  <c r="BA134" i="10" s="1"/>
  <c r="BC134" i="10" s="1"/>
  <c r="AY15" i="10"/>
  <c r="BA15" i="10" s="1"/>
  <c r="BC15" i="10" s="1"/>
  <c r="AT15" i="10"/>
  <c r="BE22" i="10"/>
  <c r="BN22" i="10" s="1"/>
  <c r="BE13" i="10"/>
  <c r="BN13" i="10" s="1"/>
  <c r="BE158" i="10"/>
  <c r="BN158" i="10" s="1"/>
  <c r="D9" i="12" a="1"/>
  <c r="D9" i="12" s="1"/>
  <c r="D49" i="12" a="1"/>
  <c r="D49" i="12" s="1"/>
  <c r="D29" i="12" a="1"/>
  <c r="D29" i="12" s="1"/>
  <c r="D11" i="19" a="1"/>
  <c r="D11" i="19" s="1"/>
  <c r="D24" i="19" a="1"/>
  <c r="D24" i="19" s="1"/>
  <c r="D37" i="19" a="1"/>
  <c r="D37" i="19" s="1"/>
  <c r="G15" i="23" a="1"/>
  <c r="G15" i="23" s="1"/>
  <c r="I15" i="23" s="1"/>
  <c r="AX395" i="10"/>
  <c r="AV395" i="10"/>
  <c r="BK395" i="10"/>
  <c r="BM395" i="10" s="1"/>
  <c r="K24" i="8"/>
  <c r="J50" i="8"/>
  <c r="J56" i="8" s="1"/>
  <c r="K38" i="8"/>
  <c r="I20" i="23"/>
  <c r="BM314" i="10"/>
  <c r="BE314" i="10"/>
  <c r="BN314" i="10" s="1"/>
  <c r="BE233" i="10"/>
  <c r="BN233" i="10" s="1"/>
  <c r="E15" i="12"/>
  <c r="BL186" i="10"/>
  <c r="BN186" i="10" s="1"/>
  <c r="I34" i="23"/>
  <c r="BF133" i="10"/>
  <c r="BH133" i="10" s="1"/>
  <c r="BJ133" i="10" s="1"/>
  <c r="BK133" i="10" s="1"/>
  <c r="BL133" i="10" s="1"/>
  <c r="BD133" i="10"/>
  <c r="AV133" i="10"/>
  <c r="BD128" i="10"/>
  <c r="BM128" i="10" s="1"/>
  <c r="BF57" i="10"/>
  <c r="BH57" i="10" s="1"/>
  <c r="BJ57" i="10" s="1"/>
  <c r="BK57" i="10" s="1"/>
  <c r="BM57" i="10" s="1"/>
  <c r="AX57" i="10"/>
  <c r="AV57" i="10"/>
  <c r="E50" i="12"/>
  <c r="R110" i="15"/>
  <c r="P119" i="15"/>
  <c r="P120" i="15" s="1"/>
  <c r="P158" i="15" s="1"/>
  <c r="Y119" i="15"/>
  <c r="Y120" i="15" s="1"/>
  <c r="AA110" i="15"/>
  <c r="G341" i="15"/>
  <c r="R148" i="15"/>
  <c r="AC25" i="15"/>
  <c r="U91" i="15"/>
  <c r="R53" i="15"/>
  <c r="AC36" i="15"/>
  <c r="L91" i="15"/>
  <c r="AC271" i="15"/>
  <c r="G343" i="15"/>
  <c r="J343" i="15"/>
  <c r="O343" i="15" s="1" a="1"/>
  <c r="O343" i="15" s="1"/>
  <c r="AA105" i="15"/>
  <c r="R147" i="15"/>
  <c r="AC270" i="15"/>
  <c r="AC252" i="15"/>
  <c r="L157" i="15"/>
  <c r="I242" i="15"/>
  <c r="AC242" i="15" s="1"/>
  <c r="AC224" i="15"/>
  <c r="X147" i="15"/>
  <c r="X148" i="15" s="1"/>
  <c r="F92" i="15"/>
  <c r="J336" i="15"/>
  <c r="O336" i="15" s="1" a="1"/>
  <c r="O336" i="15" s="1"/>
  <c r="I105" i="15"/>
  <c r="I121" i="15" s="1"/>
  <c r="L54" i="8"/>
  <c r="M54" i="8" s="1"/>
  <c r="E12" i="8"/>
  <c r="F10" i="8"/>
  <c r="G10" i="8" s="1"/>
  <c r="BE636" i="10" l="1"/>
  <c r="BN636" i="10" s="1"/>
  <c r="J338" i="15"/>
  <c r="O338" i="15" s="1" a="1"/>
  <c r="O338" i="15" s="1"/>
  <c r="O351" i="15" s="1"/>
  <c r="I82" i="15"/>
  <c r="BE617" i="10"/>
  <c r="BN617" i="10" s="1"/>
  <c r="R91" i="15"/>
  <c r="BD572" i="10"/>
  <c r="BM572" i="10" s="1"/>
  <c r="BE445" i="10"/>
  <c r="BN445" i="10" s="1"/>
  <c r="BL446" i="10"/>
  <c r="BD446" i="10"/>
  <c r="BM446" i="10" s="1"/>
  <c r="G57" i="12" s="1" a="1"/>
  <c r="G57" i="12" s="1"/>
  <c r="AX514" i="10"/>
  <c r="AV514" i="10"/>
  <c r="AY514" i="10"/>
  <c r="BA514" i="10" s="1"/>
  <c r="BC514" i="10" s="1"/>
  <c r="AR522" i="10"/>
  <c r="J522" i="10" s="1"/>
  <c r="R522" i="10"/>
  <c r="BE443" i="10"/>
  <c r="BN443" i="10" s="1"/>
  <c r="G37" i="12" a="1"/>
  <c r="G37" i="12" s="1"/>
  <c r="F54" i="12" a="1"/>
  <c r="F54" i="12" s="1"/>
  <c r="F34" i="12" a="1"/>
  <c r="F34" i="12" s="1"/>
  <c r="G34" i="12" a="1"/>
  <c r="G34" i="12" s="1"/>
  <c r="G54" i="12" a="1"/>
  <c r="G54" i="12" s="1"/>
  <c r="BE442" i="10"/>
  <c r="BN442" i="10" s="1"/>
  <c r="H17" i="12" s="1" a="1"/>
  <c r="H17" i="12" s="1"/>
  <c r="BN376" i="10"/>
  <c r="BD15" i="10"/>
  <c r="BM15" i="10" s="1"/>
  <c r="BD134" i="10"/>
  <c r="BM134" i="10" s="1"/>
  <c r="BD177" i="10"/>
  <c r="BM177" i="10" s="1"/>
  <c r="BM376" i="10"/>
  <c r="AX15" i="10"/>
  <c r="AV15" i="10"/>
  <c r="BD150" i="10"/>
  <c r="BM150" i="10" s="1"/>
  <c r="AV177" i="10"/>
  <c r="BL395" i="10"/>
  <c r="BN395" i="10" s="1"/>
  <c r="BM133" i="10"/>
  <c r="BE133" i="10"/>
  <c r="BN133" i="10" s="1"/>
  <c r="BE128" i="10"/>
  <c r="BN128" i="10" s="1"/>
  <c r="BL57" i="10"/>
  <c r="BN57" i="10" s="1"/>
  <c r="P157" i="15"/>
  <c r="AA119" i="15"/>
  <c r="AA135" i="15"/>
  <c r="AA147" i="15" s="1"/>
  <c r="Y147" i="15"/>
  <c r="Y148" i="15" s="1"/>
  <c r="AA148" i="15" s="1"/>
  <c r="E53" i="12"/>
  <c r="L92" i="15"/>
  <c r="R92" i="15"/>
  <c r="U92" i="15"/>
  <c r="AA92" i="15"/>
  <c r="AC243" i="15"/>
  <c r="O349" i="15"/>
  <c r="X119" i="15"/>
  <c r="X120" i="15" s="1"/>
  <c r="L50" i="8"/>
  <c r="M50" i="8" s="1"/>
  <c r="M56" i="8" s="1"/>
  <c r="O119" i="15"/>
  <c r="O120" i="15" s="1"/>
  <c r="R120" i="15" s="1"/>
  <c r="R105" i="15"/>
  <c r="R119" i="15" s="1"/>
  <c r="R157" i="15" s="1"/>
  <c r="L158" i="15"/>
  <c r="F119" i="15"/>
  <c r="G336" i="15"/>
  <c r="AC26" i="15"/>
  <c r="E119" i="15"/>
  <c r="E120" i="15" s="1"/>
  <c r="AC108" i="15"/>
  <c r="AR676" i="10"/>
  <c r="J676" i="10" s="1"/>
  <c r="K10" i="8" s="1"/>
  <c r="R676" i="10"/>
  <c r="L66" i="8"/>
  <c r="M66" i="8" s="1"/>
  <c r="I55" i="15"/>
  <c r="AC35" i="15"/>
  <c r="K56" i="8"/>
  <c r="L56" i="8" s="1"/>
  <c r="G338" i="15" l="1"/>
  <c r="AC82" i="15"/>
  <c r="BE572" i="10"/>
  <c r="BN572" i="10" s="1"/>
  <c r="BE446" i="10"/>
  <c r="BN446" i="10" s="1"/>
  <c r="H57" i="12" s="1" a="1"/>
  <c r="H57" i="12" s="1"/>
  <c r="AU522" i="10"/>
  <c r="BF522" i="10" s="1"/>
  <c r="BH522" i="10" s="1"/>
  <c r="BJ522" i="10" s="1"/>
  <c r="BK522" i="10" s="1"/>
  <c r="BL522" i="10" s="1"/>
  <c r="D67" i="8"/>
  <c r="AT522" i="10"/>
  <c r="AY522" i="10" s="1"/>
  <c r="BA522" i="10" s="1"/>
  <c r="BC522" i="10" s="1"/>
  <c r="E63" i="8"/>
  <c r="BD514" i="10"/>
  <c r="BM514" i="10" s="1"/>
  <c r="H37" i="12" a="1"/>
  <c r="H37" i="12" s="1"/>
  <c r="E37" i="12" s="1"/>
  <c r="H34" i="12" a="1"/>
  <c r="H34" i="12" s="1"/>
  <c r="E34" i="12" s="1"/>
  <c r="H54" i="12" a="1"/>
  <c r="H54" i="12" s="1"/>
  <c r="E54" i="12" s="1"/>
  <c r="BE177" i="10"/>
  <c r="BN177" i="10" s="1"/>
  <c r="BE15" i="10"/>
  <c r="BN15" i="10" s="1"/>
  <c r="BE150" i="10"/>
  <c r="BN150" i="10" s="1"/>
  <c r="BE134" i="10"/>
  <c r="BN134" i="10" s="1"/>
  <c r="E35" i="12"/>
  <c r="AS243" i="10"/>
  <c r="R243" i="10" s="1"/>
  <c r="J23" i="8" s="1"/>
  <c r="J243" i="10"/>
  <c r="L65" i="8"/>
  <c r="M65" i="8" s="1"/>
  <c r="E17" i="12"/>
  <c r="AA157" i="15"/>
  <c r="F120" i="15"/>
  <c r="X157" i="15"/>
  <c r="AA120" i="15"/>
  <c r="Y157" i="15"/>
  <c r="AC105" i="15"/>
  <c r="O157" i="15"/>
  <c r="AT676" i="10"/>
  <c r="AU676" i="10"/>
  <c r="BF676" i="10"/>
  <c r="BH676" i="10" s="1"/>
  <c r="BJ676" i="10" s="1"/>
  <c r="BK676" i="10" s="1"/>
  <c r="AY676" i="10"/>
  <c r="BA676" i="10" s="1"/>
  <c r="BC676" i="10" s="1"/>
  <c r="E157" i="15"/>
  <c r="I53" i="15"/>
  <c r="I91" i="15" s="1"/>
  <c r="C91" i="15"/>
  <c r="I9" i="23"/>
  <c r="AX522" i="10" l="1"/>
  <c r="F9" i="12" s="1" a="1"/>
  <c r="F9" i="12" s="1"/>
  <c r="AV522" i="10"/>
  <c r="BE514" i="10"/>
  <c r="BN514" i="10" s="1"/>
  <c r="BD522" i="10"/>
  <c r="BM522" i="10" s="1"/>
  <c r="J37" i="8"/>
  <c r="J9" i="8"/>
  <c r="F147" i="15"/>
  <c r="F148" i="15" s="1"/>
  <c r="F158" i="15" s="1"/>
  <c r="I246" i="10"/>
  <c r="J246" i="10" s="1"/>
  <c r="F63" i="8"/>
  <c r="G63" i="8" s="1"/>
  <c r="I134" i="15"/>
  <c r="AC134" i="15" s="1"/>
  <c r="E55" i="12"/>
  <c r="AU243" i="10"/>
  <c r="AT243" i="10"/>
  <c r="I30" i="23" s="1"/>
  <c r="Y158" i="15"/>
  <c r="AA158" i="15"/>
  <c r="E57" i="12"/>
  <c r="X158" i="15"/>
  <c r="O158" i="15"/>
  <c r="R158" i="15"/>
  <c r="BL676" i="10"/>
  <c r="E158" i="15"/>
  <c r="J339" i="15"/>
  <c r="O339" i="15" s="1" a="1"/>
  <c r="O339" i="15" s="1"/>
  <c r="BD676" i="10"/>
  <c r="BE676" i="10" s="1"/>
  <c r="AX676" i="10"/>
  <c r="AV676" i="10"/>
  <c r="I11" i="23"/>
  <c r="J337" i="15"/>
  <c r="O337" i="15" s="1" a="1"/>
  <c r="O337" i="15" s="1"/>
  <c r="C92" i="15"/>
  <c r="AC53" i="15"/>
  <c r="AC91" i="15"/>
  <c r="F29" i="12" l="1" a="1"/>
  <c r="F29" i="12" s="1"/>
  <c r="F49" i="12" a="1"/>
  <c r="F49" i="12" s="1"/>
  <c r="G29" i="12" a="1"/>
  <c r="G29" i="12" s="1"/>
  <c r="G49" i="12" a="1"/>
  <c r="G49" i="12" s="1"/>
  <c r="G9" i="12" a="1"/>
  <c r="G9" i="12" s="1"/>
  <c r="BE522" i="10"/>
  <c r="BN522" i="10" s="1"/>
  <c r="F157" i="15"/>
  <c r="AS246" i="10"/>
  <c r="R246" i="10" s="1"/>
  <c r="AT246" i="10"/>
  <c r="G21" i="23" s="1"/>
  <c r="I133" i="15"/>
  <c r="AC133" i="15" s="1"/>
  <c r="D69" i="8"/>
  <c r="BF243" i="10"/>
  <c r="BH243" i="10" s="1"/>
  <c r="BJ243" i="10" s="1"/>
  <c r="BK243" i="10" s="1"/>
  <c r="BL243" i="10" s="1"/>
  <c r="H21" i="23"/>
  <c r="AX243" i="10"/>
  <c r="AY243" i="10"/>
  <c r="BA243" i="10" s="1"/>
  <c r="BC243" i="10" s="1"/>
  <c r="BD243" i="10" s="1"/>
  <c r="AV243" i="10"/>
  <c r="L9" i="8"/>
  <c r="M9" i="8" s="1"/>
  <c r="L37" i="8"/>
  <c r="M37" i="8" s="1"/>
  <c r="F66" i="8"/>
  <c r="G66" i="8" s="1"/>
  <c r="L23" i="8"/>
  <c r="M23" i="8" s="1"/>
  <c r="E69" i="8"/>
  <c r="D26" i="22"/>
  <c r="BN676" i="10"/>
  <c r="BM676" i="10"/>
  <c r="G337" i="15"/>
  <c r="I92" i="15"/>
  <c r="AC92" i="15" s="1"/>
  <c r="AC54" i="15"/>
  <c r="E47" i="12"/>
  <c r="E7" i="12"/>
  <c r="H9" i="12" l="1" a="1"/>
  <c r="H9" i="12" s="1"/>
  <c r="H29" i="12" a="1"/>
  <c r="H29" i="12" s="1"/>
  <c r="H49" i="12" a="1"/>
  <c r="H49" i="12" s="1"/>
  <c r="J38" i="8"/>
  <c r="L38" i="8" s="1"/>
  <c r="M38" i="8" s="1"/>
  <c r="J10" i="8"/>
  <c r="L10" i="8" s="1"/>
  <c r="M10" i="8" s="1"/>
  <c r="J24" i="8"/>
  <c r="J26" i="8" s="1"/>
  <c r="G147" i="15"/>
  <c r="G148" i="15" s="1"/>
  <c r="AU246" i="10"/>
  <c r="AX246" i="10" s="1"/>
  <c r="AY246" i="10"/>
  <c r="BA246" i="10" s="1"/>
  <c r="BC246" i="10" s="1"/>
  <c r="BD246" i="10" s="1"/>
  <c r="BE246" i="10" s="1"/>
  <c r="I135" i="15"/>
  <c r="AC135" i="15" s="1"/>
  <c r="BM243" i="10"/>
  <c r="F67" i="8"/>
  <c r="G67" i="8" s="1"/>
  <c r="G69" i="8" s="1"/>
  <c r="D13" i="19"/>
  <c r="D18" i="12"/>
  <c r="F69" i="8"/>
  <c r="BE243" i="10"/>
  <c r="BN243" i="10" s="1"/>
  <c r="O350" i="15"/>
  <c r="J12" i="8" l="1"/>
  <c r="J40" i="8"/>
  <c r="BF246" i="10"/>
  <c r="BH246" i="10" s="1"/>
  <c r="BJ246" i="10" s="1"/>
  <c r="BK246" i="10" s="1"/>
  <c r="BL246" i="10" s="1"/>
  <c r="BN246" i="10" s="1"/>
  <c r="AV246" i="10"/>
  <c r="L24" i="8"/>
  <c r="M24" i="8" s="1"/>
  <c r="BM246" i="10" l="1"/>
  <c r="E9" i="12"/>
  <c r="E29" i="12" l="1"/>
  <c r="K20" i="8" l="1"/>
  <c r="K6" i="8"/>
  <c r="K34" i="8"/>
  <c r="L34" i="8" s="1"/>
  <c r="M34" i="8" s="1"/>
  <c r="M40" i="8" s="1"/>
  <c r="D58" i="12" l="1"/>
  <c r="D39" i="19"/>
  <c r="K40" i="8"/>
  <c r="L40" i="8" s="1"/>
  <c r="K67" i="8"/>
  <c r="D38" i="12"/>
  <c r="D26" i="19"/>
  <c r="C147" i="15"/>
  <c r="C148" i="15" s="1"/>
  <c r="I148" i="15" s="1"/>
  <c r="I130" i="15"/>
  <c r="I149" i="15" s="1"/>
  <c r="I159" i="15" s="1"/>
  <c r="K26" i="8"/>
  <c r="L26" i="8" s="1"/>
  <c r="L20" i="8"/>
  <c r="M20" i="8" s="1"/>
  <c r="M26" i="8" s="1"/>
  <c r="K12" i="8"/>
  <c r="L12" i="8" s="1"/>
  <c r="L6" i="8"/>
  <c r="M6" i="8" s="1"/>
  <c r="M12" i="8" s="1"/>
  <c r="J48" i="22" l="1"/>
  <c r="I12" i="23"/>
  <c r="I21" i="23" s="1"/>
  <c r="I147" i="15"/>
  <c r="AC130" i="15"/>
  <c r="C157" i="15"/>
  <c r="I110" i="15" l="1"/>
  <c r="G119" i="15"/>
  <c r="G120" i="15" s="1"/>
  <c r="I120" i="15" s="1"/>
  <c r="I158" i="15" s="1"/>
  <c r="K69" i="8"/>
  <c r="L67" i="8"/>
  <c r="M67" i="8" s="1"/>
  <c r="C158" i="15"/>
  <c r="J340" i="15"/>
  <c r="O340" i="15" s="1" a="1"/>
  <c r="O340" i="15" s="1"/>
  <c r="AC147" i="15"/>
  <c r="O345" i="15" l="1"/>
  <c r="J345" i="15"/>
  <c r="E49" i="12"/>
  <c r="G157" i="15"/>
  <c r="AC110" i="15"/>
  <c r="I119" i="15"/>
  <c r="I157" i="15" s="1"/>
  <c r="G340" i="15"/>
  <c r="AC148" i="15"/>
  <c r="G158" i="15" l="1"/>
  <c r="AC119" i="15"/>
  <c r="AC157" i="15"/>
  <c r="O352" i="15"/>
  <c r="O355" i="15" s="1"/>
  <c r="AC120" i="15" l="1"/>
  <c r="G339" i="15"/>
  <c r="G345" i="15" s="1"/>
  <c r="AC158" i="15"/>
  <c r="AS149" i="10" l="1"/>
  <c r="R149" i="10" s="1"/>
  <c r="J149" i="10" l="1"/>
  <c r="AT149" i="10" s="1"/>
  <c r="AU149" i="10"/>
  <c r="AY149" i="10" l="1"/>
  <c r="BA149" i="10" s="1"/>
  <c r="BC149" i="10" s="1"/>
  <c r="BD149" i="10" s="1"/>
  <c r="BF149" i="10"/>
  <c r="BH149" i="10" s="1"/>
  <c r="BJ149" i="10" s="1"/>
  <c r="BK149" i="10" s="1"/>
  <c r="BL149" i="10" s="1"/>
  <c r="AV149" i="10"/>
  <c r="F50" i="8"/>
  <c r="G50" i="8" s="1"/>
  <c r="BM149" i="10" l="1"/>
  <c r="BE149" i="10"/>
  <c r="BN149" i="10" s="1"/>
  <c r="E25" i="12" l="1"/>
  <c r="E5" i="12" l="1"/>
  <c r="AS211" i="10" l="1"/>
  <c r="R211" i="10" s="1"/>
  <c r="J211" i="10"/>
  <c r="I212" i="10" s="1"/>
  <c r="AS212" i="10" s="1"/>
  <c r="R212" i="10" s="1"/>
  <c r="D23" i="8" l="1"/>
  <c r="F23" i="8" s="1"/>
  <c r="G23" i="8" s="1"/>
  <c r="D37" i="8"/>
  <c r="F37" i="8" s="1"/>
  <c r="G37" i="8" s="1"/>
  <c r="D53" i="8"/>
  <c r="D20" i="8"/>
  <c r="D34" i="8"/>
  <c r="AT211" i="10"/>
  <c r="AY211" i="10" s="1"/>
  <c r="BA211" i="10" s="1"/>
  <c r="BC211" i="10" s="1"/>
  <c r="AU212" i="10"/>
  <c r="AY212" i="10"/>
  <c r="BA212" i="10" s="1"/>
  <c r="BC212" i="10" s="1"/>
  <c r="BD212" i="10" s="1"/>
  <c r="BF212" i="10"/>
  <c r="BH212" i="10" s="1"/>
  <c r="BJ212" i="10" s="1"/>
  <c r="BK212" i="10" s="1"/>
  <c r="BL212" i="10" s="1"/>
  <c r="J212" i="10"/>
  <c r="AT212" i="10" s="1"/>
  <c r="AU211" i="10"/>
  <c r="BF211" i="10" s="1"/>
  <c r="BH211" i="10" s="1"/>
  <c r="BJ211" i="10" s="1"/>
  <c r="AV211" i="10" l="1"/>
  <c r="AV212" i="10"/>
  <c r="F53" i="8"/>
  <c r="G53" i="8" s="1"/>
  <c r="G56" i="8" s="1"/>
  <c r="D56" i="8"/>
  <c r="F56" i="8" s="1"/>
  <c r="BE212" i="10"/>
  <c r="BN212" i="10" s="1"/>
  <c r="BM212" i="10"/>
  <c r="F34" i="8"/>
  <c r="G34" i="8" s="1"/>
  <c r="G40" i="8" s="1"/>
  <c r="D40" i="8"/>
  <c r="F40" i="8" s="1"/>
  <c r="F20" i="8"/>
  <c r="G20" i="8" s="1"/>
  <c r="G26" i="8" s="1"/>
  <c r="D26" i="8"/>
  <c r="F26" i="8" s="1"/>
  <c r="BD211" i="10"/>
  <c r="BE211" i="10" s="1"/>
  <c r="G326" i="15"/>
  <c r="G327" i="15" s="1"/>
  <c r="I327" i="15" s="1"/>
  <c r="AC327" i="15" s="1"/>
  <c r="I311" i="15"/>
  <c r="BK211" i="10"/>
  <c r="BL211" i="10" s="1"/>
  <c r="BN211" i="10" l="1"/>
  <c r="I326" i="15"/>
  <c r="AC326" i="15" s="1"/>
  <c r="AC311" i="15"/>
  <c r="BM211" i="10"/>
  <c r="E45" i="12" l="1"/>
  <c r="O43" i="22" l="1"/>
  <c r="Q43" i="22" s="1"/>
  <c r="AS587" i="10" l="1"/>
  <c r="R587" i="10" s="1"/>
  <c r="AU587" i="10" s="1"/>
  <c r="BF587" i="10" s="1"/>
  <c r="BH587" i="10" s="1"/>
  <c r="BJ587" i="10" s="1"/>
  <c r="J587" i="10"/>
  <c r="Q595" i="10" l="1"/>
  <c r="I590" i="10"/>
  <c r="AT587" i="10"/>
  <c r="BK587" i="10"/>
  <c r="BL587" i="10" s="1"/>
  <c r="J590" i="10" l="1"/>
  <c r="AT590" i="10" s="1"/>
  <c r="AS590" i="10"/>
  <c r="R590" i="10" s="1"/>
  <c r="AY587" i="10"/>
  <c r="BA587" i="10" s="1"/>
  <c r="BC587" i="10" s="1"/>
  <c r="AV587" i="10"/>
  <c r="AX587" i="10"/>
  <c r="AR595" i="10"/>
  <c r="J595" i="10" s="1"/>
  <c r="AT595" i="10" s="1"/>
  <c r="R595" i="10"/>
  <c r="J63" i="8" l="1"/>
  <c r="AU590" i="10"/>
  <c r="AV590" i="10" s="1"/>
  <c r="AY590" i="10"/>
  <c r="BA590" i="10" s="1"/>
  <c r="BC590" i="10" s="1"/>
  <c r="I596" i="10"/>
  <c r="AU595" i="10"/>
  <c r="BF595" i="10" s="1"/>
  <c r="BH595" i="10" s="1"/>
  <c r="BJ595" i="10" s="1"/>
  <c r="AY595" i="10"/>
  <c r="BA595" i="10" s="1"/>
  <c r="BC595" i="10" s="1"/>
  <c r="BD587" i="10"/>
  <c r="AX595" i="10" l="1"/>
  <c r="AV595" i="10"/>
  <c r="BD590" i="10"/>
  <c r="BE590" i="10" s="1"/>
  <c r="BF590" i="10"/>
  <c r="BH590" i="10" s="1"/>
  <c r="BJ590" i="10" s="1"/>
  <c r="C8" i="19" a="1"/>
  <c r="C8" i="19" s="1"/>
  <c r="C28" i="12" a="1"/>
  <c r="C28" i="12" s="1"/>
  <c r="C34" i="19" a="1"/>
  <c r="C34" i="19" s="1"/>
  <c r="C48" i="12" a="1"/>
  <c r="C48" i="12" s="1"/>
  <c r="C21" i="19" a="1"/>
  <c r="C21" i="19" s="1"/>
  <c r="C8" i="12" a="1"/>
  <c r="C8" i="12" s="1"/>
  <c r="J69" i="8"/>
  <c r="L69" i="8" s="1"/>
  <c r="L63" i="8"/>
  <c r="M63" i="8" s="1"/>
  <c r="M69" i="8" s="1"/>
  <c r="BM587" i="10"/>
  <c r="BE587" i="10"/>
  <c r="BN587" i="10" s="1"/>
  <c r="BD595" i="10"/>
  <c r="F31" i="12" a="1"/>
  <c r="F31" i="12" s="1"/>
  <c r="F51" i="12" a="1"/>
  <c r="F51" i="12" s="1"/>
  <c r="F11" i="12" a="1"/>
  <c r="F11" i="12" s="1"/>
  <c r="BK595" i="10"/>
  <c r="BL595" i="10" s="1"/>
  <c r="J596" i="10"/>
  <c r="AT596" i="10" s="1"/>
  <c r="AS596" i="10"/>
  <c r="R596" i="10" s="1"/>
  <c r="BK590" i="10" l="1"/>
  <c r="BL590" i="10" s="1"/>
  <c r="BN590" i="10" s="1"/>
  <c r="D6" i="8"/>
  <c r="AU596" i="10"/>
  <c r="AV596" i="10" s="1"/>
  <c r="AY596" i="10"/>
  <c r="BA596" i="10" s="1"/>
  <c r="BC596" i="10" s="1"/>
  <c r="G33" i="23" a="1"/>
  <c r="G33" i="23" s="1"/>
  <c r="F18" i="12"/>
  <c r="F58" i="12"/>
  <c r="F38" i="12"/>
  <c r="BM595" i="10"/>
  <c r="BE595" i="10"/>
  <c r="BN595" i="10" s="1"/>
  <c r="BM590" i="10" l="1"/>
  <c r="G28" i="12" s="1" a="1"/>
  <c r="G28" i="12" s="1"/>
  <c r="G8" i="12" a="1"/>
  <c r="G8" i="12" s="1"/>
  <c r="H48" i="12" a="1"/>
  <c r="H48" i="12" s="1"/>
  <c r="H28" i="12" a="1"/>
  <c r="H28" i="12" s="1"/>
  <c r="H8" i="12" a="1"/>
  <c r="H8" i="12" s="1"/>
  <c r="H11" i="12" a="1"/>
  <c r="H11" i="12" s="1"/>
  <c r="H31" i="12" a="1"/>
  <c r="H31" i="12" s="1"/>
  <c r="H51" i="12" a="1"/>
  <c r="H51" i="12" s="1"/>
  <c r="G51" i="12" a="1"/>
  <c r="G51" i="12" s="1"/>
  <c r="G31" i="12" a="1"/>
  <c r="G31" i="12" s="1"/>
  <c r="G11" i="12" a="1"/>
  <c r="G11" i="12" s="1"/>
  <c r="F39" i="12"/>
  <c r="F59" i="12"/>
  <c r="F19" i="12"/>
  <c r="G38" i="23"/>
  <c r="I33" i="23"/>
  <c r="I38" i="23" s="1"/>
  <c r="BD596" i="10"/>
  <c r="C46" i="12" a="1"/>
  <c r="C46" i="12" s="1"/>
  <c r="C58" i="12" s="1"/>
  <c r="C32" i="19" a="1"/>
  <c r="C32" i="19" s="1"/>
  <c r="C39" i="19" s="1"/>
  <c r="C19" i="19" a="1"/>
  <c r="C19" i="19" s="1"/>
  <c r="C26" i="19" s="1"/>
  <c r="C26" i="12" a="1"/>
  <c r="C26" i="12" s="1"/>
  <c r="C38" i="12" s="1"/>
  <c r="C6" i="19" a="1"/>
  <c r="C6" i="19" s="1"/>
  <c r="C13" i="19" s="1"/>
  <c r="C6" i="12" a="1"/>
  <c r="C6" i="12" s="1"/>
  <c r="C18" i="12" s="1"/>
  <c r="BF596" i="10"/>
  <c r="BH596" i="10" s="1"/>
  <c r="BJ596" i="10" s="1"/>
  <c r="D12" i="8"/>
  <c r="F12" i="8" s="1"/>
  <c r="F6" i="8"/>
  <c r="G6" i="8" s="1"/>
  <c r="G12" i="8" s="1"/>
  <c r="G48" i="12" l="1" a="1"/>
  <c r="G48" i="12" s="1"/>
  <c r="E48" i="12" s="1"/>
  <c r="E31" i="12"/>
  <c r="E11" i="12"/>
  <c r="E51" i="12"/>
  <c r="E28" i="12"/>
  <c r="E8" i="12"/>
  <c r="BK596" i="10"/>
  <c r="BL596" i="10" s="1"/>
  <c r="BE596" i="10"/>
  <c r="BM596" i="10" l="1"/>
  <c r="G46" i="12" s="1" a="1"/>
  <c r="G46" i="12" s="1"/>
  <c r="BN596" i="10"/>
  <c r="H26" i="12" s="1" a="1"/>
  <c r="H26" i="12" s="1"/>
  <c r="H38" i="12" s="1"/>
  <c r="H6" i="12" a="1"/>
  <c r="H6" i="12" s="1"/>
  <c r="H18" i="12" s="1"/>
  <c r="G6" i="12" a="1"/>
  <c r="G6" i="12" s="1"/>
  <c r="G26" i="12" l="1" a="1"/>
  <c r="G26" i="12" s="1"/>
  <c r="G38" i="12" s="1"/>
  <c r="H46" i="12" a="1"/>
  <c r="H46" i="12" s="1"/>
  <c r="H58" i="12" s="1"/>
  <c r="H59" i="12" s="1"/>
  <c r="G18" i="12"/>
  <c r="E6" i="12"/>
  <c r="E18" i="12" s="1"/>
  <c r="H20" i="12" s="1"/>
  <c r="G58" i="12"/>
  <c r="H39" i="12"/>
  <c r="H19" i="12"/>
  <c r="E26" i="12" l="1"/>
  <c r="E38" i="12" s="1"/>
  <c r="H40" i="12" s="1"/>
  <c r="E46" i="12"/>
  <c r="E58" i="12" s="1"/>
  <c r="H60" i="12" s="1"/>
  <c r="G59" i="12"/>
  <c r="G39" i="12"/>
  <c r="E20" i="12"/>
  <c r="E19" i="12"/>
  <c r="F20" i="12"/>
  <c r="G20" i="12"/>
  <c r="G19" i="12"/>
  <c r="G40" i="12" l="1"/>
  <c r="E40" i="12"/>
  <c r="E39" i="12"/>
  <c r="F40" i="12"/>
  <c r="G60" i="12"/>
  <c r="F60" i="12"/>
  <c r="E60" i="12"/>
  <c r="E5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tc={67B4B8D8-0A04-4266-AAC1-2D3AD1D10B00}</author>
  </authors>
  <commentList>
    <comment ref="BC3" authorId="0" shapeId="0" xr:uid="{67B4B8D8-0A04-4266-AAC1-2D3AD1D10B00}">
      <text>
        <t>[Threaded comment]
Your version of Excel allows you to read this threaded comment; however, any edits to it will get removed if the file is opened in a newer version of Excel. Learn more: https://go.microsoft.com/fwlink/?linkid=870924
Comment:
    OZON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tc={BEA0437A-77D7-4025-B791-A084EB8B2D9B}</author>
    <author>tc={B3A79DCA-5846-4E8E-AA16-88FAED2BB549}</author>
    <author>tc={40E896F0-55B7-4607-B28F-8337068964F6}</author>
    <author>tc={DD018DC6-F8D6-438F-B86C-225FC8759EF9}</author>
    <author>tc={8A69F440-B502-40E6-9B33-F7263EF907DF}</author>
    <author>tc={3019A570-1CBE-4B93-ACD8-1B7C1F2FCF70}</author>
    <author>tc={F4A1DD6C-BC61-4AB2-8D95-614746205142}</author>
    <author>tc={0931FB62-0CE6-4858-B7F0-ACB78F99B5D8}</author>
    <author>tc={A7C92F57-ABB7-4861-BC98-30F304AE70FC}</author>
    <author>tc={37FBBC7F-DF15-4AD4-9A73-5FCB4373C2B7}</author>
    <author>tc={D991733E-BF25-4052-A0C1-BCEB26A8167F}</author>
    <author>tc={EEA96B36-3570-48F9-B412-547FCBD06C49}</author>
    <author>tc={F1F1BE08-9CC4-4865-8709-6688B97DB66F}</author>
    <author>tc={638D1C62-B7DD-49A6-AAA8-B4B2E5778CCC}</author>
    <author>tc={41E4518E-FC80-4E2F-A384-B7C0830961AC}</author>
    <author>tc={50F138BA-1A42-44B8-B5A2-FB1E98DB9D85}</author>
    <author>tc={A17FE031-AE96-455D-A61C-7F74C3BFA88A}</author>
    <author>tc={CF92F406-789E-4B37-88D9-EEF8ED30B306}</author>
    <author>tc={D8902777-F65B-4621-B3C1-84AC258B2AD4}</author>
    <author>tc={087352CB-D464-4A72-81C0-3C9A806EEE75}</author>
    <author>tc={BCB9E78D-7BCF-4CA8-AEE6-6E5E32A21035}</author>
    <author>tc={FD468363-989C-49D0-8AF6-82D3C071DD17}</author>
    <author>tc={052BE74A-6CB2-4800-A957-4FFC36816F28}</author>
    <author>tc={6E9C1CBE-5D16-4837-88FB-6662D2CCACDA}</author>
    <author>tc={973EB57F-2B03-4A9D-A67C-E437E7BAC209}</author>
    <author>tc={07C40EEC-B5B4-430C-BEDF-2EFF6698B832}</author>
    <author>tc={E03CDE4C-4386-46A0-A342-1756C558C3F8}</author>
    <author>tc={13A2CD48-7EC4-4E5D-BD89-DD635B98DE62}</author>
    <author>tc={1BFFF944-2043-4CD4-9E54-FB69904E360C}</author>
    <author>tc={6E505F7B-5BF1-49D6-BC45-101B609A233F}</author>
    <author>tc={FE914C91-FB75-4768-AB04-A9B43612337B}</author>
    <author>tc={381D98D4-86AC-476B-BD7E-5D368B6512B8}</author>
    <author>tc={39701E81-9A0C-4116-AC63-D22856907EB7}</author>
    <author>tc={61B55C55-3CCA-44DD-8E6F-ADBE4E3B0C65}</author>
    <author>tc={73F91A37-1614-468C-9169-9A44171914E6}</author>
    <author>tc={018D43C3-1980-49D0-8707-746443F8D9C0}</author>
    <author>tc={D474EBF4-B565-4E50-BBF6-E96F86115E5B}</author>
    <author>tc={1701CC93-7ED6-43E7-BAAF-C91B17FA71EB}</author>
    <author>tc={CB400826-F7CF-4C82-8DDA-777C139E3191}</author>
    <author>tc={9FA883E8-D35F-48E3-976E-F2D71FF88294}</author>
    <author>tc={5125CA4D-C39F-4F32-A5BE-8501795EBAC0}</author>
    <author>tc={A021D564-4A5B-4CAD-BC9A-89AF1A4DE2DD}</author>
    <author>tc={0FFB1C91-663C-429E-AD7E-CBD423CFB70B}</author>
    <author>tc={C7561754-C842-4BE6-A88D-14AD4A3B0AB9}</author>
    <author>tc={4C723B6E-D576-4C62-9914-570A8C5D7FE4}</author>
    <author>tc={D027FD21-8ED0-4C4C-95B5-A81156F7A41D}</author>
    <author>tc={72A9DE11-B38B-4B0A-A698-E75C7C4F704C}</author>
    <author>tc={0FB6A6CB-6D90-4B20-A112-4641E2256020}</author>
    <author>tc={BA978C07-18B6-4865-9BFB-1F1648EE0B68}</author>
    <author>tc={04F0EF2B-926B-4141-AFBF-913845D1E7C0}</author>
    <author>tc={F7410801-187C-4038-B08D-19B2C2688070}</author>
    <author>tc={E4558DF9-8DD0-4717-999C-882D5962C14C}</author>
    <author>tc={C1908D05-7741-4BAE-A2CE-B44275EFE34E}</author>
    <author>tc={0F3F15BF-D0B6-4F32-893D-B0646CC67EB7}</author>
    <author>tc={E3541DD7-4DEF-4634-84F7-04F30BEDD867}</author>
    <author>tc={F1F1AA41-19B4-4F16-A434-FF871A89374A}</author>
    <author>tc={5489FD19-C7FD-42A8-9EEA-024ADFCFBBB4}</author>
    <author>tc={64784B81-3264-4D82-8F50-CBC680D23CCA}</author>
    <author>tc={5B8E163A-F43C-4959-8BD6-CC14321E2D60}</author>
    <author>tc={8F1FF8FE-3B51-4B1B-97D1-E4CD6463FFB8}</author>
    <author>tc={9520B610-F7B7-4DE8-A90A-E6653EAC1139}</author>
    <author>tc={80F0F5B0-8950-4B70-ABA8-FEEAA11DA4A1}</author>
    <author>tc={2F2ABCA2-9CBD-4E7D-9F47-D387908B73C8}</author>
    <author>tc={71AF4B63-6665-4412-BA86-D61306B2DB6B}</author>
    <author>tc={2FE6676D-6F78-4FDE-9F8F-CE5103224D6E}</author>
    <author>tc={9882153D-AC86-46E6-8799-B5D7E9324F74}</author>
  </authors>
  <commentList>
    <comment ref="J4" authorId="0" shapeId="0" xr:uid="{BEA0437A-77D7-4025-B791-A084EB8B2D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стр.698 и 733 оплата по 2-м инвойсам: 
1) Инвойс (70%)  на  5 066 667.96  
2) Инвойс (70%)  на 1 163 452.48 </t>
      </text>
    </comment>
    <comment ref="J10" authorId="1" shapeId="0" xr:uid="{B3A79DCA-5846-4E8E-AA16-88FAED2BB54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139,744,671.37</t>
      </text>
    </comment>
    <comment ref="R12" authorId="2" shapeId="0" xr:uid="{40E896F0-55B7-4607-B28F-83370689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АТР - 3 899 365,36 руб.
Сириус- 1 286 388,57 руб.</t>
      </text>
    </comment>
    <comment ref="J26" authorId="3" shapeId="0" xr:uid="{DD018DC6-F8D6-438F-B86C-225FC8759EF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21,771,336.24</t>
      </text>
    </comment>
    <comment ref="J29" authorId="4" shapeId="0" xr:uid="{8A69F440-B502-40E6-9B33-F7263EF907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184,690,264.2</t>
      </text>
    </comment>
    <comment ref="R37" authorId="5" shapeId="0" xr:uid="{3019A570-1CBE-4B93-ACD8-1B7C1F2FCF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Трансгрупп - 10 615 831 руб.
Хада - 153 210,40 руб.
Хада - 278 971,06 руб. 
Рост - 460 257,14 руб. </t>
      </text>
    </comment>
    <comment ref="J38" authorId="6" shapeId="0" xr:uid="{F4A1DD6C-BC61-4AB2-8D95-6147462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11,334,741.79</t>
      </text>
    </comment>
    <comment ref="J40" authorId="7" shapeId="0" xr:uid="{0931FB62-0CE6-4858-B7F0-ACB78F99B5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стр.698 и 734 оплата по 2-м инвойсам: 
1) Инвойс (70%)  на  5 066 667.96  
2) Инвойс (70%)  на 1 163 452.48 </t>
      </text>
    </comment>
    <comment ref="J42" authorId="8" shapeId="0" xr:uid="{A7C92F57-ABB7-4861-BC98-30F304AE70FC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в рамках 1-го инвойса: стр. 735 и 739</t>
      </text>
    </comment>
    <comment ref="J45" authorId="9" shapeId="0" xr:uid="{37FBBC7F-DF15-4AD4-9A73-5FCB4373C2B7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в рамках 1-го инвойса: стр. 735 и 739</t>
      </text>
    </comment>
    <comment ref="R47" authorId="10" shapeId="0" xr:uid="{D991733E-BF25-4052-A0C1-BCEB26A816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Сириус - 492 266.14 руб
Сириус - 548 911,35 руб. </t>
      </text>
    </comment>
    <comment ref="J63" authorId="11" shapeId="0" xr:uid="{EEA96B36-3570-48F9-B412-547FCBD06C4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117,756,158.75</t>
      </text>
    </comment>
    <comment ref="J69" authorId="12" shapeId="0" xr:uid="{F1F1BE08-9CC4-4865-8709-6688B97DB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Стр. 763, 779 один инвойс  на общую сумму 155 504,42 руб. </t>
      </text>
    </comment>
    <comment ref="J85" authorId="13" shapeId="0" xr:uid="{638D1C62-B7DD-49A6-AAA8-B4B2E5778C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Стр. 763, 779 один инвойс  на общую сумму 155 504,42 руб. </t>
      </text>
    </comment>
    <comment ref="J106" authorId="14" shapeId="0" xr:uid="{41E4518E-FC80-4E2F-A384-B7C0830961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стр. 801-802 одним инвойсом на 164 998.16 руб. </t>
      </text>
    </comment>
    <comment ref="P107" authorId="15" shapeId="0" xr:uid="{50F138BA-1A42-44B8-B5A2-FB1E98DB9D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Поступление рублей:
ATP IMPORT CO LTD - 422 815,36   TG Logistics Со. Ltd -  4 835 532,89 </t>
      </text>
    </comment>
    <comment ref="R107" authorId="16" shapeId="0" xr:uid="{A17FE031-AE96-455D-A61C-7F74C3BFA8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received to RVG - switched to EVC via MRC</t>
      </text>
    </comment>
    <comment ref="J121" authorId="17" shapeId="0" xr:uid="{CF92F406-789E-4B37-88D9-EEF8ED3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стр. 815 и в т.ч. 1616,16 usd из стр. 819 оплата по инвойсу на сумму  403 387.29 долл - TGM</t>
      </text>
    </comment>
    <comment ref="R121" authorId="18" shapeId="0" xr:uid="{D8902777-F65B-4621-B3C1-84AC258B2A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Сфера - 9 406 144,43 руб. 
Хада - 20 993 821,81 руб. 
АТП - 71 816,24 руб.  
Подкова - 878 069.15 руб. ( . в т.ч. из поступл. стр. 835) </t>
      </text>
    </comment>
    <comment ref="J124" authorId="19" shapeId="0" xr:uid="{087352CB-D464-4A72-81C0-3C9A806EEE75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Оплачиваем инвойс на 400 000,00 usd., остаток 1616.16 usd будет направлен на оплату по стр. 815,816</t>
      </text>
    </comment>
    <comment ref="J130" authorId="20" shapeId="0" xr:uid="{BCB9E78D-7BCF-4CA8-AEE6-6E5E32A210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pay 153,180,000
</t>
      </text>
    </comment>
    <comment ref="R139" authorId="21" shapeId="0" xr:uid="{FD468363-989C-49D0-8AF6-82D3C071DD17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Поступление руб.: 878 069,15 руб. ООО "Подкова" относится к стр. 816</t>
      </text>
    </comment>
    <comment ref="J145" authorId="22" shapeId="0" xr:uid="{052BE74A-6CB2-4800-A957-4FFC36816F28}">
      <text>
        <t>[Threaded comment]
Your version of Excel allows you to read this threaded comment; however, any edits to it will get removed if the file is opened in a newer version of Excel. Learn more: https://go.microsoft.com/fwlink/?linkid=870924
Comment:
    Из этой суммы как агентское вознаграждение получим обратно от клиента 567,952.70 руб</t>
      </text>
    </comment>
    <comment ref="I155" authorId="23" shapeId="0" xr:uid="{6E9C1CBE-5D16-4837-88FB-6662D2CCACDA}">
      <text>
        <t>[Threaded comment]
Your version of Excel allows you to read this threaded comment; however, any edits to it will get removed if the file is opened in a newer version of Excel. Learn more: https://go.microsoft.com/fwlink/?linkid=870924
Comment:
    !!! оплата по инвойсу на сумму 291 990.81 аед, т.к. 15.01.26 мы оплатили на 4 252,19 аед больше чем нужно было</t>
      </text>
    </comment>
    <comment ref="P180" authorId="24" shapeId="0" xr:uid="{973EB57F-2B03-4A9D-A67C-E437E7BAC2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АТР - 464 826,17 руб.
АТР - 8 504 005,21 руб.
АТР - 604 546,37 руб.
ТГ - Логистика  - 2 519 347,30 руб.
ТГ - Логистика - 3 009 716,10 руб.
ТГ - Логистика - 3 943 753,05 руб.
Сфера - 858 641,98 руб.
Сфера - 747 191,30 руб.
Сфера - 3 879 500 руб. </t>
      </text>
    </comment>
    <comment ref="J222" authorId="25" shapeId="0" xr:uid="{07C40EEC-B5B4-430C-BEDF-2EFF6698B832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227,220,000</t>
      </text>
    </comment>
    <comment ref="R225" authorId="26" shapeId="0" xr:uid="{E03CDE4C-4386-46A0-A342-1756C558C3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 (стр. 902-303):
СФЕРА - 317 953,63 руб.
Сириус - 2 462 668,63 руб.
Рост - 2 033 837,97 руб.
АТР - 8 196 309,26 </t>
      </text>
    </comment>
    <comment ref="R226" authorId="27" shapeId="0" xr:uid="{13A2CD48-7EC4-4E5D-BD89-DD635B98DE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 (стр. 902-303):
СФЕРА - 317 953,63 руб.
Сириус - 2 462 668,63 руб.
Рост - 2 033 837,97 руб.
АТР - 8 196 309,26 </t>
      </text>
    </comment>
    <comment ref="R228" authorId="28" shapeId="0" xr:uid="{1BFFF944-2043-4CD4-9E54-FB69904E360C}">
      <text>
        <t>[Threaded comment]
Your version of Excel allows you to read this threaded comment; however, any edits to it will get removed if the file is opened in a newer version of Excel. Learn more: https://go.microsoft.com/fwlink/?linkid=870924
Comment:
    Часть суммы рублей идут на 917 стр.</t>
      </text>
    </comment>
    <comment ref="J246" authorId="29" shapeId="0" xr:uid="{6E505F7B-5BF1-49D6-BC45-101B609A233F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662 623,46 долл. (в т.ч. зачет аванса на 355 000 аед)</t>
      </text>
    </comment>
    <comment ref="J248" authorId="30" shapeId="0" xr:uid="{FE914C91-FB75-4768-AB04-A9B4361233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стр. 942, 958 по инвойсу на 147 090,70 долл. </t>
      </text>
    </comment>
    <comment ref="J264" authorId="31" shapeId="0" xr:uid="{381D98D4-86AC-476B-BD7E-5D368B6512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стр. 942, 958 по инвойсу на 147 090,70 долл. </t>
      </text>
    </comment>
    <comment ref="R264" authorId="32" shapeId="0" xr:uid="{39701E81-9A0C-4116-AC63-D22856907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АТР - 3 166 983,35 руб.
Сириус- 6 388 389,63 руб. </t>
      </text>
    </comment>
    <comment ref="R267" authorId="33" shapeId="0" xr:uid="{61B55C55-3CCA-44DD-8E6F-ADBE4E3B0C65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 стр. 957-958
ОГ АЗИЯ - 5 000 000 руб.
ASIA MX - 60 405 065.33</t>
      </text>
    </comment>
    <comment ref="J269" authorId="34" shapeId="0" xr:uid="{73F91A37-1614-468C-9169-9A44171914E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64,627,994.79</t>
      </text>
    </comment>
    <comment ref="J283" authorId="35" shapeId="0" xr:uid="{018D43C3-1980-49D0-8707-746443F8D9C0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65,778,460.74</t>
      </text>
    </comment>
    <comment ref="J285" authorId="36" shapeId="0" xr:uid="{D474EBF4-B565-4E50-BBF6-E96F86115E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стр. 979, 1011 по инвойсу на сумму 156 567,98 долл. </t>
      </text>
    </comment>
    <comment ref="R285" authorId="37" shapeId="0" xr:uid="{1701CC93-7ED6-43E7-BAAF-C91B17FA71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АТР- 2 334 679,59 руб. 
ТГ Логистика - 3 188 904,61 руб.
Сириус - 5 440 703,08 руб. </t>
      </text>
    </comment>
    <comment ref="J289" authorId="38" shapeId="0" xr:uid="{CB400826-F7CF-4C82-8DDA-777C139E319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62,635,595.89</t>
      </text>
    </comment>
    <comment ref="J293" authorId="39" shapeId="0" xr:uid="{9FA883E8-D35F-48E3-976E-F2D71FF88294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151,256,152.01</t>
      </text>
    </comment>
    <comment ref="J317" authorId="40" shapeId="0" xr:uid="{5125CA4D-C39F-4F32-A5BE-8501795EBA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стр. 979, 1011 по инвойсу на сумму 156 567,98 долл. </t>
      </text>
    </comment>
    <comment ref="B324" authorId="41" shapeId="0" xr:uid="{A021D564-4A5B-4CAD-BC9A-89AF1A4DE2DD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с EVERCORE TRADING DMCC</t>
      </text>
    </comment>
    <comment ref="G324" authorId="42" shapeId="0" xr:uid="{0FFB1C91-663C-429E-AD7E-CBD423CFB70B}">
      <text>
        <t>[Threaded comment]
Your version of Excel allows you to read this threaded comment; however, any edits to it will get removed if the file is opened in a newer version of Excel. Learn more: https://go.microsoft.com/fwlink/?linkid=870924
Comment:
    EVERCORE TRADING DMCC</t>
      </text>
    </comment>
    <comment ref="R333" authorId="43" shapeId="0" xr:uid="{C7561754-C842-4BE6-A88D-14AD4A3B0A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Хада - 2 170 293.62 руб. 
АТР - 2 361 781,73 руб.
АТР - 2 538 337,18 руб.
</t>
      </text>
    </comment>
    <comment ref="J351" authorId="44" shapeId="0" xr:uid="{4C723B6E-D576-4C62-9914-570A8C5D7FE4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21423.80 долл., остаток 394,52 долл. добавляется к платежу на 92 706,58 долл. (стр. 1027)</t>
      </text>
    </comment>
    <comment ref="R361" authorId="45" shapeId="0" xr:uid="{D027FD21-8ED0-4C4C-95B5-A81156F7A4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8,000,000 поступят от ASIA MX;
14,231,155.78 от Fobos
</t>
      </text>
    </comment>
    <comment ref="J363" authorId="46" shapeId="0" xr:uid="{72A9DE11-B38B-4B0A-A698-E75C7C4F704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122,029,487.18</t>
      </text>
    </comment>
    <comment ref="Q400" authorId="47" shapeId="0" xr:uid="{0FB6A6CB-6D90-4B20-A112-4641E22560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Хада - 1 584 557,15 руб.
Хада - 279 951.81 руб.
Хада - 442 303,86 руб.
Хада - 475 149,22 руб.
АТР - 4 240 129,26 руб.
Сириус - 2 799 756,88 руб.
Сириус - 2 749 346,43 руб.
Трансгрупп - 12 555 248,23 руб. </t>
      </text>
    </comment>
    <comment ref="R400" authorId="48" shapeId="0" xr:uid="{BA978C07-18B6-4865-9BFB-1F1648EE0B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Хада - 1 584 557,15 руб.
Хада - 279 951,81 руб.
Хада - 442 303,86 руб.
Хада - 475 149,22 руб.
АТР - 4 240 129,26 руб.
Сириус - 2 799 756,88 руб.
Сириус - 2 749 346,43 руб.
Трансгрупп - 12 555 248,23 руб. </t>
      </text>
    </comment>
    <comment ref="I401" authorId="49" shapeId="0" xr:uid="{04F0EF2B-926B-4141-AFBF-913845D1E7C0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307 755,14 долл.: стр. 1095  (270 132,20 долл.)  + стр. 1125 (25 965,46 долл.) + стр. 1129 (11 657,48 долл.)</t>
      </text>
    </comment>
    <comment ref="I431" authorId="50" shapeId="0" xr:uid="{F7410801-187C-4038-B08D-19B2C2688070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307 755,14 долл.: стр. 1095  (270 132,20 долл.)  + стр. 1125 (25 965,46 долл.) + стр. 1129 (11 657,48 долл.)</t>
      </text>
    </comment>
    <comment ref="I435" authorId="51" shapeId="0" xr:uid="{E4558DF9-8DD0-4717-999C-882D5962C14C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307 755,14 долл.: стр. 1095  (270 132,20 долл.)  + стр. 1125 (25 965,46 долл.) + стр. 1129 (11 657,48 долл.)</t>
      </text>
    </comment>
    <comment ref="J439" authorId="52" shapeId="0" xr:uid="{C1908D05-7741-4BAE-A2CE-B44275EFE34E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400 541.93 руб. стр. 1133, 1139</t>
      </text>
    </comment>
    <comment ref="J448" authorId="53" shapeId="0" xr:uid="{0F3F15BF-D0B6-4F32-893D-B0646CC67EB7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400 541.93 руб. стр. 1133, 1139</t>
      </text>
    </comment>
    <comment ref="J473" authorId="54" shapeId="0" xr:uid="{E3541DD7-4DEF-4634-84F7-04F30BEDD867}">
      <text>
        <t>[Threaded comment]
Your version of Excel allows you to read this threaded comment; however, any edits to it will get removed if the file is opened in a newer version of Excel. Learn more: https://go.microsoft.com/fwlink/?linkid=870924
Comment:
    we pay 110,710,000</t>
      </text>
    </comment>
    <comment ref="R493" authorId="55" shapeId="0" xr:uid="{F1F1AA41-19B4-4F16-A434-FF871A8937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Рост - 178 680,71 руб.
Рост - 397 860,17 руб.
АТР - 11 092 885,71 руб.
АТР - 4 516 440,18 руб.
Сириус - 2 196 514,98 руб.
</t>
      </text>
    </comment>
    <comment ref="R545" authorId="56" shapeId="0" xr:uid="{5489FD19-C7FD-42A8-9EEA-024ADFCFBBB4}">
      <text>
        <t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АТР - 2 718 559,97 руб.
Сириус - 361 804,35 руб.
Сириус - 165 994,15 руб.
Сириус - 1 475 038,27 руб.
Сириус - 1 740 389,99 руб.</t>
      </text>
    </comment>
    <comment ref="R559" authorId="57" shapeId="0" xr:uid="{64784B81-3264-4D82-8F50-CBC680D23C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Ермак - 21 000 000 руб.
ЭТБ2 - 16 000 000 руб.
ЭТБ - 5 625 000 руб. </t>
      </text>
    </comment>
    <comment ref="J571" authorId="58" shapeId="0" xr:uid="{5B8E163A-F43C-4959-8BD6-CC14321E2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2-м инвойсам (стр.1265, 1268):
Fortunceres на сумму 690 492,62 долл
Minerva на сумму 293 061,36 долл. </t>
      </text>
    </comment>
    <comment ref="J574" authorId="59" shapeId="0" xr:uid="{8F1FF8FE-3B51-4B1B-97D1-E4CD6463FF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Оплата по 2-м инвойсам (стр.1265, 1268):
Fortunceres на сумму 690 492,62 долл
Minerva на сумму 293 061,36 долл. </t>
      </text>
    </comment>
    <comment ref="R586" authorId="60" shapeId="0" xr:uid="{9520B610-F7B7-4DE8-A90A-E6653EAC1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ЭТБ2 - 8 945 000 руб. 
Ермак - 29 570 000 руб. </t>
      </text>
    </comment>
    <comment ref="R613" authorId="61" shapeId="0" xr:uid="{80F0F5B0-8950-4B70-ABA8-FEEAA11DA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ЭТБ2 - 23 010 000 руб. </t>
      </text>
    </comment>
    <comment ref="R622" authorId="62" shapeId="0" xr:uid="{2F2ABCA2-9CBD-4E7D-9F47-D387908B73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Сириус - 676 823,88 руб. 
Рост - 61 603,39 руб.
Рост - 153 185,21 руб.
Рост - 1 136 846,53 руб. 
Рост - 349 679,39 руб.
Рост - 356 558,73 руб. 
Рост - 262 273,53 руб.
Рост - 736 954,74 руб.
Рост - 972 257,12 руб.
Рост - 4 789 480,09 руб.
Рост- 1 118 501,54 руб. 
</t>
      </text>
    </comment>
    <comment ref="R639" authorId="63" shapeId="0" xr:uid="{71AF4B63-6665-4412-BA86-D61306B2DB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Поступление рублей:
ЕРМАК - 9 850 000 руб.
ЭТБ  - 20 940 000 руб. 
ЭТБ2 - 7 864 645,95 руб. </t>
      </text>
    </comment>
    <comment ref="J654" authorId="64" shapeId="0" xr:uid="{2FE6676D-6F78-4FDE-9F8F-CE5103224D6E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Оплата по инвойсу на сумму 109 086 долл. (платим всю сумму инвойса)</t>
      </text>
    </comment>
    <comment ref="R654" authorId="65" shapeId="0" xr:uid="{9882153D-AC86-46E6-8799-B5D7E9324F74}">
      <text>
        <t>[Threaded comment]
Your version of Excel allows you to read this threaded comment; however, any edits to it will get removed if the file is opened in a newer version of Excel. Learn more: https://go.microsoft.com/fwlink/?linkid=870924
Comment:
    Оплачивается инвойс на сумму 109 086 долл., рубль на 86 долл.  в сумме 6 637,61 придет в след. поступлениях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tc={B213C990-D4F6-4455-9111-12FDCC2A0431}</author>
    <author>Khanim Rustamova</author>
    <author>Natalia Borisova</author>
  </authors>
  <commentList>
    <comment ref="C52" authorId="0" shapeId="0" xr:uid="{B213C990-D4F6-4455-9111-12FDCC2A04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инвойсы в рублях
</t>
      </text>
    </comment>
    <comment ref="D52" authorId="1" shapeId="0" xr:uid="{F3C3B47E-7C56-4140-AA8B-1AAF1D65EE3E}">
      <text>
        <r>
          <rPr>
            <sz val="11"/>
            <color theme="1"/>
            <rFont val="Calibri"/>
            <family val="2"/>
            <scheme val="minor"/>
          </rPr>
          <t>Khanim Rustamova:
НУЖНО СДЕЛАТЬ ПОГАШЕНИЕ В ПЕРВУЮ ОЧЕРЕДЬ</t>
        </r>
      </text>
    </comment>
    <comment ref="D53" authorId="1" shapeId="0" xr:uid="{C3701D1A-D366-4DFE-8816-646B977236B0}">
      <text>
        <r>
          <rPr>
            <sz val="11"/>
            <color theme="1"/>
            <rFont val="Calibri"/>
            <family val="2"/>
            <scheme val="minor"/>
          </rPr>
          <t>Khanim Rustamova:
НУЖНО СДЕЛАТЬ ПОГАШЕНИЕ В ПЕРВУЮ ОЧЕРЕДЬ</t>
        </r>
      </text>
    </comment>
    <comment ref="E171" authorId="2" shapeId="0" xr:uid="{B80D2F3C-625B-4286-8531-52923586AC8B}">
      <text>
        <r>
          <rPr>
            <b/>
            <sz val="9"/>
            <color indexed="81"/>
            <rFont val="Tahoma"/>
            <family val="2"/>
            <charset val="204"/>
          </rPr>
          <t>Natalia Borisova:</t>
        </r>
        <r>
          <rPr>
            <sz val="9"/>
            <color indexed="81"/>
            <rFont val="Tahoma"/>
            <family val="2"/>
            <charset val="204"/>
          </rPr>
          <t xml:space="preserve">
114400 переплата по Raphael из-зи корректировки цены
</t>
        </r>
      </text>
    </comment>
    <comment ref="E172" authorId="2" shapeId="0" xr:uid="{55F038F3-5F56-4CE4-9673-BF692F93C9C6}">
      <text>
        <r>
          <rPr>
            <b/>
            <sz val="9"/>
            <color indexed="81"/>
            <rFont val="Tahoma"/>
            <family val="2"/>
            <charset val="204"/>
          </rPr>
          <t>Natalia Borisova:</t>
        </r>
        <r>
          <rPr>
            <sz val="9"/>
            <color indexed="81"/>
            <rFont val="Tahoma"/>
            <family val="2"/>
            <charset val="204"/>
          </rPr>
          <t xml:space="preserve">
114400 переплата по Raphael из-зи корректировки цены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3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5"/>
        </ext>
      </extLst>
    </bk>
  </futureMetadata>
  <cellMetadata count="1">
    <bk>
      <rc t="1" v="0"/>
    </bk>
  </cellMetadata>
  <valueMetadata count="2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</valueMetadata>
</metadata>
</file>

<file path=xl/sharedStrings.xml><?xml version="1.0" encoding="utf-8"?>
<sst xmlns="http://schemas.openxmlformats.org/spreadsheetml/2006/main" count="18877" uniqueCount="1496">
  <si>
    <t>OWL</t>
  </si>
  <si>
    <t>BALANCE</t>
  </si>
  <si>
    <t>FLOWS</t>
  </si>
  <si>
    <t>&lt;---&gt;</t>
  </si>
  <si>
    <t>BANK</t>
  </si>
  <si>
    <t>USD</t>
  </si>
  <si>
    <t>EUR</t>
  </si>
  <si>
    <t>CNY</t>
  </si>
  <si>
    <t>AED</t>
  </si>
  <si>
    <t>RUB</t>
  </si>
  <si>
    <t>OMR</t>
  </si>
  <si>
    <t>TOTAL USD</t>
  </si>
  <si>
    <t>CHECK</t>
  </si>
  <si>
    <t>EMLAK</t>
  </si>
  <si>
    <t>CBD</t>
  </si>
  <si>
    <t>MISR</t>
  </si>
  <si>
    <t>ADIB</t>
  </si>
  <si>
    <t>UBL</t>
  </si>
  <si>
    <t>HDFC</t>
  </si>
  <si>
    <t>ALSAL</t>
  </si>
  <si>
    <t>UAB</t>
  </si>
  <si>
    <t>ICBC CM</t>
  </si>
  <si>
    <t>CHZH</t>
  </si>
  <si>
    <t>AGORA</t>
  </si>
  <si>
    <t>BK</t>
  </si>
  <si>
    <t>CEB</t>
  </si>
  <si>
    <t>TOTAL</t>
  </si>
  <si>
    <t>VST</t>
  </si>
  <si>
    <t>SOHAR</t>
  </si>
  <si>
    <t>DOFAR</t>
  </si>
  <si>
    <t>FAB</t>
  </si>
  <si>
    <t>AWB</t>
  </si>
  <si>
    <t>OWL+VST+AWB</t>
  </si>
  <si>
    <t>CCY</t>
  </si>
  <si>
    <t>NLK</t>
  </si>
  <si>
    <t>HKD</t>
  </si>
  <si>
    <t>DIB</t>
  </si>
  <si>
    <t>PINGAN</t>
  </si>
  <si>
    <t xml:space="preserve"> </t>
  </si>
  <si>
    <t>EVC</t>
  </si>
  <si>
    <t>ADCB</t>
  </si>
  <si>
    <t>NLK+EVC</t>
  </si>
  <si>
    <t>EVC HK</t>
  </si>
  <si>
    <t>MDS</t>
  </si>
  <si>
    <t>NHZ</t>
  </si>
  <si>
    <t>ALP</t>
  </si>
  <si>
    <t>JPY</t>
  </si>
  <si>
    <t>IDR</t>
  </si>
  <si>
    <t>THB</t>
  </si>
  <si>
    <t>MNDR</t>
  </si>
  <si>
    <t>BCA</t>
  </si>
  <si>
    <t>OCBC</t>
  </si>
  <si>
    <t>RVG</t>
  </si>
  <si>
    <t>USDT</t>
  </si>
  <si>
    <t>MXLW</t>
  </si>
  <si>
    <t>WBS</t>
  </si>
  <si>
    <t>MASHRQ</t>
  </si>
  <si>
    <t>BANKS BALANCES</t>
  </si>
  <si>
    <t>BANKS + FLOWS</t>
  </si>
  <si>
    <t>BANKS + FLOWS ADJ W/O RUB</t>
  </si>
  <si>
    <t>BANKS + FLOWS ADJ WITH TODAY DEALS</t>
  </si>
  <si>
    <t>LE</t>
  </si>
  <si>
    <t>Reserve</t>
  </si>
  <si>
    <t>OWLL</t>
  </si>
  <si>
    <t>Freight</t>
  </si>
  <si>
    <t>Deals</t>
  </si>
  <si>
    <t>TODAY MORNING AVAILABLE FOR BUSINESS</t>
  </si>
  <si>
    <t>CURRENCY</t>
  </si>
  <si>
    <t xml:space="preserve">AVAILABLE </t>
  </si>
  <si>
    <t xml:space="preserve">COMMENT </t>
  </si>
  <si>
    <t>Cash Flow</t>
  </si>
  <si>
    <t>NLK / EVC</t>
  </si>
  <si>
    <t>TOTAL USD TOD</t>
  </si>
  <si>
    <t>AGENTS</t>
  </si>
  <si>
    <t>DATE</t>
  </si>
  <si>
    <t>AMOUNT</t>
  </si>
  <si>
    <t>USD AMOUNT</t>
  </si>
  <si>
    <t>Движение</t>
  </si>
  <si>
    <t xml:space="preserve">   </t>
  </si>
  <si>
    <t>CHF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</si>
  <si>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</si>
  <si>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</t>
  </si>
  <si>
    <t>not active?</t>
  </si>
  <si>
    <t>NO</t>
  </si>
  <si>
    <t xml:space="preserve">                                                                  </t>
  </si>
  <si>
    <t>CZB</t>
  </si>
  <si>
    <t>CHINA</t>
  </si>
  <si>
    <t>China</t>
  </si>
  <si>
    <t xml:space="preserve">     </t>
  </si>
  <si>
    <t xml:space="preserve">    </t>
  </si>
  <si>
    <t>ABC</t>
  </si>
  <si>
    <t>INR</t>
  </si>
  <si>
    <t>YES</t>
  </si>
  <si>
    <t>OMAN</t>
  </si>
  <si>
    <t>OWL + ATR + VST + AWB TOTAL</t>
  </si>
  <si>
    <t xml:space="preserve">
1010037750</t>
  </si>
  <si>
    <t>BLOCKED</t>
  </si>
  <si>
    <t xml:space="preserve">  </t>
  </si>
  <si>
    <t>NLK + EVC TOTAL</t>
  </si>
  <si>
    <t>LXF</t>
  </si>
  <si>
    <t>CII SPA</t>
  </si>
  <si>
    <t>BCCS</t>
  </si>
  <si>
    <t>AGENT</t>
  </si>
  <si>
    <t>WINPOWER</t>
  </si>
  <si>
    <t>WAYNE</t>
  </si>
  <si>
    <t>CFS</t>
  </si>
  <si>
    <t>NEURAEVO</t>
  </si>
  <si>
    <t>SHOW INVOICE AND SWITCH</t>
  </si>
  <si>
    <t>REC(+)</t>
  </si>
  <si>
    <t>PAY(-)</t>
  </si>
  <si>
    <t>DELTA</t>
  </si>
  <si>
    <t>DELTA USD</t>
  </si>
  <si>
    <t>---</t>
  </si>
  <si>
    <t>BUSINESS LINE</t>
  </si>
  <si>
    <t>DUE DATE</t>
  </si>
  <si>
    <t>STATUS</t>
  </si>
  <si>
    <t>EST DATE</t>
  </si>
  <si>
    <t>DATE CHECK</t>
  </si>
  <si>
    <t>INVOICE/CONTRACT ID</t>
  </si>
  <si>
    <t xml:space="preserve">CONTRACT </t>
  </si>
  <si>
    <t>COMMENT</t>
  </si>
  <si>
    <t>Steel</t>
  </si>
  <si>
    <t>Planned</t>
  </si>
  <si>
    <t>SHYEH SHENG FUAT STEEL</t>
  </si>
  <si>
    <t>Contract</t>
  </si>
  <si>
    <t>SHYEH SHENG FUAT</t>
  </si>
  <si>
    <t>HAN TAI STEEL &amp; IRON WORKS CO., LTD</t>
  </si>
  <si>
    <t>SB10403789CHF-OS</t>
  </si>
  <si>
    <t>Finance</t>
  </si>
  <si>
    <t>☑️</t>
  </si>
  <si>
    <t>HUA YUN 1 (RTA BULK)</t>
  </si>
  <si>
    <t>Vanadium</t>
  </si>
  <si>
    <t>TMZ Global L.L.C-FZ</t>
  </si>
  <si>
    <t>Chien Shun Steel Со Ltd</t>
  </si>
  <si>
    <t xml:space="preserve"> OGT-SSF-25-3012</t>
  </si>
  <si>
    <t>Tung Ho Steel Vietnam Coorporation</t>
  </si>
  <si>
    <t xml:space="preserve"> OGT-THSV-26-1401</t>
  </si>
  <si>
    <t>MetalX International Ltd.</t>
  </si>
  <si>
    <t xml:space="preserve"> OGT-MET-26-1301</t>
  </si>
  <si>
    <t xml:space="preserve"> OGT-THS-26-1301</t>
  </si>
  <si>
    <t>Gloria Material Technology Corp</t>
  </si>
  <si>
    <t xml:space="preserve"> OGT-GMTC-26-1401</t>
  </si>
  <si>
    <t xml:space="preserve"> OGT-SSF-26-1901</t>
  </si>
  <si>
    <t>Chemicals</t>
  </si>
  <si>
    <t>MTALX- SIBUR Trade10</t>
  </si>
  <si>
    <t>OWLL Reserve</t>
  </si>
  <si>
    <t>WBBS</t>
  </si>
  <si>
    <t>ATR</t>
  </si>
  <si>
    <t>Coal</t>
  </si>
  <si>
    <t>фрахт по судну февраля TBN2 оплата в AED 19.02-20.02</t>
  </si>
  <si>
    <t>Сумма порядка 55 тыс тн * 10.99 дол * 3.6725 = 2,219,843 AED</t>
  </si>
  <si>
    <t>поступление от Кардемира TBN2</t>
  </si>
  <si>
    <t>фрахт по судну апреля TBN3 оплата в AED 07.04-12.04</t>
  </si>
  <si>
    <t>поступление от Кардемира TBN3</t>
  </si>
  <si>
    <t>комиссия Джана за отгрузку  оплата 08-18.05.2026</t>
  </si>
  <si>
    <t>Погашение займа Асафи</t>
  </si>
  <si>
    <t>Выплата % по займу Асафи</t>
  </si>
  <si>
    <t>Vitol</t>
  </si>
  <si>
    <t>Horizon Capital</t>
  </si>
  <si>
    <t>Caperock</t>
  </si>
  <si>
    <t>WBBS D</t>
  </si>
  <si>
    <t>Metcom</t>
  </si>
  <si>
    <t xml:space="preserve">reserve </t>
  </si>
  <si>
    <t>Horizon Capital %</t>
  </si>
  <si>
    <t>2Seam</t>
  </si>
  <si>
    <t>Wayne</t>
  </si>
  <si>
    <t>Обязательство по софинансированию, платеж на 2 Seam</t>
  </si>
  <si>
    <t>AHLI reserve</t>
  </si>
  <si>
    <t>to ahli</t>
  </si>
  <si>
    <t>from vista</t>
  </si>
  <si>
    <t>Loans</t>
  </si>
  <si>
    <t>Creditor</t>
  </si>
  <si>
    <t>Borrower</t>
  </si>
  <si>
    <t>Тип погашения</t>
  </si>
  <si>
    <t>Ожидаемая дата платежа</t>
  </si>
  <si>
    <t>Сумма в USD</t>
  </si>
  <si>
    <t>Валюта платежа</t>
  </si>
  <si>
    <t>Курс валют</t>
  </si>
  <si>
    <t>Сумма в валюте платежа</t>
  </si>
  <si>
    <t>FALIN</t>
  </si>
  <si>
    <t>Проценты</t>
  </si>
  <si>
    <t>05/01/2026</t>
  </si>
  <si>
    <t>погашен</t>
  </si>
  <si>
    <t>VALUR</t>
  </si>
  <si>
    <t>MIDAS FZE</t>
  </si>
  <si>
    <t>14/01/2026</t>
  </si>
  <si>
    <t>ARAMAX</t>
  </si>
  <si>
    <t>19/01/2026</t>
  </si>
  <si>
    <t>RAN</t>
  </si>
  <si>
    <t>RKA</t>
  </si>
  <si>
    <t>GSA</t>
  </si>
  <si>
    <t>Основной долг</t>
  </si>
  <si>
    <t>16/01/2026</t>
  </si>
  <si>
    <t>Horizon</t>
  </si>
  <si>
    <t>Neolink</t>
  </si>
  <si>
    <t>31/01/2026</t>
  </si>
  <si>
    <t>NOVIKOV</t>
  </si>
  <si>
    <t>01/02/2026</t>
  </si>
  <si>
    <t>27/02/2026</t>
  </si>
  <si>
    <t>17/03/2026</t>
  </si>
  <si>
    <t>31/03/2026</t>
  </si>
  <si>
    <t>GENERALOV</t>
  </si>
  <si>
    <t>19/04/2026</t>
  </si>
  <si>
    <t>29/04/2026</t>
  </si>
  <si>
    <t>30/04/2026</t>
  </si>
  <si>
    <t>BLIZNEVSKIY</t>
  </si>
  <si>
    <t>02/06/2026</t>
  </si>
  <si>
    <t>27/06/2026</t>
  </si>
  <si>
    <t>30/06/2026</t>
  </si>
  <si>
    <t>16/09/2026</t>
  </si>
  <si>
    <t>30/09/2026</t>
  </si>
  <si>
    <t>26/11/2026</t>
  </si>
  <si>
    <t>31/12/2026</t>
  </si>
  <si>
    <t xml:space="preserve">TOTAL </t>
  </si>
  <si>
    <t>TOTAL EXP</t>
  </si>
  <si>
    <t>TOTAL IMP</t>
  </si>
  <si>
    <t>AMOUNT USD</t>
  </si>
  <si>
    <t>AVAILABLE</t>
  </si>
  <si>
    <t>REPORT</t>
  </si>
  <si>
    <t xml:space="preserve">CFOD </t>
  </si>
  <si>
    <t> </t>
  </si>
  <si>
    <t>PLANNED</t>
  </si>
  <si>
    <t>TOD</t>
  </si>
  <si>
    <t>TOM+</t>
  </si>
  <si>
    <t xml:space="preserve">VERY URGENT </t>
  </si>
  <si>
    <t>AED/USD</t>
  </si>
  <si>
    <t xml:space="preserve">31M AED </t>
  </si>
  <si>
    <t>24M AED /1.8 M USD</t>
  </si>
  <si>
    <t>17.5M AED /0.4M USD</t>
  </si>
  <si>
    <t>TOD 13M AED /0.1M USD  (TOM +2.4M AED)</t>
  </si>
  <si>
    <t>$0.8M   EMLAK</t>
  </si>
  <si>
    <t>$0.4M   EMLAK</t>
  </si>
  <si>
    <t>0.5 M in AED</t>
  </si>
  <si>
    <t>-</t>
  </si>
  <si>
    <t>$0.85М    EMLAK</t>
  </si>
  <si>
    <t>$0.9М    EMLAK</t>
  </si>
  <si>
    <t>3 mio +t3</t>
  </si>
  <si>
    <t>2 mio +t3</t>
  </si>
  <si>
    <t>$0.8М    EMLAK</t>
  </si>
  <si>
    <t>1 mio +t3</t>
  </si>
  <si>
    <t>3.5M USD</t>
  </si>
  <si>
    <t xml:space="preserve">3.7M  aed </t>
  </si>
  <si>
    <t>$7 650 000  EMLAK</t>
  </si>
  <si>
    <t xml:space="preserve">22M  AED  EMLAK &amp; 2.9M AED GFS </t>
  </si>
  <si>
    <t xml:space="preserve">22M  AED  </t>
  </si>
  <si>
    <t xml:space="preserve">$2.5 mln tom  </t>
  </si>
  <si>
    <t>~$ 8 M  T+3</t>
  </si>
  <si>
    <t>~ 17 M AED   T+2</t>
  </si>
  <si>
    <t>+0.5M$ EMLAK</t>
  </si>
  <si>
    <t>for alternativ EXPORT</t>
  </si>
  <si>
    <t xml:space="preserve">for alternative EXPORT </t>
  </si>
  <si>
    <t xml:space="preserve"> for alternativ EXPORT</t>
  </si>
  <si>
    <t>for alternative  EXPORT</t>
  </si>
  <si>
    <t xml:space="preserve"> for alternativ EXPORT  </t>
  </si>
  <si>
    <t>tom +10 млн аед</t>
  </si>
  <si>
    <t>MISR in AED</t>
  </si>
  <si>
    <t xml:space="preserve">operational LQDT </t>
  </si>
  <si>
    <t>+0.73M for operational LQDT</t>
  </si>
  <si>
    <t>in AED</t>
  </si>
  <si>
    <t>+1.5M for operational LQDT</t>
  </si>
  <si>
    <t xml:space="preserve">1.8for operational LQDT   12M  CHINA </t>
  </si>
  <si>
    <t>CZCB 71 M CNY</t>
  </si>
  <si>
    <t>+2M for operational LQDT</t>
  </si>
  <si>
    <t>reserv NC (japan)</t>
  </si>
  <si>
    <t xml:space="preserve">0.9M TOD/ 2.6 TOM  for operational LQDT   41 M  CNY (T+2)/ $6.9M (T +3)  from CHINA </t>
  </si>
  <si>
    <t>CZCB 67.5 M CNY</t>
  </si>
  <si>
    <t xml:space="preserve"> +2.3$ for operational LQDT   41 M  CNY (T+1 )/ $6.9M (T +2)  </t>
  </si>
  <si>
    <t xml:space="preserve">$6.9M (T +2)  </t>
  </si>
  <si>
    <t>$5M  (T+4)</t>
  </si>
  <si>
    <t>CZCB 48.6 M CNY</t>
  </si>
  <si>
    <t>$5M  (T+2)</t>
  </si>
  <si>
    <t>CZCB 42.13 M CNY</t>
  </si>
  <si>
    <t>CZCB 30 M CNY</t>
  </si>
  <si>
    <t>CZCB 20.71 M CNY</t>
  </si>
  <si>
    <t>$2M (T+2)</t>
  </si>
  <si>
    <t>only operational LQDT</t>
  </si>
  <si>
    <t>22 ml  AED T+2/3</t>
  </si>
  <si>
    <t>T+1</t>
  </si>
  <si>
    <t>T+2</t>
  </si>
  <si>
    <t>0.2M USD EMLAK</t>
  </si>
  <si>
    <t>T+4</t>
  </si>
  <si>
    <t>0.14M USD EMLAK</t>
  </si>
  <si>
    <t>147 M TRY EMLAK</t>
  </si>
  <si>
    <t xml:space="preserve">0.9 М </t>
  </si>
  <si>
    <t xml:space="preserve">0.9 М  (UNITED CARS   )   0.1 EMLAK </t>
  </si>
  <si>
    <t xml:space="preserve">0.85M( UNITED CARS) </t>
  </si>
  <si>
    <t xml:space="preserve">6.3M EMLAK  </t>
  </si>
  <si>
    <t>5.2M  &amp; 3.2M</t>
  </si>
  <si>
    <t xml:space="preserve">CZCH    10.1M  CNY </t>
  </si>
  <si>
    <t xml:space="preserve">CZCH    8.7M  CNY </t>
  </si>
  <si>
    <t xml:space="preserve">1.8 M  $ reserve </t>
  </si>
  <si>
    <t xml:space="preserve">0.6M $ reserve </t>
  </si>
  <si>
    <t>1M $ reserve</t>
  </si>
  <si>
    <t xml:space="preserve">1M $ reserve  1,9M $  Transfer </t>
  </si>
  <si>
    <t xml:space="preserve">1M $ reserve  </t>
  </si>
  <si>
    <t xml:space="preserve">2.5M $ reserve  </t>
  </si>
  <si>
    <t xml:space="preserve">4.6 M $ reserve  </t>
  </si>
  <si>
    <t xml:space="preserve">4.5 M $ reserve  </t>
  </si>
  <si>
    <t>1.60M</t>
  </si>
  <si>
    <t>9M$ T+1</t>
  </si>
  <si>
    <t>1M $   t+1</t>
  </si>
  <si>
    <t>2.5 m $ avl balance</t>
  </si>
  <si>
    <t>2 m $ avl balance</t>
  </si>
  <si>
    <t>8M  EMLAK</t>
  </si>
  <si>
    <t>0 m $ avl balance</t>
  </si>
  <si>
    <t>LEGAL ENTITY</t>
  </si>
  <si>
    <t>SIDE</t>
  </si>
  <si>
    <t>DEAL DATE</t>
  </si>
  <si>
    <t>PAYMENT TENOR</t>
  </si>
  <si>
    <t>LE WE PAY</t>
  </si>
  <si>
    <t>VENDOR (SUPPLIER)</t>
  </si>
  <si>
    <t>AMOUNT TO BE PAYED MANUAL</t>
  </si>
  <si>
    <t>AMOUNT TO BE PAYED FINAL</t>
  </si>
  <si>
    <t>VENDOR'S BANK</t>
  </si>
  <si>
    <t>OUR BANK</t>
  </si>
  <si>
    <t>VENDOR PAYMENT STATUS</t>
  </si>
  <si>
    <t>LE WE REC</t>
  </si>
  <si>
    <t>CLIENT (BUYER)</t>
  </si>
  <si>
    <t>AMOUNT TO BE RECEIVED MANUAL</t>
  </si>
  <si>
    <t>AMOUNT TO BE RECEIVED FINAL</t>
  </si>
  <si>
    <t>CLIENTS'S BANK</t>
  </si>
  <si>
    <t>CLIENT PAYMENT STATUS</t>
  </si>
  <si>
    <t>DEAL FX PRICING</t>
  </si>
  <si>
    <t>VENDOR MARGIN</t>
  </si>
  <si>
    <t>VENDOR MARGIN MANUAL</t>
  </si>
  <si>
    <t>CLIENT MARGIN</t>
  </si>
  <si>
    <t>CLIENT MARGIN MANUAL</t>
  </si>
  <si>
    <t>VENDOR FX ROUTE</t>
  </si>
  <si>
    <t>VENDOR FX SPREAD</t>
  </si>
  <si>
    <t>VENDOR FX FIX</t>
  </si>
  <si>
    <t>VENDOR DEAL FX</t>
  </si>
  <si>
    <t>VENDOR DATE_FXPAIR</t>
  </si>
  <si>
    <t>VENDOR FX MRKT</t>
  </si>
  <si>
    <t>VENDOR FX LVL</t>
  </si>
  <si>
    <t>VENDOR PNL FX TO USD</t>
  </si>
  <si>
    <t>CLIENT FX ROUTE</t>
  </si>
  <si>
    <t>CLIENT FX SPREAD</t>
  </si>
  <si>
    <t>CLIENT FX FIX</t>
  </si>
  <si>
    <t>CLIENT DEAL FX</t>
  </si>
  <si>
    <t>CLIENT DATE_FXPAIR</t>
  </si>
  <si>
    <t>CLIENT FX MRKT</t>
  </si>
  <si>
    <t>CLIENT FX LVL</t>
  </si>
  <si>
    <t>CLIENT PNL FX TO USD</t>
  </si>
  <si>
    <t>AMOUNT TO BE PAYED CALCULATED</t>
  </si>
  <si>
    <t>AMOUNT TO BE RECEIVED CALCULATED</t>
  </si>
  <si>
    <t>AMOUNT TO BE PAYED USD</t>
  </si>
  <si>
    <t>AMOUNT TO BE RECEIVED USD</t>
  </si>
  <si>
    <t>DEAL CF MtM USD</t>
  </si>
  <si>
    <t>TRADE CONTRACT MARGIN USD MANUAL</t>
  </si>
  <si>
    <t>TRADE CONTRACT MARGIN USD</t>
  </si>
  <si>
    <t>VENDOR BASE CCY AMOUNT</t>
  </si>
  <si>
    <t>VENDOR BASE CCY</t>
  </si>
  <si>
    <t>VENDOR FX PNL TOTAL CCY</t>
  </si>
  <si>
    <t>VENDOR FX PNL CCY</t>
  </si>
  <si>
    <t>VENDOR FX PNL TOTAL USD</t>
  </si>
  <si>
    <t>VENDOR FX CONTRACT MARGIN USD</t>
  </si>
  <si>
    <t>VENDOR FX TRADING PNL USD</t>
  </si>
  <si>
    <t>CLIENT BASE CCY AMOUNT</t>
  </si>
  <si>
    <t>CLIENT BASE CCY</t>
  </si>
  <si>
    <t>CLIENT FX PNL TOTAL CCY</t>
  </si>
  <si>
    <t>CLIENT FX PNL CCY</t>
  </si>
  <si>
    <t>CLIENT FX PNL TOTAL USD</t>
  </si>
  <si>
    <t>CLIENT FX CONTRACT MARGIN USD</t>
  </si>
  <si>
    <t>CLIENT FX TRADING PNL USD</t>
  </si>
  <si>
    <t>TOTAL FX CONTRACT MARGIN USD</t>
  </si>
  <si>
    <t>TOTAL FX TRADING PNL USD</t>
  </si>
  <si>
    <t>🟢SETTLED✅</t>
  </si>
  <si>
    <t>IMPORT</t>
  </si>
  <si>
    <t>Electronics</t>
  </si>
  <si>
    <t>DS INTERNATIONAL</t>
  </si>
  <si>
    <t>KHBOK</t>
  </si>
  <si>
    <t>🟩RECEIVED💰</t>
  </si>
  <si>
    <t>PROM ENERGO</t>
  </si>
  <si>
    <t>TBANK</t>
  </si>
  <si>
    <t>DOLINSK</t>
  </si>
  <si>
    <t>via USD</t>
  </si>
  <si>
    <t>INSPIRA</t>
  </si>
  <si>
    <t>NRT</t>
  </si>
  <si>
    <t>DBS</t>
  </si>
  <si>
    <t xml:space="preserve">AGILE TRADING </t>
  </si>
  <si>
    <t>MTKB</t>
  </si>
  <si>
    <t>LOAN</t>
  </si>
  <si>
    <t>VENDOR</t>
  </si>
  <si>
    <t>EXPORT</t>
  </si>
  <si>
    <t>MXM</t>
  </si>
  <si>
    <t>MASHREQ</t>
  </si>
  <si>
    <t>ZETROS TRADE LTD</t>
  </si>
  <si>
    <t>BOS</t>
  </si>
  <si>
    <t>QUANTICO TRD</t>
  </si>
  <si>
    <t>CLIENT</t>
  </si>
  <si>
    <t>NORD</t>
  </si>
  <si>
    <t>SBER</t>
  </si>
  <si>
    <t>HAYUL</t>
  </si>
  <si>
    <t>TGM</t>
  </si>
  <si>
    <t>ATP IMPORT</t>
  </si>
  <si>
    <t>MEREMA MOTORS</t>
  </si>
  <si>
    <t>DAK TRADING</t>
  </si>
  <si>
    <t>OFFAL</t>
  </si>
  <si>
    <t>BGBA</t>
  </si>
  <si>
    <t>BIKE O &amp; COMPANY LTD</t>
  </si>
  <si>
    <t>SUMITOMO</t>
  </si>
  <si>
    <t>GLOBALWING</t>
  </si>
  <si>
    <t>SANTA</t>
  </si>
  <si>
    <t>OFFSPRING</t>
  </si>
  <si>
    <t>MDD</t>
  </si>
  <si>
    <t>POLTER</t>
  </si>
  <si>
    <t>OLDI COMPUTERS</t>
  </si>
  <si>
    <t>GPT</t>
  </si>
  <si>
    <t>FGT</t>
  </si>
  <si>
    <t>BSPB</t>
  </si>
  <si>
    <t>NGD</t>
  </si>
  <si>
    <t>RAIF</t>
  </si>
  <si>
    <t>INFINERGY POWER LIMITED</t>
  </si>
  <si>
    <t>MALKOM TECHNICS</t>
  </si>
  <si>
    <t>BBR</t>
  </si>
  <si>
    <t>SUPPORT CONSULTANCY LIMITED</t>
  </si>
  <si>
    <t>RCFSI</t>
  </si>
  <si>
    <t xml:space="preserve">DROHEDA </t>
  </si>
  <si>
    <t>AutoParts</t>
  </si>
  <si>
    <t>BLUE AXIS TRADING CO LIMITED</t>
  </si>
  <si>
    <t>CRYPTO</t>
  </si>
  <si>
    <t>TDM COMMERCIAL BROKERS LLC</t>
  </si>
  <si>
    <t>PING</t>
  </si>
  <si>
    <t>HADA</t>
  </si>
  <si>
    <t>FRIGORIFICO</t>
  </si>
  <si>
    <t>MINERVA</t>
  </si>
  <si>
    <t>ITAU</t>
  </si>
  <si>
    <t>SIRIUS TRADE</t>
  </si>
  <si>
    <t>UNITED CARS</t>
  </si>
  <si>
    <t>O.G.ASIA</t>
  </si>
  <si>
    <t>ASIA MX TRADE</t>
  </si>
  <si>
    <t>MEDEIRA</t>
  </si>
  <si>
    <t>BMISR</t>
  </si>
  <si>
    <t>BEXIT</t>
  </si>
  <si>
    <t>AV&amp;CINEMA</t>
  </si>
  <si>
    <t>LOTOS</t>
  </si>
  <si>
    <t>ALFA</t>
  </si>
  <si>
    <t>MPARTS FZE</t>
  </si>
  <si>
    <t>ZAND</t>
  </si>
  <si>
    <t>MTS</t>
  </si>
  <si>
    <t>CITY EXC</t>
  </si>
  <si>
    <t>FENIKS POLIMER</t>
  </si>
  <si>
    <t>TEB</t>
  </si>
  <si>
    <t>EXPORTADORA SAN CLEMENTE</t>
  </si>
  <si>
    <t>CITY</t>
  </si>
  <si>
    <t>FRESH&amp;GOOD SERVICES</t>
  </si>
  <si>
    <t>TD CAN</t>
  </si>
  <si>
    <t>TWIGA GEMS</t>
  </si>
  <si>
    <t>KASICORN</t>
  </si>
  <si>
    <t>GEMS MARKET</t>
  </si>
  <si>
    <t>AMCB</t>
  </si>
  <si>
    <t>Service</t>
  </si>
  <si>
    <t>MVM DISTRIBUTION LLC FZ</t>
  </si>
  <si>
    <t>SMITHERS-OASIS GERMANY GMBH</t>
  </si>
  <si>
    <t>SBK</t>
  </si>
  <si>
    <t>AM LOGISTICS</t>
  </si>
  <si>
    <t>WECAR</t>
  </si>
  <si>
    <t>MASLAK</t>
  </si>
  <si>
    <t>CONSORFRUT S.L.</t>
  </si>
  <si>
    <t>BDS</t>
  </si>
  <si>
    <t>KHR TRADE LOGISTIC</t>
  </si>
  <si>
    <t>WHOLLY</t>
  </si>
  <si>
    <t>CZCB</t>
  </si>
  <si>
    <t>RUMIT</t>
  </si>
  <si>
    <t>MODUL</t>
  </si>
  <si>
    <t>Perfumes &amp; Cosmetics</t>
  </si>
  <si>
    <t>MEPCO GULF COMMODITIES</t>
  </si>
  <si>
    <t>L&amp;S</t>
  </si>
  <si>
    <t>AUTOCONTRACTS</t>
  </si>
  <si>
    <t>INGOS</t>
  </si>
  <si>
    <t>HL</t>
  </si>
  <si>
    <t>PODKOVA</t>
  </si>
  <si>
    <t>Agro</t>
  </si>
  <si>
    <t>FOUR SEASONS</t>
  </si>
  <si>
    <t>PRODRESURS</t>
  </si>
  <si>
    <t>GUTA</t>
  </si>
  <si>
    <t>METALSTEEL</t>
  </si>
  <si>
    <t>INVOICE</t>
  </si>
  <si>
    <t xml:space="preserve">ZHEJIANG HAOXIN </t>
  </si>
  <si>
    <t>CZBYB</t>
  </si>
  <si>
    <t>SUNMINGMING</t>
  </si>
  <si>
    <t>ZCHB</t>
  </si>
  <si>
    <t>MIRFAR</t>
  </si>
  <si>
    <t>TAO TRADE</t>
  </si>
  <si>
    <t>FOREX</t>
  </si>
  <si>
    <t>COINRATE</t>
  </si>
  <si>
    <t>ETH</t>
  </si>
  <si>
    <t>GREENSTONE TRADING</t>
  </si>
  <si>
    <t>🅿️OPENED⏺️</t>
  </si>
  <si>
    <t>POSITION</t>
  </si>
  <si>
    <t>EXPERTO</t>
  </si>
  <si>
    <t>CIMB</t>
  </si>
  <si>
    <t>🅿️CLOSED⏹️</t>
  </si>
  <si>
    <t>FARVATER STEAM</t>
  </si>
  <si>
    <t>SKY GLOW TRADE</t>
  </si>
  <si>
    <t>BRI</t>
  </si>
  <si>
    <t>EPG</t>
  </si>
  <si>
    <t>OTP</t>
  </si>
  <si>
    <t>UNICR</t>
  </si>
  <si>
    <t>GEV</t>
  </si>
  <si>
    <t>CASH DXB</t>
  </si>
  <si>
    <t>ZHULONG</t>
  </si>
  <si>
    <t>VTB</t>
  </si>
  <si>
    <t>FEILIAN</t>
  </si>
  <si>
    <t>NRM GLOBAL LOJISTIK</t>
  </si>
  <si>
    <t>AKBANK</t>
  </si>
  <si>
    <t>CANOPUS</t>
  </si>
  <si>
    <t>KBP</t>
  </si>
  <si>
    <t>DMS AGRI</t>
  </si>
  <si>
    <t xml:space="preserve">GENETIKA </t>
  </si>
  <si>
    <t>SIAM</t>
  </si>
  <si>
    <t>ZCCB</t>
  </si>
  <si>
    <t>CHONGQING RICKSON</t>
  </si>
  <si>
    <t>CMBC</t>
  </si>
  <si>
    <t>CASH MSC</t>
  </si>
  <si>
    <t>TOPSAILING LOGISTIC AND TRADE</t>
  </si>
  <si>
    <t>🔴CANCELLED❌</t>
  </si>
  <si>
    <t>🟫RETURNED🪃</t>
  </si>
  <si>
    <t>HEINMANN</t>
  </si>
  <si>
    <t>UNI</t>
  </si>
  <si>
    <t>PROTECHNIC</t>
  </si>
  <si>
    <t>BNS</t>
  </si>
  <si>
    <t>FFC</t>
  </si>
  <si>
    <t>SYKTYVKARSKIY LPK</t>
  </si>
  <si>
    <t>ATRIUM JSC</t>
  </si>
  <si>
    <t>APC</t>
  </si>
  <si>
    <t>ENIGMA DREAM</t>
  </si>
  <si>
    <t>BAIJIAYI TRADE</t>
  </si>
  <si>
    <t xml:space="preserve">NDE TECHNOLOGY LLC– FZ </t>
  </si>
  <si>
    <t>NBRAK</t>
  </si>
  <si>
    <t>DAE HAN RYU IL</t>
  </si>
  <si>
    <t>KEB HANA</t>
  </si>
  <si>
    <t xml:space="preserve">GUANGZHOU BIMEIGAO </t>
  </si>
  <si>
    <t>UBA</t>
  </si>
  <si>
    <t>ASAFI</t>
  </si>
  <si>
    <t xml:space="preserve">GLOBAL </t>
  </si>
  <si>
    <t>BLACKWELL</t>
  </si>
  <si>
    <t>ENBD</t>
  </si>
  <si>
    <t>FORTUNCERES</t>
  </si>
  <si>
    <t>SIMHOONG</t>
  </si>
  <si>
    <t>CCBAXBZR</t>
  </si>
  <si>
    <t>FALCON</t>
  </si>
  <si>
    <t>DRESS ASIA</t>
  </si>
  <si>
    <t>SPB</t>
  </si>
  <si>
    <t>MEI JIN</t>
  </si>
  <si>
    <t>VOLDER DERI SANAYI</t>
  </si>
  <si>
    <t>TVB</t>
  </si>
  <si>
    <t xml:space="preserve">MUHAMMAD ASHRAF </t>
  </si>
  <si>
    <t>PUNJAB</t>
  </si>
  <si>
    <t>AVD</t>
  </si>
  <si>
    <t>XTRADE</t>
  </si>
  <si>
    <t>TEKNIK</t>
  </si>
  <si>
    <t>MMK&amp;FAH</t>
  </si>
  <si>
    <t>🟨EXECUTED💸</t>
  </si>
  <si>
    <t>SFERA</t>
  </si>
  <si>
    <t>CIHAN</t>
  </si>
  <si>
    <t>🟥CANCELLED❌</t>
  </si>
  <si>
    <t>ALQASABA GENERAL TRADING LLC</t>
  </si>
  <si>
    <t>MATAKOTA SMART DISTRIBUTION</t>
  </si>
  <si>
    <t>MANDIRI</t>
  </si>
  <si>
    <t>EPITECH LLC</t>
  </si>
  <si>
    <t>MIB</t>
  </si>
  <si>
    <t>PERMATA</t>
  </si>
  <si>
    <t>STOKSON SPOLKA</t>
  </si>
  <si>
    <t>ALA</t>
  </si>
  <si>
    <t>PT.SRI TRADING PARTS</t>
  </si>
  <si>
    <t>RAK</t>
  </si>
  <si>
    <t xml:space="preserve">VIP WEARS </t>
  </si>
  <si>
    <t>SONERI</t>
  </si>
  <si>
    <t>KHANA</t>
  </si>
  <si>
    <t>SIANA</t>
  </si>
  <si>
    <t>BEEF PARAGUAY</t>
  </si>
  <si>
    <t>GNBP</t>
  </si>
  <si>
    <t>FOBOS</t>
  </si>
  <si>
    <t>ADN GROUP STOCK</t>
  </si>
  <si>
    <t>SUMI</t>
  </si>
  <si>
    <t xml:space="preserve">ZHEJIANG TAILEI </t>
  </si>
  <si>
    <t>ZHEJIANG KEMA</t>
  </si>
  <si>
    <t>MILENIUM FZCO</t>
  </si>
  <si>
    <t>SLAVIYA</t>
  </si>
  <si>
    <t>ARROW LOGISTIC SRL</t>
  </si>
  <si>
    <t>DESIO</t>
  </si>
  <si>
    <t>MONOLITH MITTE</t>
  </si>
  <si>
    <t>Mobiles</t>
  </si>
  <si>
    <t>MAYBEE</t>
  </si>
  <si>
    <t>WIO</t>
  </si>
  <si>
    <t>INONICS</t>
  </si>
  <si>
    <t>ZONT</t>
  </si>
  <si>
    <t>KTK</t>
  </si>
  <si>
    <t>ARIVIR NEW MTR</t>
  </si>
  <si>
    <t>EIB</t>
  </si>
  <si>
    <t>SOLIDITY</t>
  </si>
  <si>
    <t xml:space="preserve">REALIST </t>
  </si>
  <si>
    <t>SUZHOU PRIME GROUP</t>
  </si>
  <si>
    <t>NBD</t>
  </si>
  <si>
    <t xml:space="preserve">AKHMETOVA JULIA </t>
  </si>
  <si>
    <t>LUCKY STAR</t>
  </si>
  <si>
    <t>BARODA</t>
  </si>
  <si>
    <t>ENERGY</t>
  </si>
  <si>
    <t>SHEIKH OF SIALKOT</t>
  </si>
  <si>
    <t>PERSPEKTIVA JSC</t>
  </si>
  <si>
    <t>🔵EXECUTED☑️</t>
  </si>
  <si>
    <t>ZHEJIANG XIMITAI</t>
  </si>
  <si>
    <t>ABOC</t>
  </si>
  <si>
    <t>FIDES GROUP LLC</t>
  </si>
  <si>
    <t>ARMEX TREADING FZCO</t>
  </si>
  <si>
    <t>UNITED EAST</t>
  </si>
  <si>
    <t>ONEX LLC</t>
  </si>
  <si>
    <t>BIVR</t>
  </si>
  <si>
    <t>PSB</t>
  </si>
  <si>
    <t>FRESH &amp; GOOD GIDA LTD SIRKETI</t>
  </si>
  <si>
    <t>CITI</t>
  </si>
  <si>
    <t>BOB</t>
  </si>
  <si>
    <t>M.D.M UNION</t>
  </si>
  <si>
    <t>PLATINUM</t>
  </si>
  <si>
    <t>AIGT</t>
  </si>
  <si>
    <t>ITLAND</t>
  </si>
  <si>
    <t>MTI</t>
  </si>
  <si>
    <t>BAR</t>
  </si>
  <si>
    <t>ROWWAT</t>
  </si>
  <si>
    <t>Food</t>
  </si>
  <si>
    <t>Moto</t>
  </si>
  <si>
    <t>SHANDONG JULI</t>
  </si>
  <si>
    <t>DEZHOU</t>
  </si>
  <si>
    <t>INTREYD</t>
  </si>
  <si>
    <t>T1</t>
  </si>
  <si>
    <t>T3</t>
  </si>
  <si>
    <t>T2</t>
  </si>
  <si>
    <t>T0</t>
  </si>
  <si>
    <t>ARCTICA ENERGY</t>
  </si>
  <si>
    <t>YILDIRIM TRADING</t>
  </si>
  <si>
    <t>NTC SFERA MERKEZI</t>
  </si>
  <si>
    <t>TRY</t>
  </si>
  <si>
    <t>PT AMX MIDAS WAY</t>
  </si>
  <si>
    <t>NEGARA</t>
  </si>
  <si>
    <t xml:space="preserve">HL AFTERMARKET </t>
  </si>
  <si>
    <t>BMP</t>
  </si>
  <si>
    <t>CAR PARTS TR</t>
  </si>
  <si>
    <t>KASIKORN</t>
  </si>
  <si>
    <t>🟦INVOICE🧾</t>
  </si>
  <si>
    <t>UNIPEL</t>
  </si>
  <si>
    <t>VBAO</t>
  </si>
  <si>
    <t>EFICIENT MEDIA</t>
  </si>
  <si>
    <t>BCMAIB</t>
  </si>
  <si>
    <t>DERHEM SEAFOOD SARL</t>
  </si>
  <si>
    <t>CADM</t>
  </si>
  <si>
    <t xml:space="preserve"> BUSINESS-TRADE HK</t>
  </si>
  <si>
    <t>CCB</t>
  </si>
  <si>
    <t>🟧INITIATED📌</t>
  </si>
  <si>
    <t>DEGAO JSC</t>
  </si>
  <si>
    <t>EMVE TRADING DMCC</t>
  </si>
  <si>
    <t>SCB</t>
  </si>
  <si>
    <t>BBPCL</t>
  </si>
  <si>
    <t>BGNB</t>
  </si>
  <si>
    <t>MADEKA S.A.</t>
  </si>
  <si>
    <t>MACRO</t>
  </si>
  <si>
    <t>TLG</t>
  </si>
  <si>
    <t>BOG</t>
  </si>
  <si>
    <t>SUNFAB</t>
  </si>
  <si>
    <t>AUREUS</t>
  </si>
  <si>
    <t>🟠PIPELINE✴️</t>
  </si>
  <si>
    <t xml:space="preserve"> == PIPELINE DELIMITER ==PIPELINE DELIMITER == PIPELINE DELIMITER == PLEASE DO NOT DELETE THIS ROW AND ROWS ABOVE AND PASTE NEW PIPELINE DEALS ONLY BELOW THIS ROW == PIPELINE DELIMITER == PIPELINE DELIMITER == PIPELINE DELIMITER == </t>
  </si>
  <si>
    <t>FLEXTECH</t>
  </si>
  <si>
    <t>NOVIVA</t>
  </si>
  <si>
    <t>A1 JET DOO</t>
  </si>
  <si>
    <t xml:space="preserve">COCOAWISE </t>
  </si>
  <si>
    <t>OBEDINENNYE KONDITERY</t>
  </si>
  <si>
    <t>RUST-IMPEX</t>
  </si>
  <si>
    <t>A&amp;A VERETRIBS</t>
  </si>
  <si>
    <t>TURNOVER EXPORT</t>
  </si>
  <si>
    <t>TURNOVER IMPORT</t>
  </si>
  <si>
    <t>TOTAL PNL</t>
  </si>
  <si>
    <t>CONTRACT MARGIN</t>
  </si>
  <si>
    <t>CONTRACT FX</t>
  </si>
  <si>
    <t>FX TRADING PNL</t>
  </si>
  <si>
    <t>TOTAL, USD</t>
  </si>
  <si>
    <t>MARGIN, %</t>
  </si>
  <si>
    <t>PERIOD</t>
  </si>
  <si>
    <t>1W</t>
  </si>
  <si>
    <t>1M</t>
  </si>
  <si>
    <t>20/01/2026</t>
  </si>
  <si>
    <t>20/2/2026</t>
  </si>
  <si>
    <t>STEEL</t>
  </si>
  <si>
    <t>INCOMING</t>
  </si>
  <si>
    <t xml:space="preserve">Cash balance total </t>
  </si>
  <si>
    <t>Steel Report as on 20.02</t>
  </si>
  <si>
    <t xml:space="preserve">USDT&amp;AGENT </t>
  </si>
  <si>
    <t xml:space="preserve">AWB </t>
  </si>
  <si>
    <t>OWLL: Steel, Vanadium</t>
  </si>
  <si>
    <t xml:space="preserve">Banks balances </t>
  </si>
  <si>
    <t xml:space="preserve">OWLL </t>
  </si>
  <si>
    <t>OWLL: Vanadium 2</t>
  </si>
  <si>
    <t>Cash balance external exp</t>
  </si>
  <si>
    <t>VISTA</t>
  </si>
  <si>
    <t xml:space="preserve">Cash balance WO deals&amp;external exp </t>
  </si>
  <si>
    <t>Vista</t>
  </si>
  <si>
    <t xml:space="preserve">Deals in process </t>
  </si>
  <si>
    <t>Total:</t>
  </si>
  <si>
    <t>OUTGOING</t>
  </si>
  <si>
    <t>Freight Steel</t>
  </si>
  <si>
    <t>Freight Coal</t>
  </si>
  <si>
    <t xml:space="preserve">freight /commission </t>
  </si>
  <si>
    <t>STEEL balance</t>
  </si>
  <si>
    <t>COAL</t>
  </si>
  <si>
    <t xml:space="preserve">JAN Commission </t>
  </si>
  <si>
    <t>WBBS RESERVE</t>
  </si>
  <si>
    <t xml:space="preserve">WBBS debt </t>
  </si>
  <si>
    <t>VISTA S debt</t>
  </si>
  <si>
    <t>MONOLIT</t>
  </si>
  <si>
    <t xml:space="preserve">FORECAST &amp; PLAN </t>
  </si>
  <si>
    <t xml:space="preserve">Loan </t>
  </si>
  <si>
    <t xml:space="preserve">WBBS </t>
  </si>
  <si>
    <t xml:space="preserve">WBBS loan </t>
  </si>
  <si>
    <t>21/01/2026</t>
  </si>
  <si>
    <t xml:space="preserve">WBBS over </t>
  </si>
  <si>
    <t>LQDT</t>
  </si>
  <si>
    <t xml:space="preserve">STELL </t>
  </si>
  <si>
    <t xml:space="preserve">КЭБ РУБ </t>
  </si>
  <si>
    <t xml:space="preserve">HORIZON </t>
  </si>
  <si>
    <t xml:space="preserve">WBBS UBL </t>
  </si>
  <si>
    <t xml:space="preserve">МТС РУБ </t>
  </si>
  <si>
    <t>Div EVR</t>
  </si>
  <si>
    <t xml:space="preserve">done </t>
  </si>
  <si>
    <t>WBBS -RVG</t>
  </si>
  <si>
    <t>RESERVE+Freight</t>
  </si>
  <si>
    <t>Debt EVER</t>
  </si>
  <si>
    <t>COAL incomming</t>
  </si>
  <si>
    <t xml:space="preserve">DONE </t>
  </si>
  <si>
    <t>EVER</t>
  </si>
  <si>
    <t>WBBS -EVR</t>
  </si>
  <si>
    <t>termination</t>
  </si>
  <si>
    <t xml:space="preserve">COAL outgoing </t>
  </si>
  <si>
    <t>04.02.2026</t>
  </si>
  <si>
    <t>EVR/NEO</t>
  </si>
  <si>
    <t>AHL</t>
  </si>
  <si>
    <t xml:space="preserve">USDT </t>
  </si>
  <si>
    <t>05.02.2026</t>
  </si>
  <si>
    <t>Cash LQDT</t>
  </si>
  <si>
    <t>06.02.2026</t>
  </si>
  <si>
    <t xml:space="preserve">RESERV </t>
  </si>
  <si>
    <t xml:space="preserve">OTGOING </t>
  </si>
  <si>
    <t>COMPANY NAME</t>
  </si>
  <si>
    <t>COUNTRY</t>
  </si>
  <si>
    <t>TYPE</t>
  </si>
  <si>
    <t>GROUP</t>
  </si>
  <si>
    <t>MARGIN</t>
  </si>
  <si>
    <t>USDRUB</t>
  </si>
  <si>
    <t>USDAED</t>
  </si>
  <si>
    <t>USDCNY</t>
  </si>
  <si>
    <t>EURUSD</t>
  </si>
  <si>
    <t>CNYRUB</t>
  </si>
  <si>
    <t>EURRUB</t>
  </si>
  <si>
    <t>AEDRUB</t>
  </si>
  <si>
    <t>FX</t>
  </si>
  <si>
    <t>CHAT</t>
  </si>
  <si>
    <t>MANAGER</t>
  </si>
  <si>
    <t>Provider</t>
  </si>
  <si>
    <t>Agent's fee</t>
  </si>
  <si>
    <t>RU</t>
  </si>
  <si>
    <t>GLE</t>
  </si>
  <si>
    <t>WA</t>
  </si>
  <si>
    <t>UAE</t>
  </si>
  <si>
    <t>HK</t>
  </si>
  <si>
    <t>GB</t>
  </si>
  <si>
    <t>CEV</t>
  </si>
  <si>
    <t>BAA</t>
  </si>
  <si>
    <t>SCH</t>
  </si>
  <si>
    <t>ID</t>
  </si>
  <si>
    <t>ECD</t>
  </si>
  <si>
    <t>ASF</t>
  </si>
  <si>
    <t>TP</t>
  </si>
  <si>
    <t>BANKS</t>
  </si>
  <si>
    <t>EXPORTER</t>
  </si>
  <si>
    <t>EVRAZ</t>
  </si>
  <si>
    <t>TAIGA</t>
  </si>
  <si>
    <t>ZAPSIBRUDA</t>
  </si>
  <si>
    <t>METCO</t>
  </si>
  <si>
    <t>NHCA</t>
  </si>
  <si>
    <t>ELMASH</t>
  </si>
  <si>
    <t>NEXERA</t>
  </si>
  <si>
    <t>VITTOLIA</t>
  </si>
  <si>
    <t>STROYSERVIS</t>
  </si>
  <si>
    <t>NIK</t>
  </si>
  <si>
    <t>ARM</t>
  </si>
  <si>
    <t>BROKER</t>
  </si>
  <si>
    <t>KZ</t>
  </si>
  <si>
    <t>FASSET</t>
  </si>
  <si>
    <t>TG</t>
  </si>
  <si>
    <t>CR</t>
  </si>
  <si>
    <t>GST</t>
  </si>
  <si>
    <t>NC</t>
  </si>
  <si>
    <t>USA</t>
  </si>
  <si>
    <t>TIM TECHNOLOGIES</t>
  </si>
  <si>
    <t>TIMS</t>
  </si>
  <si>
    <t>End Buyer</t>
  </si>
  <si>
    <t>MOBILE INFORMATICS SERVICES</t>
  </si>
  <si>
    <t>IMPORTER</t>
  </si>
  <si>
    <t>DISTRIBUTION CENTER</t>
  </si>
  <si>
    <t>DESTE</t>
  </si>
  <si>
    <t>SHOPOTAM</t>
  </si>
  <si>
    <t>DK</t>
  </si>
  <si>
    <t>Blue Marlin</t>
  </si>
  <si>
    <t>XBORDER LATVIA</t>
  </si>
  <si>
    <t>LTV</t>
  </si>
  <si>
    <t>XBORDER</t>
  </si>
  <si>
    <t>BORDERLESS</t>
  </si>
  <si>
    <t>BIRYUZA</t>
  </si>
  <si>
    <t>PLAYGROUND</t>
  </si>
  <si>
    <t>MONOLINK</t>
  </si>
  <si>
    <t>EKN</t>
  </si>
  <si>
    <t>FAAF</t>
  </si>
  <si>
    <t>REVO</t>
  </si>
  <si>
    <t>FAAF REVO</t>
  </si>
  <si>
    <t>GLOBAL PRECISION</t>
  </si>
  <si>
    <t>KVN</t>
  </si>
  <si>
    <t>UTVE REVO</t>
  </si>
  <si>
    <t>ASTRONIUM</t>
  </si>
  <si>
    <t>NEW MATERIAL</t>
  </si>
  <si>
    <t>NMG</t>
  </si>
  <si>
    <t>SN</t>
  </si>
  <si>
    <t>AP</t>
  </si>
  <si>
    <t>MAGNUM</t>
  </si>
  <si>
    <t>SMART TECH</t>
  </si>
  <si>
    <t>ACEONE</t>
  </si>
  <si>
    <t>EPGM</t>
  </si>
  <si>
    <t>TIANJIN</t>
  </si>
  <si>
    <t>CN</t>
  </si>
  <si>
    <t>ZONTGROUP</t>
  </si>
  <si>
    <t>MACARUN</t>
  </si>
  <si>
    <t>TPT</t>
  </si>
  <si>
    <t>STARA</t>
  </si>
  <si>
    <t>MAHER</t>
  </si>
  <si>
    <t>TR</t>
  </si>
  <si>
    <t>AGL</t>
  </si>
  <si>
    <t>DINAMIC</t>
  </si>
  <si>
    <t xml:space="preserve">Bank </t>
  </si>
  <si>
    <t>ANK-TEHNO</t>
  </si>
  <si>
    <t>BONVE</t>
  </si>
  <si>
    <t>TAMKOR</t>
  </si>
  <si>
    <t>OLDI</t>
  </si>
  <si>
    <t>TRADE MARKET</t>
  </si>
  <si>
    <t>COMPUTER SUPPLIES</t>
  </si>
  <si>
    <t>EPRO</t>
  </si>
  <si>
    <t>VNS</t>
  </si>
  <si>
    <t>KEYSTON</t>
  </si>
  <si>
    <t>VICTORIA</t>
  </si>
  <si>
    <t>PRIME</t>
  </si>
  <si>
    <t>PANTHEON</t>
  </si>
  <si>
    <t>LARGO</t>
  </si>
  <si>
    <t>BEZANT</t>
  </si>
  <si>
    <t>IMPORIA</t>
  </si>
  <si>
    <t>KASADA</t>
  </si>
  <si>
    <t>CHAO'AN LIAN XING YUAN CERAMICS</t>
  </si>
  <si>
    <t>SHENZHEN HUA MEI INDUSTRY DEVELOPMENT</t>
  </si>
  <si>
    <t xml:space="preserve">UNSA </t>
  </si>
  <si>
    <t>TUR</t>
  </si>
  <si>
    <t>AL-SHIVA</t>
  </si>
  <si>
    <t>PRIZMA</t>
  </si>
  <si>
    <t>VOLMET</t>
  </si>
  <si>
    <t>IRIN</t>
  </si>
  <si>
    <t>INIVI LLC</t>
  </si>
  <si>
    <t>NOVIE TECHNOLOGII</t>
  </si>
  <si>
    <t>EMAIL</t>
  </si>
  <si>
    <t>MIRL</t>
  </si>
  <si>
    <t>KAYO</t>
  </si>
  <si>
    <t>BFG INTERNATIONAL</t>
  </si>
  <si>
    <t>BFG</t>
  </si>
  <si>
    <t>BFG INVESTMENTS</t>
  </si>
  <si>
    <t>BLUEFIN</t>
  </si>
  <si>
    <t>MAIN SYSTEM</t>
  </si>
  <si>
    <t>MAINSYSTEMS</t>
  </si>
  <si>
    <t>RITORA</t>
  </si>
  <si>
    <t>ALTAIR</t>
  </si>
  <si>
    <t>IS TECHNOLOGY</t>
  </si>
  <si>
    <t>AARK TECHNOLOGY</t>
  </si>
  <si>
    <t>HONGKONG CODE HOLDINGS</t>
  </si>
  <si>
    <t>HVY</t>
  </si>
  <si>
    <t>SUPER</t>
  </si>
  <si>
    <t>APS</t>
  </si>
  <si>
    <t>LAWFORD</t>
  </si>
  <si>
    <t>WHIZZ</t>
  </si>
  <si>
    <t>ACTIF</t>
  </si>
  <si>
    <t>BMG</t>
  </si>
  <si>
    <t>SIGNALINKS</t>
  </si>
  <si>
    <t>WENZHOU</t>
  </si>
  <si>
    <t>GSMEXCHANGE</t>
  </si>
  <si>
    <t>IRL</t>
  </si>
  <si>
    <t>BEELINE</t>
  </si>
  <si>
    <t>TECH GURU</t>
  </si>
  <si>
    <t>TESLER</t>
  </si>
  <si>
    <t>MEDIA MARKET</t>
  </si>
  <si>
    <t>BLPC DAICHI</t>
  </si>
  <si>
    <t>DAICHI</t>
  </si>
  <si>
    <t>MIDEA</t>
  </si>
  <si>
    <t>BANANAS</t>
  </si>
  <si>
    <t>ECV</t>
  </si>
  <si>
    <t>GFS</t>
  </si>
  <si>
    <t>LANSI</t>
  </si>
  <si>
    <t>FIN</t>
  </si>
  <si>
    <t>IFS HODING</t>
  </si>
  <si>
    <t>UK</t>
  </si>
  <si>
    <t>GTC HIJYENIK</t>
  </si>
  <si>
    <t>CEPROMAR</t>
  </si>
  <si>
    <t>BABIATORS</t>
  </si>
  <si>
    <t>THAIZEST</t>
  </si>
  <si>
    <t>THL</t>
  </si>
  <si>
    <t>ALPHA BETA</t>
  </si>
  <si>
    <t>QIGDAO</t>
  </si>
  <si>
    <t>MEEBS</t>
  </si>
  <si>
    <t>AUTOMATE GPP</t>
  </si>
  <si>
    <t>SING</t>
  </si>
  <si>
    <t>TOPPARTS</t>
  </si>
  <si>
    <t>ZHEJAING</t>
  </si>
  <si>
    <t>HIGHS VALVE</t>
  </si>
  <si>
    <t>APMG</t>
  </si>
  <si>
    <t>HAKSA</t>
  </si>
  <si>
    <t>TURKEY</t>
  </si>
  <si>
    <t>INERTUM</t>
  </si>
  <si>
    <t>MITRA</t>
  </si>
  <si>
    <t>INDO</t>
  </si>
  <si>
    <t>OCEANBLU</t>
  </si>
  <si>
    <t>EMPACRECI</t>
  </si>
  <si>
    <t>PROMAROSA</t>
  </si>
  <si>
    <t>ICT HK</t>
  </si>
  <si>
    <t>AGI TRADING</t>
  </si>
  <si>
    <t>GULF</t>
  </si>
  <si>
    <t>TGS COLOR</t>
  </si>
  <si>
    <t>HARMONY</t>
  </si>
  <si>
    <t>EMA GS</t>
  </si>
  <si>
    <t>RODIOLA</t>
  </si>
  <si>
    <t>MASTERPORT</t>
  </si>
  <si>
    <t>GTL</t>
  </si>
  <si>
    <t>CANADA</t>
  </si>
  <si>
    <t>ROYAL</t>
  </si>
  <si>
    <t>ELITE</t>
  </si>
  <si>
    <t>OSLIGOLD</t>
  </si>
  <si>
    <t>NOVIE TECHNOLOGII-2</t>
  </si>
  <si>
    <t>SWIFT AUTO</t>
  </si>
  <si>
    <t>ORIENT INTERNATIONAL</t>
  </si>
  <si>
    <t>PLK</t>
  </si>
  <si>
    <t>PROFIT</t>
  </si>
  <si>
    <t>FEDERAL EXPRESS LLC</t>
  </si>
  <si>
    <t>PROFITSOLUTION</t>
  </si>
  <si>
    <t>LOGISTIC SERVICE</t>
  </si>
  <si>
    <t>SMART TECH (PROFIT)</t>
  </si>
  <si>
    <t>BERING</t>
  </si>
  <si>
    <t>DS</t>
  </si>
  <si>
    <t>AMINCO</t>
  </si>
  <si>
    <t>RW</t>
  </si>
  <si>
    <t>RW TRADE</t>
  </si>
  <si>
    <t>CELLBAY</t>
  </si>
  <si>
    <t>ROMEX TELECOM</t>
  </si>
  <si>
    <t>ROMEX</t>
  </si>
  <si>
    <t>FLASH</t>
  </si>
  <si>
    <t>FMK</t>
  </si>
  <si>
    <t>SERB</t>
  </si>
  <si>
    <t>INTERKHIM</t>
  </si>
  <si>
    <t>TECH PLANET FZCO</t>
  </si>
  <si>
    <t>ADPRESS</t>
  </si>
  <si>
    <t>ASPIRE MOBILE</t>
  </si>
  <si>
    <t>ADPRESS INTERNATIONAL FZCO</t>
  </si>
  <si>
    <t xml:space="preserve">LUCATE PECARNI </t>
  </si>
  <si>
    <t>CESARIO</t>
  </si>
  <si>
    <t>CESARIO GENERAL TRADING</t>
  </si>
  <si>
    <t>APLS</t>
  </si>
  <si>
    <t>SAHARA</t>
  </si>
  <si>
    <t>KUIPER INTERNATIONAL</t>
  </si>
  <si>
    <t>KUIPER</t>
  </si>
  <si>
    <t>ALTECH</t>
  </si>
  <si>
    <t>FMK GROUP</t>
  </si>
  <si>
    <t>MTALX</t>
  </si>
  <si>
    <t>KAMTEX</t>
  </si>
  <si>
    <t>OSA</t>
  </si>
  <si>
    <t>TYAZHPROM</t>
  </si>
  <si>
    <t>GLOBAL MARKETS FZCO</t>
  </si>
  <si>
    <t>FLYWAY LIMITED</t>
  </si>
  <si>
    <t>SUREA</t>
  </si>
  <si>
    <t>ARKADIA</t>
  </si>
  <si>
    <t>BKK TRADING</t>
  </si>
  <si>
    <t>KGZ</t>
  </si>
  <si>
    <t>PETRO MECHANICAL</t>
  </si>
  <si>
    <t>HG</t>
  </si>
  <si>
    <t>ROST</t>
  </si>
  <si>
    <t>SLAVIA</t>
  </si>
  <si>
    <t>TG LOGISTICS</t>
  </si>
  <si>
    <t>IONOS</t>
  </si>
  <si>
    <t>SOLAR</t>
  </si>
  <si>
    <t>CADDX</t>
  </si>
  <si>
    <t>AL BARSHAA</t>
  </si>
  <si>
    <t>YM TRANS</t>
  </si>
  <si>
    <t>HONG KONG HUIYANG YITONG INTERNATIONAL LOGISTICS CO., LIMITED</t>
  </si>
  <si>
    <t>XINHONG</t>
  </si>
  <si>
    <t>TRANSGROUP LLC</t>
  </si>
  <si>
    <t>RUS</t>
  </si>
  <si>
    <t>BRIGHT NOVA</t>
  </si>
  <si>
    <t>ECOTEK</t>
  </si>
  <si>
    <t>SHENZHEN SANHE</t>
  </si>
  <si>
    <t>DOLCE &amp; GABANNA SRL</t>
  </si>
  <si>
    <t>ITALY</t>
  </si>
  <si>
    <t>BT GROUP</t>
  </si>
  <si>
    <t>DONGGUAN TONGLUO</t>
  </si>
  <si>
    <t>HK BAOLI BUSINESS</t>
  </si>
  <si>
    <t>PEAKBRIDGE</t>
  </si>
  <si>
    <t>ROAD GLIDE</t>
  </si>
  <si>
    <t>PL</t>
  </si>
  <si>
    <t>ATLASCHEM AG</t>
  </si>
  <si>
    <t>SW</t>
  </si>
  <si>
    <t>ATLASCHEM</t>
  </si>
  <si>
    <t>INVICTUS TRADING</t>
  </si>
  <si>
    <t>INVICTUS</t>
  </si>
  <si>
    <t>TS GLOBAL TRADING</t>
  </si>
  <si>
    <t>OPENIVA</t>
  </si>
  <si>
    <t>OPERA</t>
  </si>
  <si>
    <t>LAISIDA</t>
  </si>
  <si>
    <t>COLVAR</t>
  </si>
  <si>
    <t>PETROCHIM</t>
  </si>
  <si>
    <t>ARTITO</t>
  </si>
  <si>
    <t>PT MERIDIUM GT</t>
  </si>
  <si>
    <t>INDONESIA</t>
  </si>
  <si>
    <t>TIANJIN PLASTICS</t>
  </si>
  <si>
    <t>BREATH LIMITED</t>
  </si>
  <si>
    <t>XINGXIN</t>
  </si>
  <si>
    <t>BIG PANDA ITC</t>
  </si>
  <si>
    <t>SUNRUISE IL</t>
  </si>
  <si>
    <t>LINE PLAST</t>
  </si>
  <si>
    <t>AKDENIZ</t>
  </si>
  <si>
    <t>CITYSTROYPLAST</t>
  </si>
  <si>
    <t>DURSOL GER</t>
  </si>
  <si>
    <t>GER</t>
  </si>
  <si>
    <t>DURSOL</t>
  </si>
  <si>
    <t>DURSOL FABRIC</t>
  </si>
  <si>
    <t>GTI</t>
  </si>
  <si>
    <t>YOFIN</t>
  </si>
  <si>
    <t>DEWATA</t>
  </si>
  <si>
    <t>GOLD</t>
  </si>
  <si>
    <t>NOKSS</t>
  </si>
  <si>
    <t>TANAQ</t>
  </si>
  <si>
    <t>TH</t>
  </si>
  <si>
    <t>PARK ALLIANCE</t>
  </si>
  <si>
    <t>MC TRADING</t>
  </si>
  <si>
    <t>PRIBORI OY</t>
  </si>
  <si>
    <t>FN</t>
  </si>
  <si>
    <t>PHAETON</t>
  </si>
  <si>
    <t>TIANTAI</t>
  </si>
  <si>
    <t>COMEQ</t>
  </si>
  <si>
    <t>SINGAPURE</t>
  </si>
  <si>
    <t>TAIZHOU</t>
  </si>
  <si>
    <t>SHINGHAI</t>
  </si>
  <si>
    <t>AY AYDIN</t>
  </si>
  <si>
    <t>CELL NATION</t>
  </si>
  <si>
    <t>CONTINENTAL</t>
  </si>
  <si>
    <t>NOVINTRA</t>
  </si>
  <si>
    <t>UPPERCASE</t>
  </si>
  <si>
    <t>FASHION HOUSE</t>
  </si>
  <si>
    <t>POL</t>
  </si>
  <si>
    <t>TRADALL</t>
  </si>
  <si>
    <t>SWISS</t>
  </si>
  <si>
    <t>LIFE SCIENCE</t>
  </si>
  <si>
    <t>SLO</t>
  </si>
  <si>
    <t>HEBEI</t>
  </si>
  <si>
    <t>UNIWORLD TEAS</t>
  </si>
  <si>
    <t>SRI LANKA</t>
  </si>
  <si>
    <t>TAHDIQ</t>
  </si>
  <si>
    <t>ACTIVE ENERGY</t>
  </si>
  <si>
    <t>L.A.B. INT</t>
  </si>
  <si>
    <t>DE CAFE</t>
  </si>
  <si>
    <t>ECUADOR</t>
  </si>
  <si>
    <t>BRA</t>
  </si>
  <si>
    <t>VAN REES CEYLON</t>
  </si>
  <si>
    <t>MAXI BEEF</t>
  </si>
  <si>
    <t>PARAGUAY</t>
  </si>
  <si>
    <t>SUPREMO</t>
  </si>
  <si>
    <t>PRIME AUDIO</t>
  </si>
  <si>
    <t>MERCURIO</t>
  </si>
  <si>
    <t>TUSHA TEA</t>
  </si>
  <si>
    <t>KENYA</t>
  </si>
  <si>
    <t>VAN REES INDONESIA</t>
  </si>
  <si>
    <t>URUGUAY</t>
  </si>
  <si>
    <t xml:space="preserve">PROPERTY </t>
  </si>
  <si>
    <t>NEXACORE DYNAMIC</t>
  </si>
  <si>
    <t>MUMIN FOOD</t>
  </si>
  <si>
    <t>NIGERIA</t>
  </si>
  <si>
    <t>PT TRIJASA</t>
  </si>
  <si>
    <t>NEO RED TRADING</t>
  </si>
  <si>
    <t>MBS INT</t>
  </si>
  <si>
    <t>AUSTRALIA</t>
  </si>
  <si>
    <t>MALAYSIA</t>
  </si>
  <si>
    <t>EMPIRE TEAS</t>
  </si>
  <si>
    <t>PEDRA NATURAL</t>
  </si>
  <si>
    <t>SPAIN</t>
  </si>
  <si>
    <t xml:space="preserve">NATURE PRODUCES </t>
  </si>
  <si>
    <t>VINTAGE</t>
  </si>
  <si>
    <t>GREEN HOPE FOR AGRICULTURAL DEVELOPMENT</t>
  </si>
  <si>
    <t>IST</t>
  </si>
  <si>
    <t xml:space="preserve">CHOCOLATE LAKE </t>
  </si>
  <si>
    <t>JORDAN</t>
  </si>
  <si>
    <t>FRIGOMERC</t>
  </si>
  <si>
    <t>IPARTNERS</t>
  </si>
  <si>
    <t>SILK BRIDGE</t>
  </si>
  <si>
    <t>TAILAND</t>
  </si>
  <si>
    <t>POPPIES BAKERIES</t>
  </si>
  <si>
    <t>BELGIUM</t>
  </si>
  <si>
    <t>CLARKE</t>
  </si>
  <si>
    <t>BROWNS PLANTATIONS</t>
  </si>
  <si>
    <t>LUXMI TEA</t>
  </si>
  <si>
    <t>AGROLOG</t>
  </si>
  <si>
    <t>PAMPLONA</t>
  </si>
  <si>
    <t>UNION</t>
  </si>
  <si>
    <t>FAHEM GENERAL TRADING LC</t>
  </si>
  <si>
    <t>EGYEUROPE</t>
  </si>
  <si>
    <t>EGYPT</t>
  </si>
  <si>
    <t>AGRO FOODS</t>
  </si>
  <si>
    <t>Thailand</t>
  </si>
  <si>
    <t>HERITAGE TEAS PRIVATE</t>
  </si>
  <si>
    <t>CHAI TRADING COMPANY</t>
  </si>
  <si>
    <t>AFRO ASIAN TEA</t>
  </si>
  <si>
    <t>IMPEX GOURMET</t>
  </si>
  <si>
    <t>THAI</t>
  </si>
  <si>
    <t>SWIFT ARGENTINA S.A.</t>
  </si>
  <si>
    <t>ARG</t>
  </si>
  <si>
    <t>POLAND</t>
  </si>
  <si>
    <t>F. J. SANCHEZ SUCESORES S.A.U.</t>
  </si>
  <si>
    <t>BN GLOBAL LOJISTIK</t>
  </si>
  <si>
    <t>IBIC INTERNATIONAL</t>
  </si>
  <si>
    <t>LAKE PEOPLE GMBX</t>
  </si>
  <si>
    <t>GERMANY</t>
  </si>
  <si>
    <t>CASADELMARISCO S.A.</t>
  </si>
  <si>
    <t xml:space="preserve">ANK </t>
  </si>
  <si>
    <t>ESTIT OU</t>
  </si>
  <si>
    <t>EST</t>
  </si>
  <si>
    <t>ZION FRUITS SAS</t>
  </si>
  <si>
    <t>COL</t>
  </si>
  <si>
    <t>ABC SIDI DAOUD</t>
  </si>
  <si>
    <t>TUN</t>
  </si>
  <si>
    <t>OPERADORA DEPORTIVA MDG</t>
  </si>
  <si>
    <t>MEX</t>
  </si>
  <si>
    <t>PT. MULTI MONODON</t>
  </si>
  <si>
    <t>CHILE</t>
  </si>
  <si>
    <t>FRESHIS CO., LTD</t>
  </si>
  <si>
    <t>KOREA</t>
  </si>
  <si>
    <t>MOR</t>
  </si>
  <si>
    <t>PANDAS DERI TEKSTIL</t>
  </si>
  <si>
    <t>ALTUN GIDA ANONIM</t>
  </si>
  <si>
    <t>PRIVATE AVIATION BOUTIQUE</t>
  </si>
  <si>
    <t>JAPAN</t>
  </si>
  <si>
    <t>SMARTUM TRADING</t>
  </si>
  <si>
    <t>XIAMEN HONGSHUNYE TRADING</t>
  </si>
  <si>
    <t>ARSENAL LOGISTICS</t>
  </si>
  <si>
    <t>PAK</t>
  </si>
  <si>
    <t>CHONGQING KEMA INDUSTRIAL</t>
  </si>
  <si>
    <t>JAP</t>
  </si>
  <si>
    <t>SPECIAL PARTS LTD</t>
  </si>
  <si>
    <t>SRBIJA</t>
  </si>
  <si>
    <t>BANEX TRADING</t>
  </si>
  <si>
    <t>ECUA</t>
  </si>
  <si>
    <t>DE</t>
  </si>
  <si>
    <t>QUANTICA</t>
  </si>
  <si>
    <t>ZAHARA TRADING</t>
  </si>
  <si>
    <t>NOOR</t>
  </si>
  <si>
    <t>BURJ</t>
  </si>
  <si>
    <t>ESTRELLA</t>
  </si>
  <si>
    <t>VDX</t>
  </si>
  <si>
    <t>PRIME VIEW</t>
  </si>
  <si>
    <t>AFFAMIGO</t>
  </si>
  <si>
    <t>IMPALA TRD</t>
  </si>
  <si>
    <t>FUGA VENTUS</t>
  </si>
  <si>
    <t>UNIMO VISION LLC-FZ</t>
  </si>
  <si>
    <t>ZIXIAN GROUP</t>
  </si>
  <si>
    <t xml:space="preserve">EXEMPLAR PETROCHEMICAL </t>
  </si>
  <si>
    <t>AGROBIOTECH</t>
  </si>
  <si>
    <t>GEO</t>
  </si>
  <si>
    <t>KEYSTONE</t>
  </si>
  <si>
    <t>Fmoney</t>
  </si>
  <si>
    <t>USDT 20%-2%</t>
  </si>
  <si>
    <t>PT</t>
  </si>
  <si>
    <t>SHIPWISE</t>
  </si>
  <si>
    <t>MACLAY</t>
  </si>
  <si>
    <t>BOSPHORUS</t>
  </si>
  <si>
    <t>SOL</t>
  </si>
  <si>
    <t>PARUS</t>
  </si>
  <si>
    <t>SPIMEX</t>
  </si>
  <si>
    <t>KSTAR</t>
  </si>
  <si>
    <t>MAESON</t>
  </si>
  <si>
    <t>KARAS</t>
  </si>
  <si>
    <t>OSHUN</t>
  </si>
  <si>
    <t>ODIN</t>
  </si>
  <si>
    <t>SFC</t>
  </si>
  <si>
    <t>JURITA</t>
  </si>
  <si>
    <t>SICHUAN YUJIE</t>
  </si>
  <si>
    <t>INDO TRADE</t>
  </si>
  <si>
    <t>GEMA</t>
  </si>
  <si>
    <t>ASIA CAPITAL</t>
  </si>
  <si>
    <t>KIRGIZIYA</t>
  </si>
  <si>
    <t>ALIMASTER</t>
  </si>
  <si>
    <t>RUHA TRADE</t>
  </si>
  <si>
    <t>RUHA</t>
  </si>
  <si>
    <t>LINK TRADE</t>
  </si>
  <si>
    <t>VM</t>
  </si>
  <si>
    <t>GULF GLOBAL</t>
  </si>
  <si>
    <t>PALN</t>
  </si>
  <si>
    <t>NINGBO</t>
  </si>
  <si>
    <t>EWEI LIMITED</t>
  </si>
  <si>
    <t>EWEI</t>
  </si>
  <si>
    <t>WING FUNG</t>
  </si>
  <si>
    <t>INTERSTONE TRADING</t>
  </si>
  <si>
    <t>MICRITERRA</t>
  </si>
  <si>
    <t>RF</t>
  </si>
  <si>
    <t>BOSHGU</t>
  </si>
  <si>
    <t>WP</t>
  </si>
  <si>
    <t>NET ENTERPRISE</t>
  </si>
  <si>
    <t>QUANTICO</t>
  </si>
  <si>
    <t>RINA</t>
  </si>
  <si>
    <t>CASPI</t>
  </si>
  <si>
    <t>JINGDAO</t>
  </si>
  <si>
    <t>SWP</t>
  </si>
  <si>
    <t>MAX GROUP</t>
  </si>
  <si>
    <t>Dashkovskii</t>
  </si>
  <si>
    <t>USDT 10%-2%</t>
  </si>
  <si>
    <t>Kirgizia</t>
  </si>
  <si>
    <t>BEST TRADE</t>
  </si>
  <si>
    <t>THAILAND</t>
  </si>
  <si>
    <t>SCORPION</t>
  </si>
  <si>
    <t>CHONGQING</t>
  </si>
  <si>
    <t>NEW MX TRADE HK COMPANY LTD</t>
  </si>
  <si>
    <t>ART PROVANCE</t>
  </si>
  <si>
    <t>RHINESTONE</t>
  </si>
  <si>
    <t>MODERN</t>
  </si>
  <si>
    <t>MODERNWAY LOGIST</t>
  </si>
  <si>
    <t>AVRORA</t>
  </si>
  <si>
    <t>MODERNWAY</t>
  </si>
  <si>
    <t>BALKANHIMMASH</t>
  </si>
  <si>
    <t>BULG</t>
  </si>
  <si>
    <t>BSG TRADE</t>
  </si>
  <si>
    <t>SMARTMONEY</t>
  </si>
  <si>
    <t>WCB</t>
  </si>
  <si>
    <t>ICE COM</t>
  </si>
  <si>
    <t>AUST</t>
  </si>
  <si>
    <t>AUTOSHOK</t>
  </si>
  <si>
    <t>MV PARTS</t>
  </si>
  <si>
    <t>GUANGZHOU</t>
  </si>
  <si>
    <t>ILC</t>
  </si>
  <si>
    <t>DVH</t>
  </si>
  <si>
    <t>FAVORABLE</t>
  </si>
  <si>
    <t>CIXI MINGZHAN INDUSTRIAL &amp;COMMERICAL CO.,LTD</t>
  </si>
  <si>
    <t>MIZAR ALCOR</t>
  </si>
  <si>
    <t>CHINA CNY</t>
  </si>
  <si>
    <t>KUAM</t>
  </si>
  <si>
    <t>LAOS</t>
  </si>
  <si>
    <t>OK</t>
  </si>
  <si>
    <t>AS</t>
  </si>
  <si>
    <t>H M PARTS</t>
  </si>
  <si>
    <t>MINING SOLUTION</t>
  </si>
  <si>
    <t>NADIR</t>
  </si>
  <si>
    <t>DROHEDA TECHNICS</t>
  </si>
  <si>
    <t>OSTECH STUDIO LLC</t>
  </si>
  <si>
    <t>ATLAS TECHNOLOGY</t>
  </si>
  <si>
    <t>ATLAS GROUP</t>
  </si>
  <si>
    <t>DAYING LIMITED</t>
  </si>
  <si>
    <t>OMNI GRAIN</t>
  </si>
  <si>
    <t>GENETIKA</t>
  </si>
  <si>
    <t>SOLE</t>
  </si>
  <si>
    <t>0,85</t>
  </si>
  <si>
    <t>NPT</t>
  </si>
  <si>
    <t>MMA</t>
  </si>
  <si>
    <t>FENIX PRO</t>
  </si>
  <si>
    <t>LONGFENG DABAO TRADING LIMITED</t>
  </si>
  <si>
    <t>DNS</t>
  </si>
  <si>
    <t xml:space="preserve">DNS LOGISTIC </t>
  </si>
  <si>
    <t>HIGHMONT</t>
  </si>
  <si>
    <t>GALAXY SCM LIMITED</t>
  </si>
  <si>
    <t>AGS</t>
  </si>
  <si>
    <t xml:space="preserve"> JAMES TEA</t>
  </si>
  <si>
    <t>Kenya</t>
  </si>
  <si>
    <t>NANGONG</t>
  </si>
  <si>
    <t>FINLAY</t>
  </si>
  <si>
    <t>NAWINIA</t>
  </si>
  <si>
    <t>MULTIROAD</t>
  </si>
  <si>
    <t>LAROSA</t>
  </si>
  <si>
    <t>LOGLAB</t>
  </si>
  <si>
    <t>TB GLOBAL TECH</t>
  </si>
  <si>
    <t>GT E&amp;S</t>
  </si>
  <si>
    <t>HK PROSPEROUS</t>
  </si>
  <si>
    <t>KELTE-SERVICE</t>
  </si>
  <si>
    <t>ZIZHOU TECHNOLOGY LIMITED</t>
  </si>
  <si>
    <t>VANTAGE CO</t>
  </si>
  <si>
    <t>JP</t>
  </si>
  <si>
    <t>EPIDI LIMITED</t>
  </si>
  <si>
    <t>SEYCHELLES</t>
  </si>
  <si>
    <t>EPIDI</t>
  </si>
  <si>
    <t>OCEAN QUEST LANDING</t>
  </si>
  <si>
    <t>CIXI MIN HON TRADING CO., Ltd.</t>
  </si>
  <si>
    <t>PG</t>
  </si>
  <si>
    <t>SMART BEAUTY LLC FZ</t>
  </si>
  <si>
    <t>JAMAL AL HAYA SFZ</t>
  </si>
  <si>
    <t>ORIENTAL SKY AVIATION FZE</t>
  </si>
  <si>
    <t>KNIPP</t>
  </si>
  <si>
    <t>BRIGHT IDEAS</t>
  </si>
  <si>
    <t>FAIR COMMODITIES TRADING S.A.</t>
  </si>
  <si>
    <t>CHE</t>
  </si>
  <si>
    <t>ASPRO IMPORT TRADE FZCO</t>
  </si>
  <si>
    <t>FORZA</t>
  </si>
  <si>
    <t>TESTILABS</t>
  </si>
  <si>
    <t>GUANGDONG</t>
  </si>
  <si>
    <t>INNOVATE NM</t>
  </si>
  <si>
    <t>R1 DELTA CIS PTE. LTD.</t>
  </si>
  <si>
    <t>Singapore</t>
  </si>
  <si>
    <t>EM VENTURES GENERAL TRADING L.L.C</t>
  </si>
  <si>
    <t>EMVE</t>
  </si>
  <si>
    <t>AVARUS</t>
  </si>
  <si>
    <t>SHENZHEN YT</t>
  </si>
  <si>
    <t>JSC DINAURAS</t>
  </si>
  <si>
    <t>LT</t>
  </si>
  <si>
    <t>GB RICAMBI SPA</t>
  </si>
  <si>
    <t>IT</t>
  </si>
  <si>
    <t>IDUBIDMOTORS</t>
  </si>
  <si>
    <t>AMX MIDAS WAY</t>
  </si>
  <si>
    <t>IN</t>
  </si>
  <si>
    <t>ONYX FZE</t>
  </si>
  <si>
    <t>ALLY INDUSTRIAL DEVELOPMENT CO., LIMITED</t>
  </si>
  <si>
    <t>MORGAN, LEWIS &amp; BOCKIUS LLP</t>
  </si>
  <si>
    <t>REGINA DAGMARBENEDICTA VON FLEMMING</t>
  </si>
  <si>
    <t>DR SOLIMAN FAKEEH</t>
  </si>
  <si>
    <t>PT SIMPLEKEY</t>
  </si>
  <si>
    <t>JIANGSU JIAMING</t>
  </si>
  <si>
    <t>MALPINA</t>
  </si>
  <si>
    <t>TUOHANG SUPPLY CHAIN SERVICES CO.</t>
  </si>
  <si>
    <t>CH</t>
  </si>
  <si>
    <t>CASH</t>
  </si>
  <si>
    <t>IND</t>
  </si>
  <si>
    <t>YANGMING</t>
  </si>
  <si>
    <t xml:space="preserve">DEVA INDONESIA GROUP </t>
  </si>
  <si>
    <t xml:space="preserve">YILDIRIM </t>
  </si>
  <si>
    <t>TDM</t>
  </si>
  <si>
    <t>GEMS</t>
  </si>
  <si>
    <t>DAZZLE GEMS</t>
  </si>
  <si>
    <t>REMSTROY</t>
  </si>
  <si>
    <t>MICROSAN</t>
  </si>
  <si>
    <t>MAINSAIL</t>
  </si>
  <si>
    <t>SEVERSTAL</t>
  </si>
  <si>
    <t>PROCONSULT GLOBAL</t>
  </si>
  <si>
    <t>S.N.</t>
  </si>
  <si>
    <t>S.G.</t>
  </si>
  <si>
    <t>UNIFOOD</t>
  </si>
  <si>
    <t>MILK</t>
  </si>
  <si>
    <t>TUKKA</t>
  </si>
  <si>
    <t>SIMMPRO</t>
  </si>
  <si>
    <t>LANTA BANK</t>
  </si>
  <si>
    <t>DIPOL</t>
  </si>
  <si>
    <t>GAVI</t>
  </si>
  <si>
    <t>VIKING</t>
  </si>
  <si>
    <t>GENIQO</t>
  </si>
  <si>
    <t>BLI NATURAL EXTRACTION</t>
  </si>
  <si>
    <t>ORIENT WISDOM</t>
  </si>
  <si>
    <t>GTC</t>
  </si>
  <si>
    <t>CELPI</t>
  </si>
  <si>
    <t>LIBERIYA</t>
  </si>
  <si>
    <t>LIB</t>
  </si>
  <si>
    <t>GRANOVITA</t>
  </si>
  <si>
    <t>GARDARICA</t>
  </si>
  <si>
    <t>SNMK TRADING</t>
  </si>
  <si>
    <t>E</t>
  </si>
  <si>
    <t>POMPEI</t>
  </si>
  <si>
    <t>GLEB</t>
  </si>
  <si>
    <t>PONGLOBIA</t>
  </si>
  <si>
    <t>FG</t>
  </si>
  <si>
    <t>BHR</t>
  </si>
  <si>
    <t>PT AHLI LOGISTIK PIALANG</t>
  </si>
  <si>
    <t>OWN</t>
  </si>
  <si>
    <t>GROUP HORIZON</t>
  </si>
  <si>
    <t>NHVR</t>
  </si>
  <si>
    <t>FLOWER</t>
  </si>
  <si>
    <t>MEPCO</t>
  </si>
  <si>
    <t>TRINITY</t>
  </si>
  <si>
    <t>IMPORTER/VENDOR</t>
  </si>
  <si>
    <t>MILENIUM</t>
  </si>
  <si>
    <t>TIS LOGISTIC</t>
  </si>
  <si>
    <t>KYR</t>
  </si>
  <si>
    <t>FIDES</t>
  </si>
  <si>
    <t>ARMEX</t>
  </si>
  <si>
    <t>FARINA</t>
  </si>
  <si>
    <t>GEORG</t>
  </si>
  <si>
    <t>DLG</t>
  </si>
  <si>
    <t>NOT SETTLED DEALS</t>
  </si>
  <si>
    <t>TOTAL W/O RUB</t>
  </si>
  <si>
    <t>NET</t>
  </si>
  <si>
    <t>SUPPLIER</t>
  </si>
  <si>
    <t>INVOICE CCY</t>
  </si>
  <si>
    <t>INITIAL AMOUNT</t>
  </si>
  <si>
    <t>RESIDUAL AMOUNT</t>
  </si>
  <si>
    <t>PAY CCY</t>
  </si>
  <si>
    <t>RUB PAY AVAILABLE IN INVOICE CCY</t>
  </si>
  <si>
    <t>INVOICE #</t>
  </si>
  <si>
    <t>LAST PAYMENT DATE</t>
  </si>
  <si>
    <t>RUB AMOUNT</t>
  </si>
  <si>
    <t>RUB/FCCY</t>
  </si>
  <si>
    <t>20/09/2025</t>
  </si>
  <si>
    <t>28/09/2025</t>
  </si>
  <si>
    <t>15/09/2025</t>
  </si>
  <si>
    <t>Debit Note 99000445</t>
  </si>
  <si>
    <t>Debit Note 99000446</t>
  </si>
  <si>
    <t>191549,13 usd уступка</t>
  </si>
  <si>
    <t>Debit Note 99000456</t>
  </si>
  <si>
    <t>Debit Note 99000457</t>
  </si>
  <si>
    <t>19/08/2025</t>
  </si>
  <si>
    <t>20/08/2025</t>
  </si>
  <si>
    <t>26/08/2025</t>
  </si>
  <si>
    <t>29/08/2025</t>
  </si>
  <si>
    <t>Credit Note 99000480</t>
  </si>
  <si>
    <t>Credit Note 99000475</t>
  </si>
  <si>
    <t>Credit Note 99000481</t>
  </si>
  <si>
    <t>346,997.43  </t>
  </si>
  <si>
    <t xml:space="preserve">MAJESTİC TRADE </t>
  </si>
  <si>
    <t>Debit Note 99000492</t>
  </si>
  <si>
    <t xml:space="preserve"> Credit Note 99000493</t>
  </si>
  <si>
    <t>Debit Note 99000505</t>
  </si>
  <si>
    <t>GUELTA</t>
  </si>
  <si>
    <t>Plum Monix</t>
  </si>
  <si>
    <t>Great Family</t>
  </si>
  <si>
    <t>LC</t>
  </si>
  <si>
    <t>564,662.09 уступка</t>
  </si>
  <si>
    <t>25/09/2025</t>
  </si>
  <si>
    <t>Omurtag зад-ть</t>
  </si>
  <si>
    <t>24092025-984/Р</t>
  </si>
  <si>
    <t>RUSICH-8</t>
  </si>
  <si>
    <t>26092025-986/Р</t>
  </si>
  <si>
    <t>20082025-976/F</t>
  </si>
  <si>
    <t>20092025-976/F</t>
  </si>
  <si>
    <t>sea fighter</t>
  </si>
  <si>
    <t>12102025-1000/F</t>
  </si>
  <si>
    <t>sea fighter остаток</t>
  </si>
  <si>
    <t>Raphael</t>
  </si>
  <si>
    <t>12112025-1031/F</t>
  </si>
  <si>
    <t>задолженность по сверке</t>
  </si>
  <si>
    <t>26112025-1045/F</t>
  </si>
  <si>
    <t>BLUE SPIRIT</t>
  </si>
  <si>
    <t xml:space="preserve">разница между запланированной и фактической суммой, отложенной на фрахт Bodrum-m </t>
  </si>
  <si>
    <t>оплата с прихода корабля февраля</t>
  </si>
  <si>
    <t>26012026-1117/F</t>
  </si>
  <si>
    <t>BODRUM-M</t>
  </si>
  <si>
    <t>будущий фрахт</t>
  </si>
  <si>
    <t xml:space="preserve">COAL </t>
  </si>
  <si>
    <t xml:space="preserve">658 134,96 </t>
  </si>
  <si>
    <t xml:space="preserve">546 472,57 </t>
  </si>
  <si>
    <t>CCYUSD</t>
  </si>
  <si>
    <t>USDCCY</t>
  </si>
  <si>
    <t>POWER</t>
  </si>
  <si>
    <t>USDUSD</t>
  </si>
  <si>
    <t>USDEUR</t>
  </si>
  <si>
    <t>USDCNH</t>
  </si>
  <si>
    <t>CNH</t>
  </si>
  <si>
    <t>CNHRUB</t>
  </si>
  <si>
    <t>USDINR</t>
  </si>
  <si>
    <t>USDTRY</t>
  </si>
  <si>
    <t>AEDUSD</t>
  </si>
  <si>
    <t>BTC</t>
  </si>
  <si>
    <t>EUREUR</t>
  </si>
  <si>
    <t>CNYCNY</t>
  </si>
  <si>
    <t>CNYAED</t>
  </si>
  <si>
    <t>USDOMR</t>
  </si>
  <si>
    <t>USDTHB</t>
  </si>
  <si>
    <t>USDJPY</t>
  </si>
  <si>
    <t>USDUSDT</t>
  </si>
  <si>
    <t>USDTRUB</t>
  </si>
  <si>
    <t>USDTUSD</t>
  </si>
  <si>
    <t>BTCUSD</t>
  </si>
  <si>
    <t>ETHUSD</t>
  </si>
  <si>
    <t>BTCUSDT</t>
  </si>
  <si>
    <t>ETHUSDT</t>
  </si>
  <si>
    <t>USDBTC</t>
  </si>
  <si>
    <t>USDETH</t>
  </si>
  <si>
    <t>Status</t>
  </si>
  <si>
    <t>Business Line</t>
  </si>
  <si>
    <t>Banks</t>
  </si>
  <si>
    <t>SUPPLIERS</t>
  </si>
  <si>
    <t>PAYMENT STATUS</t>
  </si>
  <si>
    <t>DEAL STATUS</t>
  </si>
  <si>
    <t>SHOW</t>
  </si>
  <si>
    <t>AVL</t>
  </si>
  <si>
    <t>TENOR</t>
  </si>
  <si>
    <t>FCCY</t>
  </si>
  <si>
    <t>Paid (Not Received)</t>
  </si>
  <si>
    <t>Overdue</t>
  </si>
  <si>
    <t>🟪COMPLIANCE🛂</t>
  </si>
  <si>
    <t>🟣REFUND🔄</t>
  </si>
  <si>
    <t>IronOre</t>
  </si>
  <si>
    <t>LEGO</t>
  </si>
  <si>
    <t>Pumps</t>
  </si>
  <si>
    <t>Household</t>
  </si>
  <si>
    <t>AC</t>
  </si>
  <si>
    <t>Beverages</t>
  </si>
  <si>
    <t>Glass</t>
  </si>
  <si>
    <t>Fertilizers</t>
  </si>
  <si>
    <t>✅❌☑️🎱📌💸🔖💰📤📥🧾🪃🛂💲💹🅾️🆑✳️*️⃣🛄⏺️🅿️</t>
  </si>
  <si>
    <t>Assignment</t>
  </si>
  <si>
    <t>❤️🩷🧡💛💚💙🩵💜🤎🖤🩶❤️‍🔥🔴🟠🟡🟢🔵🟣🟤⚫🟥🟧🟨🟩🟦🟪🟫⬛</t>
  </si>
  <si>
    <t>Sawn Timber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</si>
</sst>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-* #,##0.0000\ _R_U_B_-;\-* #,##0.0000\ _R_U_B_-;_-* &quot;-&quot;????\ _R_U_B_-;_-@_-"/>
    <numFmt numFmtId="167" formatCode="_([$د.إ.-3801]* #,##0.00_);_([$د.إ.-3801]* \(#,##0.00\);_([$د.إ.-3801]* &quot;-&quot;??_);_(@_)"/>
    <numFmt numFmtId="168" formatCode="0.000000"/>
    <numFmt numFmtId="169" formatCode="##,##0.00,,&quot;M&quot;;[Red]\-##,##0.00,,&quot;M&quot;;\-"/>
    <numFmt numFmtId="170" formatCode="#,##0.00;[Red]\-#,##0.00;\-"/>
    <numFmt numFmtId="171" formatCode="dd/mm/yyyy;@"/>
    <numFmt numFmtId="172" formatCode="_ * #,##0.00_ ;_ * \-#,##0.00_ ;_ * &quot;-&quot;??_ ;_ @_ "/>
    <numFmt numFmtId="173" formatCode="\+#,##0.00;[Red]\-#,##0.00;\-"/>
    <numFmt numFmtId="174" formatCode="0.0000"/>
    <numFmt numFmtId="175" formatCode="\+#,##0.0000;[Red]\-#,##0.0000;\-"/>
    <numFmt numFmtId="176" formatCode="#,##0.0000_ ;[Red]\-#,##0.0000\ "/>
    <numFmt numFmtId="177" formatCode="[Blue]\+#,##0.00;[Red]\-#,##0.00;\-"/>
    <numFmt numFmtId="178" formatCode="\+#,##0.00,&quot;K&quot;;[Red]\-#,##0.00,&quot;K&quot;;\-"/>
    <numFmt numFmtId="179" formatCode="_-* #,##0.00\ _₽_-;\-* #,##0.00\ _₽_-;_-* &quot;-&quot;??\ _₽_-;_-@_-"/>
    <numFmt numFmtId="180" formatCode="#,##0.00_ ;[Red]\-#,##0.00\ "/>
    <numFmt numFmtId="181" formatCode="#,##0.00_ ;\-#,##0.00\ "/>
    <numFmt numFmtId="182" formatCode="[$$-409]#,##0.00"/>
    <numFmt numFmtId="183" formatCode="_-* #,##0_-;\-* #,##0_-;_-* &quot;-&quot;??_-;_-@_-"/>
    <numFmt numFmtId="184" formatCode="[$-409]d\-mmm\-yyyy;@"/>
    <numFmt numFmtId="185" formatCode="[$-10000]dd/mm/yyyy;@"/>
    <numFmt numFmtId="186" formatCode="_(&quot;$&quot;* #,##0_);_(&quot;$&quot;* \(#,##0\);_(&quot;$&quot;* &quot;-&quot;??_);_(@_)"/>
    <numFmt numFmtId="187" formatCode="[$AED]#,##0.00"/>
    <numFmt numFmtId="188" formatCode="[$AED]\ #,##0.00"/>
    <numFmt numFmtId="189" formatCode="[$AED]\ #,##0"/>
    <numFmt numFmtId="190" formatCode="#,##0.00\ [$$-C0C]"/>
    <numFmt numFmtId="191" formatCode="[$$]#,##0.00" x16r2:formatCode16="[$$-sn-Latn-ZW]#,##0.00"/>
    <numFmt numFmtId="192" formatCode="#,##0;[Red]\-#,##0;\-"/>
    <numFmt numFmtId="193" formatCode="##,##0.000,,&quot;M&quot;;[Red]\-##,##0.000,,&quot;M&quot;;\-"/>
  </numFmts>
  <fonts count="8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6"/>
      <color rgb="FF00B05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sz val="14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 (Body)"/>
    </font>
    <font>
      <sz val="14"/>
      <color theme="1"/>
      <name val="Calibri (Body)"/>
    </font>
    <font>
      <b/>
      <sz val="14"/>
      <color rgb="FFFF00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Aptos Narrow"/>
      <family val="2"/>
    </font>
    <font>
      <b/>
      <u/>
      <sz val="14"/>
      <color theme="1"/>
      <name val="Calibri"/>
      <family val="2"/>
      <scheme val="minor"/>
    </font>
    <font>
      <sz val="10"/>
      <name val="Calibri"/>
      <family val="2"/>
      <charset val="204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2E2E2E"/>
      <name val="EuclidCircularA"/>
      <charset val="1"/>
    </font>
    <font>
      <sz val="11"/>
      <color theme="1"/>
      <name val="Arial"/>
      <family val="2"/>
      <charset val="204"/>
    </font>
    <font>
      <sz val="11"/>
      <color rgb="FF242424"/>
      <name val="Aptos Narrow"/>
      <family val="2"/>
    </font>
    <font>
      <sz val="12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i/>
      <sz val="11"/>
      <color rgb="FF00B05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charset val="204"/>
    </font>
    <font>
      <b/>
      <i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92D050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b/>
      <i/>
      <sz val="14"/>
      <color theme="5" tint="-0.499984740745262"/>
      <name val="Calibri"/>
      <family val="2"/>
      <scheme val="minor"/>
    </font>
    <font>
      <b/>
      <i/>
      <sz val="12"/>
      <color theme="5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theme="1"/>
      <name val="Aptos"/>
    </font>
  </fonts>
  <fills count="5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DCE6F1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BE92D"/>
        <bgColor indexed="64"/>
      </patternFill>
    </fill>
    <fill>
      <patternFill patternType="solid">
        <fgColor rgb="FFB8FF66"/>
        <bgColor indexed="64"/>
      </patternFill>
    </fill>
    <fill>
      <patternFill patternType="solid">
        <fgColor rgb="FF8ED1BE"/>
        <bgColor indexed="64"/>
      </patternFill>
    </fill>
    <fill>
      <patternFill patternType="solid">
        <fgColor rgb="FF8ED19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2B8D1"/>
      </top>
      <bottom style="thin">
        <color rgb="FF02B8D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1">
    <xf numFmtId="0" fontId="0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4" fillId="0" borderId="0"/>
    <xf numFmtId="172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0" fillId="0" borderId="0"/>
    <xf numFmtId="172" fontId="10" fillId="0" borderId="0" applyFont="0" applyFill="0" applyBorder="0" applyAlignment="0" applyProtection="0"/>
    <xf numFmtId="0" fontId="10" fillId="0" borderId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1" fillId="0" borderId="0"/>
    <xf numFmtId="0" fontId="21" fillId="0" borderId="4"/>
    <xf numFmtId="172" fontId="21" fillId="0" borderId="0" applyFont="0" applyFill="0" applyBorder="0" applyAlignment="0" applyProtection="0"/>
    <xf numFmtId="0" fontId="21" fillId="0" borderId="0">
      <alignment wrapText="1"/>
    </xf>
    <xf numFmtId="0" fontId="10" fillId="0" borderId="0"/>
    <xf numFmtId="0" fontId="10" fillId="16" borderId="3" applyNumberFormat="0" applyFont="0" applyAlignment="0" applyProtection="0"/>
    <xf numFmtId="0" fontId="21" fillId="0" borderId="0"/>
    <xf numFmtId="0" fontId="22" fillId="17" borderId="5" applyNumberFormat="0" applyProtection="0">
      <alignment horizontal="left" vertical="center"/>
    </xf>
    <xf numFmtId="0" fontId="10" fillId="0" borderId="0"/>
    <xf numFmtId="43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3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17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3" fontId="8" fillId="2" borderId="2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43" fontId="11" fillId="12" borderId="1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9" fontId="11" fillId="12" borderId="2" xfId="0" applyNumberFormat="1" applyFont="1" applyFill="1" applyBorder="1" applyAlignment="1">
      <alignment horizontal="center" vertical="center"/>
    </xf>
    <xf numFmtId="169" fontId="11" fillId="12" borderId="2" xfId="1" applyNumberFormat="1" applyFont="1" applyFill="1" applyBorder="1" applyAlignment="1">
      <alignment horizontal="center" vertical="center"/>
    </xf>
    <xf numFmtId="170" fontId="7" fillId="3" borderId="0" xfId="1" applyNumberFormat="1" applyFont="1" applyFill="1" applyAlignment="1">
      <alignment horizontal="center" vertical="center"/>
    </xf>
    <xf numFmtId="169" fontId="11" fillId="3" borderId="0" xfId="1" applyNumberFormat="1" applyFont="1" applyFill="1" applyBorder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0" fontId="4" fillId="3" borderId="0" xfId="1" applyNumberFormat="1" applyFont="1" applyFill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69" fontId="11" fillId="3" borderId="1" xfId="1" applyNumberFormat="1" applyFont="1" applyFill="1" applyBorder="1" applyAlignment="1">
      <alignment horizontal="center" vertical="center"/>
    </xf>
    <xf numFmtId="169" fontId="11" fillId="3" borderId="1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0" fontId="7" fillId="8" borderId="0" xfId="0" applyFont="1" applyFill="1" applyAlignment="1">
      <alignment horizontal="left" vertical="center"/>
    </xf>
    <xf numFmtId="169" fontId="7" fillId="8" borderId="0" xfId="1" applyNumberFormat="1" applyFont="1" applyFill="1" applyAlignment="1">
      <alignment horizontal="center" vertical="center"/>
    </xf>
    <xf numFmtId="169" fontId="7" fillId="8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left" vertical="center"/>
    </xf>
    <xf numFmtId="169" fontId="7" fillId="15" borderId="0" xfId="1" applyNumberFormat="1" applyFont="1" applyFill="1" applyAlignment="1">
      <alignment horizontal="center" vertical="center"/>
    </xf>
    <xf numFmtId="169" fontId="7" fillId="15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1" fontId="8" fillId="11" borderId="0" xfId="1" applyNumberFormat="1" applyFont="1" applyFill="1" applyBorder="1" applyAlignment="1">
      <alignment horizontal="center" vertical="center"/>
    </xf>
    <xf numFmtId="171" fontId="8" fillId="2" borderId="2" xfId="0" applyNumberFormat="1" applyFont="1" applyFill="1" applyBorder="1" applyAlignment="1">
      <alignment horizontal="center" vertical="center"/>
    </xf>
    <xf numFmtId="171" fontId="5" fillId="11" borderId="0" xfId="0" applyNumberFormat="1" applyFont="1" applyFill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4" fontId="8" fillId="3" borderId="0" xfId="1" applyNumberFormat="1" applyFont="1" applyFill="1" applyBorder="1" applyAlignment="1">
      <alignment vertical="center"/>
    </xf>
    <xf numFmtId="10" fontId="7" fillId="3" borderId="0" xfId="0" applyNumberFormat="1" applyFont="1" applyFill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169" fontId="6" fillId="8" borderId="7" xfId="0" applyNumberFormat="1" applyFont="1" applyFill="1" applyBorder="1" applyAlignment="1">
      <alignment horizontal="center" vertical="center"/>
    </xf>
    <xf numFmtId="14" fontId="8" fillId="3" borderId="0" xfId="1" applyNumberFormat="1" applyFont="1" applyFill="1" applyBorder="1" applyAlignment="1">
      <alignment horizontal="left" vertical="top"/>
    </xf>
    <xf numFmtId="14" fontId="8" fillId="3" borderId="0" xfId="1" applyNumberFormat="1" applyFont="1" applyFill="1" applyBorder="1" applyAlignment="1">
      <alignment horizontal="left" vertical="center"/>
    </xf>
    <xf numFmtId="171" fontId="8" fillId="3" borderId="0" xfId="1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43" fontId="8" fillId="7" borderId="1" xfId="1" applyFont="1" applyFill="1" applyBorder="1" applyAlignment="1">
      <alignment horizontal="center" vertical="center"/>
    </xf>
    <xf numFmtId="171" fontId="8" fillId="7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3" fontId="8" fillId="9" borderId="1" xfId="1" applyFont="1" applyFill="1" applyBorder="1" applyAlignment="1">
      <alignment horizontal="center" vertical="center"/>
    </xf>
    <xf numFmtId="171" fontId="8" fillId="9" borderId="1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7" fillId="3" borderId="0" xfId="0" applyFont="1" applyFill="1"/>
    <xf numFmtId="0" fontId="6" fillId="8" borderId="6" xfId="0" applyFont="1" applyFill="1" applyBorder="1" applyAlignment="1">
      <alignment horizontal="center" vertical="center"/>
    </xf>
    <xf numFmtId="43" fontId="6" fillId="8" borderId="1" xfId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9" fontId="6" fillId="12" borderId="0" xfId="0" applyNumberFormat="1" applyFont="1" applyFill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/>
    <xf numFmtId="168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 applyProtection="1">
      <alignment horizontal="center" vertical="center"/>
      <protection locked="0"/>
    </xf>
    <xf numFmtId="167" fontId="7" fillId="0" borderId="8" xfId="0" applyNumberFormat="1" applyFont="1" applyBorder="1"/>
    <xf numFmtId="168" fontId="7" fillId="0" borderId="8" xfId="0" applyNumberFormat="1" applyFont="1" applyBorder="1" applyAlignment="1">
      <alignment horizontal="center" vertical="center"/>
    </xf>
    <xf numFmtId="43" fontId="7" fillId="0" borderId="8" xfId="4" applyFont="1" applyBorder="1"/>
    <xf numFmtId="0" fontId="8" fillId="18" borderId="1" xfId="0" applyFont="1" applyFill="1" applyBorder="1" applyAlignment="1">
      <alignment horizontal="center" vertical="center"/>
    </xf>
    <xf numFmtId="43" fontId="8" fillId="18" borderId="1" xfId="1" applyFont="1" applyFill="1" applyBorder="1" applyAlignment="1">
      <alignment horizontal="center" vertical="center"/>
    </xf>
    <xf numFmtId="171" fontId="8" fillId="18" borderId="1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9" fontId="6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7" fillId="3" borderId="9" xfId="0" applyFont="1" applyFill="1" applyBorder="1"/>
    <xf numFmtId="10" fontId="7" fillId="3" borderId="0" xfId="25" applyNumberFormat="1" applyFont="1" applyFill="1" applyAlignment="1">
      <alignment horizontal="center" vertical="center"/>
    </xf>
    <xf numFmtId="171" fontId="8" fillId="11" borderId="0" xfId="1" applyNumberFormat="1" applyFont="1" applyFill="1" applyAlignment="1">
      <alignment horizontal="center" vertical="center"/>
    </xf>
    <xf numFmtId="14" fontId="8" fillId="3" borderId="0" xfId="1" applyNumberFormat="1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43" fontId="8" fillId="2" borderId="2" xfId="1" applyFont="1" applyFill="1" applyBorder="1" applyAlignment="1">
      <alignment horizontal="center" vertical="center" wrapText="1"/>
    </xf>
    <xf numFmtId="171" fontId="8" fillId="2" borderId="2" xfId="0" applyNumberFormat="1" applyFont="1" applyFill="1" applyBorder="1" applyAlignment="1">
      <alignment horizontal="center" vertical="center" wrapText="1"/>
    </xf>
    <xf numFmtId="10" fontId="19" fillId="19" borderId="0" xfId="0" applyNumberFormat="1" applyFont="1" applyFill="1" applyAlignment="1">
      <alignment horizontal="center" vertical="center" wrapText="1"/>
    </xf>
    <xf numFmtId="4" fontId="5" fillId="3" borderId="0" xfId="1" applyNumberFormat="1" applyFont="1" applyFill="1" applyAlignment="1">
      <alignment vertical="center"/>
    </xf>
    <xf numFmtId="170" fontId="17" fillId="3" borderId="0" xfId="1" applyNumberFormat="1" applyFont="1" applyFill="1" applyAlignment="1">
      <alignment horizontal="center" vertical="center"/>
    </xf>
    <xf numFmtId="171" fontId="11" fillId="13" borderId="0" xfId="0" applyNumberFormat="1" applyFont="1" applyFill="1" applyAlignment="1">
      <alignment horizontal="center" vertical="center"/>
    </xf>
    <xf numFmtId="171" fontId="11" fillId="3" borderId="0" xfId="0" applyNumberFormat="1" applyFont="1" applyFill="1" applyAlignment="1">
      <alignment horizontal="center" vertical="center"/>
    </xf>
    <xf numFmtId="171" fontId="6" fillId="13" borderId="0" xfId="0" applyNumberFormat="1" applyFont="1" applyFill="1" applyAlignment="1">
      <alignment horizontal="center"/>
    </xf>
    <xf numFmtId="171" fontId="7" fillId="3" borderId="0" xfId="0" applyNumberFormat="1" applyFont="1" applyFill="1"/>
    <xf numFmtId="171" fontId="15" fillId="3" borderId="0" xfId="0" applyNumberFormat="1" applyFont="1" applyFill="1" applyAlignment="1">
      <alignment horizontal="center" vertical="center"/>
    </xf>
    <xf numFmtId="171" fontId="7" fillId="3" borderId="9" xfId="0" applyNumberFormat="1" applyFont="1" applyFill="1" applyBorder="1"/>
    <xf numFmtId="171" fontId="6" fillId="3" borderId="0" xfId="0" applyNumberFormat="1" applyFont="1" applyFill="1" applyAlignment="1">
      <alignment horizontal="left" vertical="center"/>
    </xf>
    <xf numFmtId="0" fontId="18" fillId="9" borderId="9" xfId="0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173" fontId="6" fillId="9" borderId="1" xfId="0" applyNumberFormat="1" applyFont="1" applyFill="1" applyBorder="1" applyAlignment="1">
      <alignment horizontal="center" vertical="center"/>
    </xf>
    <xf numFmtId="174" fontId="6" fillId="9" borderId="1" xfId="0" applyNumberFormat="1" applyFont="1" applyFill="1" applyBorder="1" applyAlignment="1">
      <alignment horizontal="center" vertical="center"/>
    </xf>
    <xf numFmtId="175" fontId="6" fillId="9" borderId="1" xfId="0" applyNumberFormat="1" applyFont="1" applyFill="1" applyBorder="1" applyAlignment="1">
      <alignment horizontal="center" vertical="center"/>
    </xf>
    <xf numFmtId="10" fontId="6" fillId="9" borderId="9" xfId="0" applyNumberFormat="1" applyFont="1" applyFill="1" applyBorder="1" applyAlignment="1">
      <alignment horizontal="center" vertical="center"/>
    </xf>
    <xf numFmtId="0" fontId="0" fillId="3" borderId="0" xfId="0" applyFill="1"/>
    <xf numFmtId="173" fontId="7" fillId="3" borderId="0" xfId="0" applyNumberFormat="1" applyFont="1" applyFill="1" applyAlignment="1">
      <alignment horizontal="center" vertical="center"/>
    </xf>
    <xf numFmtId="174" fontId="7" fillId="3" borderId="0" xfId="0" applyNumberFormat="1" applyFont="1" applyFill="1" applyAlignment="1">
      <alignment horizontal="center" vertical="center"/>
    </xf>
    <xf numFmtId="175" fontId="7" fillId="3" borderId="0" xfId="0" applyNumberFormat="1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0" fontId="7" fillId="0" borderId="8" xfId="25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171" fontId="6" fillId="3" borderId="0" xfId="0" applyNumberFormat="1" applyFont="1" applyFill="1" applyAlignment="1">
      <alignment horizontal="center" vertical="center"/>
    </xf>
    <xf numFmtId="169" fontId="7" fillId="22" borderId="0" xfId="1" applyNumberFormat="1" applyFont="1" applyFill="1" applyAlignment="1">
      <alignment horizontal="center" vertical="center"/>
    </xf>
    <xf numFmtId="169" fontId="7" fillId="22" borderId="1" xfId="1" applyNumberFormat="1" applyFont="1" applyFill="1" applyBorder="1" applyAlignment="1">
      <alignment horizontal="center" vertical="center"/>
    </xf>
    <xf numFmtId="171" fontId="6" fillId="13" borderId="1" xfId="0" applyNumberFormat="1" applyFont="1" applyFill="1" applyBorder="1" applyAlignment="1">
      <alignment horizontal="center" vertical="center"/>
    </xf>
    <xf numFmtId="178" fontId="7" fillId="22" borderId="0" xfId="1" applyNumberFormat="1" applyFont="1" applyFill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0" fontId="25" fillId="3" borderId="1" xfId="25" applyNumberFormat="1" applyFont="1" applyFill="1" applyBorder="1" applyAlignment="1">
      <alignment horizontal="center" vertical="center"/>
    </xf>
    <xf numFmtId="10" fontId="6" fillId="3" borderId="1" xfId="25" applyNumberFormat="1" applyFont="1" applyFill="1" applyBorder="1" applyAlignment="1">
      <alignment horizontal="center" vertical="center"/>
    </xf>
    <xf numFmtId="10" fontId="24" fillId="3" borderId="1" xfId="25" applyNumberFormat="1" applyFont="1" applyFill="1" applyBorder="1" applyAlignment="1">
      <alignment horizontal="center" vertical="center"/>
    </xf>
    <xf numFmtId="169" fontId="25" fillId="3" borderId="0" xfId="1" applyNumberFormat="1" applyFont="1" applyFill="1" applyAlignment="1">
      <alignment horizontal="center" vertical="center"/>
    </xf>
    <xf numFmtId="178" fontId="25" fillId="3" borderId="0" xfId="1" applyNumberFormat="1" applyFont="1" applyFill="1" applyAlignment="1">
      <alignment horizontal="center" vertical="center"/>
    </xf>
    <xf numFmtId="178" fontId="6" fillId="3" borderId="0" xfId="1" applyNumberFormat="1" applyFont="1" applyFill="1" applyAlignment="1">
      <alignment horizontal="center" vertical="center"/>
    </xf>
    <xf numFmtId="178" fontId="24" fillId="3" borderId="0" xfId="1" applyNumberFormat="1" applyFont="1" applyFill="1" applyAlignment="1">
      <alignment horizontal="center" vertical="center"/>
    </xf>
    <xf numFmtId="171" fontId="6" fillId="13" borderId="1" xfId="0" applyNumberFormat="1" applyFont="1" applyFill="1" applyBorder="1" applyAlignment="1">
      <alignment vertical="center"/>
    </xf>
    <xf numFmtId="174" fontId="6" fillId="0" borderId="8" xfId="0" applyNumberFormat="1" applyFont="1" applyBorder="1" applyAlignment="1">
      <alignment horizontal="center" vertical="center"/>
    </xf>
    <xf numFmtId="174" fontId="7" fillId="0" borderId="8" xfId="0" applyNumberFormat="1" applyFont="1" applyBorder="1" applyAlignment="1">
      <alignment horizontal="center" vertical="center"/>
    </xf>
    <xf numFmtId="9" fontId="6" fillId="3" borderId="1" xfId="25" applyFont="1" applyFill="1" applyBorder="1" applyAlignment="1">
      <alignment horizontal="center" vertical="center"/>
    </xf>
    <xf numFmtId="9" fontId="24" fillId="3" borderId="1" xfId="25" applyFont="1" applyFill="1" applyBorder="1" applyAlignment="1">
      <alignment horizontal="center" vertical="center"/>
    </xf>
    <xf numFmtId="175" fontId="7" fillId="3" borderId="0" xfId="0" quotePrefix="1" applyNumberFormat="1" applyFont="1" applyFill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4" fontId="8" fillId="3" borderId="0" xfId="0" applyNumberFormat="1" applyFont="1" applyFill="1" applyAlignment="1">
      <alignment vertical="center"/>
    </xf>
    <xf numFmtId="4" fontId="12" fillId="4" borderId="0" xfId="1" applyNumberFormat="1" applyFont="1" applyFill="1" applyAlignment="1">
      <alignment horizontal="center" vertical="center"/>
    </xf>
    <xf numFmtId="4" fontId="12" fillId="10" borderId="0" xfId="1" applyNumberFormat="1" applyFont="1" applyFill="1" applyAlignment="1">
      <alignment horizontal="center" vertical="center"/>
    </xf>
    <xf numFmtId="4" fontId="12" fillId="8" borderId="0" xfId="1" applyNumberFormat="1" applyFont="1" applyFill="1" applyAlignment="1">
      <alignment horizontal="center" vertical="center"/>
    </xf>
    <xf numFmtId="4" fontId="12" fillId="8" borderId="0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170" fontId="7" fillId="3" borderId="0" xfId="1" applyNumberFormat="1" applyFont="1" applyFill="1" applyBorder="1" applyAlignment="1">
      <alignment horizontal="center" vertical="center"/>
    </xf>
    <xf numFmtId="4" fontId="16" fillId="3" borderId="0" xfId="0" applyNumberFormat="1" applyFont="1" applyFill="1" applyAlignment="1">
      <alignment horizontal="center" vertical="center"/>
    </xf>
    <xf numFmtId="169" fontId="11" fillId="3" borderId="0" xfId="1" applyNumberFormat="1" applyFont="1" applyFill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169" fontId="11" fillId="8" borderId="2" xfId="0" applyNumberFormat="1" applyFont="1" applyFill="1" applyBorder="1" applyAlignment="1">
      <alignment horizontal="center" vertical="center"/>
    </xf>
    <xf numFmtId="169" fontId="6" fillId="3" borderId="0" xfId="1" applyNumberFormat="1" applyFont="1" applyFill="1" applyBorder="1" applyAlignment="1">
      <alignment horizontal="center" vertical="center"/>
    </xf>
    <xf numFmtId="169" fontId="6" fillId="3" borderId="0" xfId="1" applyNumberFormat="1" applyFont="1" applyFill="1" applyAlignment="1">
      <alignment horizontal="center" vertical="center"/>
    </xf>
    <xf numFmtId="180" fontId="7" fillId="3" borderId="0" xfId="0" applyNumberFormat="1" applyFont="1" applyFill="1" applyAlignment="1">
      <alignment horizontal="center" vertical="center"/>
    </xf>
    <xf numFmtId="4" fontId="12" fillId="14" borderId="0" xfId="1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0" fontId="12" fillId="3" borderId="0" xfId="1" applyNumberFormat="1" applyFont="1" applyFill="1" applyAlignment="1">
      <alignment horizontal="center" vertical="center"/>
    </xf>
    <xf numFmtId="171" fontId="12" fillId="3" borderId="0" xfId="0" applyNumberFormat="1" applyFont="1" applyFill="1" applyAlignment="1">
      <alignment horizontal="center" vertical="center"/>
    </xf>
    <xf numFmtId="171" fontId="12" fillId="11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center"/>
    </xf>
    <xf numFmtId="170" fontId="12" fillId="8" borderId="0" xfId="1" applyNumberFormat="1" applyFont="1" applyFill="1" applyAlignment="1">
      <alignment horizontal="center" vertical="center"/>
    </xf>
    <xf numFmtId="171" fontId="8" fillId="3" borderId="0" xfId="1" applyNumberFormat="1" applyFont="1" applyFill="1" applyBorder="1" applyAlignment="1">
      <alignment horizontal="center" vertical="center"/>
    </xf>
    <xf numFmtId="173" fontId="19" fillId="19" borderId="0" xfId="0" applyNumberFormat="1" applyFont="1" applyFill="1" applyAlignment="1">
      <alignment horizontal="center" vertical="center"/>
    </xf>
    <xf numFmtId="4" fontId="12" fillId="10" borderId="0" xfId="1" applyNumberFormat="1" applyFont="1" applyFill="1" applyBorder="1" applyAlignment="1">
      <alignment horizontal="center" vertical="center"/>
    </xf>
    <xf numFmtId="4" fontId="12" fillId="20" borderId="0" xfId="1" applyNumberFormat="1" applyFont="1" applyFill="1" applyBorder="1" applyAlignment="1">
      <alignment horizontal="center" vertical="center"/>
    </xf>
    <xf numFmtId="169" fontId="7" fillId="22" borderId="0" xfId="1" applyNumberFormat="1" applyFont="1" applyFill="1" applyAlignment="1">
      <alignment horizontal="center" vertical="center" wrapText="1"/>
    </xf>
    <xf numFmtId="178" fontId="7" fillId="22" borderId="0" xfId="1" applyNumberFormat="1" applyFont="1" applyFill="1" applyAlignment="1">
      <alignment horizontal="center" vertical="center" wrapText="1"/>
    </xf>
    <xf numFmtId="0" fontId="6" fillId="8" borderId="1" xfId="0" applyFont="1" applyFill="1" applyBorder="1" applyAlignment="1" applyProtection="1">
      <alignment horizontal="center" vertical="center"/>
      <protection hidden="1"/>
    </xf>
    <xf numFmtId="0" fontId="6" fillId="8" borderId="1" xfId="0" applyFont="1" applyFill="1" applyBorder="1" applyAlignment="1" applyProtection="1">
      <alignment horizontal="center" vertical="center" wrapText="1"/>
      <protection hidden="1"/>
    </xf>
    <xf numFmtId="0" fontId="6" fillId="13" borderId="1" xfId="0" applyFont="1" applyFill="1" applyBorder="1" applyAlignment="1" applyProtection="1">
      <alignment horizontal="center" vertical="center" wrapText="1"/>
      <protection hidden="1"/>
    </xf>
    <xf numFmtId="0" fontId="6" fillId="12" borderId="1" xfId="0" applyFont="1" applyFill="1" applyBorder="1" applyAlignment="1" applyProtection="1">
      <alignment horizontal="center" vertical="center" wrapText="1"/>
      <protection hidden="1"/>
    </xf>
    <xf numFmtId="0" fontId="6" fillId="21" borderId="1" xfId="0" applyFont="1" applyFill="1" applyBorder="1" applyAlignment="1" applyProtection="1">
      <alignment horizontal="center" vertical="center" wrapText="1"/>
      <protection hidden="1"/>
    </xf>
    <xf numFmtId="0" fontId="6" fillId="18" borderId="1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wrapText="1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11" borderId="0" xfId="0" applyFont="1" applyFill="1" applyAlignment="1" applyProtection="1">
      <alignment horizontal="center"/>
      <protection hidden="1"/>
    </xf>
    <xf numFmtId="177" fontId="7" fillId="11" borderId="0" xfId="0" applyNumberFormat="1" applyFont="1" applyFill="1" applyAlignment="1" applyProtection="1">
      <alignment horizontal="center" vertical="center"/>
      <protection hidden="1"/>
    </xf>
    <xf numFmtId="177" fontId="7" fillId="3" borderId="0" xfId="0" applyNumberFormat="1" applyFont="1" applyFill="1" applyAlignment="1" applyProtection="1">
      <alignment horizontal="center" vertical="center"/>
      <protection hidden="1"/>
    </xf>
    <xf numFmtId="171" fontId="7" fillId="11" borderId="0" xfId="0" applyNumberFormat="1" applyFont="1" applyFill="1" applyAlignment="1" applyProtection="1">
      <alignment horizontal="center" vertical="center"/>
      <protection hidden="1"/>
    </xf>
    <xf numFmtId="0" fontId="7" fillId="11" borderId="0" xfId="0" applyFont="1" applyFill="1" applyAlignment="1" applyProtection="1">
      <alignment horizontal="center" vertical="center"/>
      <protection hidden="1"/>
    </xf>
    <xf numFmtId="10" fontId="7" fillId="3" borderId="0" xfId="25" applyNumberFormat="1" applyFont="1" applyFill="1" applyAlignment="1" applyProtection="1">
      <alignment horizontal="center" vertical="center"/>
      <protection hidden="1"/>
    </xf>
    <xf numFmtId="10" fontId="7" fillId="11" borderId="0" xfId="25" applyNumberFormat="1" applyFont="1" applyFill="1" applyAlignment="1" applyProtection="1">
      <alignment horizontal="center" vertical="center"/>
      <protection hidden="1"/>
    </xf>
    <xf numFmtId="175" fontId="7" fillId="3" borderId="0" xfId="0" applyNumberFormat="1" applyFont="1" applyFill="1" applyAlignment="1" applyProtection="1">
      <alignment horizontal="center" vertical="center"/>
      <protection hidden="1"/>
    </xf>
    <xf numFmtId="174" fontId="7" fillId="2" borderId="0" xfId="0" applyNumberFormat="1" applyFont="1" applyFill="1" applyAlignment="1" applyProtection="1">
      <alignment horizontal="center" vertical="center"/>
      <protection hidden="1"/>
    </xf>
    <xf numFmtId="174" fontId="7" fillId="3" borderId="0" xfId="0" applyNumberFormat="1" applyFont="1" applyFill="1" applyAlignment="1" applyProtection="1">
      <alignment horizontal="center" vertical="center"/>
      <protection hidden="1"/>
    </xf>
    <xf numFmtId="176" fontId="7" fillId="3" borderId="0" xfId="0" applyNumberFormat="1" applyFont="1" applyFill="1" applyAlignment="1" applyProtection="1">
      <alignment horizontal="center" vertical="center"/>
      <protection hidden="1"/>
    </xf>
    <xf numFmtId="170" fontId="7" fillId="5" borderId="0" xfId="0" applyNumberFormat="1" applyFont="1" applyFill="1" applyAlignment="1" applyProtection="1">
      <alignment horizontal="center" vertical="center"/>
      <protection hidden="1"/>
    </xf>
    <xf numFmtId="0" fontId="7" fillId="3" borderId="0" xfId="0" applyFont="1" applyFill="1" applyProtection="1">
      <protection hidden="1"/>
    </xf>
    <xf numFmtId="0" fontId="27" fillId="11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27" fillId="3" borderId="0" xfId="0" applyFont="1" applyFill="1" applyAlignment="1" applyProtection="1">
      <alignment horizontal="center"/>
      <protection hidden="1"/>
    </xf>
    <xf numFmtId="171" fontId="7" fillId="3" borderId="0" xfId="0" applyNumberFormat="1" applyFont="1" applyFill="1" applyAlignment="1" applyProtection="1">
      <alignment horizontal="center" vertical="center"/>
      <protection hidden="1"/>
    </xf>
    <xf numFmtId="170" fontId="7" fillId="3" borderId="0" xfId="0" applyNumberFormat="1" applyFont="1" applyFill="1" applyAlignment="1" applyProtection="1">
      <alignment horizontal="center" vertical="center"/>
      <protection hidden="1"/>
    </xf>
    <xf numFmtId="0" fontId="19" fillId="11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vertical="center"/>
      <protection hidden="1"/>
    </xf>
    <xf numFmtId="171" fontId="7" fillId="3" borderId="0" xfId="0" applyNumberFormat="1" applyFont="1" applyFill="1" applyProtection="1">
      <protection hidden="1"/>
    </xf>
    <xf numFmtId="0" fontId="11" fillId="8" borderId="0" xfId="0" applyFont="1" applyFill="1" applyAlignment="1">
      <alignment horizontal="center" vertical="center"/>
    </xf>
    <xf numFmtId="169" fontId="11" fillId="8" borderId="0" xfId="0" applyNumberFormat="1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169" fontId="11" fillId="15" borderId="0" xfId="0" applyNumberFormat="1" applyFont="1" applyFill="1" applyAlignment="1">
      <alignment horizontal="center" vertical="center"/>
    </xf>
    <xf numFmtId="4" fontId="12" fillId="12" borderId="0" xfId="1" applyNumberFormat="1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9" fontId="11" fillId="8" borderId="1" xfId="0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69" fontId="11" fillId="12" borderId="0" xfId="0" applyNumberFormat="1" applyFont="1" applyFill="1" applyAlignment="1">
      <alignment horizontal="center" vertical="center"/>
    </xf>
    <xf numFmtId="177" fontId="16" fillId="3" borderId="0" xfId="0" applyNumberFormat="1" applyFont="1" applyFill="1" applyAlignment="1" applyProtection="1">
      <alignment horizontal="center" vertical="center"/>
      <protection hidden="1"/>
    </xf>
    <xf numFmtId="0" fontId="28" fillId="24" borderId="0" xfId="0" applyFont="1" applyFill="1" applyAlignment="1">
      <alignment horizontal="center" vertical="center"/>
    </xf>
    <xf numFmtId="169" fontId="7" fillId="22" borderId="0" xfId="1" applyNumberFormat="1" applyFont="1" applyFill="1" applyBorder="1" applyAlignment="1">
      <alignment horizontal="center" vertical="center"/>
    </xf>
    <xf numFmtId="178" fontId="7" fillId="22" borderId="0" xfId="1" applyNumberFormat="1" applyFont="1" applyFill="1" applyBorder="1" applyAlignment="1">
      <alignment horizontal="center" vertical="center"/>
    </xf>
    <xf numFmtId="0" fontId="9" fillId="0" borderId="0" xfId="39"/>
    <xf numFmtId="4" fontId="7" fillId="3" borderId="0" xfId="0" applyNumberFormat="1" applyFont="1" applyFill="1" applyAlignment="1">
      <alignment horizontal="center" vertical="center"/>
    </xf>
    <xf numFmtId="0" fontId="6" fillId="15" borderId="1" xfId="0" applyFont="1" applyFill="1" applyBorder="1" applyAlignment="1" applyProtection="1">
      <alignment horizontal="center" vertical="center" wrapText="1"/>
      <protection hidden="1"/>
    </xf>
    <xf numFmtId="0" fontId="32" fillId="3" borderId="0" xfId="0" applyFont="1" applyFill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171" fontId="6" fillId="23" borderId="0" xfId="0" applyNumberFormat="1" applyFont="1" applyFill="1" applyAlignment="1" applyProtection="1">
      <alignment horizontal="center" vertical="center"/>
      <protection hidden="1"/>
    </xf>
    <xf numFmtId="0" fontId="6" fillId="23" borderId="0" xfId="0" applyFont="1" applyFill="1" applyAlignment="1">
      <alignment horizontal="center" vertical="center"/>
    </xf>
    <xf numFmtId="181" fontId="6" fillId="23" borderId="0" xfId="0" applyNumberFormat="1" applyFont="1" applyFill="1" applyAlignment="1">
      <alignment horizontal="center" vertical="center"/>
    </xf>
    <xf numFmtId="169" fontId="6" fillId="2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23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169" fontId="6" fillId="25" borderId="0" xfId="0" applyNumberFormat="1" applyFont="1" applyFill="1" applyAlignment="1">
      <alignment horizontal="center" vertical="center"/>
    </xf>
    <xf numFmtId="0" fontId="34" fillId="2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170" fontId="34" fillId="3" borderId="0" xfId="1" applyNumberFormat="1" applyFont="1" applyFill="1" applyAlignment="1">
      <alignment horizontal="center" vertical="center"/>
    </xf>
    <xf numFmtId="4" fontId="34" fillId="3" borderId="0" xfId="0" applyNumberFormat="1" applyFont="1" applyFill="1" applyAlignment="1">
      <alignment horizontal="center" vertical="center"/>
    </xf>
    <xf numFmtId="171" fontId="34" fillId="11" borderId="0" xfId="0" applyNumberFormat="1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/>
      <protection hidden="1"/>
    </xf>
    <xf numFmtId="171" fontId="7" fillId="7" borderId="0" xfId="0" applyNumberFormat="1" applyFont="1" applyFill="1" applyAlignment="1" applyProtection="1">
      <alignment horizontal="center" vertical="center"/>
      <protection hidden="1"/>
    </xf>
    <xf numFmtId="177" fontId="7" fillId="7" borderId="0" xfId="0" applyNumberFormat="1" applyFont="1" applyFill="1" applyAlignment="1" applyProtection="1">
      <alignment horizontal="center" vertical="center"/>
      <protection hidden="1"/>
    </xf>
    <xf numFmtId="0" fontId="27" fillId="7" borderId="0" xfId="0" applyFont="1" applyFill="1" applyAlignment="1" applyProtection="1">
      <alignment horizontal="center"/>
      <protection hidden="1"/>
    </xf>
    <xf numFmtId="0" fontId="7" fillId="0" borderId="0" xfId="0" applyFont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20" borderId="0" xfId="0" applyFill="1"/>
    <xf numFmtId="10" fontId="7" fillId="7" borderId="0" xfId="25" applyNumberFormat="1" applyFont="1" applyFill="1" applyAlignment="1" applyProtection="1">
      <alignment horizontal="center" vertical="center"/>
      <protection hidden="1"/>
    </xf>
    <xf numFmtId="0" fontId="1" fillId="3" borderId="0" xfId="0" applyFont="1" applyFill="1" applyAlignment="1">
      <alignment horizontal="center" vertical="center"/>
    </xf>
    <xf numFmtId="171" fontId="1" fillId="3" borderId="0" xfId="0" applyNumberFormat="1" applyFont="1" applyFill="1" applyAlignment="1">
      <alignment horizontal="center" vertical="center"/>
    </xf>
    <xf numFmtId="170" fontId="1" fillId="3" borderId="0" xfId="1" applyNumberFormat="1" applyFont="1" applyFill="1" applyAlignment="1">
      <alignment horizontal="center" vertical="center"/>
    </xf>
    <xf numFmtId="171" fontId="1" fillId="11" borderId="0" xfId="0" applyNumberFormat="1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9" fontId="1" fillId="4" borderId="0" xfId="0" applyNumberFormat="1" applyFont="1" applyFill="1" applyAlignment="1">
      <alignment horizontal="center" vertical="center"/>
    </xf>
    <xf numFmtId="4" fontId="1" fillId="21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9" fontId="1" fillId="10" borderId="0" xfId="0" applyNumberFormat="1" applyFont="1" applyFill="1" applyAlignment="1">
      <alignment horizontal="center" vertical="center"/>
    </xf>
    <xf numFmtId="4" fontId="1" fillId="24" borderId="0" xfId="0" applyNumberFormat="1" applyFont="1" applyFill="1" applyAlignment="1">
      <alignment horizontal="center" vertical="center"/>
    </xf>
    <xf numFmtId="180" fontId="1" fillId="2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" fontId="1" fillId="5" borderId="0" xfId="1" applyNumberFormat="1" applyFont="1" applyFill="1" applyAlignment="1">
      <alignment horizontal="center" vertical="center"/>
    </xf>
    <xf numFmtId="169" fontId="1" fillId="5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" fontId="1" fillId="7" borderId="0" xfId="1" applyNumberFormat="1" applyFont="1" applyFill="1" applyAlignment="1">
      <alignment horizontal="center" vertical="center"/>
    </xf>
    <xf numFmtId="169" fontId="1" fillId="7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" fontId="1" fillId="6" borderId="0" xfId="1" applyNumberFormat="1" applyFont="1" applyFill="1" applyAlignment="1">
      <alignment horizontal="center" vertical="center"/>
    </xf>
    <xf numFmtId="169" fontId="1" fillId="6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9" fontId="1" fillId="8" borderId="0" xfId="0" applyNumberFormat="1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69" fontId="1" fillId="14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9" fontId="1" fillId="12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9" fontId="1" fillId="20" borderId="0" xfId="0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3" borderId="0" xfId="1" applyNumberFormat="1" applyFont="1" applyFill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4" fontId="1" fillId="4" borderId="0" xfId="1" applyNumberFormat="1" applyFont="1" applyFill="1" applyAlignment="1">
      <alignment horizontal="center" vertical="center"/>
    </xf>
    <xf numFmtId="170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23" borderId="0" xfId="0" applyFont="1" applyFill="1" applyAlignment="1">
      <alignment horizontal="center" vertical="center"/>
    </xf>
    <xf numFmtId="170" fontId="1" fillId="23" borderId="0" xfId="0" applyNumberFormat="1" applyFont="1" applyFill="1" applyAlignment="1">
      <alignment horizontal="center" vertical="center"/>
    </xf>
    <xf numFmtId="171" fontId="1" fillId="23" borderId="0" xfId="0" applyNumberFormat="1" applyFont="1" applyFill="1" applyAlignment="1">
      <alignment horizontal="center" vertical="center"/>
    </xf>
    <xf numFmtId="0" fontId="1" fillId="2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4" fontId="1" fillId="23" borderId="0" xfId="0" applyNumberFormat="1" applyFont="1" applyFill="1" applyAlignment="1">
      <alignment horizontal="center" vertical="center"/>
    </xf>
    <xf numFmtId="182" fontId="1" fillId="3" borderId="0" xfId="0" applyNumberFormat="1" applyFont="1" applyFill="1" applyAlignment="1">
      <alignment horizontal="left" vertical="center"/>
    </xf>
    <xf numFmtId="171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center"/>
    </xf>
    <xf numFmtId="170" fontId="1" fillId="8" borderId="0" xfId="1" applyNumberFormat="1" applyFont="1" applyFill="1" applyAlignment="1">
      <alignment horizontal="center" vertical="center"/>
    </xf>
    <xf numFmtId="170" fontId="1" fillId="3" borderId="0" xfId="1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39" fillId="0" borderId="0" xfId="0" applyFont="1"/>
    <xf numFmtId="0" fontId="7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4" fontId="17" fillId="3" borderId="0" xfId="0" applyNumberFormat="1" applyFont="1" applyFill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4" fontId="12" fillId="34" borderId="0" xfId="1" applyNumberFormat="1" applyFont="1" applyFill="1" applyAlignment="1">
      <alignment horizontal="center" vertical="center"/>
    </xf>
    <xf numFmtId="169" fontId="1" fillId="34" borderId="0" xfId="0" applyNumberFormat="1" applyFont="1" applyFill="1" applyAlignment="1">
      <alignment horizontal="center" vertical="center"/>
    </xf>
    <xf numFmtId="4" fontId="1" fillId="34" borderId="0" xfId="1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9" fontId="11" fillId="8" borderId="6" xfId="0" applyNumberFormat="1" applyFont="1" applyFill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4" fontId="1" fillId="26" borderId="0" xfId="1" applyNumberFormat="1" applyFont="1" applyFill="1" applyAlignment="1">
      <alignment horizontal="center" vertical="center"/>
    </xf>
    <xf numFmtId="169" fontId="1" fillId="26" borderId="0" xfId="0" applyNumberFormat="1" applyFont="1" applyFill="1" applyAlignment="1">
      <alignment horizontal="center" vertical="center"/>
    </xf>
    <xf numFmtId="4" fontId="1" fillId="14" borderId="0" xfId="1" applyNumberFormat="1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4" fontId="1" fillId="25" borderId="0" xfId="1" applyNumberFormat="1" applyFont="1" applyFill="1" applyAlignment="1">
      <alignment horizontal="center" vertical="center"/>
    </xf>
    <xf numFmtId="169" fontId="1" fillId="25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4" fontId="1" fillId="5" borderId="0" xfId="1" applyNumberFormat="1" applyFont="1" applyFill="1" applyAlignment="1">
      <alignment horizontal="center" vertical="center" wrapText="1"/>
    </xf>
    <xf numFmtId="0" fontId="1" fillId="36" borderId="0" xfId="0" applyFont="1" applyFill="1" applyAlignment="1">
      <alignment horizontal="center" vertical="center"/>
    </xf>
    <xf numFmtId="4" fontId="1" fillId="36" borderId="0" xfId="1" applyNumberFormat="1" applyFont="1" applyFill="1" applyAlignment="1">
      <alignment horizontal="center" vertical="center"/>
    </xf>
    <xf numFmtId="169" fontId="1" fillId="36" borderId="0" xfId="0" applyNumberFormat="1" applyFont="1" applyFill="1" applyAlignment="1">
      <alignment horizontal="center" vertical="center"/>
    </xf>
    <xf numFmtId="0" fontId="1" fillId="37" borderId="0" xfId="0" applyFont="1" applyFill="1" applyAlignment="1">
      <alignment horizontal="center" vertical="center"/>
    </xf>
    <xf numFmtId="4" fontId="1" fillId="37" borderId="0" xfId="1" applyNumberFormat="1" applyFont="1" applyFill="1" applyAlignment="1">
      <alignment horizontal="center" vertical="center"/>
    </xf>
    <xf numFmtId="169" fontId="1" fillId="37" borderId="0" xfId="0" applyNumberFormat="1" applyFont="1" applyFill="1" applyAlignment="1">
      <alignment horizontal="center" vertical="center"/>
    </xf>
    <xf numFmtId="4" fontId="12" fillId="37" borderId="0" xfId="1" applyNumberFormat="1" applyFont="1" applyFill="1" applyAlignment="1">
      <alignment horizontal="center" vertical="center"/>
    </xf>
    <xf numFmtId="4" fontId="12" fillId="37" borderId="0" xfId="1" applyNumberFormat="1" applyFont="1" applyFill="1" applyBorder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4" fontId="12" fillId="38" borderId="0" xfId="1" applyNumberFormat="1" applyFont="1" applyFill="1" applyAlignment="1">
      <alignment horizontal="center" vertical="center"/>
    </xf>
    <xf numFmtId="169" fontId="1" fillId="38" borderId="0" xfId="0" applyNumberFormat="1" applyFont="1" applyFill="1" applyAlignment="1">
      <alignment horizontal="center" vertical="center"/>
    </xf>
    <xf numFmtId="0" fontId="1" fillId="39" borderId="0" xfId="0" applyFont="1" applyFill="1" applyAlignment="1">
      <alignment horizontal="center" vertical="center"/>
    </xf>
    <xf numFmtId="4" fontId="12" fillId="39" borderId="0" xfId="1" applyNumberFormat="1" applyFont="1" applyFill="1" applyAlignment="1">
      <alignment horizontal="center" vertical="center"/>
    </xf>
    <xf numFmtId="169" fontId="1" fillId="39" borderId="0" xfId="0" applyNumberFormat="1" applyFont="1" applyFill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4" fontId="12" fillId="40" borderId="0" xfId="1" applyNumberFormat="1" applyFont="1" applyFill="1" applyAlignment="1">
      <alignment horizontal="center" vertical="center"/>
    </xf>
    <xf numFmtId="169" fontId="1" fillId="40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170" fontId="35" fillId="3" borderId="0" xfId="1" applyNumberFormat="1" applyFont="1" applyFill="1" applyAlignment="1">
      <alignment horizontal="center" vertical="center"/>
    </xf>
    <xf numFmtId="171" fontId="35" fillId="11" borderId="0" xfId="0" applyNumberFormat="1" applyFont="1" applyFill="1" applyAlignment="1">
      <alignment horizontal="center" vertical="center"/>
    </xf>
    <xf numFmtId="4" fontId="35" fillId="3" borderId="0" xfId="0" applyNumberFormat="1" applyFont="1" applyFill="1" applyAlignment="1">
      <alignment horizontal="center" vertical="center"/>
    </xf>
    <xf numFmtId="169" fontId="33" fillId="23" borderId="0" xfId="0" applyNumberFormat="1" applyFont="1" applyFill="1" applyAlignment="1">
      <alignment horizontal="center" vertical="center"/>
    </xf>
    <xf numFmtId="171" fontId="17" fillId="3" borderId="0" xfId="0" applyNumberFormat="1" applyFont="1" applyFill="1" applyAlignment="1">
      <alignment horizontal="center" vertical="center"/>
    </xf>
    <xf numFmtId="0" fontId="1" fillId="42" borderId="0" xfId="0" applyFont="1" applyFill="1" applyAlignment="1">
      <alignment horizontal="center" vertical="center"/>
    </xf>
    <xf numFmtId="4" fontId="12" fillId="42" borderId="0" xfId="1" applyNumberFormat="1" applyFont="1" applyFill="1" applyAlignment="1">
      <alignment horizontal="center" vertical="center"/>
    </xf>
    <xf numFmtId="169" fontId="1" fillId="42" borderId="0" xfId="0" applyNumberFormat="1" applyFont="1" applyFill="1" applyAlignment="1">
      <alignment horizontal="center" vertical="center"/>
    </xf>
    <xf numFmtId="4" fontId="1" fillId="42" borderId="0" xfId="0" applyNumberFormat="1" applyFont="1" applyFill="1" applyAlignment="1">
      <alignment horizontal="center" vertical="center"/>
    </xf>
    <xf numFmtId="0" fontId="43" fillId="0" borderId="0" xfId="0" applyFont="1"/>
    <xf numFmtId="0" fontId="44" fillId="0" borderId="0" xfId="0" applyFont="1"/>
    <xf numFmtId="183" fontId="7" fillId="3" borderId="0" xfId="1" applyNumberFormat="1" applyFont="1" applyFill="1" applyAlignment="1">
      <alignment horizontal="center" vertical="center"/>
    </xf>
    <xf numFmtId="183" fontId="7" fillId="3" borderId="0" xfId="0" applyNumberFormat="1" applyFont="1" applyFill="1" applyAlignment="1">
      <alignment horizontal="center" vertical="center"/>
    </xf>
    <xf numFmtId="183" fontId="6" fillId="3" borderId="0" xfId="0" applyNumberFormat="1" applyFont="1" applyFill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4" fontId="45" fillId="3" borderId="0" xfId="0" applyNumberFormat="1" applyFont="1" applyFill="1" applyAlignment="1">
      <alignment horizontal="center" vertical="center"/>
    </xf>
    <xf numFmtId="170" fontId="45" fillId="3" borderId="0" xfId="1" applyNumberFormat="1" applyFont="1" applyFill="1" applyAlignment="1">
      <alignment horizontal="center" vertical="center"/>
    </xf>
    <xf numFmtId="171" fontId="45" fillId="11" borderId="0" xfId="0" applyNumberFormat="1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70" fontId="40" fillId="11" borderId="10" xfId="0" applyNumberFormat="1" applyFont="1" applyFill="1" applyBorder="1" applyAlignment="1">
      <alignment horizontal="center" vertical="center"/>
    </xf>
    <xf numFmtId="4" fontId="12" fillId="6" borderId="0" xfId="1" applyNumberFormat="1" applyFont="1" applyFill="1" applyAlignment="1">
      <alignment horizontal="center" vertical="center"/>
    </xf>
    <xf numFmtId="0" fontId="27" fillId="11" borderId="0" xfId="0" applyFont="1" applyFill="1" applyAlignment="1" applyProtection="1">
      <alignment horizontal="center" wrapText="1"/>
      <protection hidden="1"/>
    </xf>
    <xf numFmtId="0" fontId="7" fillId="11" borderId="0" xfId="0" applyFont="1" applyFill="1" applyAlignment="1" applyProtection="1">
      <alignment horizontal="center" wrapText="1"/>
      <protection hidden="1"/>
    </xf>
    <xf numFmtId="0" fontId="46" fillId="3" borderId="0" xfId="0" applyFont="1" applyFill="1" applyAlignment="1">
      <alignment horizontal="center" vertical="center"/>
    </xf>
    <xf numFmtId="169" fontId="46" fillId="21" borderId="0" xfId="0" applyNumberFormat="1" applyFont="1" applyFill="1" applyAlignment="1">
      <alignment horizontal="center" vertical="center"/>
    </xf>
    <xf numFmtId="169" fontId="48" fillId="0" borderId="11" xfId="0" applyNumberFormat="1" applyFont="1" applyBorder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4" fontId="48" fillId="3" borderId="1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4" fontId="48" fillId="0" borderId="11" xfId="0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4" fontId="46" fillId="3" borderId="0" xfId="0" applyNumberFormat="1" applyFont="1" applyFill="1" applyAlignment="1">
      <alignment horizontal="center" vertical="center"/>
    </xf>
    <xf numFmtId="0" fontId="1" fillId="43" borderId="0" xfId="0" applyFont="1" applyFill="1" applyAlignment="1">
      <alignment horizontal="left" vertical="center"/>
    </xf>
    <xf numFmtId="170" fontId="1" fillId="11" borderId="0" xfId="0" applyNumberFormat="1" applyFont="1" applyFill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top" wrapText="1"/>
    </xf>
    <xf numFmtId="0" fontId="1" fillId="11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184" fontId="11" fillId="3" borderId="0" xfId="0" applyNumberFormat="1" applyFont="1" applyFill="1" applyAlignment="1">
      <alignment horizontal="center" vertical="center"/>
    </xf>
    <xf numFmtId="0" fontId="11" fillId="15" borderId="6" xfId="0" applyFont="1" applyFill="1" applyBorder="1" applyAlignment="1">
      <alignment horizontal="center" vertical="center"/>
    </xf>
    <xf numFmtId="169" fontId="11" fillId="15" borderId="6" xfId="0" applyNumberFormat="1" applyFont="1" applyFill="1" applyBorder="1" applyAlignment="1">
      <alignment horizontal="center" vertical="center"/>
    </xf>
    <xf numFmtId="4" fontId="1" fillId="8" borderId="0" xfId="1" applyNumberFormat="1" applyFont="1" applyFill="1" applyAlignment="1">
      <alignment horizontal="center" vertical="center"/>
    </xf>
    <xf numFmtId="4" fontId="1" fillId="20" borderId="0" xfId="1" applyNumberFormat="1" applyFont="1" applyFill="1" applyAlignment="1">
      <alignment horizontal="center" vertical="center"/>
    </xf>
    <xf numFmtId="4" fontId="1" fillId="24" borderId="0" xfId="1" applyNumberFormat="1" applyFont="1" applyFill="1" applyAlignment="1">
      <alignment horizontal="center" vertical="center"/>
    </xf>
    <xf numFmtId="169" fontId="1" fillId="24" borderId="0" xfId="0" applyNumberFormat="1" applyFont="1" applyFill="1" applyAlignment="1">
      <alignment horizontal="center" vertical="center"/>
    </xf>
    <xf numFmtId="0" fontId="50" fillId="44" borderId="1" xfId="0" applyFont="1" applyFill="1" applyBorder="1"/>
    <xf numFmtId="0" fontId="51" fillId="27" borderId="0" xfId="0" applyFont="1" applyFill="1"/>
    <xf numFmtId="0" fontId="52" fillId="27" borderId="0" xfId="0" applyFont="1" applyFill="1"/>
    <xf numFmtId="0" fontId="53" fillId="27" borderId="0" xfId="0" quotePrefix="1" applyFont="1" applyFill="1"/>
    <xf numFmtId="0" fontId="51" fillId="45" borderId="0" xfId="0" applyFont="1" applyFill="1"/>
    <xf numFmtId="0" fontId="52" fillId="45" borderId="0" xfId="0" applyFont="1" applyFill="1"/>
    <xf numFmtId="0" fontId="51" fillId="31" borderId="0" xfId="0" applyFont="1" applyFill="1"/>
    <xf numFmtId="0" fontId="52" fillId="31" borderId="0" xfId="0" applyFont="1" applyFill="1"/>
    <xf numFmtId="0" fontId="52" fillId="27" borderId="0" xfId="0" quotePrefix="1" applyFont="1" applyFill="1"/>
    <xf numFmtId="169" fontId="54" fillId="8" borderId="0" xfId="0" applyNumberFormat="1" applyFont="1" applyFill="1" applyAlignment="1">
      <alignment horizontal="left" vertical="center"/>
    </xf>
    <xf numFmtId="169" fontId="11" fillId="12" borderId="0" xfId="0" applyNumberFormat="1" applyFont="1" applyFill="1" applyAlignment="1">
      <alignment vertical="center"/>
    </xf>
    <xf numFmtId="169" fontId="41" fillId="12" borderId="0" xfId="0" applyNumberFormat="1" applyFont="1" applyFill="1" applyAlignment="1">
      <alignment vertical="center"/>
    </xf>
    <xf numFmtId="0" fontId="52" fillId="27" borderId="0" xfId="0" quotePrefix="1" applyFont="1" applyFill="1" applyAlignment="1">
      <alignment horizontal="left"/>
    </xf>
    <xf numFmtId="0" fontId="1" fillId="46" borderId="0" xfId="0" applyFont="1" applyFill="1" applyAlignment="1">
      <alignment horizontal="center" vertical="center"/>
    </xf>
    <xf numFmtId="4" fontId="12" fillId="46" borderId="0" xfId="1" applyNumberFormat="1" applyFont="1" applyFill="1" applyAlignment="1">
      <alignment horizontal="center" vertical="center"/>
    </xf>
    <xf numFmtId="169" fontId="1" fillId="46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left" vertical="center"/>
    </xf>
    <xf numFmtId="0" fontId="7" fillId="25" borderId="0" xfId="0" applyFont="1" applyFill="1" applyAlignment="1" applyProtection="1">
      <alignment horizontal="center" vertical="center"/>
      <protection hidden="1"/>
    </xf>
    <xf numFmtId="14" fontId="55" fillId="7" borderId="13" xfId="0" applyNumberFormat="1" applyFont="1" applyFill="1" applyBorder="1" applyAlignment="1">
      <alignment horizontal="center" vertical="center"/>
    </xf>
    <xf numFmtId="185" fontId="0" fillId="3" borderId="0" xfId="0" applyNumberFormat="1" applyFill="1" applyAlignment="1">
      <alignment horizontal="center"/>
    </xf>
    <xf numFmtId="186" fontId="0" fillId="0" borderId="0" xfId="0" applyNumberFormat="1"/>
    <xf numFmtId="14" fontId="55" fillId="7" borderId="13" xfId="0" applyNumberFormat="1" applyFont="1" applyFill="1" applyBorder="1" applyAlignment="1">
      <alignment horizontal="left" vertical="center"/>
    </xf>
    <xf numFmtId="0" fontId="7" fillId="20" borderId="0" xfId="0" applyFont="1" applyFill="1" applyAlignment="1">
      <alignment horizontal="center" vertical="center"/>
    </xf>
    <xf numFmtId="0" fontId="56" fillId="3" borderId="0" xfId="0" applyFont="1" applyFill="1" applyAlignment="1">
      <alignment horizontal="center" vertical="center"/>
    </xf>
    <xf numFmtId="170" fontId="56" fillId="3" borderId="0" xfId="1" applyNumberFormat="1" applyFont="1" applyFill="1" applyAlignment="1">
      <alignment horizontal="center" vertical="center"/>
    </xf>
    <xf numFmtId="0" fontId="57" fillId="27" borderId="0" xfId="0" applyFont="1" applyFill="1"/>
    <xf numFmtId="177" fontId="7" fillId="37" borderId="0" xfId="0" applyNumberFormat="1" applyFont="1" applyFill="1" applyAlignment="1" applyProtection="1">
      <alignment horizontal="center" vertical="center"/>
      <protection hidden="1"/>
    </xf>
    <xf numFmtId="0" fontId="1" fillId="13" borderId="0" xfId="0" applyFont="1" applyFill="1" applyAlignment="1">
      <alignment horizontal="center" vertical="center"/>
    </xf>
    <xf numFmtId="4" fontId="12" fillId="13" borderId="0" xfId="1" applyNumberFormat="1" applyFont="1" applyFill="1" applyAlignment="1">
      <alignment horizontal="center" vertical="center"/>
    </xf>
    <xf numFmtId="169" fontId="1" fillId="1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17" fillId="0" borderId="0" xfId="0" applyNumberFormat="1" applyFont="1" applyAlignment="1">
      <alignment horizontal="center" vertical="center"/>
    </xf>
    <xf numFmtId="165" fontId="1" fillId="11" borderId="0" xfId="0" applyNumberFormat="1" applyFont="1" applyFill="1" applyAlignment="1">
      <alignment horizontal="center" vertical="center"/>
    </xf>
    <xf numFmtId="4" fontId="1" fillId="21" borderId="0" xfId="1" applyNumberFormat="1" applyFont="1" applyFill="1" applyAlignment="1">
      <alignment vertical="center"/>
    </xf>
    <xf numFmtId="169" fontId="1" fillId="21" borderId="0" xfId="0" applyNumberFormat="1" applyFont="1" applyFill="1" applyAlignment="1">
      <alignment horizontal="center" vertical="center"/>
    </xf>
    <xf numFmtId="0" fontId="1" fillId="21" borderId="0" xfId="0" applyFont="1" applyFill="1" applyAlignment="1">
      <alignment horizontal="left" vertical="center"/>
    </xf>
    <xf numFmtId="169" fontId="57" fillId="27" borderId="0" xfId="0" applyNumberFormat="1" applyFont="1" applyFill="1"/>
    <xf numFmtId="169" fontId="57" fillId="15" borderId="0" xfId="0" applyNumberFormat="1" applyFont="1" applyFill="1"/>
    <xf numFmtId="0" fontId="58" fillId="31" borderId="0" xfId="0" applyFont="1" applyFill="1"/>
    <xf numFmtId="0" fontId="51" fillId="8" borderId="0" xfId="0" applyFont="1" applyFill="1"/>
    <xf numFmtId="169" fontId="57" fillId="8" borderId="0" xfId="0" applyNumberFormat="1" applyFont="1" applyFill="1"/>
    <xf numFmtId="0" fontId="51" fillId="15" borderId="0" xfId="0" applyFont="1" applyFill="1"/>
    <xf numFmtId="0" fontId="58" fillId="8" borderId="0" xfId="0" applyFont="1" applyFill="1"/>
    <xf numFmtId="0" fontId="58" fillId="15" borderId="0" xfId="0" applyFont="1" applyFill="1"/>
    <xf numFmtId="0" fontId="58" fillId="27" borderId="0" xfId="0" applyFont="1" applyFill="1"/>
    <xf numFmtId="169" fontId="59" fillId="15" borderId="0" xfId="0" applyNumberFormat="1" applyFont="1" applyFill="1"/>
    <xf numFmtId="0" fontId="7" fillId="37" borderId="0" xfId="0" applyFont="1" applyFill="1" applyAlignment="1" applyProtection="1">
      <alignment horizontal="center" vertical="center"/>
      <protection hidden="1"/>
    </xf>
    <xf numFmtId="4" fontId="1" fillId="3" borderId="0" xfId="0" applyNumberFormat="1" applyFont="1" applyFill="1" applyAlignment="1">
      <alignment horizontal="left" vertical="center"/>
    </xf>
    <xf numFmtId="4" fontId="0" fillId="0" borderId="0" xfId="0" applyNumberFormat="1"/>
    <xf numFmtId="43" fontId="1" fillId="3" borderId="0" xfId="1" applyFont="1" applyFill="1" applyAlignment="1">
      <alignment horizontal="left" vertical="center"/>
    </xf>
    <xf numFmtId="0" fontId="42" fillId="43" borderId="12" xfId="0" applyFont="1" applyFill="1" applyBorder="1" applyAlignment="1">
      <alignment horizontal="left" wrapText="1"/>
    </xf>
    <xf numFmtId="4" fontId="42" fillId="0" borderId="0" xfId="0" applyNumberFormat="1" applyFont="1" applyAlignment="1">
      <alignment horizontal="left"/>
    </xf>
    <xf numFmtId="0" fontId="42" fillId="41" borderId="12" xfId="0" applyFont="1" applyFill="1" applyBorder="1" applyAlignment="1">
      <alignment horizontal="left" wrapText="1"/>
    </xf>
    <xf numFmtId="4" fontId="1" fillId="3" borderId="0" xfId="0" applyNumberFormat="1" applyFont="1" applyFill="1" applyAlignment="1">
      <alignment horizontal="left" vertical="center" wrapText="1"/>
    </xf>
    <xf numFmtId="187" fontId="0" fillId="0" borderId="0" xfId="0" applyNumberFormat="1"/>
    <xf numFmtId="0" fontId="62" fillId="3" borderId="0" xfId="0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62" fillId="3" borderId="0" xfId="0" applyFont="1" applyFill="1" applyAlignment="1">
      <alignment horizontal="justify" vertical="center"/>
    </xf>
    <xf numFmtId="169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171" fontId="17" fillId="11" borderId="0" xfId="0" applyNumberFormat="1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9" fontId="7" fillId="22" borderId="6" xfId="1" applyNumberFormat="1" applyFont="1" applyFill="1" applyBorder="1" applyAlignment="1">
      <alignment horizontal="center" vertical="center"/>
    </xf>
    <xf numFmtId="178" fontId="7" fillId="22" borderId="6" xfId="1" applyNumberFormat="1" applyFont="1" applyFill="1" applyBorder="1" applyAlignment="1">
      <alignment horizontal="center" vertical="center"/>
    </xf>
    <xf numFmtId="0" fontId="58" fillId="0" borderId="0" xfId="0" applyFont="1"/>
    <xf numFmtId="0" fontId="58" fillId="19" borderId="0" xfId="0" applyFont="1" applyFill="1"/>
    <xf numFmtId="164" fontId="58" fillId="0" borderId="0" xfId="0" applyNumberFormat="1" applyFont="1"/>
    <xf numFmtId="0" fontId="63" fillId="0" borderId="0" xfId="0" applyFont="1"/>
    <xf numFmtId="14" fontId="58" fillId="19" borderId="0" xfId="0" quotePrefix="1" applyNumberFormat="1" applyFont="1" applyFill="1"/>
    <xf numFmtId="10" fontId="7" fillId="3" borderId="0" xfId="25" applyNumberFormat="1" applyFont="1" applyFill="1" applyBorder="1" applyAlignment="1" applyProtection="1">
      <alignment horizontal="center" vertical="center"/>
      <protection hidden="1"/>
    </xf>
    <xf numFmtId="10" fontId="7" fillId="11" borderId="0" xfId="25" applyNumberFormat="1" applyFont="1" applyFill="1" applyBorder="1" applyAlignment="1" applyProtection="1">
      <alignment horizontal="center" vertical="center"/>
      <protection hidden="1"/>
    </xf>
    <xf numFmtId="0" fontId="7" fillId="21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 wrapText="1"/>
      <protection hidden="1"/>
    </xf>
    <xf numFmtId="0" fontId="54" fillId="0" borderId="0" xfId="0" applyFont="1"/>
    <xf numFmtId="177" fontId="46" fillId="3" borderId="0" xfId="0" applyNumberFormat="1" applyFont="1" applyFill="1" applyAlignment="1" applyProtection="1">
      <alignment horizontal="center" vertical="center"/>
      <protection hidden="1"/>
    </xf>
    <xf numFmtId="0" fontId="54" fillId="0" borderId="15" xfId="0" applyFont="1" applyBorder="1"/>
    <xf numFmtId="0" fontId="0" fillId="0" borderId="15" xfId="0" applyBorder="1"/>
    <xf numFmtId="177" fontId="7" fillId="3" borderId="15" xfId="0" applyNumberFormat="1" applyFont="1" applyFill="1" applyBorder="1" applyAlignment="1" applyProtection="1">
      <alignment horizontal="center" vertical="center"/>
      <protection hidden="1"/>
    </xf>
    <xf numFmtId="4" fontId="7" fillId="3" borderId="0" xfId="0" applyNumberFormat="1" applyFont="1" applyFill="1" applyProtection="1">
      <protection hidden="1"/>
    </xf>
    <xf numFmtId="4" fontId="7" fillId="3" borderId="0" xfId="0" applyNumberFormat="1" applyFont="1" applyFill="1" applyAlignment="1" applyProtection="1">
      <alignment horizontal="center" vertical="center"/>
      <protection hidden="1"/>
    </xf>
    <xf numFmtId="169" fontId="54" fillId="3" borderId="0" xfId="0" applyNumberFormat="1" applyFont="1" applyFill="1" applyAlignment="1">
      <alignment horizontal="left" vertical="center"/>
    </xf>
    <xf numFmtId="4" fontId="54" fillId="0" borderId="0" xfId="0" applyNumberFormat="1" applyFont="1"/>
    <xf numFmtId="188" fontId="54" fillId="0" borderId="0" xfId="0" applyNumberFormat="1" applyFont="1"/>
    <xf numFmtId="0" fontId="0" fillId="20" borderId="14" xfId="0" applyFill="1" applyBorder="1"/>
    <xf numFmtId="169" fontId="54" fillId="20" borderId="14" xfId="0" applyNumberFormat="1" applyFont="1" applyFill="1" applyBorder="1" applyAlignment="1">
      <alignment horizontal="left" vertical="center"/>
    </xf>
    <xf numFmtId="4" fontId="35" fillId="0" borderId="0" xfId="0" applyNumberFormat="1" applyFont="1" applyAlignment="1">
      <alignment horizontal="center" vertical="center"/>
    </xf>
    <xf numFmtId="171" fontId="35" fillId="3" borderId="0" xfId="0" applyNumberFormat="1" applyFont="1" applyFill="1" applyAlignment="1">
      <alignment horizontal="center" vertical="center"/>
    </xf>
    <xf numFmtId="0" fontId="65" fillId="3" borderId="0" xfId="0" applyFont="1" applyFill="1" applyAlignment="1">
      <alignment vertical="center"/>
    </xf>
    <xf numFmtId="0" fontId="65" fillId="3" borderId="0" xfId="0" applyFont="1" applyFill="1" applyAlignment="1">
      <alignment horizontal="center" vertical="center"/>
    </xf>
    <xf numFmtId="169" fontId="57" fillId="15" borderId="0" xfId="0" applyNumberFormat="1" applyFont="1" applyFill="1" applyAlignment="1">
      <alignment horizontal="left"/>
    </xf>
    <xf numFmtId="0" fontId="7" fillId="33" borderId="0" xfId="0" applyFont="1" applyFill="1" applyAlignment="1" applyProtection="1">
      <alignment horizontal="center" vertical="center"/>
      <protection hidden="1"/>
    </xf>
    <xf numFmtId="0" fontId="66" fillId="3" borderId="0" xfId="0" applyFont="1" applyFill="1" applyAlignment="1">
      <alignment horizontal="left" vertical="center"/>
    </xf>
    <xf numFmtId="4" fontId="1" fillId="12" borderId="0" xfId="1" applyNumberFormat="1" applyFont="1" applyFill="1" applyAlignment="1">
      <alignment horizontal="center" vertical="center"/>
    </xf>
    <xf numFmtId="0" fontId="68" fillId="0" borderId="0" xfId="0" applyFont="1"/>
    <xf numFmtId="0" fontId="0" fillId="25" borderId="0" xfId="0" applyFill="1"/>
    <xf numFmtId="0" fontId="64" fillId="25" borderId="0" xfId="0" applyFont="1" applyFill="1"/>
    <xf numFmtId="169" fontId="64" fillId="25" borderId="0" xfId="0" applyNumberFormat="1" applyFont="1" applyFill="1" applyAlignment="1">
      <alignment horizontal="left" vertical="center"/>
    </xf>
    <xf numFmtId="0" fontId="54" fillId="25" borderId="0" xfId="0" applyFont="1" applyFill="1"/>
    <xf numFmtId="169" fontId="54" fillId="25" borderId="0" xfId="0" applyNumberFormat="1" applyFont="1" applyFill="1" applyAlignment="1">
      <alignment horizontal="right" vertical="center"/>
    </xf>
    <xf numFmtId="177" fontId="46" fillId="25" borderId="0" xfId="0" applyNumberFormat="1" applyFont="1" applyFill="1" applyAlignment="1" applyProtection="1">
      <alignment horizontal="center" vertical="center"/>
      <protection hidden="1"/>
    </xf>
    <xf numFmtId="0" fontId="0" fillId="18" borderId="14" xfId="0" applyFill="1" applyBorder="1"/>
    <xf numFmtId="0" fontId="69" fillId="18" borderId="14" xfId="0" applyFont="1" applyFill="1" applyBorder="1"/>
    <xf numFmtId="0" fontId="58" fillId="23" borderId="0" xfId="0" applyFont="1" applyFill="1"/>
    <xf numFmtId="14" fontId="58" fillId="23" borderId="0" xfId="0" quotePrefix="1" applyNumberFormat="1" applyFont="1" applyFill="1"/>
    <xf numFmtId="164" fontId="58" fillId="23" borderId="0" xfId="0" applyNumberFormat="1" applyFont="1" applyFill="1"/>
    <xf numFmtId="0" fontId="63" fillId="23" borderId="0" xfId="0" applyFont="1" applyFill="1"/>
    <xf numFmtId="165" fontId="1" fillId="23" borderId="0" xfId="0" applyNumberFormat="1" applyFont="1" applyFill="1" applyAlignment="1">
      <alignment horizontal="center" vertical="center"/>
    </xf>
    <xf numFmtId="0" fontId="58" fillId="25" borderId="0" xfId="0" applyFont="1" applyFill="1"/>
    <xf numFmtId="164" fontId="58" fillId="25" borderId="0" xfId="0" applyNumberFormat="1" applyFont="1" applyFill="1"/>
    <xf numFmtId="0" fontId="63" fillId="25" borderId="0" xfId="0" applyFont="1" applyFill="1"/>
    <xf numFmtId="165" fontId="1" fillId="25" borderId="0" xfId="0" applyNumberFormat="1" applyFont="1" applyFill="1" applyAlignment="1">
      <alignment horizontal="center" vertical="center"/>
    </xf>
    <xf numFmtId="0" fontId="58" fillId="47" borderId="0" xfId="0" applyFont="1" applyFill="1"/>
    <xf numFmtId="164" fontId="58" fillId="47" borderId="0" xfId="0" applyNumberFormat="1" applyFont="1" applyFill="1"/>
    <xf numFmtId="0" fontId="63" fillId="47" borderId="0" xfId="0" applyFont="1" applyFill="1"/>
    <xf numFmtId="165" fontId="1" fillId="47" borderId="0" xfId="0" applyNumberFormat="1" applyFont="1" applyFill="1" applyAlignment="1">
      <alignment horizontal="center" vertical="center"/>
    </xf>
    <xf numFmtId="0" fontId="58" fillId="12" borderId="0" xfId="0" applyFont="1" applyFill="1"/>
    <xf numFmtId="14" fontId="58" fillId="12" borderId="0" xfId="0" quotePrefix="1" applyNumberFormat="1" applyFont="1" applyFill="1"/>
    <xf numFmtId="164" fontId="58" fillId="12" borderId="0" xfId="0" applyNumberFormat="1" applyFont="1" applyFill="1"/>
    <xf numFmtId="0" fontId="63" fillId="12" borderId="0" xfId="0" applyFont="1" applyFill="1"/>
    <xf numFmtId="165" fontId="1" fillId="12" borderId="0" xfId="0" applyNumberFormat="1" applyFont="1" applyFill="1" applyAlignment="1">
      <alignment horizontal="center" vertical="center"/>
    </xf>
    <xf numFmtId="14" fontId="64" fillId="2" borderId="0" xfId="0" applyNumberFormat="1" applyFont="1" applyFill="1"/>
    <xf numFmtId="0" fontId="0" fillId="2" borderId="0" xfId="0" applyFill="1"/>
    <xf numFmtId="169" fontId="64" fillId="2" borderId="0" xfId="0" applyNumberFormat="1" applyFont="1" applyFill="1" applyAlignment="1">
      <alignment horizontal="right" vertical="center"/>
    </xf>
    <xf numFmtId="169" fontId="70" fillId="25" borderId="0" xfId="0" applyNumberFormat="1" applyFont="1" applyFill="1" applyAlignment="1">
      <alignment horizontal="right" vertical="center"/>
    </xf>
    <xf numFmtId="169" fontId="70" fillId="2" borderId="0" xfId="0" applyNumberFormat="1" applyFont="1" applyFill="1" applyAlignment="1">
      <alignment horizontal="right" vertical="center"/>
    </xf>
    <xf numFmtId="0" fontId="71" fillId="25" borderId="0" xfId="0" applyFont="1" applyFill="1"/>
    <xf numFmtId="9" fontId="0" fillId="3" borderId="0" xfId="0" applyNumberFormat="1" applyFill="1"/>
    <xf numFmtId="177" fontId="46" fillId="11" borderId="0" xfId="0" applyNumberFormat="1" applyFont="1" applyFill="1" applyAlignment="1" applyProtection="1">
      <alignment horizontal="center" vertical="center"/>
      <protection hidden="1"/>
    </xf>
    <xf numFmtId="3" fontId="54" fillId="3" borderId="0" xfId="0" applyNumberFormat="1" applyFont="1" applyFill="1" applyAlignment="1">
      <alignment horizontal="left" vertical="center"/>
    </xf>
    <xf numFmtId="3" fontId="64" fillId="3" borderId="0" xfId="0" applyNumberFormat="1" applyFont="1" applyFill="1" applyAlignment="1">
      <alignment horizontal="left" vertical="center"/>
    </xf>
    <xf numFmtId="189" fontId="72" fillId="3" borderId="0" xfId="0" applyNumberFormat="1" applyFont="1" applyFill="1" applyAlignment="1">
      <alignment horizontal="left" vertical="center"/>
    </xf>
    <xf numFmtId="190" fontId="72" fillId="0" borderId="0" xfId="0" applyNumberFormat="1" applyFont="1"/>
    <xf numFmtId="3" fontId="64" fillId="11" borderId="0" xfId="0" applyNumberFormat="1" applyFont="1" applyFill="1" applyAlignment="1">
      <alignment horizontal="center" vertical="center"/>
    </xf>
    <xf numFmtId="0" fontId="69" fillId="8" borderId="16" xfId="0" applyFont="1" applyFill="1" applyBorder="1"/>
    <xf numFmtId="0" fontId="69" fillId="8" borderId="17" xfId="0" applyFont="1" applyFill="1" applyBorder="1"/>
    <xf numFmtId="189" fontId="69" fillId="8" borderId="17" xfId="0" applyNumberFormat="1" applyFont="1" applyFill="1" applyBorder="1"/>
    <xf numFmtId="190" fontId="69" fillId="8" borderId="18" xfId="0" applyNumberFormat="1" applyFont="1" applyFill="1" applyBorder="1"/>
    <xf numFmtId="177" fontId="7" fillId="13" borderId="0" xfId="0" applyNumberFormat="1" applyFont="1" applyFill="1" applyAlignment="1" applyProtection="1">
      <alignment horizontal="center" vertical="center"/>
      <protection hidden="1"/>
    </xf>
    <xf numFmtId="190" fontId="0" fillId="0" borderId="0" xfId="0" applyNumberFormat="1"/>
    <xf numFmtId="0" fontId="0" fillId="4" borderId="0" xfId="0" applyFill="1"/>
    <xf numFmtId="189" fontId="72" fillId="4" borderId="0" xfId="0" applyNumberFormat="1" applyFont="1" applyFill="1"/>
    <xf numFmtId="190" fontId="72" fillId="4" borderId="0" xfId="0" applyNumberFormat="1" applyFont="1" applyFill="1"/>
    <xf numFmtId="16" fontId="0" fillId="0" borderId="0" xfId="0" applyNumberFormat="1"/>
    <xf numFmtId="191" fontId="54" fillId="0" borderId="0" xfId="0" applyNumberFormat="1" applyFont="1"/>
    <xf numFmtId="0" fontId="54" fillId="4" borderId="0" xfId="0" applyFont="1" applyFill="1"/>
    <xf numFmtId="169" fontId="54" fillId="4" borderId="0" xfId="0" applyNumberFormat="1" applyFont="1" applyFill="1" applyAlignment="1">
      <alignment horizontal="left" vertical="center"/>
    </xf>
    <xf numFmtId="191" fontId="0" fillId="0" borderId="0" xfId="0" applyNumberFormat="1"/>
    <xf numFmtId="4" fontId="0" fillId="48" borderId="0" xfId="0" applyNumberFormat="1" applyFill="1"/>
    <xf numFmtId="191" fontId="0" fillId="48" borderId="0" xfId="0" applyNumberFormat="1" applyFill="1"/>
    <xf numFmtId="169" fontId="54" fillId="11" borderId="0" xfId="0" applyNumberFormat="1" applyFont="1" applyFill="1" applyAlignment="1">
      <alignment horizontal="left" vertical="center"/>
    </xf>
    <xf numFmtId="189" fontId="72" fillId="25" borderId="0" xfId="0" applyNumberFormat="1" applyFont="1" applyFill="1" applyAlignment="1">
      <alignment horizontal="left" vertical="center"/>
    </xf>
    <xf numFmtId="190" fontId="72" fillId="25" borderId="0" xfId="0" applyNumberFormat="1" applyFont="1" applyFill="1"/>
    <xf numFmtId="0" fontId="73" fillId="49" borderId="0" xfId="0" applyFont="1" applyFill="1"/>
    <xf numFmtId="4" fontId="73" fillId="49" borderId="0" xfId="0" applyNumberFormat="1" applyFont="1" applyFill="1"/>
    <xf numFmtId="192" fontId="12" fillId="3" borderId="0" xfId="1" applyNumberFormat="1" applyFont="1" applyFill="1" applyAlignment="1">
      <alignment horizontal="center" vertical="center"/>
    </xf>
    <xf numFmtId="0" fontId="54" fillId="7" borderId="0" xfId="0" applyFont="1" applyFill="1"/>
    <xf numFmtId="177" fontId="46" fillId="7" borderId="0" xfId="0" applyNumberFormat="1" applyFont="1" applyFill="1" applyAlignment="1" applyProtection="1">
      <alignment horizontal="center" vertical="center"/>
      <protection hidden="1"/>
    </xf>
    <xf numFmtId="0" fontId="0" fillId="7" borderId="0" xfId="0" applyFill="1"/>
    <xf numFmtId="190" fontId="0" fillId="11" borderId="0" xfId="0" applyNumberFormat="1" applyFill="1"/>
    <xf numFmtId="0" fontId="0" fillId="22" borderId="0" xfId="0" applyFill="1"/>
    <xf numFmtId="14" fontId="64" fillId="22" borderId="0" xfId="0" applyNumberFormat="1" applyFont="1" applyFill="1"/>
    <xf numFmtId="177" fontId="46" fillId="22" borderId="0" xfId="0" applyNumberFormat="1" applyFont="1" applyFill="1" applyAlignment="1" applyProtection="1">
      <alignment horizontal="center" vertical="center"/>
      <protection hidden="1"/>
    </xf>
    <xf numFmtId="169" fontId="64" fillId="22" borderId="0" xfId="0" applyNumberFormat="1" applyFont="1" applyFill="1" applyAlignment="1">
      <alignment horizontal="right" vertical="center"/>
    </xf>
    <xf numFmtId="193" fontId="7" fillId="8" borderId="0" xfId="1" applyNumberFormat="1" applyFont="1" applyFill="1" applyAlignment="1">
      <alignment horizontal="center" vertical="center"/>
    </xf>
    <xf numFmtId="0" fontId="18" fillId="18" borderId="1" xfId="0" applyFont="1" applyFill="1" applyBorder="1" applyAlignment="1" applyProtection="1">
      <alignment horizontal="center" vertical="center" wrapText="1"/>
      <protection hidden="1"/>
    </xf>
    <xf numFmtId="0" fontId="18" fillId="12" borderId="1" xfId="0" applyFont="1" applyFill="1" applyBorder="1" applyAlignment="1" applyProtection="1">
      <alignment horizontal="center" vertical="center" wrapText="1"/>
      <protection hidden="1"/>
    </xf>
    <xf numFmtId="0" fontId="18" fillId="13" borderId="1" xfId="0" applyFont="1" applyFill="1" applyBorder="1" applyAlignment="1" applyProtection="1">
      <alignment horizontal="center" vertical="center" wrapText="1"/>
      <protection hidden="1"/>
    </xf>
    <xf numFmtId="181" fontId="18" fillId="13" borderId="1" xfId="0" applyNumberFormat="1" applyFont="1" applyFill="1" applyBorder="1" applyAlignment="1" applyProtection="1">
      <alignment horizontal="center" vertical="center" wrapText="1"/>
      <protection hidden="1"/>
    </xf>
    <xf numFmtId="181" fontId="18" fillId="12" borderId="1" xfId="0" applyNumberFormat="1" applyFont="1" applyFill="1" applyBorder="1" applyAlignment="1" applyProtection="1">
      <alignment horizontal="center" vertical="center" wrapText="1"/>
      <protection hidden="1"/>
    </xf>
    <xf numFmtId="181" fontId="18" fillId="18" borderId="1" xfId="0" applyNumberFormat="1" applyFont="1" applyFill="1" applyBorder="1" applyAlignment="1" applyProtection="1">
      <alignment horizontal="center" vertical="center" wrapText="1"/>
      <protection hidden="1"/>
    </xf>
    <xf numFmtId="181" fontId="74" fillId="3" borderId="0" xfId="0" applyNumberFormat="1" applyFont="1" applyFill="1" applyAlignment="1" applyProtection="1">
      <alignment horizontal="center" vertical="center"/>
      <protection hidden="1"/>
    </xf>
    <xf numFmtId="181" fontId="74" fillId="3" borderId="0" xfId="0" applyNumberFormat="1" applyFont="1" applyFill="1" applyProtection="1">
      <protection hidden="1"/>
    </xf>
    <xf numFmtId="0" fontId="75" fillId="3" borderId="0" xfId="0" applyFont="1" applyFill="1" applyAlignment="1">
      <alignment horizontal="center" vertical="center"/>
    </xf>
    <xf numFmtId="183" fontId="75" fillId="3" borderId="0" xfId="0" applyNumberFormat="1" applyFont="1" applyFill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183" fontId="74" fillId="3" borderId="0" xfId="1" applyNumberFormat="1" applyFont="1" applyFill="1" applyAlignment="1">
      <alignment horizontal="center" vertical="center"/>
    </xf>
    <xf numFmtId="43" fontId="75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70" fontId="17" fillId="0" borderId="0" xfId="1" applyNumberFormat="1" applyFont="1" applyFill="1" applyAlignment="1">
      <alignment horizontal="center" vertical="center"/>
    </xf>
    <xf numFmtId="171" fontId="17" fillId="0" borderId="0" xfId="0" applyNumberFormat="1" applyFont="1" applyAlignment="1">
      <alignment horizontal="center" vertical="center"/>
    </xf>
    <xf numFmtId="4" fontId="12" fillId="3" borderId="0" xfId="0" applyNumberFormat="1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9" fillId="51" borderId="0" xfId="0" applyFont="1" applyFill="1" applyAlignment="1">
      <alignment horizontal="center" vertical="center"/>
    </xf>
    <xf numFmtId="0" fontId="46" fillId="24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7" fillId="24" borderId="0" xfId="0" applyFont="1" applyFill="1" applyAlignment="1">
      <alignment horizontal="center" vertical="center"/>
    </xf>
    <xf numFmtId="0" fontId="46" fillId="51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169" fontId="46" fillId="24" borderId="0" xfId="0" applyNumberFormat="1" applyFont="1" applyFill="1" applyAlignment="1">
      <alignment horizontal="center" vertical="center"/>
    </xf>
    <xf numFmtId="169" fontId="46" fillId="51" borderId="0" xfId="0" applyNumberFormat="1" applyFont="1" applyFill="1" applyAlignment="1">
      <alignment horizontal="center" vertical="center"/>
    </xf>
    <xf numFmtId="4" fontId="46" fillId="24" borderId="0" xfId="0" applyNumberFormat="1" applyFont="1" applyFill="1" applyAlignment="1">
      <alignment horizontal="center" vertical="center"/>
    </xf>
    <xf numFmtId="0" fontId="7" fillId="34" borderId="0" xfId="0" applyFont="1" applyFill="1" applyAlignment="1" applyProtection="1">
      <alignment horizontal="center" vertical="center"/>
      <protection hidden="1"/>
    </xf>
    <xf numFmtId="169" fontId="47" fillId="24" borderId="0" xfId="0" applyNumberFormat="1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77" fillId="0" borderId="4" xfId="0" applyFont="1" applyBorder="1"/>
    <xf numFmtId="0" fontId="77" fillId="50" borderId="19" xfId="0" applyFont="1" applyFill="1" applyBorder="1"/>
    <xf numFmtId="0" fontId="77" fillId="0" borderId="20" xfId="0" applyFont="1" applyBorder="1"/>
    <xf numFmtId="3" fontId="77" fillId="50" borderId="21" xfId="0" applyNumberFormat="1" applyFont="1" applyFill="1" applyBorder="1"/>
    <xf numFmtId="0" fontId="78" fillId="0" borderId="20" xfId="0" applyFont="1" applyBorder="1"/>
    <xf numFmtId="3" fontId="78" fillId="0" borderId="21" xfId="0" applyNumberFormat="1" applyFont="1" applyBorder="1"/>
    <xf numFmtId="0" fontId="79" fillId="0" borderId="0" xfId="0" applyFont="1"/>
    <xf numFmtId="169" fontId="64" fillId="15" borderId="0" xfId="0" applyNumberFormat="1" applyFont="1" applyFill="1" applyAlignment="1">
      <alignment horizontal="right" vertical="center"/>
    </xf>
    <xf numFmtId="14" fontId="64" fillId="15" borderId="0" xfId="0" applyNumberFormat="1" applyFont="1" applyFill="1" applyAlignment="1">
      <alignment horizontal="left"/>
    </xf>
    <xf numFmtId="169" fontId="64" fillId="15" borderId="0" xfId="0" applyNumberFormat="1" applyFont="1" applyFill="1" applyAlignment="1">
      <alignment horizontal="left" vertical="center"/>
    </xf>
    <xf numFmtId="177" fontId="46" fillId="22" borderId="22" xfId="0" applyNumberFormat="1" applyFont="1" applyFill="1" applyBorder="1" applyAlignment="1" applyProtection="1">
      <alignment horizontal="center" vertical="center"/>
      <protection hidden="1"/>
    </xf>
    <xf numFmtId="0" fontId="0" fillId="22" borderId="22" xfId="0" applyFill="1" applyBorder="1"/>
    <xf numFmtId="0" fontId="0" fillId="22" borderId="23" xfId="0" applyFill="1" applyBorder="1"/>
    <xf numFmtId="0" fontId="0" fillId="2" borderId="23" xfId="0" applyFill="1" applyBorder="1"/>
    <xf numFmtId="177" fontId="46" fillId="2" borderId="0" xfId="0" applyNumberFormat="1" applyFont="1" applyFill="1" applyAlignment="1" applyProtection="1">
      <alignment horizontal="center" vertical="center"/>
      <protection hidden="1"/>
    </xf>
    <xf numFmtId="0" fontId="0" fillId="8" borderId="23" xfId="0" applyFill="1" applyBorder="1"/>
    <xf numFmtId="177" fontId="46" fillId="2" borderId="23" xfId="0" applyNumberFormat="1" applyFont="1" applyFill="1" applyBorder="1" applyAlignment="1" applyProtection="1">
      <alignment horizontal="center" vertical="center"/>
      <protection hidden="1"/>
    </xf>
    <xf numFmtId="177" fontId="46" fillId="8" borderId="22" xfId="0" applyNumberFormat="1" applyFont="1" applyFill="1" applyBorder="1" applyAlignment="1" applyProtection="1">
      <alignment horizontal="center" vertical="center"/>
      <protection hidden="1"/>
    </xf>
    <xf numFmtId="0" fontId="0" fillId="2" borderId="22" xfId="0" applyFill="1" applyBorder="1"/>
    <xf numFmtId="0" fontId="7" fillId="20" borderId="0" xfId="0" applyFont="1" applyFill="1" applyAlignment="1" applyProtection="1">
      <alignment horizontal="center" vertical="center"/>
      <protection hidden="1"/>
    </xf>
    <xf numFmtId="169" fontId="11" fillId="12" borderId="0" xfId="0" applyNumberFormat="1" applyFont="1" applyFill="1" applyAlignment="1">
      <alignment horizontal="center" vertical="center"/>
    </xf>
    <xf numFmtId="169" fontId="11" fillId="8" borderId="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9" fontId="41" fillId="8" borderId="0" xfId="0" applyNumberFormat="1" applyFont="1" applyFill="1" applyAlignment="1">
      <alignment horizontal="center" vertical="center"/>
    </xf>
    <xf numFmtId="169" fontId="41" fillId="15" borderId="0" xfId="0" applyNumberFormat="1" applyFont="1" applyFill="1" applyAlignment="1">
      <alignment horizontal="center" vertical="center"/>
    </xf>
    <xf numFmtId="169" fontId="41" fillId="15" borderId="0" xfId="0" applyNumberFormat="1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1" fontId="8" fillId="11" borderId="1" xfId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 applyProtection="1">
      <alignment horizontal="center" vertical="center"/>
      <protection hidden="1"/>
    </xf>
    <xf numFmtId="0" fontId="6" fillId="22" borderId="0" xfId="0" applyFont="1" applyFill="1" applyAlignment="1" applyProtection="1">
      <alignment horizontal="center" vertical="center" wrapText="1"/>
      <protection hidden="1"/>
    </xf>
    <xf numFmtId="0" fontId="6" fillId="20" borderId="0" xfId="0" applyFont="1" applyFill="1" applyAlignment="1" applyProtection="1">
      <alignment horizontal="center" vertical="center" wrapText="1"/>
      <protection hidden="1"/>
    </xf>
    <xf numFmtId="0" fontId="6" fillId="26" borderId="0" xfId="0" applyFont="1" applyFill="1" applyAlignment="1" applyProtection="1">
      <alignment horizontal="center" vertical="center" wrapText="1"/>
      <protection hidden="1"/>
    </xf>
    <xf numFmtId="0" fontId="31" fillId="32" borderId="0" xfId="0" applyFont="1" applyFill="1" applyAlignment="1">
      <alignment horizontal="center" vertical="center" wrapText="1"/>
    </xf>
    <xf numFmtId="0" fontId="6" fillId="13" borderId="0" xfId="0" applyFont="1" applyFill="1" applyAlignment="1" applyProtection="1">
      <alignment horizontal="center" vertical="center" wrapText="1"/>
      <protection hidden="1"/>
    </xf>
    <xf numFmtId="0" fontId="30" fillId="27" borderId="0" xfId="0" applyFont="1" applyFill="1" applyAlignment="1">
      <alignment horizontal="center" vertical="center"/>
    </xf>
    <xf numFmtId="0" fontId="31" fillId="28" borderId="0" xfId="0" applyFont="1" applyFill="1" applyAlignment="1">
      <alignment horizontal="center" vertical="center" wrapText="1"/>
    </xf>
    <xf numFmtId="0" fontId="31" fillId="29" borderId="0" xfId="0" applyFont="1" applyFill="1" applyAlignment="1">
      <alignment horizontal="center" vertical="center" wrapText="1"/>
    </xf>
    <xf numFmtId="0" fontId="31" fillId="30" borderId="0" xfId="0" applyFont="1" applyFill="1" applyAlignment="1">
      <alignment horizontal="center" vertical="center" wrapText="1"/>
    </xf>
    <xf numFmtId="0" fontId="6" fillId="12" borderId="0" xfId="0" applyFont="1" applyFill="1" applyAlignment="1" applyProtection="1">
      <alignment horizontal="center" vertical="center" wrapText="1"/>
      <protection hidden="1"/>
    </xf>
    <xf numFmtId="0" fontId="6" fillId="33" borderId="0" xfId="0" applyFont="1" applyFill="1" applyAlignment="1" applyProtection="1">
      <alignment horizontal="center" vertical="center" wrapText="1"/>
      <protection hidden="1"/>
    </xf>
    <xf numFmtId="0" fontId="6" fillId="35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18" borderId="0" xfId="0" applyFont="1" applyFill="1" applyAlignment="1" applyProtection="1">
      <alignment horizontal="center" vertical="center" wrapText="1"/>
      <protection hidden="1"/>
    </xf>
    <xf numFmtId="0" fontId="31" fillId="27" borderId="0" xfId="0" applyFont="1" applyFill="1" applyAlignment="1">
      <alignment horizontal="center" vertical="center"/>
    </xf>
    <xf numFmtId="0" fontId="29" fillId="14" borderId="0" xfId="0" applyFont="1" applyFill="1" applyAlignment="1" applyProtection="1">
      <alignment horizontal="center" vertical="center" wrapText="1"/>
      <protection hidden="1"/>
    </xf>
    <xf numFmtId="171" fontId="6" fillId="13" borderId="1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</cellXfs>
  <cellStyles count="41">
    <cellStyle name="Comma" xfId="1" builtinId="3"/>
    <cellStyle name="Comma 2" xfId="4" xr:uid="{D0A8C869-3DFF-F144-B0D0-631ED0D1C99F}"/>
    <cellStyle name="Comma 2 2" xfId="9" xr:uid="{B8604D8D-02A1-42F1-8EB2-1A861A413E7E}"/>
    <cellStyle name="Comma 2 3" xfId="17" xr:uid="{E246DC0A-B2FF-40AF-B951-8E7E059C9E4E}"/>
    <cellStyle name="Comma 3" xfId="11" xr:uid="{51B2E770-71DF-493E-81D7-F79430E9AD46}"/>
    <cellStyle name="Comma 3 2" xfId="12" xr:uid="{53AD480C-410F-4D13-9F64-1055992D7DAA}"/>
    <cellStyle name="Comma 4" xfId="6" xr:uid="{28E1B232-33EF-44BD-A6DC-AAEA8CF22F46}"/>
    <cellStyle name="Comma 4 2" xfId="14" xr:uid="{75B01284-8E99-462E-B7D0-6F3697C9E371}"/>
    <cellStyle name="Comma 4 3" xfId="24" xr:uid="{9A6433A6-D1A2-4AC4-A60B-F4B9DF2B0224}"/>
    <cellStyle name="Comma 4 4" xfId="27" xr:uid="{ABE51610-6B4F-4D35-B2C5-F9C8EFBCA7EE}"/>
    <cellStyle name="Comma 4 5" xfId="28" xr:uid="{48DAF3C0-E1FC-46B4-8A52-6A88A3DD23B5}"/>
    <cellStyle name="Comma 4 6" xfId="31" xr:uid="{14CD5D48-2C04-4467-9BF1-AC2093D344D4}"/>
    <cellStyle name="Comma 4 7" xfId="32" xr:uid="{E518EE84-497D-4501-A369-9A1491264A02}"/>
    <cellStyle name="Comma 5" xfId="29" xr:uid="{9B14F6B2-007C-4E8E-BF24-8AB672847CE0}"/>
    <cellStyle name="Comma 6" xfId="33" xr:uid="{84C35449-DCC9-4261-A3C3-F7074F63B9AA}"/>
    <cellStyle name="Comma 7" xfId="36" xr:uid="{C83A4181-4B50-4F1E-A679-DC9F5C60DD3E}"/>
    <cellStyle name="Comma 8" xfId="40" xr:uid="{030FCF87-EC25-4FC7-9FD1-20839BDC5297}"/>
    <cellStyle name="DataCellStyle" xfId="16" xr:uid="{7E471D65-8DDB-4801-B746-FCDE51C48539}"/>
    <cellStyle name="Hyperlink" xfId="39" builtinId="8"/>
    <cellStyle name="Hyperlink 2" xfId="2" xr:uid="{52DCCA81-A10F-4F41-97A4-7F904C0373D4}"/>
    <cellStyle name="Normal" xfId="0" builtinId="0"/>
    <cellStyle name="Normal 10" xfId="38" xr:uid="{8D05BCC5-BAC5-4F6E-8E6F-7660150A594C}"/>
    <cellStyle name="Normal 2" xfId="8" xr:uid="{89C51BCF-DEB6-4408-8961-57DE075DB2C5}"/>
    <cellStyle name="Normal 2 2" xfId="15" xr:uid="{CC27D349-EE45-4866-A723-9F7D68A9CF12}"/>
    <cellStyle name="Normal 3" xfId="10" xr:uid="{6B63B5DD-27DE-43A3-9088-90282C825CA3}"/>
    <cellStyle name="Normal 3 2" xfId="18" xr:uid="{376D99EB-4CBD-4A19-B4E2-E80AD2151034}"/>
    <cellStyle name="Normal 4" xfId="5" xr:uid="{FF36B35A-92FB-4BD3-B529-7DEDA1948CFF}"/>
    <cellStyle name="Normal 4 2" xfId="13" xr:uid="{8A121B02-059B-4B6C-BB4E-1B1E5D225E32}"/>
    <cellStyle name="Normal 4 3" xfId="19" xr:uid="{3AC4CA03-88BC-4DA6-87D4-D2ACF90F29C6}"/>
    <cellStyle name="Normal 5" xfId="26" xr:uid="{65A4105A-C152-445B-A83D-CEB62C5AB456}"/>
    <cellStyle name="Normal 6" xfId="30" xr:uid="{A2C77372-3D3B-4B57-AFF8-A60F6A04B89F}"/>
    <cellStyle name="Normal 7" xfId="34" xr:uid="{23629F5D-50E6-4E1E-94F6-DD0B182BA80F}"/>
    <cellStyle name="Normal 8" xfId="35" xr:uid="{16C82C4E-F84F-42FB-9B71-5C32113647D0}"/>
    <cellStyle name="Normal 9" xfId="37" xr:uid="{6A52EE8C-6024-4801-833D-BA3EE46E4197}"/>
    <cellStyle name="Note 2" xfId="20" xr:uid="{C7D86ED4-639B-432F-BA58-76E5AA46D43D}"/>
    <cellStyle name="Percent" xfId="25" builtinId="5"/>
    <cellStyle name="Percent 2" xfId="3" xr:uid="{14131C61-FB58-4B50-B714-F4C5A76B685C}"/>
    <cellStyle name="Percent 3" xfId="7" xr:uid="{ADBB945F-C7FB-4FA7-8226-5AB0DA2A9640}"/>
    <cellStyle name="SAPBEXstdItem 2" xfId="22" xr:uid="{18EBCF7A-A7C8-4593-9BAE-87A8F52C006E}"/>
    <cellStyle name="Standard 2" xfId="23" xr:uid="{DC73E596-B8E6-42E7-B23E-5933C862F98A}"/>
    <cellStyle name="常规_Sheet1" xfId="21" xr:uid="{9936CA1C-0C60-430A-AD6F-59F84AB12A1B}"/>
  </cellStyles>
  <dxfs count="0"/>
  <tableStyles count="0" defaultTableStyle="TableStyleMedium2" defaultPivotStyle="PivotStyleLight16"/>
  <colors>
    <mruColors>
      <color rgb="FFB8FF66"/>
      <color rgb="FF8ED195"/>
      <color rgb="FFFF99CC"/>
      <color rgb="FF8ED1BE"/>
      <color rgb="FFDBE92D"/>
      <color rgb="FFE8E8E8"/>
      <color rgb="FFBDD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ichStyles" Target="richData/rich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06/relationships/rdSupportingPropertyBag" Target="richData/rdsupportingpropertybag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SupportingPropertyBagStructure" Target="richData/rdsupportingpropertybagstructure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yla N. Operations" id="{CF9272FC-E2F1-467E-8624-D1F68593FAB4}" userId="S::ln@mancon.pro::7235b961-d409-41db-9a1e-486acb108519" providerId="AD"/>
  <person displayName="Marat V. Operations IB4" id="{55307539-2029-4938-8218-988F516E442D}" userId="S::mv.ops@ib4.net::6bf01372-c664-4b45-81c2-f0477d76294d" providerId="AD"/>
  <person displayName="Nikolay A. Sales IB4" id="{19BBE496-FE7F-4D40-A9D7-C40974EB31EC}" userId="S::na.sls@ib4.net::b0c6467d-29a1-4a30-9981-4d07e86d1922" providerId="AD"/>
  <person displayName="Oleg P. Trading IB4" id="{085DCE89-A078-4964-8CC1-277EE1012EEC}" userId="S::op.trd@ib4.net::f85d1abf-dc3a-4d25-95f5-bea607e98282" providerId="AD"/>
  <person displayName="Ravil Latypov IB4" id="{099DDB05-5027-4D85-A5A8-3C1D016114C7}" userId="S::rl.trd@ib4.net::899b3730-044a-4dc3-8f9a-74fa109145aa" providerId="AD"/>
  <person displayName="Valeriya M. Sales" id="{36241C24-2BED-416F-850F-8B475CDFED2F}" userId="S::vm.sls@mancon.pro::5b0648d3-fa1b-494c-9d2e-9aa9e09a0796" providerId="AD"/>
  <person displayName="Irina Kann" id="{E49F25B2-A79E-4F35-80B6-A2661A34E964}" userId="S::irina.kann@owll.ae::28d483cb-6517-4777-97c2-f559f81fec2a" providerId="AD"/>
  <person displayName="Khanim Rustamova" id="{1F606503-E71A-47DB-97E4-D4CAF79632C5}" userId="S::khanim.rustamova@owll.ae::db3eab7f-42f3-41ce-b4ff-8e96572fe164" providerId="AD"/>
  <person displayName="Valeriya M. Sales" id="{17046A94-A607-4868-8628-4D95E2A86B80}" userId="S::valeriya.mikhailova@mancon.pro::5b0648d3-fa1b-494c-9d2e-9aa9e09a0796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6">
  <rv s="0">
    <v>0</v>
    <v>USD/AED</v>
    <v>2</v>
    <v>3</v>
    <v>Finance</v>
    <v>4</v>
    <v>en-GB</v>
    <v>avyu1h</v>
    <v>268435456</v>
    <v>1</v>
    <v>Powered by Refinitiv</v>
    <v>3.6738</v>
    <v>3.6709000000000001</v>
    <v>0</v>
    <v>0</v>
    <v>AED</v>
    <v>USD</v>
    <v>Currency Pair</v>
    <v>46073.760636574072</v>
    <v>US Dollar/UAE Dirham FX Spot Rate</v>
    <v>3.6726000000000001</v>
    <v>3.6726000000000001</v>
    <v>USDAED</v>
    <v>USD/AED</v>
  </rv>
  <rv s="1">
    <v>0</v>
  </rv>
  <rv s="0">
    <v>0</v>
    <v>EUR/USD</v>
    <v>2</v>
    <v>5</v>
    <v>Finance</v>
    <v>4</v>
    <v>en-GB</v>
    <v>av932w</v>
    <v>268435456</v>
    <v>1</v>
    <v>Powered by Refinitiv</v>
    <v>1.2078</v>
    <v>1.0359</v>
    <v>8.0000000000000004E-4</v>
    <v>6.7960000000000004E-4</v>
    <v>USD</v>
    <v>EUR</v>
    <v>Currency Pair</v>
    <v>46073.916550925926</v>
    <v>Euro/US Dollar FX Spot Rate</v>
    <v>1.1772</v>
    <v>1.1779999999999999</v>
    <v>EURUSD</v>
    <v>EUR/USD</v>
  </rv>
  <rv s="1">
    <v>2</v>
  </rv>
  <rv s="0">
    <v>0</v>
    <v>EUR/AED</v>
    <v>2</v>
    <v>3</v>
    <v>Finance</v>
    <v>4</v>
    <v>en-GB</v>
    <v>av92w7</v>
    <v>268435456</v>
    <v>1</v>
    <v>Powered by Refinitiv</v>
    <v>4.4360999999999997</v>
    <v>3.8043</v>
    <v>2.8999999999999998E-3</v>
    <v>6.7080000000000004E-4</v>
    <v>AED</v>
    <v>EUR</v>
    <v>Currency Pair</v>
    <v>46073.916550925926</v>
    <v>Euro/UAE Dirham FX Cross Rate</v>
    <v>4.3234000000000004</v>
    <v>4.3262999999999998</v>
    <v>EURAED</v>
    <v>EUR/AED</v>
  </rv>
  <rv s="1">
    <v>4</v>
  </rv>
  <rv s="2">
    <v>6</v>
    <v>USD/CNH</v>
    <v>2</v>
    <v>7</v>
    <v>Finance</v>
    <v>4</v>
    <v>en-GB</v>
    <v>bosolh</v>
    <v>268435456</v>
    <v>1</v>
    <v>Powered by Refinitiv</v>
    <v>7.4287000000000001</v>
    <v>6.8794000000000004</v>
    <v>-4.0000000000000001E-3</v>
    <v>-5.798E-4</v>
    <v>CNH</v>
    <v>USD</v>
    <v>6.8958000000000004</v>
    <v>Currency Pair</v>
    <v>46073.916689814818</v>
    <v>6.8996000000000004</v>
    <v>US Dollar/Chinese Yuan Offshore FX Spot Rate</v>
    <v>6.8958000000000004</v>
    <v>6.8992000000000004</v>
    <v>6.8952</v>
    <v>USDCNH</v>
    <v>USD/CNH</v>
  </rv>
  <rv s="1">
    <v>6</v>
  </rv>
  <rv s="0">
    <v>0</v>
    <v>USD/CNY</v>
    <v>2</v>
    <v>8</v>
    <v>Finance</v>
    <v>4</v>
    <v>en-GB</v>
    <v>avym77</v>
    <v>268435456</v>
    <v>1</v>
    <v>Powered by Refinitiv</v>
    <v>7.3509000000000002</v>
    <v>6.8998999999999997</v>
    <v>0</v>
    <v>0</v>
    <v>CNY</v>
    <v>USD</v>
    <v>Currency Pair</v>
    <v>46066.396585648145</v>
    <v>US Dollar/Chinese Renminbi FX Spot Rate</v>
    <v>6.9080000000000004</v>
    <v>6.9080000000000004</v>
    <v>USDCNY</v>
    <v>USD/CNY</v>
  </rv>
  <rv s="1">
    <v>8</v>
  </rv>
  <rv s="0">
    <v>0</v>
    <v>USD/TRY</v>
    <v>2</v>
    <v>9</v>
    <v>Finance</v>
    <v>4</v>
    <v>en-GB</v>
    <v>avytp2</v>
    <v>268435456</v>
    <v>1</v>
    <v>Powered by Refinitiv</v>
    <v>43.781300000000002</v>
    <v>35.819600000000001</v>
    <v>6.3899999999999998E-2</v>
    <v>1.4599999999999999E-3</v>
    <v>TRY</v>
    <v>USD</v>
    <v>Currency Pair</v>
    <v>46073.916655092595</v>
    <v>US Dollar/Turkish Lira FX Spot Rate</v>
    <v>43.752899999999997</v>
    <v>43.816800000000001</v>
    <v>USDTRY</v>
    <v>USD/TRY</v>
  </rv>
  <rv s="1">
    <v>10</v>
  </rv>
  <rv s="0">
    <v>0</v>
    <v>USD/RUB</v>
    <v>2</v>
    <v>10</v>
    <v>Finance</v>
    <v>4</v>
    <v>en-GB</v>
    <v>avys2w</v>
    <v>268435456</v>
    <v>1</v>
    <v>Powered by Refinitiv</v>
    <v>92.370500000000007</v>
    <v>74.900000000000006</v>
    <v>-2.5000000000000001E-2</v>
    <v>-3.258E-4</v>
    <v>RUB</v>
    <v>USD</v>
    <v>Currency Pair</v>
    <v>46073.699340277781</v>
    <v>US Dollar/Russian Rouble FX Spot Rate</v>
    <v>76.745500000000007</v>
    <v>76.720500000000001</v>
    <v>USDRUB</v>
    <v>USD/RUB</v>
  </rv>
  <rv s="1">
    <v>12</v>
  </rv>
  <rv s="0">
    <v>0</v>
    <v>EUR/RUB</v>
    <v>2</v>
    <v>10</v>
    <v>Finance</v>
    <v>4</v>
    <v>en-GB</v>
    <v>av8zxm</v>
    <v>268435456</v>
    <v>1</v>
    <v>Powered by Refinitiv</v>
    <v>100.4325</v>
    <v>87.2303</v>
    <v>3.1899999999999998E-2</v>
    <v>3.5310000000000002E-4</v>
    <v>RUB</v>
    <v>EUR</v>
    <v>Currency Pair</v>
    <v>46073.916550925926</v>
    <v>Euro/Russian Rouble FX Cross Rate</v>
    <v>90.344800000000006</v>
    <v>90.3767</v>
    <v>EURRUB</v>
    <v>EUR/RUB</v>
  </rv>
  <rv s="1">
    <v>14</v>
  </rv>
  <rv s="2">
    <v>6</v>
    <v>CNH/RUB</v>
    <v>2</v>
    <v>11</v>
    <v>Finance</v>
    <v>4</v>
    <v>en-GB</v>
    <v>bodk52</v>
    <v>268435456</v>
    <v>1</v>
    <v>Powered by Refinitiv</v>
    <v>12.705299999999999</v>
    <v>10.6774</v>
    <v>5.5999999999999995E-4</v>
    <v>5.0359999999999999E-5</v>
    <v>RUB</v>
    <v>CNH</v>
    <v>11.1196</v>
    <v>Currency Pair</v>
    <v>46073.916689814818</v>
    <v>11.127000000000001</v>
    <v>Chinese Yuan Offshore/Russian Rouble FX Cross Rate</v>
    <v>11.1196</v>
    <v>11.119</v>
    <v>11.1196</v>
    <v>CNHRUB</v>
    <v>CNH/RUB</v>
  </rv>
  <rv s="1">
    <v>16</v>
  </rv>
  <rv s="0">
    <v>0</v>
    <v>CNY/RUB</v>
    <v>2</v>
    <v>10</v>
    <v>Finance</v>
    <v>4</v>
    <v>en-GB</v>
    <v>av52z2</v>
    <v>268435456</v>
    <v>1</v>
    <v>Powered by Refinitiv</v>
    <v>12.708399999999999</v>
    <v>10.6798</v>
    <v>-3.7000000000000002E-3</v>
    <v>-3.3310000000000002E-4</v>
    <v>RUB</v>
    <v>CNY</v>
    <v>Currency Pair</v>
    <v>46073.699340277781</v>
    <v>Chinese Renminbi/Russian Rouble FX Cross Rate</v>
    <v>11.1076</v>
    <v>11.103899999999999</v>
    <v>CNYRUB</v>
    <v>CNY/RUB</v>
  </rv>
  <rv s="1">
    <v>18</v>
  </rv>
  <rv s="2">
    <v>6</v>
    <v>EUR/CNH</v>
    <v>2</v>
    <v>7</v>
    <v>Finance</v>
    <v>4</v>
    <v>en-GB</v>
    <v>boclhw</v>
    <v>268435456</v>
    <v>1</v>
    <v>Powered by Refinitiv</v>
    <v>8.4649000000000001</v>
    <v>7.5559000000000003</v>
    <v>2.0999999999999999E-3</v>
    <v>2.586E-4</v>
    <v>CNH</v>
    <v>EUR</v>
    <v>8.1233000000000004</v>
    <v>Currency Pair</v>
    <v>46073.916689814818</v>
    <v>8.1297999999999995</v>
    <v>Euro/Chinese Yuan Offshore FX Cross Rate</v>
    <v>8.1233000000000004</v>
    <v>8.1204000000000001</v>
    <v>8.1225000000000005</v>
    <v>EURCNH</v>
    <v>EUR/CNH</v>
  </rv>
  <rv s="1">
    <v>20</v>
  </rv>
  <rv s="0">
    <v>0</v>
    <v>EUR/CNY</v>
    <v>2</v>
    <v>8</v>
    <v>Finance</v>
    <v>4</v>
    <v>en-GB</v>
    <v>av8u5r</v>
    <v>268435456</v>
    <v>1</v>
    <v>Powered by Refinitiv</v>
    <v>8.4710000000000001</v>
    <v>7.5442999999999998</v>
    <v>5.4999999999999997E-3</v>
    <v>6.762999999999999E-4</v>
    <v>CNY</v>
    <v>EUR</v>
    <v>Currency Pair</v>
    <v>46073.916550925926</v>
    <v>Euro/Chinese Renminbi FX Cross Rate</v>
    <v>8.1320999999999994</v>
    <v>8.1376000000000008</v>
    <v>EURCNY</v>
    <v>EUR/CNY</v>
  </rv>
  <rv s="1">
    <v>22</v>
  </rv>
  <rv s="0">
    <v>0</v>
    <v>USD/INR</v>
    <v>2</v>
    <v>12</v>
    <v>Finance</v>
    <v>4</v>
    <v>en-GB</v>
    <v>avyo8m</v>
    <v>268435456</v>
    <v>1</v>
    <v>Powered by Refinitiv</v>
    <v>92.212999999999994</v>
    <v>83.76</v>
    <v>-0.317</v>
    <v>-3.483E-3</v>
    <v>INR</v>
    <v>USD</v>
    <v>Currency Pair</v>
    <v>46073.916331018518</v>
    <v>US Dollar/Indian Rupee FX Spot Rate</v>
    <v>91.018000000000001</v>
    <v>90.700999999999993</v>
    <v>USDINR</v>
    <v>USD/INR</v>
  </rv>
  <rv s="1">
    <v>24</v>
  </rv>
  <rv s="0">
    <v>0</v>
    <v>AED/RUB</v>
    <v>2</v>
    <v>10</v>
    <v>Finance</v>
    <v>4</v>
    <v>en-GB</v>
    <v>avy6u2</v>
    <v>268435456</v>
    <v>1</v>
    <v>Powered by Refinitiv</v>
    <v>25.1465</v>
    <v>20.392099999999999</v>
    <v>-8.5000000000000006E-3</v>
    <v>-4.0680000000000002E-4</v>
    <v>RUB</v>
    <v>AED</v>
    <v>Currency Pair</v>
    <v>46073.760636574072</v>
    <v>UAE Dirham/Russian Rouble FX Cross Rate</v>
    <v>20.892800000000001</v>
    <v>20.8843</v>
    <v>AEDRUB</v>
    <v>AED/RUB</v>
  </rv>
  <rv s="1">
    <v>26</v>
  </rv>
  <rv s="0">
    <v>0</v>
    <v>CNY/AED</v>
    <v>2</v>
    <v>3</v>
    <v>Finance</v>
    <v>4</v>
    <v>en-GB</v>
    <v>av54xm</v>
    <v>268435456</v>
    <v>1</v>
    <v>Powered by Refinitiv</v>
    <v>0.53220000000000001</v>
    <v>0.49959999999999999</v>
    <v>0</v>
    <v>0</v>
    <v>AED</v>
    <v>CNY</v>
    <v>Currency Pair</v>
    <v>46073.760636574072</v>
    <v>Chinese Renminbi/UAE Dirham FX Cross Rate</v>
    <v>0.53149999999999997</v>
    <v>0.53149999999999997</v>
    <v>CNYAED</v>
    <v>CNY/AED</v>
  </rv>
  <rv s="1">
    <v>28</v>
  </rv>
  <rv s="2">
    <v>6</v>
    <v>CNH/AED</v>
    <v>2</v>
    <v>13</v>
    <v>Finance</v>
    <v>4</v>
    <v>en-GB</v>
    <v>bodeqh</v>
    <v>268435456</v>
    <v>1</v>
    <v>Powered by Refinitiv</v>
    <v>0.53380000000000005</v>
    <v>0.49430000000000002</v>
    <v>1.9000000000000001E-4</v>
    <v>3.5710000000000001E-4</v>
    <v>AED</v>
    <v>CNH</v>
    <v>0.5323</v>
    <v>Currency Pair</v>
    <v>46073.916689814818</v>
    <v>0.53269999999999995</v>
    <v>Chinese Yuan Offshore/UAE Dirham FX Cross Rate</v>
    <v>0.5323</v>
    <v>0.53210000000000002</v>
    <v>0.5323</v>
    <v>CNHAED</v>
    <v>CNH/AED</v>
  </rv>
  <rv s="1">
    <v>30</v>
  </rv>
  <rv s="2">
    <v>6</v>
    <v>USD/OMR</v>
    <v>2</v>
    <v>14</v>
    <v>Finance</v>
    <v>4</v>
    <v>en-GB</v>
    <v>avyr9c</v>
    <v>268435456</v>
    <v>1</v>
    <v>Powered by Refinitiv</v>
    <v>0.3851</v>
    <v>0.38400000000000001</v>
    <v>-5.0000000000000002E-5</v>
    <v>-1.2989999999999999E-4</v>
    <v>OMR</v>
    <v>USD</v>
    <v>0.38490000000000002</v>
    <v>Currency Pair</v>
    <v>46074.104201388887</v>
    <v>0.3851</v>
    <v>US Dollar/Omani Rial FX Spot Rate</v>
    <v>0.38490000000000002</v>
    <v>0.38490000000000002</v>
    <v>0.38490000000000002</v>
    <v>USDOMR</v>
    <v>USD/OMR</v>
  </rv>
  <rv s="1">
    <v>32</v>
  </rv>
  <rv s="0">
    <v>0</v>
    <v>USD/THB</v>
    <v>2</v>
    <v>15</v>
    <v>Finance</v>
    <v>4</v>
    <v>en-GB</v>
    <v>avytgh</v>
    <v>268435456</v>
    <v>1</v>
    <v>Powered by Refinitiv</v>
    <v>34.979999999999997</v>
    <v>30.83</v>
    <v>-0.08</v>
    <v>-2.5709999999999999E-3</v>
    <v>THB</v>
    <v>USD</v>
    <v>Currency Pair</v>
    <v>46073.911909722221</v>
    <v>US Dollar/Thai Baht FX Spot Rate</v>
    <v>31.12</v>
    <v>31.04</v>
    <v>USDTHB</v>
    <v>USD/THB</v>
  </rv>
  <rv s="1">
    <v>34</v>
  </rv>
  <rv s="0">
    <v>0</v>
    <v>USD/HKD</v>
    <v>2</v>
    <v>16</v>
    <v>Finance</v>
    <v>4</v>
    <v>en-GB</v>
    <v>avynz2</v>
    <v>268435456</v>
    <v>1</v>
    <v>Powered by Refinitiv</v>
    <v>7.85</v>
    <v>7.7496</v>
    <v>6.9999999999999999E-4</v>
    <v>8.9580000000000006E-5</v>
    <v>HKD</v>
    <v>USD</v>
    <v>Currency Pair</v>
    <v>46073.916319444441</v>
    <v>US Dollar/Hong Kong Dollar FX Spot Rate</v>
    <v>7.8140999999999998</v>
    <v>7.8148</v>
    <v>USDHKD</v>
    <v>USD/HKD</v>
  </rv>
  <rv s="1">
    <v>36</v>
  </rv>
  <rv s="0">
    <v>0</v>
    <v>USD/IDR</v>
    <v>2</v>
    <v>17</v>
    <v>Finance</v>
    <v>4</v>
    <v>en-GB</v>
    <v>avyobh</v>
    <v>268435456</v>
    <v>1</v>
    <v>Powered by Refinitiv</v>
    <v>16985</v>
    <v>16080</v>
    <v>-10</v>
    <v>-5.9279999999999999E-4</v>
    <v>IDR</v>
    <v>USD</v>
    <v>Currency Pair</v>
    <v>46073.332719907405</v>
    <v>US Dollar/Indonesian Rupiah FX Spot Rate</v>
    <v>16870</v>
    <v>16860</v>
    <v>USDIDR</v>
    <v>USD/IDR</v>
  </rv>
  <rv s="1">
    <v>38</v>
  </rv>
  <rv s="0">
    <v>0</v>
    <v>USD/JPY</v>
    <v>2</v>
    <v>18</v>
    <v>Finance</v>
    <v>4</v>
    <v>en-GB</v>
    <v>avyomw</v>
    <v>268435456</v>
    <v>1</v>
    <v>Powered by Refinitiv</v>
    <v>159.44999999999999</v>
    <v>139.86000000000001</v>
    <v>7.0000000000000007E-2</v>
    <v>4.5170000000000003E-4</v>
    <v>JPY</v>
    <v>USD</v>
    <v>Currency Pair</v>
    <v>46073.916597222225</v>
    <v>US Dollar/Japanese Yen FX Spot Rate</v>
    <v>154.97999999999999</v>
    <v>155.05000000000001</v>
    <v>USDJPY</v>
    <v>USD/JPY</v>
  </rv>
  <rv s="1">
    <v>40</v>
  </rv>
  <rv s="2">
    <v>6</v>
    <v>BTC/USD</v>
    <v>2</v>
    <v>19</v>
    <v>Finance</v>
    <v>4</v>
    <v>en-GB</v>
    <v>bo8l6h</v>
    <v>268435456</v>
    <v>1</v>
    <v>Powered by Refinitiv</v>
    <v>126223.18</v>
    <v>60008.52</v>
    <v>981.33</v>
    <v>1.4665999999999998E-2</v>
    <v>USD</v>
    <v>BTC</v>
    <v>68218.53</v>
    <v>Currency Pair</v>
    <v>46074.343113425923</v>
    <v>67544.41</v>
    <v>Bitcoin/US Dollar FX Spot Rate</v>
    <v>67803.45</v>
    <v>66913</v>
    <v>67894.33</v>
    <v>BTCUSD</v>
    <v>BTC/USD</v>
  </rv>
  <rv s="1">
    <v>42</v>
  </rv>
  <rv s="2">
    <v>6</v>
    <v>ETH/USD</v>
    <v>2</v>
    <v>19</v>
    <v>Finance</v>
    <v>4</v>
    <v>en-GB</v>
    <v>brjcfr</v>
    <v>268435456</v>
    <v>1</v>
    <v>Powered by Refinitiv</v>
    <v>4955.1400000000003</v>
    <v>1387.02</v>
    <v>16.37</v>
    <v>8.4030000000000007E-3</v>
    <v>USD</v>
    <v>ETH</v>
    <v>1976.79</v>
    <v>Currency Pair</v>
    <v>46074.343101851853</v>
    <v>1955.94</v>
    <v>Ether/US Dollar FX Spot Rate</v>
    <v>1974.02</v>
    <v>1948.05</v>
    <v>1964.42</v>
    <v>ETHUSD</v>
    <v>ETH/USD</v>
  </rv>
  <rv s="1">
    <v>44</v>
  </rv>
</rvData>
</file>

<file path=xl/richData/rdrichvaluestructure.xml><?xml version="1.0" encoding="utf-8"?>
<rvStructures xmlns="http://schemas.microsoft.com/office/spreadsheetml/2017/richdata" count="3"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</rvStructures>
</file>

<file path=xl/richData/rdsupportingpropertybag.xml><?xml version="1.0" encoding="utf-8"?>
<supportingPropertyBags xmlns="http://schemas.microsoft.com/office/spreadsheetml/2017/richdata2">
  <spbArrays count="2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20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  <spb s="3">
      <v>1</v>
      <v>6</v>
      <v>6</v>
      <v>3</v>
      <v>6</v>
      <v>6</v>
      <v>6</v>
      <v>4</v>
      <v>5</v>
    </spb>
    <spb s="0">
      <v>1</v>
      <v>Name</v>
    </spb>
    <spb s="5">
      <v>7</v>
      <v>7</v>
      <v>1</v>
      <v>7</v>
      <v>7</v>
      <v>7</v>
      <v>3</v>
      <v>7</v>
      <v>7</v>
      <v>7</v>
      <v>4</v>
      <v>5</v>
    </spb>
    <spb s="3">
      <v>1</v>
      <v>8</v>
      <v>8</v>
      <v>3</v>
      <v>8</v>
      <v>8</v>
      <v>8</v>
      <v>4</v>
      <v>5</v>
    </spb>
    <spb s="3">
      <v>1</v>
      <v>9</v>
      <v>9</v>
      <v>3</v>
      <v>9</v>
      <v>9</v>
      <v>9</v>
      <v>4</v>
      <v>5</v>
    </spb>
    <spb s="3">
      <v>1</v>
      <v>10</v>
      <v>10</v>
      <v>3</v>
      <v>10</v>
      <v>10</v>
      <v>10</v>
      <v>4</v>
      <v>5</v>
    </spb>
    <spb s="5">
      <v>10</v>
      <v>10</v>
      <v>1</v>
      <v>10</v>
      <v>10</v>
      <v>10</v>
      <v>3</v>
      <v>10</v>
      <v>10</v>
      <v>10</v>
      <v>4</v>
      <v>5</v>
    </spb>
    <spb s="3">
      <v>1</v>
      <v>11</v>
      <v>11</v>
      <v>3</v>
      <v>11</v>
      <v>11</v>
      <v>11</v>
      <v>4</v>
      <v>5</v>
    </spb>
    <spb s="5">
      <v>2</v>
      <v>2</v>
      <v>1</v>
      <v>2</v>
      <v>2</v>
      <v>2</v>
      <v>3</v>
      <v>2</v>
      <v>2</v>
      <v>2</v>
      <v>4</v>
      <v>5</v>
    </spb>
    <spb s="5">
      <v>12</v>
      <v>12</v>
      <v>1</v>
      <v>12</v>
      <v>12</v>
      <v>12</v>
      <v>3</v>
      <v>12</v>
      <v>12</v>
      <v>12</v>
      <v>4</v>
      <v>5</v>
    </spb>
    <spb s="3">
      <v>1</v>
      <v>13</v>
      <v>13</v>
      <v>3</v>
      <v>13</v>
      <v>13</v>
      <v>13</v>
      <v>4</v>
      <v>5</v>
    </spb>
    <spb s="3">
      <v>1</v>
      <v>14</v>
      <v>14</v>
      <v>3</v>
      <v>14</v>
      <v>14</v>
      <v>14</v>
      <v>4</v>
      <v>5</v>
    </spb>
    <spb s="3">
      <v>1</v>
      <v>15</v>
      <v>15</v>
      <v>3</v>
      <v>15</v>
      <v>15</v>
      <v>15</v>
      <v>4</v>
      <v>5</v>
    </spb>
    <spb s="3">
      <v>1</v>
      <v>16</v>
      <v>16</v>
      <v>3</v>
      <v>16</v>
      <v>16</v>
      <v>16</v>
      <v>4</v>
      <v>5</v>
    </spb>
    <spb s="5">
      <v>6</v>
      <v>6</v>
      <v>1</v>
      <v>6</v>
      <v>6</v>
      <v>6</v>
      <v>3</v>
      <v>6</v>
      <v>6</v>
      <v>6</v>
      <v>4</v>
      <v>5</v>
    </spb>
  </spbData>
</supportingPropertyBags>
</file>

<file path=xl/richData/rdsupportingpropertybagstructure.xml><?xml version="1.0" encoding="utf-8"?>
<spbStructures xmlns="http://schemas.microsoft.com/office/spreadsheetml/2017/richdata2" count="6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  <x:dxf>
      <x:numFmt numFmtId="35" formatCode="_-* #,##0.00_-;\-* #,##0.00_-;_-* &quot;-&quot;??_-;_-@_-"/>
    </x:dxf>
  </dxfs>
  <richProperties>
    <rPr n="IsTitleField" t="b"/>
    <rPr n="NumberFormat" t="s"/>
  </richProperties>
  <richStyles>
    <rSty>
      <rpv i="0">1</rpv>
    </rSty>
    <rSty dxfid="0">
      <rpv i="1" xml:space="preserve">_ * #,##0.00_)[$د.إ.-ar-AE]_ ;_ * (#,##0.00)[$د.إ.-ar-AE]_ ;_ * "-"??_)[$د.إ.-ar-AE]_ ;_ @_ </rpv>
    </rSty>
    <rSty dxfid="1"/>
    <rSty dxfid="3"/>
    <rSty dxfid="2">
      <rpv i="1">0.00</rpv>
    </rSty>
    <rSty dxfid="0">
      <rpv i="1">_([$$-en-US]* #,##0.00_);_([$$-en-US]* (#,##0.00);_([$$-en-US]* "-"??_);_(@_)</rpv>
    </rSty>
    <rSty dxfid="4">
      <rpv i="1">_(* #,##0.00_);_(* (#,##0.00);_(* "-"??_);_(@_)</rpv>
    </rSty>
    <rSty dxfid="0">
      <rpv i="1">_([$¥-zh-CN]* #,##0.00_);_([$¥-zh-CN]* (#,##0.00);_([$¥-zh-CN]* "-"??_);_(@_)</rpv>
    </rSty>
    <rSty dxfid="0">
      <rpv i="1">_-[$₺-tr-TR]* #,##0.00_-;-[$₺-tr-TR]* #,##0.00_-;_-[$₺-tr-TR]* "-"??_-;_-@_-</rpv>
    </rSty>
    <rSty dxfid="0">
      <rpv i="1">_-* #,##0.00 [$RUB-en-RU]_-;-* #,##0.00 [$RUB-en-RU]_-;_-* "-"?? [$RUB-en-RU]_-;_-@_-</rpv>
    </rSty>
    <rSty dxfid="0">
      <rpv i="1">_-[$¤-ks-Deva] * #,##0.00_-;-[$¤-ks-Deva] * #,##0.00_-;_-[$¤-ks-Deva] * "-"??_-;_-@_-</rpv>
    </rSty>
    <rSty dxfid="0">
      <rpv i="1">_-* #,##0.00 [$ر.ع.-ar-OM]_-;-* #,##0.00 [$ر.ع.-ar-OM]_-;_-* "-"?? [$ر.ع.-ar-OM]_-;_-@_-</rpv>
    </rSty>
    <rSty dxfid="0">
      <rpv i="1">_([$฿-th-TH]* #,##0.00_);_([$฿-th-TH]* (#,##0.00);_([$฿-th-TH]* "-"??_);_(@_)</rpv>
    </rSty>
    <rSty dxfid="0">
      <rpv i="1">_([$HK$-zh-HK]* #,##0.00_);_([$HK$-zh-HK]* (#,##0.00);_([$HK$-zh-HK]* "-"??_);_(@_)</rpv>
    </rSty>
    <rSty dxfid="0">
      <rpv i="1">_([$IDR-jv-Java-ID]* #,##0.00_);_([$IDR-jv-Java-ID]* (#,##0.00);_([$IDR-jv-Java-ID]* "-"??_);_(@_)</rpv>
    </rSty>
    <rSty dxfid="0">
      <rpv i="1">_([$¥-ja-JP]* #,##0.00_);_([$¥-ja-JP]* (#,##0.00);_([$¥-ja-JP]*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C3" dT="2025-05-12T10:39:51.65" personId="{E49F25B2-A79E-4F35-80B6-A2661A34E964}" id="{67B4B8D8-0A04-4266-AAC1-2D3AD1D10B00}">
    <text>OZON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" dT="2026-01-14T10:17:11.32" personId="{17046A94-A607-4868-8628-4D95E2A86B80}" id="{BEA0437A-77D7-4025-B791-A084EB8B2D9B}">
    <text xml:space="preserve">стр.698 и 733 оплата по 2-м инвойсам: 
1) Инвойс (70%)  на  5 066 667.96  
2) Инвойс (70%)  на 1 163 452.48 </text>
  </threadedComment>
  <threadedComment ref="J10" dT="2026-01-14T05:52:16.60" personId="{19BBE496-FE7F-4D40-A9D7-C40974EB31EC}" id="{B3A79DCA-5846-4E8E-AA16-88FAED2BB549}">
    <text>we pay 139,744,671.37</text>
  </threadedComment>
  <threadedComment ref="R12" dT="2026-01-13T08:36:21.59" personId="{17046A94-A607-4868-8628-4D95E2A86B80}" id="{40E896F0-55B7-4607-B28F-8337068964F6}">
    <text>Поступление рублей:
АТР - 3 899 365,36 руб.
Сириус- 1 286 388,57 руб.</text>
  </threadedComment>
  <threadedComment ref="J26" dT="2026-01-14T05:51:45.66" personId="{19BBE496-FE7F-4D40-A9D7-C40974EB31EC}" id="{DD018DC6-F8D6-438F-B86C-225FC8759EF9}">
    <text>we pay 21,771,336.24</text>
  </threadedComment>
  <threadedComment ref="J29" dT="2026-01-14T05:51:25.53" personId="{19BBE496-FE7F-4D40-A9D7-C40974EB31EC}" id="{8A69F440-B502-40E6-9B33-F7263EF907DF}">
    <text>we pay 184,690,264.2</text>
  </threadedComment>
  <threadedComment ref="R37" dT="2026-01-14T09:16:01.76" personId="{17046A94-A607-4868-8628-4D95E2A86B80}" id="{3019A570-1CBE-4B93-ACD8-1B7C1F2FCF70}">
    <text xml:space="preserve">Поступление рублей:
Трансгрупп - 10 615 831 руб.
Хада - 153 210,40 руб.
Хада - 278 971,06 руб. 
Рост - 460 257,14 руб. </text>
  </threadedComment>
  <threadedComment ref="J38" dT="2026-01-15T08:23:17.22" personId="{19BBE496-FE7F-4D40-A9D7-C40974EB31EC}" id="{F4A1DD6C-BC61-4AB2-8D95-614746205142}">
    <text>we pay 11,334,741.79</text>
  </threadedComment>
  <threadedComment ref="J40" dT="2026-01-14T10:17:22.84" personId="{17046A94-A607-4868-8628-4D95E2A86B80}" id="{0931FB62-0CE6-4858-B7F0-ACB78F99B5D8}">
    <text xml:space="preserve">стр.698 и 734 оплата по 2-м инвойсам: 
1) Инвойс (70%)  на  5 066 667.96  
2) Инвойс (70%)  на 1 163 452.48 </text>
  </threadedComment>
  <threadedComment ref="J42" dT="2026-01-14T14:27:14.71" personId="{17046A94-A607-4868-8628-4D95E2A86B80}" id="{A7C92F57-ABB7-4861-BC98-30F304AE70FC}">
    <text>Оплата в рамках 1-го инвойса: стр. 735 и 739</text>
  </threadedComment>
  <threadedComment ref="J45" dT="2026-01-14T14:27:41.28" personId="{17046A94-A607-4868-8628-4D95E2A86B80}" id="{37FBBC7F-DF15-4AD4-9A73-5FCB4373C2B7}">
    <text>Оплата в рамках 1-го инвойса: стр. 735 и 739</text>
  </threadedComment>
  <threadedComment ref="R47" dT="2026-01-14T09:14:21.44" personId="{17046A94-A607-4868-8628-4D95E2A86B80}" id="{D991733E-BF25-4052-A0C1-BCEB26A8167F}">
    <text xml:space="preserve">Поступление рублей:
Сириус - 492 266.14 руб
Сириус - 548 911,35 руб. </text>
  </threadedComment>
  <threadedComment ref="J63" dT="2026-01-15T08:23:43.97" personId="{19BBE496-FE7F-4D40-A9D7-C40974EB31EC}" id="{EEA96B36-3570-48F9-B412-547FCBD06C49}">
    <text>we pay 117,756,158.75</text>
  </threadedComment>
  <threadedComment ref="J69" dT="2026-01-16T13:21:20.96" personId="{17046A94-A607-4868-8628-4D95E2A86B80}" id="{F1F1BE08-9CC4-4865-8709-6688B97DB66F}">
    <text xml:space="preserve">Стр. 763, 779 один инвойс  на общую сумму 155 504,42 руб. </text>
  </threadedComment>
  <threadedComment ref="J85" dT="2026-01-16T13:21:33.34" personId="{17046A94-A607-4868-8628-4D95E2A86B80}" id="{638D1C62-B7DD-49A6-AAA8-B4B2E5778CCC}">
    <text xml:space="preserve">Стр. 763, 779 один инвойс  на общую сумму 155 504,42 руб. </text>
  </threadedComment>
  <threadedComment ref="J106" dT="2026-01-20T08:12:40.47" personId="{17046A94-A607-4868-8628-4D95E2A86B80}" id="{41E4518E-FC80-4E2F-A384-B7C0830961AC}">
    <text xml:space="preserve">Оплата стр. 801-802 одним инвойсом на 164 998.16 руб. </text>
  </threadedComment>
  <threadedComment ref="P107" dT="2026-01-20T14:34:19.81" personId="{17046A94-A607-4868-8628-4D95E2A86B80}" id="{50F138BA-1A42-44B8-B5A2-FB1E98DB9D85}">
    <text xml:space="preserve"> Поступление рублей:
ATP IMPORT CO LTD - 422 815,36   TG Logistics Со. Ltd -  4 835 532,89 </text>
  </threadedComment>
  <threadedComment ref="R107" dT="2026-01-19T15:41:55.26" personId="{085DCE89-A078-4964-8CC1-277EE1012EEC}" id="{A17FE031-AE96-455D-A61C-7F74C3BFA88A}">
    <text>received to RVG - switched to EVC via MRC</text>
  </threadedComment>
  <threadedComment ref="J121" dT="2026-01-22T08:34:48.68" personId="{17046A94-A607-4868-8628-4D95E2A86B80}" id="{CF92F406-789E-4B37-88D9-EEF8ED30B306}">
    <text>Оплата стр. 815 и в т.ч. 1616,16 usd из стр. 819 оплата по инвойсу на сумму  403 387.29 долл - TGM</text>
  </threadedComment>
  <threadedComment ref="R121" dT="2026-01-22T06:45:07.10" personId="{17046A94-A607-4868-8628-4D95E2A86B80}" id="{D8902777-F65B-4621-B3C1-84AC258B2AD4}">
    <text xml:space="preserve">Поступление рублей:
Сфера - 9 406 144,43 руб. 
Хада - 20 993 821,81 руб. 
АТП - 71 816,24 руб.  
Подкова - 878 069.15 руб. ( . в т.ч. из поступл. стр. 835) </text>
  </threadedComment>
  <threadedComment ref="J124" dT="2026-01-22T08:18:39.19" personId="{17046A94-A607-4868-8628-4D95E2A86B80}" id="{087352CB-D464-4A72-81C0-3C9A806EEE75}">
    <text>Оплачиваем инвойс на 400 000,00 usd., остаток 1616.16 usd будет направлен на оплату по стр. 815,816</text>
  </threadedComment>
  <threadedComment ref="J130" dT="2026-02-02T11:04:54.62" personId="{19BBE496-FE7F-4D40-A9D7-C40974EB31EC}" id="{BCB9E78D-7BCF-4CA8-AEE6-6E5E32A21035}">
    <text xml:space="preserve">we pay 153,180,000
</text>
  </threadedComment>
  <threadedComment ref="R139" dT="2026-01-22T06:46:25.60" personId="{17046A94-A607-4868-8628-4D95E2A86B80}" id="{FD468363-989C-49D0-8AF6-82D3C071DD17}">
    <text>Поступление руб.: 878 069,15 руб. ООО "Подкова" относится к стр. 816</text>
  </threadedComment>
  <threadedComment ref="J145" dT="2026-01-21T12:34:18.01" personId="{17046A94-A607-4868-8628-4D95E2A86B80}" id="{052BE74A-6CB2-4800-A957-4FFC36816F28}">
    <text>Из этой суммы как агентское вознаграждение получим обратно от клиента 567,952.70 руб</text>
  </threadedComment>
  <threadedComment ref="I155" dT="2026-01-21T09:40:39.09" personId="{17046A94-A607-4868-8628-4D95E2A86B80}" id="{6E9C1CBE-5D16-4837-88FB-6662D2CCACDA}">
    <text>!!! оплата по инвойсу на сумму 291 990.81 аед, т.к. 15.01.26 мы оплатили на 4 252,19 аед больше чем нужно было</text>
  </threadedComment>
  <threadedComment ref="P180" dT="2026-01-23T09:30:26.77" personId="{17046A94-A607-4868-8628-4D95E2A86B80}" id="{973EB57F-2B03-4A9D-A67C-E437E7BAC209}">
    <text xml:space="preserve">Поступление рублей:
АТР - 464 826,17 руб.
АТР - 8 504 005,21 руб.
АТР - 604 546,37 руб.
ТГ - Логистика  - 2 519 347,30 руб.
ТГ - Логистика - 3 009 716,10 руб.
ТГ - Логистика - 3 943 753,05 руб.
Сфера - 858 641,98 руб.
Сфера - 747 191,30 руб.
Сфера - 3 879 500 руб. </text>
  </threadedComment>
  <threadedComment ref="J222" dT="2026-01-28T10:09:25.82" personId="{19BBE496-FE7F-4D40-A9D7-C40974EB31EC}" id="{07C40EEC-B5B4-430C-BEDF-2EFF6698B832}">
    <text>we pay 227,220,000</text>
  </threadedComment>
  <threadedComment ref="R225" dT="2026-01-26T09:14:09.76" personId="{17046A94-A607-4868-8628-4D95E2A86B80}" id="{E03CDE4C-4386-46A0-A342-1756C558C3F8}">
    <text xml:space="preserve">Поступление рублей (стр. 902-303):
СФЕРА - 317 953,63 руб.
Сириус - 2 462 668,63 руб.
Рост - 2 033 837,97 руб.
АТР - 8 196 309,26 </text>
  </threadedComment>
  <threadedComment ref="R226" dT="2026-01-26T09:14:09.76" personId="{17046A94-A607-4868-8628-4D95E2A86B80}" id="{13A2CD48-7EC4-4E5D-BD89-DD635B98DE62}">
    <text xml:space="preserve">Поступление рублей (стр. 902-303):
СФЕРА - 317 953,63 руб.
Сириус - 2 462 668,63 руб.
Рост - 2 033 837,97 руб.
АТР - 8 196 309,26 </text>
  </threadedComment>
  <threadedComment ref="R228" dT="2026-01-27T10:20:28.47" personId="{099DDB05-5027-4D85-A5A8-3C1D016114C7}" id="{1BFFF944-2043-4CD4-9E54-FB69904E360C}">
    <text>Часть суммы рублей идут на 917 стр.</text>
  </threadedComment>
  <threadedComment ref="J246" dT="2026-01-28T07:11:57.26" personId="{17046A94-A607-4868-8628-4D95E2A86B80}" id="{6E505F7B-5BF1-49D6-BC45-101B609A233F}">
    <text>Оплата по инвойсу на сумму 662 623,46 долл. (в т.ч. зачет аванса на 355 000 аед)</text>
  </threadedComment>
  <threadedComment ref="J248" dT="2026-01-29T09:41:54.56" personId="{17046A94-A607-4868-8628-4D95E2A86B80}" id="{FE914C91-FB75-4768-AB04-A9B43612337B}">
    <text xml:space="preserve">Оплата по стр. 942, 958 по инвойсу на 147 090,70 долл. </text>
  </threadedComment>
  <threadedComment ref="J264" dT="2026-01-29T09:42:02.26" personId="{17046A94-A607-4868-8628-4D95E2A86B80}" id="{381D98D4-86AC-476B-BD7E-5D368B6512B8}">
    <text xml:space="preserve">Оплата по стр. 942, 958 по инвойсу на 147 090,70 долл. </text>
  </threadedComment>
  <threadedComment ref="R264" dT="2026-01-28T09:04:40.12" personId="{17046A94-A607-4868-8628-4D95E2A86B80}" id="{39701E81-9A0C-4116-AC63-D22856907EB7}">
    <text xml:space="preserve">Поступление рублей:
АТР - 3 166 983,35 руб.
Сириус- 6 388 389,63 руб. </text>
  </threadedComment>
  <threadedComment ref="R267" dT="2026-01-28T09:16:55.08" personId="{17046A94-A607-4868-8628-4D95E2A86B80}" id="{61B55C55-3CCA-44DD-8E6F-ADBE4E3B0C65}">
    <text>Поступление рублей: стр. 957-958
ОГ АЗИЯ - 5 000 000 руб.
ASIA MX - 60 405 065.33</text>
  </threadedComment>
  <threadedComment ref="J269" dT="2026-01-28T12:36:15.09" personId="{19BBE496-FE7F-4D40-A9D7-C40974EB31EC}" id="{73F91A37-1614-468C-9169-9A44171914E6}">
    <text>we pay 64,627,994.79</text>
  </threadedComment>
  <threadedComment ref="J283" dT="2026-02-02T10:10:16.29" personId="{19BBE496-FE7F-4D40-A9D7-C40974EB31EC}" id="{018D43C3-1980-49D0-8707-746443F8D9C0}">
    <text>we pay 65,778,460.74</text>
  </threadedComment>
  <threadedComment ref="J285" dT="2026-01-30T11:04:47.86" personId="{17046A94-A607-4868-8628-4D95E2A86B80}" id="{D474EBF4-B565-4E50-BBF6-E96F86115E5B}">
    <text xml:space="preserve">Оплата по стр. 979, 1011 по инвойсу на сумму 156 567,98 долл. </text>
  </threadedComment>
  <threadedComment ref="R285" dT="2026-01-30T07:52:01.84" personId="{17046A94-A607-4868-8628-4D95E2A86B80}" id="{1701CC93-7ED6-43E7-BAAF-C91B17FA71EB}">
    <text xml:space="preserve">Поступление рублей:
АТР- 2 334 679,59 руб. 
ТГ Логистика - 3 188 904,61 руб.
Сириус - 5 440 703,08 руб. </text>
  </threadedComment>
  <threadedComment ref="J289" dT="2026-02-02T10:10:36.64" personId="{19BBE496-FE7F-4D40-A9D7-C40974EB31EC}" id="{CB400826-F7CF-4C82-8DDA-777C139E3191}">
    <text>we pay 62,635,595.89</text>
  </threadedComment>
  <threadedComment ref="J293" dT="2026-02-02T10:10:59.73" personId="{19BBE496-FE7F-4D40-A9D7-C40974EB31EC}" id="{9FA883E8-D35F-48E3-976E-F2D71FF88294}">
    <text>we pay 151,256,152.01</text>
  </threadedComment>
  <threadedComment ref="J317" dT="2026-01-30T11:04:58.36" personId="{17046A94-A607-4868-8628-4D95E2A86B80}" id="{5125CA4D-C39F-4F32-A5BE-8501795EBAC0}">
    <text xml:space="preserve">Оплата по стр. 979, 1011 по инвойсу на сумму 156 567,98 долл. </text>
  </threadedComment>
  <threadedComment ref="B324" dT="2026-02-02T08:53:56.19" personId="{55307539-2029-4938-8218-988F516E442D}" id="{A021D564-4A5B-4CAD-BC9A-89AF1A4DE2DD}">
    <text>Оплата с EVERCORE TRADING DMCC</text>
  </threadedComment>
  <threadedComment ref="G324" dT="2026-02-02T08:54:10.59" personId="{55307539-2029-4938-8218-988F516E442D}" id="{0FFB1C91-663C-429E-AD7E-CBD423CFB70B}">
    <text>EVERCORE TRADING DMCC</text>
  </threadedComment>
  <threadedComment ref="R333" dT="2026-02-03T08:06:48.11" personId="{17046A94-A607-4868-8628-4D95E2A86B80}" id="{C7561754-C842-4BE6-A88D-14AD4A3B0AB9}">
    <text xml:space="preserve">Поступление рублей:
Хада - 2 170 293.62 руб. 
АТР - 2 361 781,73 руб.
АТР - 2 538 337,18 руб.
</text>
  </threadedComment>
  <threadedComment ref="J351" dT="2026-02-03T12:26:46.43" personId="{17046A94-A607-4868-8628-4D95E2A86B80}" id="{4C723B6E-D576-4C62-9914-570A8C5D7FE4}">
    <text>Оплата по инвойсу на сумму 21423.80 долл., остаток 394,52 долл. добавляется к платежу на 92 706,58 долл. (стр. 1027)</text>
  </threadedComment>
  <threadedComment ref="R361" dT="2026-02-03T12:13:31.80" personId="{CF9272FC-E2F1-467E-8624-D1F68593FAB4}" id="{D027FD21-8ED0-4C4C-95B5-A81156F7A41D}">
    <text xml:space="preserve">8,000,000 поступят от ASIA MX;
14,231,155.78 от Fobos
</text>
  </threadedComment>
  <threadedComment ref="J363" dT="2026-02-04T06:00:22.56" personId="{19BBE496-FE7F-4D40-A9D7-C40974EB31EC}" id="{72A9DE11-B38B-4B0A-A698-E75C7C4F704C}">
    <text>we pay 122,029,487.18</text>
  </threadedComment>
  <threadedComment ref="Q400" dT="2026-02-05T07:36:21.06" personId="{17046A94-A607-4868-8628-4D95E2A86B80}" id="{0FB6A6CB-6D90-4B20-A112-4641E2256020}">
    <text xml:space="preserve">Поступление рублей:
Хада - 1 584 557,15 руб.
Хада - 279 951.81 руб.
Хада - 442 303,86 руб.
Хада - 475 149,22 руб.
АТР - 4 240 129,26 руб.
Сириус - 2 799 756,88 руб.
Сириус - 2 749 346,43 руб.
Трансгрупп - 12 555 248,23 руб. </text>
  </threadedComment>
  <threadedComment ref="R400" dT="2026-02-05T11:46:57.72" personId="{17046A94-A607-4868-8628-4D95E2A86B80}" id="{BA978C07-18B6-4865-9BFB-1F1648EE0B68}">
    <text xml:space="preserve">Поступление рублей:
Хада - 1 584 557,15 руб.
Хада - 279 951,81 руб.
Хада - 442 303,86 руб.
Хада - 475 149,22 руб.
АТР - 4 240 129,26 руб.
Сириус - 2 799 756,88 руб.
Сириус - 2 749 346,43 руб.
Трансгрупп - 12 555 248,23 руб. </text>
  </threadedComment>
  <threadedComment ref="I401" dT="2026-02-06T09:11:01.06" personId="{17046A94-A607-4868-8628-4D95E2A86B80}" id="{04F0EF2B-926B-4141-AFBF-913845D1E7C0}">
    <text>Оплата по инвойсу на сумму 307 755,14 долл.: стр. 1095  (270 132,20 долл.)  + стр. 1125 (25 965,46 долл.) + стр. 1129 (11 657,48 долл.)</text>
  </threadedComment>
  <threadedComment ref="I431" dT="2026-02-06T09:11:18.27" personId="{17046A94-A607-4868-8628-4D95E2A86B80}" id="{F7410801-187C-4038-B08D-19B2C2688070}">
    <text>Оплата по инвойсу на сумму 307 755,14 долл.: стр. 1095  (270 132,20 долл.)  + стр. 1125 (25 965,46 долл.) + стр. 1129 (11 657,48 долл.)</text>
  </threadedComment>
  <threadedComment ref="I435" dT="2026-02-06T09:11:27.59" personId="{17046A94-A607-4868-8628-4D95E2A86B80}" id="{E4558DF9-8DD0-4717-999C-882D5962C14C}">
    <text>Оплата по инвойсу на сумму 307 755,14 долл.: стр. 1095  (270 132,20 долл.)  + стр. 1125 (25 965,46 долл.) + стр. 1129 (11 657,48 долл.)</text>
  </threadedComment>
  <threadedComment ref="J439" dT="2026-02-05T15:04:02.81" personId="{17046A94-A607-4868-8628-4D95E2A86B80}" id="{C1908D05-7741-4BAE-A2CE-B44275EFE34E}">
    <text>Оплата по инвойсу на сумму 400 541.93 руб. стр. 1133, 1139</text>
  </threadedComment>
  <threadedComment ref="J448" dT="2026-02-05T15:04:10.77" personId="{17046A94-A607-4868-8628-4D95E2A86B80}" id="{0F3F15BF-D0B6-4F32-893D-B0646CC67EB7}">
    <text>Оплата по инвойсу на сумму 400 541.93 руб. стр. 1133, 1139</text>
  </threadedComment>
  <threadedComment ref="J473" dT="2026-02-11T10:10:22.08" personId="{19BBE496-FE7F-4D40-A9D7-C40974EB31EC}" id="{E3541DD7-4DEF-4634-84F7-04F30BEDD867}">
    <text>we pay 110,710,000</text>
  </threadedComment>
  <threadedComment ref="R493" dT="2026-02-10T10:04:50.12" personId="{17046A94-A607-4868-8628-4D95E2A86B80}" id="{F1F1AA41-19B4-4F16-A434-FF871A89374A}">
    <text xml:space="preserve">Поступление рублей:
Рост - 178 680,71 руб.
Рост - 397 860,17 руб.
АТР - 11 092 885,71 руб.
АТР - 4 516 440,18 руб.
Сириус - 2 196 514,98 руб.
</text>
  </threadedComment>
  <threadedComment ref="R545" dT="2026-02-12T13:34:15.67" personId="{17046A94-A607-4868-8628-4D95E2A86B80}" id="{5489FD19-C7FD-42A8-9EEA-024ADFCFBBB4}">
    <text>Поступление рублей:
АТР - 2 718 559,97 руб.
Сириус - 361 804,35 руб.
Сириус - 165 994,15 руб.
Сириус - 1 475 038,27 руб.
Сириус - 1 740 389,99 руб.</text>
  </threadedComment>
  <threadedComment ref="R559" dT="2026-02-13T12:08:24.56" personId="{36241C24-2BED-416F-850F-8B475CDFED2F}" id="{64784B81-3264-4D82-8F50-CBC680D23CCA}">
    <text xml:space="preserve">Поступление рублей:
Ермак - 21 000 000 руб.
ЭТБ2 - 16 000 000 руб.
ЭТБ - 5 625 000 руб. </text>
  </threadedComment>
  <threadedComment ref="J571" dT="2026-02-18T06:18:08.24" personId="{36241C24-2BED-416F-850F-8B475CDFED2F}" id="{5B8E163A-F43C-4959-8BD6-CC14321E2D60}">
    <text xml:space="preserve">Оплата по 2-м инвойсам (стр.1265, 1268):
Fortunceres на сумму 690 492,62 долл
Minerva на сумму 293 061,36 долл. </text>
  </threadedComment>
  <threadedComment ref="J574" dT="2026-02-18T06:18:13.00" personId="{36241C24-2BED-416F-850F-8B475CDFED2F}" id="{8F1FF8FE-3B51-4B1B-97D1-E4CD6463FFB8}">
    <text xml:space="preserve">Оплата по 2-м инвойсам (стр.1265, 1268):
Fortunceres на сумму 690 492,62 долл
Minerva на сумму 293 061,36 долл. </text>
  </threadedComment>
  <threadedComment ref="R586" dT="2026-02-17T13:56:02.39" personId="{36241C24-2BED-416F-850F-8B475CDFED2F}" id="{9520B610-F7B7-4DE8-A90A-E6653EAC1139}">
    <text xml:space="preserve">Поступление рублей:
ЭТБ2 - 8 945 000 руб. 
Ермак - 29 570 000 руб. </text>
  </threadedComment>
  <threadedComment ref="R613" dT="2026-02-18T12:27:55.96" personId="{36241C24-2BED-416F-850F-8B475CDFED2F}" id="{80F0F5B0-8950-4B70-ABA8-FEEAA11DA4A1}">
    <text xml:space="preserve">Поступление рублей:
ЭТБ2 - 23 010 000 руб. </text>
  </threadedComment>
  <threadedComment ref="R622" dT="2026-02-19T10:06:01.36" personId="{36241C24-2BED-416F-850F-8B475CDFED2F}" id="{2F2ABCA2-9CBD-4E7D-9F47-D387908B73C8}">
    <text xml:space="preserve">Поступление рублей:
Сириус - 676 823,88 руб. 
Рост - 61 603,39 руб.
Рост - 153 185,21 руб.
Рост - 1 136 846,53 руб. 
Рост - 349 679,39 руб.
Рост - 356 558,73 руб. 
Рост - 262 273,53 руб.
Рост - 736 954,74 руб.
Рост - 972 257,12 руб.
Рост - 4 789 480,09 руб.
Рост- 1 118 501,54 руб. 
</text>
  </threadedComment>
  <threadedComment ref="R639" dT="2026-02-19T11:37:46.05" personId="{36241C24-2BED-416F-850F-8B475CDFED2F}" id="{71AF4B63-6665-4412-BA86-D61306B2DB6B}">
    <text xml:space="preserve">Поступление рублей:
ЕРМАК - 9 850 000 руб.
ЭТБ  - 20 940 000 руб. 
ЭТБ2 - 7 864 645,95 руб. </text>
  </threadedComment>
  <threadedComment ref="J654" dT="2026-02-20T14:17:44.84" personId="{36241C24-2BED-416F-850F-8B475CDFED2F}" id="{2FE6676D-6F78-4FDE-9F8F-CE5103224D6E}">
    <text>Оплата по инвойсу на сумму 109 086 долл. (платим всю сумму инвойса)</text>
  </threadedComment>
  <threadedComment ref="R654" dT="2026-02-20T14:18:47.98" personId="{36241C24-2BED-416F-850F-8B475CDFED2F}" id="{9882153D-AC86-46E6-8799-B5D7E9324F74}">
    <text>Оплачивается инвойс на сумму 109 086 долл., рубль на 86 долл.  в сумме 6 637,61 придет в след. поступлениях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2" dT="2025-10-08T06:32:05.37" personId="{1F606503-E71A-47DB-97E4-D4CAF79632C5}" id="{B213C990-D4F6-4455-9111-12FDCC2A0431}">
    <text xml:space="preserve">инвойсы в рублях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2B74-0194-442C-9558-DF5A3A69B59E}">
  <sheetPr codeName="Sheet1">
    <tabColor theme="9" tint="0.39997558519241921"/>
  </sheetPr>
  <dimension ref="B2:AC383"/>
  <sheetViews>
    <sheetView topLeftCell="A336" zoomScale="70" zoomScaleNormal="70" workbookViewId="0">
      <selection activeCell="R274" sqref="R274"/>
    </sheetView>
  </sheetViews>
  <sheetFormatPr baseColWidth="10" defaultColWidth="15.5" defaultRowHeight="18.75" customHeight="1"/>
  <cols>
    <col min="1" max="1" width="16.83203125" style="7" customWidth="1"/>
    <col min="2" max="2" width="16.83203125" style="8" customWidth="1"/>
    <col min="3" max="10" width="16.83203125" style="7" customWidth="1"/>
    <col min="11" max="11" width="16.83203125" style="8" customWidth="1"/>
    <col min="12" max="13" width="16.83203125" style="7" customWidth="1"/>
    <col min="14" max="14" width="20.5" style="7" customWidth="1"/>
    <col min="15" max="27" width="16.83203125" style="7" customWidth="1"/>
    <col min="28" max="16384" width="15.5" style="7"/>
  </cols>
  <sheetData>
    <row r="2" spans="2:29" ht="25" thickBot="1">
      <c r="B2" s="593" t="s">
        <v>0</v>
      </c>
      <c r="C2" s="593"/>
      <c r="D2" s="593"/>
      <c r="E2" s="593"/>
      <c r="F2" s="593"/>
      <c r="G2" s="593"/>
      <c r="H2" s="593"/>
      <c r="I2" s="593"/>
      <c r="J2" s="137"/>
      <c r="K2" s="593" t="str">
        <f>B2</f>
        <v>OWL</v>
      </c>
      <c r="L2" s="593"/>
      <c r="M2" s="593"/>
      <c r="N2" s="593"/>
      <c r="O2" s="593"/>
      <c r="P2" s="593"/>
      <c r="Q2" s="593"/>
      <c r="R2" s="593"/>
      <c r="S2" s="137"/>
      <c r="T2" s="593" t="str">
        <f>B2</f>
        <v>OWL</v>
      </c>
      <c r="U2" s="593"/>
      <c r="V2" s="593"/>
      <c r="W2" s="593"/>
      <c r="X2" s="593"/>
      <c r="Y2" s="593"/>
      <c r="Z2" s="593"/>
      <c r="AA2" s="593"/>
    </row>
    <row r="3" spans="2:29" ht="19"/>
    <row r="4" spans="2:29" ht="21">
      <c r="B4" s="9" t="s">
        <v>1</v>
      </c>
      <c r="C4" s="91">
        <f>BALANCES!B1</f>
        <v>46073</v>
      </c>
      <c r="K4" s="56" t="s">
        <v>2</v>
      </c>
      <c r="L4" s="110">
        <f>C4</f>
        <v>46073</v>
      </c>
      <c r="M4" s="143" t="s">
        <v>3</v>
      </c>
      <c r="N4" s="110">
        <f>U4</f>
        <v>46081</v>
      </c>
      <c r="O4" s="19"/>
      <c r="P4" s="19"/>
      <c r="Q4" s="19"/>
      <c r="R4" s="20"/>
      <c r="T4" s="9" t="s">
        <v>1</v>
      </c>
      <c r="U4" s="90">
        <v>46081</v>
      </c>
    </row>
    <row r="5" spans="2:29" ht="22" thickBot="1">
      <c r="B5" s="14"/>
      <c r="C5" s="15"/>
      <c r="D5" s="15"/>
      <c r="E5" s="15"/>
      <c r="F5" s="15"/>
      <c r="G5" s="15"/>
      <c r="H5" s="15"/>
      <c r="I5" s="15"/>
      <c r="K5" s="23"/>
      <c r="L5" s="24"/>
      <c r="M5" s="24"/>
      <c r="N5" s="24"/>
      <c r="O5" s="24"/>
      <c r="P5" s="24"/>
      <c r="Q5" s="24"/>
      <c r="R5" s="25"/>
      <c r="T5" s="14"/>
      <c r="U5" s="15"/>
      <c r="V5" s="15"/>
      <c r="W5" s="15"/>
      <c r="X5" s="15"/>
      <c r="Y5" s="15"/>
      <c r="Z5" s="15"/>
      <c r="AA5" s="15"/>
    </row>
    <row r="6" spans="2:29" ht="22" thickBot="1">
      <c r="B6" s="10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2" t="s">
        <v>11</v>
      </c>
      <c r="K6" s="10" t="s">
        <v>4</v>
      </c>
      <c r="L6" s="11" t="str">
        <f t="shared" ref="L6:Q6" si="0">C6</f>
        <v>USD</v>
      </c>
      <c r="M6" s="11" t="str">
        <f t="shared" si="0"/>
        <v>EUR</v>
      </c>
      <c r="N6" s="11" t="str">
        <f t="shared" si="0"/>
        <v>CNY</v>
      </c>
      <c r="O6" s="11" t="str">
        <f t="shared" si="0"/>
        <v>AED</v>
      </c>
      <c r="P6" s="11" t="str">
        <f t="shared" si="0"/>
        <v>RUB</v>
      </c>
      <c r="Q6" s="11" t="str">
        <f t="shared" si="0"/>
        <v>OMR</v>
      </c>
      <c r="R6" s="12" t="s">
        <v>11</v>
      </c>
      <c r="T6" s="10" t="s">
        <v>4</v>
      </c>
      <c r="U6" s="11" t="str">
        <f t="shared" ref="U6:Z6" si="1">C6</f>
        <v>USD</v>
      </c>
      <c r="V6" s="11" t="str">
        <f t="shared" si="1"/>
        <v>EUR</v>
      </c>
      <c r="W6" s="11" t="str">
        <f t="shared" si="1"/>
        <v>CNY</v>
      </c>
      <c r="X6" s="11" t="str">
        <f t="shared" si="1"/>
        <v>AED</v>
      </c>
      <c r="Y6" s="11" t="str">
        <f t="shared" si="1"/>
        <v>RUB</v>
      </c>
      <c r="Z6" s="11" t="str">
        <f t="shared" si="1"/>
        <v>OMR</v>
      </c>
      <c r="AA6" s="12" t="s">
        <v>11</v>
      </c>
      <c r="AC6" s="40" t="s">
        <v>12</v>
      </c>
    </row>
    <row r="7" spans="2:29" ht="19">
      <c r="B7" s="28" t="s">
        <v>13</v>
      </c>
      <c r="C7" s="29" cm="1">
        <f t="array" ref="C7">SUMIFS(BALANCES!$C:$C,BALANCES!$A:$A,$B$2,BALANCES!$B:$B,$B7,BALANCES!$D:$D,C$6)+SUMIFS(FLOWS!$C:$C,FLOWS!$A:$A,$B$2,FLOWS!$E:$E,$B7,FLOWS!$D:$D,C$6,FLOWS!$H:$H,"&lt;"&amp;$C$4)+SUM(SUMIFS(DEALS!$J:$J,DEALS!$A:$A,{"*REFUND*","*EXECUTED*"},DEALS!$G:$G,$B$2,DEALS!$E:$E,"&lt;"&amp;$C$4,DEALS!$K:$K,C$6,DEALS!$M:$M,$B7,DEALS!$N:$N,"&lt;&gt;*RECEIVED*",DEALS!$N:$N,"&lt;&gt;*EXECUTED*"))+SUM(SUMIFS(DEALS!$R:$R,DEALS!$A:$A,{"*REFUND*","*EXECUTED*"},DEALS!$O:$O,$B$2,DEALS!$E:$E,"&lt;"&amp;$C$4,DEALS!$S:$S,C$6,DEALS!$U:$U,$B7,DEALS!$V:$V,"&lt;&gt;*RECEIVED*",DEALS!$V:$V,"&lt;&gt;*EXECUTED*"))</f>
        <v>2197.0300000000002</v>
      </c>
      <c r="D7" s="29" cm="1">
        <f t="array" ref="D7">SUMIFS(BALANCES!$C:$C,BALANCES!$A:$A,$B$2,BALANCES!$B:$B,$B7,BALANCES!$D:$D,D$6)+SUMIFS(FLOWS!$C:$C,FLOWS!$A:$A,$B$2,FLOWS!$E:$E,$B7,FLOWS!$D:$D,D$6,FLOWS!$H:$H,"&lt;"&amp;$C$4)+SUM(SUMIFS(DEALS!$J:$J,DEALS!$A:$A,{"*REFUND*","*EXECUTED*"},DEALS!$G:$G,$B$2,DEALS!$E:$E,"&lt;"&amp;$C$4,DEALS!$K:$K,D$6,DEALS!$M:$M,$B7,DEALS!$N:$N,"&lt;&gt;*RECEIVED*",DEALS!$N:$N,"&lt;&gt;*EXECUTED*"))+SUM(SUMIFS(DEALS!$R:$R,DEALS!$A:$A,{"*REFUND*","*EXECUTED*"},DEALS!$O:$O,$B$2,DEALS!$E:$E,"&lt;"&amp;$C$4,DEALS!$S:$S,D$6,DEALS!$U:$U,$B7,DEALS!$V:$V,"&lt;&gt;*RECEIVED*",DEALS!$V:$V,"&lt;&gt;*EXECUTED*"))</f>
        <v>44.88</v>
      </c>
      <c r="E7" s="29" cm="1">
        <f t="array" ref="E7">SUMIFS(BALANCES!$C:$C,BALANCES!$A:$A,$B$2,BALANCES!$B:$B,$B7,BALANCES!$D:$D,E$6)+SUMIFS(FLOWS!$C:$C,FLOWS!$A:$A,$B$2,FLOWS!$E:$E,$B7,FLOWS!$D:$D,E$6,FLOWS!$H:$H,"&lt;"&amp;$C$4)+SUM(SUMIFS(DEALS!$J:$J,DEALS!$A:$A,{"*REFUND*","*EXECUTED*"},DEALS!$G:$G,$B$2,DEALS!$E:$E,"&lt;"&amp;$C$4,DEALS!$K:$K,E$6,DEALS!$M:$M,$B7,DEALS!$N:$N,"&lt;&gt;*RECEIVED*",DEALS!$N:$N,"&lt;&gt;*EXECUTED*"))+SUM(SUMIFS(DEALS!$R:$R,DEALS!$A:$A,{"*REFUND*","*EXECUTED*"},DEALS!$O:$O,$B$2,DEALS!$E:$E,"&lt;"&amp;$C$4,DEALS!$S:$S,E$6,DEALS!$U:$U,$B7,DEALS!$V:$V,"&lt;&gt;*RECEIVED*",DEALS!$V:$V,"&lt;&gt;*EXECUTED*"))</f>
        <v>54.77</v>
      </c>
      <c r="F7" s="29" cm="1">
        <f t="array" ref="F7">SUMIFS(BALANCES!$C:$C,BALANCES!$A:$A,$B$2,BALANCES!$B:$B,$B7,BALANCES!$D:$D,F$6)+SUMIFS(FLOWS!$C:$C,FLOWS!$A:$A,$B$2,FLOWS!$E:$E,$B7,FLOWS!$D:$D,F$6,FLOWS!$H:$H,"&lt;"&amp;$C$4)+SUM(SUMIFS(DEALS!$J:$J,DEALS!$A:$A,{"*REFUND*","*EXECUTED*"},DEALS!$G:$G,$B$2,DEALS!$E:$E,"&lt;"&amp;$C$4,DEALS!$K:$K,F$6,DEALS!$M:$M,$B7,DEALS!$N:$N,"&lt;&gt;*RECEIVED*",DEALS!$N:$N,"&lt;&gt;*EXECUTED*"))+SUM(SUMIFS(DEALS!$R:$R,DEALS!$A:$A,{"*REFUND*","*EXECUTED*"},DEALS!$O:$O,$B$2,DEALS!$E:$E,"&lt;"&amp;$C$4,DEALS!$S:$S,F$6,DEALS!$U:$U,$B7,DEALS!$V:$V,"&lt;&gt;*RECEIVED*",DEALS!$V:$V,"&lt;&gt;*EXECUTED*"))</f>
        <v>6221.49</v>
      </c>
      <c r="G7" s="29" cm="1">
        <f t="array" ref="G7">SUMIFS(BALANCES!$C:$C,BALANCES!$A:$A,$B$2,BALANCES!$B:$B,$B7,BALANCES!$D:$D,G$6)+SUMIFS(FLOWS!$C:$C,FLOWS!$A:$A,$B$2,FLOWS!$E:$E,$B7,FLOWS!$D:$D,G$6,FLOWS!$H:$H,"&lt;"&amp;$C$4)+SUM(SUMIFS(DEALS!$J:$J,DEALS!$A:$A,{"*REFUND*","*EXECUTED*"},DEALS!$G:$G,$B$2,DEALS!$E:$E,"&lt;"&amp;$C$4,DEALS!$K:$K,G$6,DEALS!$M:$M,$B7,DEALS!$N:$N,"&lt;&gt;*RECEIVED*",DEALS!$N:$N,"&lt;&gt;*EXECUTED*"))+SUM(SUMIFS(DEALS!$R:$R,DEALS!$A:$A,{"*REFUND*","*EXECUTED*"},DEALS!$O:$O,$B$2,DEALS!$E:$E,"&lt;"&amp;$C$4,DEALS!$S:$S,G$6,DEALS!$U:$U,$B7,DEALS!$V:$V,"&lt;&gt;*RECEIVED*",DEALS!$V:$V,"&lt;&gt;*EXECUTED*"))</f>
        <v>0</v>
      </c>
      <c r="H7" s="29" cm="1">
        <f t="array" ref="H7">SUMIFS(BALANCES!$C:$C,BALANCES!$A:$A,$B$2,BALANCES!$B:$B,$B7,BALANCES!$D:$D,H$6)+SUMIFS(FLOWS!$C:$C,FLOWS!$A:$A,$B$2,FLOWS!$E:$E,$B7,FLOWS!$D:$D,H$6,FLOWS!$H:$H,"&lt;"&amp;$C$4)+SUM(SUMIFS(DEALS!$J:$J,DEALS!$A:$A,{"*REFUND*","*EXECUTED*"},DEALS!$G:$G,$B$2,DEALS!$E:$E,"&lt;"&amp;$C$4,DEALS!$K:$K,H$6,DEALS!$M:$M,$B7,DEALS!$N:$N,"&lt;&gt;*RECEIVED*",DEALS!$N:$N,"&lt;&gt;*EXECUTED*"))+SUM(SUMIFS(DEALS!$R:$R,DEALS!$A:$A,{"*REFUND*","*EXECUTED*"},DEALS!$O:$O,$B$2,DEALS!$E:$E,"&lt;"&amp;$C$4,DEALS!$S:$S,H$6,DEALS!$U:$U,$B7,DEALS!$V:$V,"&lt;&gt;*RECEIVED*",DEALS!$V:$V,"&lt;&gt;*EXECUTED*"))</f>
        <v>0</v>
      </c>
      <c r="I7" s="30">
        <f ca="1">C7*VLOOKUP(C$6,'FX RATES'!$E$1:$F$50,2,FALSE)+D7*VLOOKUP(D$6,'FX RATES'!$E$1:$F$50,2,FALSE)+E7*VLOOKUP(E$6,'FX RATES'!$E$1:$F$50,2,FALSE)+F7*VLOOKUP(F$6,'FX RATES'!$E$1:$F$50,2,FALSE)+G7*VLOOKUP(G$6,'FX RATES'!$E$1:$F$50,2,FALSE)+H7*VLOOKUP(H$6,'FX RATES'!$E$1:$F$50,2,FALSE)</f>
        <v>3951.8558821803986</v>
      </c>
      <c r="K7" s="28" t="str">
        <f t="shared" ref="K7:K12" si="2">B7</f>
        <v>EMLAK</v>
      </c>
      <c r="L7" s="29" cm="1">
        <f t="array" ref="L7">SUMIFS(FLOWS!$C:$C,FLOWS!$A:$A,$B$2,FLOWS!$E:$E,$K7,FLOWS!$D:$D,L$6,FLOWS!$H:$H,"&gt;="&amp;$C$4,FLOWS!$H:$H,"&lt;="&amp;$U$4)+SUM(SUMIFS(DEALS!$J:$J,DEALS!$A:$A,{"*REFUND*","*EXECUTED*"},DEALS!$G:$G,$B$2,DEALS!$E:$E,"&gt;="&amp;$C$4,DEALS!$E:$E,"&lt;="&amp;$U$4,DEALS!$K:$K,L$6,DEALS!$M:$M,$K7,DEALS!$N:$N,"&lt;&gt;*RECEIVED*",DEALS!$N:$N,"&lt;&gt;*EXECUTED*"))+SUM(SUMIFS(DEALS!$R:$R,DEALS!$A:$A,{"*REFUND*","*EXECUTED*"},DEALS!$O:$O,$B$2,DEALS!$E:$E,"&gt;="&amp;$C$4,DEALS!$E:$E,"&lt;="&amp;$U$4,DEALS!$S:$S,L$6,DEALS!$U:$U,$K7,DEALS!$V:$V,"&lt;&gt;*RECEIVED*",DEALS!$V:$V,"&lt;&gt;*EXECUTED*"))</f>
        <v>0</v>
      </c>
      <c r="M7" s="29" cm="1">
        <f t="array" ref="M7">SUMIFS(FLOWS!$C:$C,FLOWS!$A:$A,$B$2,FLOWS!$E:$E,$K7,FLOWS!$D:$D,M$6,FLOWS!$H:$H,"&gt;="&amp;$C$4,FLOWS!$H:$H,"&lt;="&amp;$U$4)+SUM(SUMIFS(DEALS!$J:$J,DEALS!$A:$A,{"*REFUND*","*EXECUTED*"},DEALS!$G:$G,$B$2,DEALS!$E:$E,"&gt;="&amp;$C$4,DEALS!$E:$E,"&lt;="&amp;$U$4,DEALS!$K:$K,M$6,DEALS!$M:$M,$K7,DEALS!$N:$N,"&lt;&gt;*RECEIVED*",DEALS!$N:$N,"&lt;&gt;*EXECUTED*"))+SUM(SUMIFS(DEALS!$R:$R,DEALS!$A:$A,{"*REFUND*","*EXECUTED*"},DEALS!$O:$O,$B$2,DEALS!$E:$E,"&gt;="&amp;$C$4,DEALS!$E:$E,"&lt;="&amp;$U$4,DEALS!$S:$S,M$6,DEALS!$U:$U,$K7,DEALS!$V:$V,"&lt;&gt;*RECEIVED*",DEALS!$V:$V,"&lt;&gt;*EXECUTED*"))</f>
        <v>0</v>
      </c>
      <c r="N7" s="29" cm="1">
        <f t="array" ref="N7">SUMIFS(FLOWS!$C:$C,FLOWS!$A:$A,$B$2,FLOWS!$E:$E,$K7,FLOWS!$D:$D,N$6,FLOWS!$H:$H,"&gt;="&amp;$C$4,FLOWS!$H:$H,"&lt;="&amp;$U$4)+SUM(SUMIFS(DEALS!$J:$J,DEALS!$A:$A,{"*REFUND*","*EXECUTED*"},DEALS!$G:$G,$B$2,DEALS!$E:$E,"&gt;="&amp;$C$4,DEALS!$E:$E,"&lt;="&amp;$U$4,DEALS!$K:$K,N$6,DEALS!$M:$M,$K7,DEALS!$N:$N,"&lt;&gt;*RECEIVED*",DEALS!$N:$N,"&lt;&gt;*EXECUTED*"))+SUM(SUMIFS(DEALS!$R:$R,DEALS!$A:$A,{"*REFUND*","*EXECUTED*"},DEALS!$O:$O,$B$2,DEALS!$E:$E,"&gt;="&amp;$C$4,DEALS!$E:$E,"&lt;="&amp;$U$4,DEALS!$S:$S,N$6,DEALS!$U:$U,$K7,DEALS!$V:$V,"&lt;&gt;*RECEIVED*",DEALS!$V:$V,"&lt;&gt;*EXECUTED*"))</f>
        <v>0</v>
      </c>
      <c r="O7" s="29" cm="1">
        <f t="array" ref="O7">SUMIFS(FLOWS!$C:$C,FLOWS!$A:$A,$B$2,FLOWS!$E:$E,$K7,FLOWS!$D:$D,O$6,FLOWS!$H:$H,"&gt;="&amp;$C$4,FLOWS!$H:$H,"&lt;="&amp;$U$4)+SUM(SUMIFS(DEALS!$J:$J,DEALS!$A:$A,{"*REFUND*","*EXECUTED*"},DEALS!$G:$G,$B$2,DEALS!$E:$E,"&gt;="&amp;$C$4,DEALS!$E:$E,"&lt;="&amp;$U$4,DEALS!$K:$K,O$6,DEALS!$M:$M,$K7,DEALS!$N:$N,"&lt;&gt;*RECEIVED*",DEALS!$N:$N,"&lt;&gt;*EXECUTED*"))+SUM(SUMIFS(DEALS!$R:$R,DEALS!$A:$A,{"*REFUND*","*EXECUTED*"},DEALS!$O:$O,$B$2,DEALS!$E:$E,"&gt;="&amp;$C$4,DEALS!$E:$E,"&lt;="&amp;$U$4,DEALS!$S:$S,O$6,DEALS!$U:$U,$K7,DEALS!$V:$V,"&lt;&gt;*RECEIVED*",DEALS!$V:$V,"&lt;&gt;*EXECUTED*"))</f>
        <v>0</v>
      </c>
      <c r="P7" s="29" cm="1">
        <f t="array" ref="P7">SUMIFS(FLOWS!$C:$C,FLOWS!$A:$A,$B$2,FLOWS!$E:$E,$K7,FLOWS!$D:$D,P$6,FLOWS!$H:$H,"&gt;="&amp;$C$4,FLOWS!$H:$H,"&lt;="&amp;$U$4)+SUM(SUMIFS(DEALS!$J:$J,DEALS!$A:$A,{"*REFUND*","*EXECUTED*"},DEALS!$G:$G,$B$2,DEALS!$E:$E,"&gt;="&amp;$C$4,DEALS!$E:$E,"&lt;="&amp;$U$4,DEALS!$K:$K,P$6,DEALS!$M:$M,$K7,DEALS!$N:$N,"&lt;&gt;*RECEIVED*",DEALS!$N:$N,"&lt;&gt;*EXECUTED*"))+SUM(SUMIFS(DEALS!$R:$R,DEALS!$A:$A,{"*REFUND*","*EXECUTED*"},DEALS!$O:$O,$B$2,DEALS!$E:$E,"&gt;="&amp;$C$4,DEALS!$E:$E,"&lt;="&amp;$U$4,DEALS!$S:$S,P$6,DEALS!$U:$U,$K7,DEALS!$V:$V,"&lt;&gt;*RECEIVED*",DEALS!$V:$V,"&lt;&gt;*EXECUTED*"))</f>
        <v>0</v>
      </c>
      <c r="Q7" s="29" cm="1">
        <f t="array" ref="Q7">SUMIFS(FLOWS!$C:$C,FLOWS!$A:$A,$B$2,FLOWS!$E:$E,$K7,FLOWS!$D:$D,Q$6,FLOWS!$H:$H,"&gt;="&amp;$C$4,FLOWS!$H:$H,"&lt;="&amp;$U$4)+SUM(SUMIFS(DEALS!$J:$J,DEALS!$A:$A,{"*REFUND*","*EXECUTED*"},DEALS!$G:$G,$B$2,DEALS!$E:$E,"&gt;="&amp;$C$4,DEALS!$E:$E,"&lt;="&amp;$U$4,DEALS!$K:$K,Q$6,DEALS!$M:$M,$K7,DEALS!$N:$N,"&lt;&gt;*RECEIVED*",DEALS!$N:$N,"&lt;&gt;*EXECUTED*"))+SUM(SUMIFS(DEALS!$R:$R,DEALS!$A:$A,{"*REFUND*","*EXECUTED*"},DEALS!$O:$O,$B$2,DEALS!$E:$E,"&gt;="&amp;$C$4,DEALS!$E:$E,"&lt;="&amp;$U$4,DEALS!$S:$S,Q$6,DEALS!$U:$U,$K7,DEALS!$V:$V,"&lt;&gt;*RECEIVED*",DEALS!$V:$V,"&lt;&gt;*EXECUTED*"))</f>
        <v>0</v>
      </c>
      <c r="R7" s="30">
        <f ca="1">L7*VLOOKUP(L$6,'FX RATES'!$E$1:$F$50,2,FALSE)+M7*VLOOKUP(M$6,'FX RATES'!$E$1:$F$50,2,FALSE)+N7*VLOOKUP(N$6,'FX RATES'!$E$1:$F$50,2,FALSE)+O7*VLOOKUP(O$6,'FX RATES'!$E$1:$F$50,2,FALSE)+P7*VLOOKUP(P$6,'FX RATES'!$E$1:$F$50,2,FALSE)+Q7*VLOOKUP(Q$6,'FX RATES'!$E$1:$F$50,2,FALSE)</f>
        <v>0</v>
      </c>
      <c r="T7" s="28" t="str">
        <f t="shared" ref="T7:T12" si="3">B7</f>
        <v>EMLAK</v>
      </c>
      <c r="U7" s="29" cm="1">
        <f t="array" ref="U7">SUMIFS(BALANCES!$C:$C,BALANCES!$A:$A,$B$2,BALANCES!$B:$B,$T7,BALANCES!$D:$D,U$6)+SUMIFS(FLOWS!$C:$C,FLOWS!$A:$A,$B$2,FLOWS!$E:$E,$T7,FLOWS!$D:$D,U$6,FLOWS!$H:$H,"&lt;="&amp;$U$4)+SUM(SUMIFS(DEALS!$J:$J,DEALS!$A:$A,{"*REFUND*","*EXECUTED*"},DEALS!$G:$G,$B$2,DEALS!$E:$E,"&lt;="&amp;$U$4,DEALS!$K:$K,U$6,DEALS!$M:$M,$T7,DEALS!$N:$N,"&lt;&gt;*RECEIVED*",DEALS!$N:$N,"&lt;&gt;*EXECUTED*"))+SUM(SUMIFS(DEALS!$R:$R,DEALS!$A:$A,{"*REFUND*","*EXECUTED*"},DEALS!$O:$O,$B$2,DEALS!$E:$E,"&lt;="&amp;$U$4,DEALS!$S:$S,U$6,DEALS!$U:$U,$T7,DEALS!$V:$V,"&lt;&gt;*RECEIVED*",DEALS!$V:$V,"&lt;&gt;*EXECUTED*"))</f>
        <v>2197.0300000000002</v>
      </c>
      <c r="V7" s="29" cm="1">
        <f t="array" ref="V7">SUMIFS(BALANCES!$C:$C,BALANCES!$A:$A,$B$2,BALANCES!$B:$B,$T7,BALANCES!$D:$D,V$6)+SUMIFS(FLOWS!$C:$C,FLOWS!$A:$A,$B$2,FLOWS!$E:$E,$T7,FLOWS!$D:$D,V$6,FLOWS!$H:$H,"&lt;="&amp;$U$4)+SUM(SUMIFS(DEALS!$J:$J,DEALS!$A:$A,{"*REFUND*","*EXECUTED*"},DEALS!$G:$G,$B$2,DEALS!$E:$E,"&lt;="&amp;$U$4,DEALS!$K:$K,V$6,DEALS!$M:$M,$T7,DEALS!$N:$N,"&lt;&gt;*RECEIVED*",DEALS!$N:$N,"&lt;&gt;*EXECUTED*"))+SUM(SUMIFS(DEALS!$R:$R,DEALS!$A:$A,{"*REFUND*","*EXECUTED*"},DEALS!$O:$O,$B$2,DEALS!$E:$E,"&lt;="&amp;$U$4,DEALS!$S:$S,V$6,DEALS!$U:$U,$T7,DEALS!$V:$V,"&lt;&gt;*RECEIVED*",DEALS!$V:$V,"&lt;&gt;*EXECUTED*"))</f>
        <v>44.88</v>
      </c>
      <c r="W7" s="29" cm="1">
        <f t="array" ref="W7">SUMIFS(BALANCES!$C:$C,BALANCES!$A:$A,$B$2,BALANCES!$B:$B,$T7,BALANCES!$D:$D,W$6)+SUMIFS(FLOWS!$C:$C,FLOWS!$A:$A,$B$2,FLOWS!$E:$E,$T7,FLOWS!$D:$D,W$6,FLOWS!$H:$H,"&lt;="&amp;$U$4)+SUM(SUMIFS(DEALS!$J:$J,DEALS!$A:$A,{"*REFUND*","*EXECUTED*"},DEALS!$G:$G,$B$2,DEALS!$E:$E,"&lt;="&amp;$U$4,DEALS!$K:$K,W$6,DEALS!$M:$M,$T7,DEALS!$N:$N,"&lt;&gt;*RECEIVED*",DEALS!$N:$N,"&lt;&gt;*EXECUTED*"))+SUM(SUMIFS(DEALS!$R:$R,DEALS!$A:$A,{"*REFUND*","*EXECUTED*"},DEALS!$O:$O,$B$2,DEALS!$E:$E,"&lt;="&amp;$U$4,DEALS!$S:$S,W$6,DEALS!$U:$U,$T7,DEALS!$V:$V,"&lt;&gt;*RECEIVED*",DEALS!$V:$V,"&lt;&gt;*EXECUTED*"))</f>
        <v>54.77</v>
      </c>
      <c r="X7" s="29" cm="1">
        <f t="array" ref="X7">SUMIFS(BALANCES!$C:$C,BALANCES!$A:$A,$B$2,BALANCES!$B:$B,$T7,BALANCES!$D:$D,X$6)+SUMIFS(FLOWS!$C:$C,FLOWS!$A:$A,$B$2,FLOWS!$E:$E,$T7,FLOWS!$D:$D,X$6,FLOWS!$H:$H,"&lt;="&amp;$U$4)+SUM(SUMIFS(DEALS!$J:$J,DEALS!$A:$A,{"*REFUND*","*EXECUTED*"},DEALS!$G:$G,$B$2,DEALS!$E:$E,"&lt;="&amp;$U$4,DEALS!$K:$K,X$6,DEALS!$M:$M,$T7,DEALS!$N:$N,"&lt;&gt;*RECEIVED*",DEALS!$N:$N,"&lt;&gt;*EXECUTED*"))+SUM(SUMIFS(DEALS!$R:$R,DEALS!$A:$A,{"*REFUND*","*EXECUTED*"},DEALS!$O:$O,$B$2,DEALS!$E:$E,"&lt;="&amp;$U$4,DEALS!$S:$S,X$6,DEALS!$U:$U,$T7,DEALS!$V:$V,"&lt;&gt;*RECEIVED*",DEALS!$V:$V,"&lt;&gt;*EXECUTED*"))</f>
        <v>6221.49</v>
      </c>
      <c r="Y7" s="29" cm="1">
        <f t="array" ref="Y7">SUMIFS(BALANCES!$C:$C,BALANCES!$A:$A,$B$2,BALANCES!$B:$B,$T7,BALANCES!$D:$D,Y$6)+SUMIFS(FLOWS!$C:$C,FLOWS!$A:$A,$B$2,FLOWS!$E:$E,$T7,FLOWS!$D:$D,Y$6,FLOWS!$H:$H,"&lt;="&amp;$U$4)+SUM(SUMIFS(DEALS!$J:$J,DEALS!$A:$A,{"*REFUND*","*EXECUTED*"},DEALS!$G:$G,$B$2,DEALS!$E:$E,"&lt;="&amp;$U$4,DEALS!$K:$K,Y$6,DEALS!$M:$M,$T7,DEALS!$N:$N,"&lt;&gt;*RECEIVED*",DEALS!$N:$N,"&lt;&gt;*EXECUTED*"))+SUM(SUMIFS(DEALS!$R:$R,DEALS!$A:$A,{"*REFUND*","*EXECUTED*"},DEALS!$O:$O,$B$2,DEALS!$E:$E,"&lt;="&amp;$U$4,DEALS!$S:$S,Y$6,DEALS!$U:$U,$T7,DEALS!$V:$V,"&lt;&gt;*RECEIVED*",DEALS!$V:$V,"&lt;&gt;*EXECUTED*"))</f>
        <v>0</v>
      </c>
      <c r="Z7" s="29" cm="1">
        <f t="array" ref="Z7">SUMIFS(BALANCES!$C:$C,BALANCES!$A:$A,$B$2,BALANCES!$B:$B,$T7,BALANCES!$D:$D,Z$6)+SUMIFS(FLOWS!$C:$C,FLOWS!$A:$A,$B$2,FLOWS!$E:$E,$T7,FLOWS!$D:$D,Z$6,FLOWS!$H:$H,"&lt;="&amp;$U$4)+SUM(SUMIFS(DEALS!$J:$J,DEALS!$A:$A,{"*REFUND*","*EXECUTED*"},DEALS!$G:$G,$B$2,DEALS!$E:$E,"&lt;="&amp;$U$4,DEALS!$K:$K,Z$6,DEALS!$M:$M,$T7,DEALS!$N:$N,"&lt;&gt;*RECEIVED*",DEALS!$N:$N,"&lt;&gt;*EXECUTED*"))+SUM(SUMIFS(DEALS!$R:$R,DEALS!$A:$A,{"*REFUND*","*EXECUTED*"},DEALS!$O:$O,$B$2,DEALS!$E:$E,"&lt;="&amp;$U$4,DEALS!$S:$S,Z$6,DEALS!$U:$U,$T7,DEALS!$V:$V,"&lt;&gt;*RECEIVED*",DEALS!$V:$V,"&lt;&gt;*EXECUTED*"))</f>
        <v>0</v>
      </c>
      <c r="AA7" s="30">
        <f ca="1">U7*VLOOKUP(U$6,'FX RATES'!$E$1:$F$50,2,FALSE)+V7*VLOOKUP(V$6,'FX RATES'!$E$1:$F$50,2,FALSE)+W7*VLOOKUP(W$6,'FX RATES'!$E$1:$F$50,2,FALSE)+X7*VLOOKUP(X$6,'FX RATES'!$E$1:$F$50,2,FALSE)+Y7*VLOOKUP(Y$6,'FX RATES'!$E$1:$F$50,2,FALSE)+Z7*VLOOKUP(Z$6,'FX RATES'!$E$1:$F$50,2,FALSE)</f>
        <v>3951.8558821803986</v>
      </c>
      <c r="AC7" s="139">
        <f t="shared" ref="AC7:AC26" ca="1" si="4">I7+R7-AA7</f>
        <v>0</v>
      </c>
    </row>
    <row r="8" spans="2:29" ht="19">
      <c r="B8" s="31" t="s">
        <v>14</v>
      </c>
      <c r="C8" s="32" cm="1">
        <f t="array" ref="C8">SUMIFS(BALANCES!$C:$C,BALANCES!$A:$A,$B$2,BALANCES!$B:$B,$B8,BALANCES!$D:$D,C$6)+SUMIFS(FLOWS!$C:$C,FLOWS!$A:$A,$B$2,FLOWS!$E:$E,$B8,FLOWS!$D:$D,C$6,FLOWS!$H:$H,"&lt;"&amp;$C$4)+SUM(SUMIFS(DEALS!$J:$J,DEALS!$A:$A,{"*REFUND*","*EXECUTED*"},DEALS!$G:$G,$B$2,DEALS!$E:$E,"&lt;"&amp;$C$4,DEALS!$K:$K,C$6,DEALS!$M:$M,$B8,DEALS!$N:$N,"&lt;&gt;*RECEIVED*",DEALS!$N:$N,"&lt;&gt;*EXECUTED*"))+SUM(SUMIFS(DEALS!$R:$R,DEALS!$A:$A,{"*REFUND*","*EXECUTED*"},DEALS!$O:$O,$B$2,DEALS!$E:$E,"&lt;"&amp;$C$4,DEALS!$S:$S,C$6,DEALS!$U:$U,$B8,DEALS!$V:$V,"&lt;&gt;*RECEIVED*",DEALS!$V:$V,"&lt;&gt;*EXECUTED*"))</f>
        <v>93787.699999999953</v>
      </c>
      <c r="D8" s="32" cm="1">
        <f t="array" ref="D8">SUMIFS(BALANCES!$C:$C,BALANCES!$A:$A,$B$2,BALANCES!$B:$B,$B8,BALANCES!$D:$D,D$6)+SUMIFS(FLOWS!$C:$C,FLOWS!$A:$A,$B$2,FLOWS!$E:$E,$B8,FLOWS!$D:$D,D$6,FLOWS!$H:$H,"&lt;"&amp;$C$4)+SUM(SUMIFS(DEALS!$J:$J,DEALS!$A:$A,{"*REFUND*","*EXECUTED*"},DEALS!$G:$G,$B$2,DEALS!$E:$E,"&lt;"&amp;$C$4,DEALS!$K:$K,D$6,DEALS!$M:$M,$B8,DEALS!$N:$N,"&lt;&gt;*RECEIVED*",DEALS!$N:$N,"&lt;&gt;*EXECUTED*"))+SUM(SUMIFS(DEALS!$R:$R,DEALS!$A:$A,{"*REFUND*","*EXECUTED*"},DEALS!$O:$O,$B$2,DEALS!$E:$E,"&lt;"&amp;$C$4,DEALS!$S:$S,D$6,DEALS!$U:$U,$B8,DEALS!$V:$V,"&lt;&gt;*RECEIVED*",DEALS!$V:$V,"&lt;&gt;*EXECUTED*"))</f>
        <v>893.77</v>
      </c>
      <c r="E8" s="32" cm="1">
        <f t="array" ref="E8">SUMIFS(BALANCES!$C:$C,BALANCES!$A:$A,$B$2,BALANCES!$B:$B,$B8,BALANCES!$D:$D,E$6)+SUMIFS(FLOWS!$C:$C,FLOWS!$A:$A,$B$2,FLOWS!$E:$E,$B8,FLOWS!$D:$D,E$6,FLOWS!$H:$H,"&lt;"&amp;$C$4)+SUM(SUMIFS(DEALS!$J:$J,DEALS!$A:$A,{"*REFUND*","*EXECUTED*"},DEALS!$G:$G,$B$2,DEALS!$E:$E,"&lt;"&amp;$C$4,DEALS!$K:$K,E$6,DEALS!$M:$M,$B8,DEALS!$N:$N,"&lt;&gt;*RECEIVED*",DEALS!$N:$N,"&lt;&gt;*EXECUTED*"))+SUM(SUMIFS(DEALS!$R:$R,DEALS!$A:$A,{"*REFUND*","*EXECUTED*"},DEALS!$O:$O,$B$2,DEALS!$E:$E,"&lt;"&amp;$C$4,DEALS!$S:$S,E$6,DEALS!$U:$U,$B8,DEALS!$V:$V,"&lt;&gt;*RECEIVED*",DEALS!$V:$V,"&lt;&gt;*EXECUTED*"))</f>
        <v>6100.28</v>
      </c>
      <c r="F8" s="32" cm="1">
        <f t="array" ref="F8">SUMIFS(BALANCES!$C:$C,BALANCES!$A:$A,$B$2,BALANCES!$B:$B,$B8,BALANCES!$D:$D,F$6)+SUMIFS(FLOWS!$C:$C,FLOWS!$A:$A,$B$2,FLOWS!$E:$E,$B8,FLOWS!$D:$D,F$6,FLOWS!$H:$H,"&lt;"&amp;$C$4)+SUM(SUMIFS(DEALS!$J:$J,DEALS!$A:$A,{"*REFUND*","*EXECUTED*"},DEALS!$G:$G,$B$2,DEALS!$E:$E,"&lt;"&amp;$C$4,DEALS!$K:$K,F$6,DEALS!$M:$M,$B8,DEALS!$N:$N,"&lt;&gt;*RECEIVED*",DEALS!$N:$N,"&lt;&gt;*EXECUTED*"))+SUM(SUMIFS(DEALS!$R:$R,DEALS!$A:$A,{"*REFUND*","*EXECUTED*"},DEALS!$O:$O,$B$2,DEALS!$E:$E,"&lt;"&amp;$C$4,DEALS!$S:$S,F$6,DEALS!$U:$U,$B8,DEALS!$V:$V,"&lt;&gt;*RECEIVED*",DEALS!$V:$V,"&lt;&gt;*EXECUTED*"))</f>
        <v>1577693.51</v>
      </c>
      <c r="G8" s="32" cm="1">
        <f t="array" ref="G8">SUMIFS(BALANCES!$C:$C,BALANCES!$A:$A,$B$2,BALANCES!$B:$B,$B8,BALANCES!$D:$D,G$6)+SUMIFS(FLOWS!$C:$C,FLOWS!$A:$A,$B$2,FLOWS!$E:$E,$B8,FLOWS!$D:$D,G$6,FLOWS!$H:$H,"&lt;"&amp;$C$4)+SUM(SUMIFS(DEALS!$J:$J,DEALS!$A:$A,{"*REFUND*","*EXECUTED*"},DEALS!$G:$G,$B$2,DEALS!$E:$E,"&lt;"&amp;$C$4,DEALS!$K:$K,G$6,DEALS!$M:$M,$B8,DEALS!$N:$N,"&lt;&gt;*RECEIVED*",DEALS!$N:$N,"&lt;&gt;*EXECUTED*"))+SUM(SUMIFS(DEALS!$R:$R,DEALS!$A:$A,{"*REFUND*","*EXECUTED*"},DEALS!$O:$O,$B$2,DEALS!$E:$E,"&lt;"&amp;$C$4,DEALS!$S:$S,G$6,DEALS!$U:$U,$B8,DEALS!$V:$V,"&lt;&gt;*RECEIVED*",DEALS!$V:$V,"&lt;&gt;*EXECUTED*"))</f>
        <v>0</v>
      </c>
      <c r="H8" s="32" cm="1">
        <f t="array" ref="H8">SUMIFS(BALANCES!$C:$C,BALANCES!$A:$A,$B$2,BALANCES!$B:$B,$B8,BALANCES!$D:$D,H$6)+SUMIFS(FLOWS!$C:$C,FLOWS!$A:$A,$B$2,FLOWS!$E:$E,$B8,FLOWS!$D:$D,H$6,FLOWS!$H:$H,"&lt;"&amp;$C$4)+SUM(SUMIFS(DEALS!$J:$J,DEALS!$A:$A,{"*REFUND*","*EXECUTED*"},DEALS!$G:$G,$B$2,DEALS!$E:$E,"&lt;"&amp;$C$4,DEALS!$K:$K,H$6,DEALS!$M:$M,$B8,DEALS!$N:$N,"&lt;&gt;*RECEIVED*",DEALS!$N:$N,"&lt;&gt;*EXECUTED*"))+SUM(SUMIFS(DEALS!$R:$R,DEALS!$A:$A,{"*REFUND*","*EXECUTED*"},DEALS!$O:$O,$B$2,DEALS!$E:$E,"&lt;"&amp;$C$4,DEALS!$S:$S,H$6,DEALS!$U:$U,$B8,DEALS!$V:$V,"&lt;&gt;*RECEIVED*",DEALS!$V:$V,"&lt;&gt;*EXECUTED*"))</f>
        <v>0</v>
      </c>
      <c r="I8" s="33">
        <f ca="1">C8*VLOOKUP(C$6,'FX RATES'!$E$1:$F$50,2,FALSE)+D8*VLOOKUP(D$6,'FX RATES'!$E$1:$F$50,2,FALSE)+E8*VLOOKUP(E$6,'FX RATES'!$E$1:$F$50,2,FALSE)+F8*VLOOKUP(F$6,'FX RATES'!$E$1:$F$50,2,FALSE)+G8*VLOOKUP(G$6,'FX RATES'!$E$1:$F$50,2,FALSE)+H8*VLOOKUP(H$6,'FX RATES'!$E$1:$F$50,2,FALSE)</f>
        <v>525308.53746051912</v>
      </c>
      <c r="K8" s="31" t="str">
        <f t="shared" si="2"/>
        <v>CBD</v>
      </c>
      <c r="L8" s="32" cm="1">
        <f t="array" ref="L8">SUMIFS(FLOWS!$C:$C,FLOWS!$A:$A,$B$2,FLOWS!$E:$E,$K8,FLOWS!$D:$D,L$6,FLOWS!$H:$H,"&gt;="&amp;$C$4,FLOWS!$H:$H,"&lt;="&amp;$U$4)+SUM(SUMIFS(DEALS!$J:$J,DEALS!$A:$A,{"*REFUND*","*EXECUTED*"},DEALS!$G:$G,$B$2,DEALS!$E:$E,"&gt;="&amp;$C$4,DEALS!$E:$E,"&lt;="&amp;$U$4,DEALS!$K:$K,L$6,DEALS!$M:$M,$K8,DEALS!$N:$N,"&lt;&gt;*RECEIVED*",DEALS!$N:$N,"&lt;&gt;*EXECUTED*"))+SUM(SUMIFS(DEALS!$R:$R,DEALS!$A:$A,{"*REFUND*","*EXECUTED*"},DEALS!$O:$O,$B$2,DEALS!$E:$E,"&gt;="&amp;$C$4,DEALS!$E:$E,"&lt;="&amp;$U$4,DEALS!$S:$S,L$6,DEALS!$U:$U,$K8,DEALS!$V:$V,"&lt;&gt;*RECEIVED*",DEALS!$V:$V,"&lt;&gt;*EXECUTED*"))</f>
        <v>3012058.33</v>
      </c>
      <c r="M8" s="32" cm="1">
        <f t="array" ref="M8">SUMIFS(FLOWS!$C:$C,FLOWS!$A:$A,$B$2,FLOWS!$E:$E,$K8,FLOWS!$D:$D,M$6,FLOWS!$H:$H,"&gt;="&amp;$C$4,FLOWS!$H:$H,"&lt;="&amp;$U$4)+SUM(SUMIFS(DEALS!$J:$J,DEALS!$A:$A,{"*REFUND*","*EXECUTED*"},DEALS!$G:$G,$B$2,DEALS!$E:$E,"&gt;="&amp;$C$4,DEALS!$E:$E,"&lt;="&amp;$U$4,DEALS!$K:$K,M$6,DEALS!$M:$M,$K8,DEALS!$N:$N,"&lt;&gt;*RECEIVED*",DEALS!$N:$N,"&lt;&gt;*EXECUTED*"))+SUM(SUMIFS(DEALS!$R:$R,DEALS!$A:$A,{"*REFUND*","*EXECUTED*"},DEALS!$O:$O,$B$2,DEALS!$E:$E,"&gt;="&amp;$C$4,DEALS!$E:$E,"&lt;="&amp;$U$4,DEALS!$S:$S,M$6,DEALS!$U:$U,$K8,DEALS!$V:$V,"&lt;&gt;*RECEIVED*",DEALS!$V:$V,"&lt;&gt;*EXECUTED*"))</f>
        <v>0</v>
      </c>
      <c r="N8" s="32" cm="1">
        <f t="array" ref="N8">SUMIFS(FLOWS!$C:$C,FLOWS!$A:$A,$B$2,FLOWS!$E:$E,$K8,FLOWS!$D:$D,N$6,FLOWS!$H:$H,"&gt;="&amp;$C$4,FLOWS!$H:$H,"&lt;="&amp;$U$4)+SUM(SUMIFS(DEALS!$J:$J,DEALS!$A:$A,{"*REFUND*","*EXECUTED*"},DEALS!$G:$G,$B$2,DEALS!$E:$E,"&gt;="&amp;$C$4,DEALS!$E:$E,"&lt;="&amp;$U$4,DEALS!$K:$K,N$6,DEALS!$M:$M,$K8,DEALS!$N:$N,"&lt;&gt;*RECEIVED*",DEALS!$N:$N,"&lt;&gt;*EXECUTED*"))+SUM(SUMIFS(DEALS!$R:$R,DEALS!$A:$A,{"*REFUND*","*EXECUTED*"},DEALS!$O:$O,$B$2,DEALS!$E:$E,"&gt;="&amp;$C$4,DEALS!$E:$E,"&lt;="&amp;$U$4,DEALS!$S:$S,N$6,DEALS!$U:$U,$K8,DEALS!$V:$V,"&lt;&gt;*RECEIVED*",DEALS!$V:$V,"&lt;&gt;*EXECUTED*"))</f>
        <v>0</v>
      </c>
      <c r="O8" s="32" cm="1">
        <f t="array" ref="O8">SUMIFS(FLOWS!$C:$C,FLOWS!$A:$A,$B$2,FLOWS!$E:$E,$K8,FLOWS!$D:$D,O$6,FLOWS!$H:$H,"&gt;="&amp;$C$4,FLOWS!$H:$H,"&lt;="&amp;$U$4)+SUM(SUMIFS(DEALS!$J:$J,DEALS!$A:$A,{"*REFUND*","*EXECUTED*"},DEALS!$G:$G,$B$2,DEALS!$E:$E,"&gt;="&amp;$C$4,DEALS!$E:$E,"&lt;="&amp;$U$4,DEALS!$K:$K,O$6,DEALS!$M:$M,$K8,DEALS!$N:$N,"&lt;&gt;*RECEIVED*",DEALS!$N:$N,"&lt;&gt;*EXECUTED*"))+SUM(SUMIFS(DEALS!$R:$R,DEALS!$A:$A,{"*REFUND*","*EXECUTED*"},DEALS!$O:$O,$B$2,DEALS!$E:$E,"&gt;="&amp;$C$4,DEALS!$E:$E,"&lt;="&amp;$U$4,DEALS!$S:$S,O$6,DEALS!$U:$U,$K8,DEALS!$V:$V,"&lt;&gt;*RECEIVED*",DEALS!$V:$V,"&lt;&gt;*EXECUTED*"))</f>
        <v>0</v>
      </c>
      <c r="P8" s="32" cm="1">
        <f t="array" ref="P8">SUMIFS(FLOWS!$C:$C,FLOWS!$A:$A,$B$2,FLOWS!$E:$E,$K8,FLOWS!$D:$D,P$6,FLOWS!$H:$H,"&gt;="&amp;$C$4,FLOWS!$H:$H,"&lt;="&amp;$U$4)+SUM(SUMIFS(DEALS!$J:$J,DEALS!$A:$A,{"*REFUND*","*EXECUTED*"},DEALS!$G:$G,$B$2,DEALS!$E:$E,"&gt;="&amp;$C$4,DEALS!$E:$E,"&lt;="&amp;$U$4,DEALS!$K:$K,P$6,DEALS!$M:$M,$K8,DEALS!$N:$N,"&lt;&gt;*RECEIVED*",DEALS!$N:$N,"&lt;&gt;*EXECUTED*"))+SUM(SUMIFS(DEALS!$R:$R,DEALS!$A:$A,{"*REFUND*","*EXECUTED*"},DEALS!$O:$O,$B$2,DEALS!$E:$E,"&gt;="&amp;$C$4,DEALS!$E:$E,"&lt;="&amp;$U$4,DEALS!$S:$S,P$6,DEALS!$U:$U,$K8,DEALS!$V:$V,"&lt;&gt;*RECEIVED*",DEALS!$V:$V,"&lt;&gt;*EXECUTED*"))</f>
        <v>0</v>
      </c>
      <c r="Q8" s="32" cm="1">
        <f t="array" ref="Q8">SUMIFS(FLOWS!$C:$C,FLOWS!$A:$A,$B$2,FLOWS!$E:$E,$K8,FLOWS!$D:$D,Q$6,FLOWS!$H:$H,"&gt;="&amp;$C$4,FLOWS!$H:$H,"&lt;="&amp;$U$4)+SUM(SUMIFS(DEALS!$J:$J,DEALS!$A:$A,{"*REFUND*","*EXECUTED*"},DEALS!$G:$G,$B$2,DEALS!$E:$E,"&gt;="&amp;$C$4,DEALS!$E:$E,"&lt;="&amp;$U$4,DEALS!$K:$K,Q$6,DEALS!$M:$M,$K8,DEALS!$N:$N,"&lt;&gt;*RECEIVED*",DEALS!$N:$N,"&lt;&gt;*EXECUTED*"))+SUM(SUMIFS(DEALS!$R:$R,DEALS!$A:$A,{"*REFUND*","*EXECUTED*"},DEALS!$O:$O,$B$2,DEALS!$E:$E,"&gt;="&amp;$C$4,DEALS!$E:$E,"&lt;="&amp;$U$4,DEALS!$S:$S,Q$6,DEALS!$U:$U,$K8,DEALS!$V:$V,"&lt;&gt;*RECEIVED*",DEALS!$V:$V,"&lt;&gt;*EXECUTED*"))</f>
        <v>0</v>
      </c>
      <c r="R8" s="33">
        <f ca="1">L8*VLOOKUP(L$6,'FX RATES'!$E$1:$F$50,2,FALSE)+M8*VLOOKUP(M$6,'FX RATES'!$E$1:$F$50,2,FALSE)+N8*VLOOKUP(N$6,'FX RATES'!$E$1:$F$50,2,FALSE)+O8*VLOOKUP(O$6,'FX RATES'!$E$1:$F$50,2,FALSE)+P8*VLOOKUP(P$6,'FX RATES'!$E$1:$F$50,2,FALSE)+Q8*VLOOKUP(Q$6,'FX RATES'!$E$1:$F$50,2,FALSE)</f>
        <v>3012058.33</v>
      </c>
      <c r="T8" s="31" t="str">
        <f t="shared" si="3"/>
        <v>CBD</v>
      </c>
      <c r="U8" s="32" cm="1">
        <f t="array" ref="U8">SUMIFS(BALANCES!$C:$C,BALANCES!$A:$A,$B$2,BALANCES!$B:$B,$T8,BALANCES!$D:$D,U$6)+SUMIFS(FLOWS!$C:$C,FLOWS!$A:$A,$B$2,FLOWS!$E:$E,$T8,FLOWS!$D:$D,U$6,FLOWS!$H:$H,"&lt;="&amp;$U$4)+SUM(SUMIFS(DEALS!$J:$J,DEALS!$A:$A,{"*REFUND*","*EXECUTED*"},DEALS!$G:$G,$B$2,DEALS!$E:$E,"&lt;="&amp;$U$4,DEALS!$K:$K,U$6,DEALS!$M:$M,$T8,DEALS!$N:$N,"&lt;&gt;*RECEIVED*",DEALS!$N:$N,"&lt;&gt;*EXECUTED*"))+SUM(SUMIFS(DEALS!$R:$R,DEALS!$A:$A,{"*REFUND*","*EXECUTED*"},DEALS!$O:$O,$B$2,DEALS!$E:$E,"&lt;="&amp;$U$4,DEALS!$S:$S,U$6,DEALS!$U:$U,$T8,DEALS!$V:$V,"&lt;&gt;*RECEIVED*",DEALS!$V:$V,"&lt;&gt;*EXECUTED*"))</f>
        <v>3105846.0300000003</v>
      </c>
      <c r="V8" s="32" cm="1">
        <f t="array" ref="V8">SUMIFS(BALANCES!$C:$C,BALANCES!$A:$A,$B$2,BALANCES!$B:$B,$T8,BALANCES!$D:$D,V$6)+SUMIFS(FLOWS!$C:$C,FLOWS!$A:$A,$B$2,FLOWS!$E:$E,$T8,FLOWS!$D:$D,V$6,FLOWS!$H:$H,"&lt;="&amp;$U$4)+SUM(SUMIFS(DEALS!$J:$J,DEALS!$A:$A,{"*REFUND*","*EXECUTED*"},DEALS!$G:$G,$B$2,DEALS!$E:$E,"&lt;="&amp;$U$4,DEALS!$K:$K,V$6,DEALS!$M:$M,$T8,DEALS!$N:$N,"&lt;&gt;*RECEIVED*",DEALS!$N:$N,"&lt;&gt;*EXECUTED*"))+SUM(SUMIFS(DEALS!$R:$R,DEALS!$A:$A,{"*REFUND*","*EXECUTED*"},DEALS!$O:$O,$B$2,DEALS!$E:$E,"&lt;="&amp;$U$4,DEALS!$S:$S,V$6,DEALS!$U:$U,$T8,DEALS!$V:$V,"&lt;&gt;*RECEIVED*",DEALS!$V:$V,"&lt;&gt;*EXECUTED*"))</f>
        <v>893.77</v>
      </c>
      <c r="W8" s="32" cm="1">
        <f t="array" ref="W8">SUMIFS(BALANCES!$C:$C,BALANCES!$A:$A,$B$2,BALANCES!$B:$B,$T8,BALANCES!$D:$D,W$6)+SUMIFS(FLOWS!$C:$C,FLOWS!$A:$A,$B$2,FLOWS!$E:$E,$T8,FLOWS!$D:$D,W$6,FLOWS!$H:$H,"&lt;="&amp;$U$4)+SUM(SUMIFS(DEALS!$J:$J,DEALS!$A:$A,{"*REFUND*","*EXECUTED*"},DEALS!$G:$G,$B$2,DEALS!$E:$E,"&lt;="&amp;$U$4,DEALS!$K:$K,W$6,DEALS!$M:$M,$T8,DEALS!$N:$N,"&lt;&gt;*RECEIVED*",DEALS!$N:$N,"&lt;&gt;*EXECUTED*"))+SUM(SUMIFS(DEALS!$R:$R,DEALS!$A:$A,{"*REFUND*","*EXECUTED*"},DEALS!$O:$O,$B$2,DEALS!$E:$E,"&lt;="&amp;$U$4,DEALS!$S:$S,W$6,DEALS!$U:$U,$T8,DEALS!$V:$V,"&lt;&gt;*RECEIVED*",DEALS!$V:$V,"&lt;&gt;*EXECUTED*"))</f>
        <v>6100.28</v>
      </c>
      <c r="X8" s="32" cm="1">
        <f t="array" ref="X8">SUMIFS(BALANCES!$C:$C,BALANCES!$A:$A,$B$2,BALANCES!$B:$B,$T8,BALANCES!$D:$D,X$6)+SUMIFS(FLOWS!$C:$C,FLOWS!$A:$A,$B$2,FLOWS!$E:$E,$T8,FLOWS!$D:$D,X$6,FLOWS!$H:$H,"&lt;="&amp;$U$4)+SUM(SUMIFS(DEALS!$J:$J,DEALS!$A:$A,{"*REFUND*","*EXECUTED*"},DEALS!$G:$G,$B$2,DEALS!$E:$E,"&lt;="&amp;$U$4,DEALS!$K:$K,X$6,DEALS!$M:$M,$T8,DEALS!$N:$N,"&lt;&gt;*RECEIVED*",DEALS!$N:$N,"&lt;&gt;*EXECUTED*"))+SUM(SUMIFS(DEALS!$R:$R,DEALS!$A:$A,{"*REFUND*","*EXECUTED*"},DEALS!$O:$O,$B$2,DEALS!$E:$E,"&lt;="&amp;$U$4,DEALS!$S:$S,X$6,DEALS!$U:$U,$T8,DEALS!$V:$V,"&lt;&gt;*RECEIVED*",DEALS!$V:$V,"&lt;&gt;*EXECUTED*"))</f>
        <v>1577693.51</v>
      </c>
      <c r="Y8" s="32" cm="1">
        <f t="array" ref="Y8">SUMIFS(BALANCES!$C:$C,BALANCES!$A:$A,$B$2,BALANCES!$B:$B,$T8,BALANCES!$D:$D,Y$6)+SUMIFS(FLOWS!$C:$C,FLOWS!$A:$A,$B$2,FLOWS!$E:$E,$T8,FLOWS!$D:$D,Y$6,FLOWS!$H:$H,"&lt;="&amp;$U$4)+SUM(SUMIFS(DEALS!$J:$J,DEALS!$A:$A,{"*REFUND*","*EXECUTED*"},DEALS!$G:$G,$B$2,DEALS!$E:$E,"&lt;="&amp;$U$4,DEALS!$K:$K,Y$6,DEALS!$M:$M,$T8,DEALS!$N:$N,"&lt;&gt;*RECEIVED*",DEALS!$N:$N,"&lt;&gt;*EXECUTED*"))+SUM(SUMIFS(DEALS!$R:$R,DEALS!$A:$A,{"*REFUND*","*EXECUTED*"},DEALS!$O:$O,$B$2,DEALS!$E:$E,"&lt;="&amp;$U$4,DEALS!$S:$S,Y$6,DEALS!$U:$U,$T8,DEALS!$V:$V,"&lt;&gt;*RECEIVED*",DEALS!$V:$V,"&lt;&gt;*EXECUTED*"))</f>
        <v>0</v>
      </c>
      <c r="Z8" s="32" cm="1">
        <f t="array" ref="Z8">SUMIFS(BALANCES!$C:$C,BALANCES!$A:$A,$B$2,BALANCES!$B:$B,$T8,BALANCES!$D:$D,Z$6)+SUMIFS(FLOWS!$C:$C,FLOWS!$A:$A,$B$2,FLOWS!$E:$E,$T8,FLOWS!$D:$D,Z$6,FLOWS!$H:$H,"&lt;="&amp;$U$4)+SUM(SUMIFS(DEALS!$J:$J,DEALS!$A:$A,{"*REFUND*","*EXECUTED*"},DEALS!$G:$G,$B$2,DEALS!$E:$E,"&lt;="&amp;$U$4,DEALS!$K:$K,Z$6,DEALS!$M:$M,$T8,DEALS!$N:$N,"&lt;&gt;*RECEIVED*",DEALS!$N:$N,"&lt;&gt;*EXECUTED*"))+SUM(SUMIFS(DEALS!$R:$R,DEALS!$A:$A,{"*REFUND*","*EXECUTED*"},DEALS!$O:$O,$B$2,DEALS!$E:$E,"&lt;="&amp;$U$4,DEALS!$S:$S,Z$6,DEALS!$U:$U,$T8,DEALS!$V:$V,"&lt;&gt;*RECEIVED*",DEALS!$V:$V,"&lt;&gt;*EXECUTED*"))</f>
        <v>0</v>
      </c>
      <c r="AA8" s="33">
        <f ca="1">U8*VLOOKUP(U$6,'FX RATES'!$E$1:$F$50,2,FALSE)+V8*VLOOKUP(V$6,'FX RATES'!$E$1:$F$50,2,FALSE)+W8*VLOOKUP(W$6,'FX RATES'!$E$1:$F$50,2,FALSE)+X8*VLOOKUP(X$6,'FX RATES'!$E$1:$F$50,2,FALSE)+Y8*VLOOKUP(Y$6,'FX RATES'!$E$1:$F$50,2,FALSE)+Z8*VLOOKUP(Z$6,'FX RATES'!$E$1:$F$50,2,FALSE)</f>
        <v>3537366.8674605195</v>
      </c>
      <c r="AC8" s="139">
        <f t="shared" ca="1" si="4"/>
        <v>0</v>
      </c>
    </row>
    <row r="9" spans="2:29" ht="19">
      <c r="B9" s="28" t="s">
        <v>15</v>
      </c>
      <c r="C9" s="29" cm="1">
        <f t="array" ref="C9">SUMIFS(BALANCES!$C:$C,BALANCES!$A:$A,$B$2,BALANCES!$B:$B,$B9,BALANCES!$D:$D,C$6)+SUMIFS(FLOWS!$C:$C,FLOWS!$A:$A,$B$2,FLOWS!$E:$E,$B9,FLOWS!$D:$D,C$6,FLOWS!$H:$H,"&lt;"&amp;$C$4)+SUM(SUMIFS(DEALS!$J:$J,DEALS!$A:$A,{"*REFUND*","*EXECUTED*"},DEALS!$G:$G,$B$2,DEALS!$E:$E,"&lt;"&amp;$C$4,DEALS!$K:$K,C$6,DEALS!$M:$M,$B9,DEALS!$N:$N,"&lt;&gt;*RECEIVED*",DEALS!$N:$N,"&lt;&gt;*EXECUTED*"))+SUM(SUMIFS(DEALS!$R:$R,DEALS!$A:$A,{"*REFUND*","*EXECUTED*"},DEALS!$O:$O,$B$2,DEALS!$E:$E,"&lt;"&amp;$C$4,DEALS!$S:$S,C$6,DEALS!$U:$U,$B9,DEALS!$V:$V,"&lt;&gt;*RECEIVED*",DEALS!$V:$V,"&lt;&gt;*EXECUTED*"))</f>
        <v>2916.76</v>
      </c>
      <c r="D9" s="29" cm="1">
        <f t="array" ref="D9">SUMIFS(BALANCES!$C:$C,BALANCES!$A:$A,$B$2,BALANCES!$B:$B,$B9,BALANCES!$D:$D,D$6)+SUMIFS(FLOWS!$C:$C,FLOWS!$A:$A,$B$2,FLOWS!$E:$E,$B9,FLOWS!$D:$D,D$6,FLOWS!$H:$H,"&lt;"&amp;$C$4)+SUM(SUMIFS(DEALS!$J:$J,DEALS!$A:$A,{"*REFUND*","*EXECUTED*"},DEALS!$G:$G,$B$2,DEALS!$E:$E,"&lt;"&amp;$C$4,DEALS!$K:$K,D$6,DEALS!$M:$M,$B9,DEALS!$N:$N,"&lt;&gt;*RECEIVED*",DEALS!$N:$N,"&lt;&gt;*EXECUTED*"))+SUM(SUMIFS(DEALS!$R:$R,DEALS!$A:$A,{"*REFUND*","*EXECUTED*"},DEALS!$O:$O,$B$2,DEALS!$E:$E,"&lt;"&amp;$C$4,DEALS!$S:$S,D$6,DEALS!$U:$U,$B9,DEALS!$V:$V,"&lt;&gt;*RECEIVED*",DEALS!$V:$V,"&lt;&gt;*EXECUTED*"))</f>
        <v>712.19</v>
      </c>
      <c r="E9" s="29" cm="1">
        <f t="array" ref="E9">SUMIFS(BALANCES!$C:$C,BALANCES!$A:$A,$B$2,BALANCES!$B:$B,$B9,BALANCES!$D:$D,E$6)+SUMIFS(FLOWS!$C:$C,FLOWS!$A:$A,$B$2,FLOWS!$E:$E,$B9,FLOWS!$D:$D,E$6,FLOWS!$H:$H,"&lt;"&amp;$C$4)+SUM(SUMIFS(DEALS!$J:$J,DEALS!$A:$A,{"*REFUND*","*EXECUTED*"},DEALS!$G:$G,$B$2,DEALS!$E:$E,"&lt;"&amp;$C$4,DEALS!$K:$K,E$6,DEALS!$M:$M,$B9,DEALS!$N:$N,"&lt;&gt;*RECEIVED*",DEALS!$N:$N,"&lt;&gt;*EXECUTED*"))+SUM(SUMIFS(DEALS!$R:$R,DEALS!$A:$A,{"*REFUND*","*EXECUTED*"},DEALS!$O:$O,$B$2,DEALS!$E:$E,"&lt;"&amp;$C$4,DEALS!$S:$S,E$6,DEALS!$U:$U,$B9,DEALS!$V:$V,"&lt;&gt;*RECEIVED*",DEALS!$V:$V,"&lt;&gt;*EXECUTED*"))</f>
        <v>0</v>
      </c>
      <c r="F9" s="29" cm="1">
        <f t="array" ref="F9">SUMIFS(BALANCES!$C:$C,BALANCES!$A:$A,$B$2,BALANCES!$B:$B,$B9,BALANCES!$D:$D,F$6)+SUMIFS(FLOWS!$C:$C,FLOWS!$A:$A,$B$2,FLOWS!$E:$E,$B9,FLOWS!$D:$D,F$6,FLOWS!$H:$H,"&lt;"&amp;$C$4)+SUM(SUMIFS(DEALS!$J:$J,DEALS!$A:$A,{"*REFUND*","*EXECUTED*"},DEALS!$G:$G,$B$2,DEALS!$E:$E,"&lt;"&amp;$C$4,DEALS!$K:$K,F$6,DEALS!$M:$M,$B9,DEALS!$N:$N,"&lt;&gt;*RECEIVED*",DEALS!$N:$N,"&lt;&gt;*EXECUTED*"))+SUM(SUMIFS(DEALS!$R:$R,DEALS!$A:$A,{"*REFUND*","*EXECUTED*"},DEALS!$O:$O,$B$2,DEALS!$E:$E,"&lt;"&amp;$C$4,DEALS!$S:$S,F$6,DEALS!$U:$U,$B9,DEALS!$V:$V,"&lt;&gt;*RECEIVED*",DEALS!$V:$V,"&lt;&gt;*EXECUTED*"))</f>
        <v>4430.6099999999997</v>
      </c>
      <c r="G9" s="29" cm="1">
        <f t="array" ref="G9">SUMIFS(BALANCES!$C:$C,BALANCES!$A:$A,$B$2,BALANCES!$B:$B,$B9,BALANCES!$D:$D,G$6)+SUMIFS(FLOWS!$C:$C,FLOWS!$A:$A,$B$2,FLOWS!$E:$E,$B9,FLOWS!$D:$D,G$6,FLOWS!$H:$H,"&lt;"&amp;$C$4)+SUM(SUMIFS(DEALS!$J:$J,DEALS!$A:$A,{"*REFUND*","*EXECUTED*"},DEALS!$G:$G,$B$2,DEALS!$E:$E,"&lt;"&amp;$C$4,DEALS!$K:$K,G$6,DEALS!$M:$M,$B9,DEALS!$N:$N,"&lt;&gt;*RECEIVED*",DEALS!$N:$N,"&lt;&gt;*EXECUTED*"))+SUM(SUMIFS(DEALS!$R:$R,DEALS!$A:$A,{"*REFUND*","*EXECUTED*"},DEALS!$O:$O,$B$2,DEALS!$E:$E,"&lt;"&amp;$C$4,DEALS!$S:$S,G$6,DEALS!$U:$U,$B9,DEALS!$V:$V,"&lt;&gt;*RECEIVED*",DEALS!$V:$V,"&lt;&gt;*EXECUTED*"))</f>
        <v>0</v>
      </c>
      <c r="H9" s="29" cm="1">
        <f t="array" ref="H9">SUMIFS(BALANCES!$C:$C,BALANCES!$A:$A,$B$2,BALANCES!$B:$B,$B9,BALANCES!$D:$D,H$6)+SUMIFS(FLOWS!$C:$C,FLOWS!$A:$A,$B$2,FLOWS!$E:$E,$B9,FLOWS!$D:$D,H$6,FLOWS!$H:$H,"&lt;"&amp;$C$4)+SUM(SUMIFS(DEALS!$J:$J,DEALS!$A:$A,{"*REFUND*","*EXECUTED*"},DEALS!$G:$G,$B$2,DEALS!$E:$E,"&lt;"&amp;$C$4,DEALS!$K:$K,H$6,DEALS!$M:$M,$B9,DEALS!$N:$N,"&lt;&gt;*RECEIVED*",DEALS!$N:$N,"&lt;&gt;*EXECUTED*"))+SUM(SUMIFS(DEALS!$R:$R,DEALS!$A:$A,{"*REFUND*","*EXECUTED*"},DEALS!$O:$O,$B$2,DEALS!$E:$E,"&lt;"&amp;$C$4,DEALS!$S:$S,H$6,DEALS!$U:$U,$B9,DEALS!$V:$V,"&lt;&gt;*RECEIVED*",DEALS!$V:$V,"&lt;&gt;*EXECUTED*"))</f>
        <v>0</v>
      </c>
      <c r="I9" s="30">
        <f ca="1">C9*VLOOKUP(C$6,'FX RATES'!$E$1:$F$50,2,FALSE)+D9*VLOOKUP(D$6,'FX RATES'!$E$1:$F$50,2,FALSE)+E9*VLOOKUP(E$6,'FX RATES'!$E$1:$F$50,2,FALSE)+F9*VLOOKUP(F$6,'FX RATES'!$E$1:$F$50,2,FALSE)+G9*VLOOKUP(G$6,'FX RATES'!$E$1:$F$50,2,FALSE)+H9*VLOOKUP(H$6,'FX RATES'!$E$1:$F$50,2,FALSE)</f>
        <v>4962.1158337232482</v>
      </c>
      <c r="K9" s="28" t="str">
        <f t="shared" si="2"/>
        <v>MISR</v>
      </c>
      <c r="L9" s="29" cm="1">
        <f t="array" ref="L9">SUMIFS(FLOWS!$C:$C,FLOWS!$A:$A,$B$2,FLOWS!$E:$E,$K9,FLOWS!$D:$D,L$6,FLOWS!$H:$H,"&gt;="&amp;$C$4,FLOWS!$H:$H,"&lt;="&amp;$U$4)+SUM(SUMIFS(DEALS!$J:$J,DEALS!$A:$A,{"*REFUND*","*EXECUTED*"},DEALS!$G:$G,$B$2,DEALS!$E:$E,"&gt;="&amp;$C$4,DEALS!$E:$E,"&lt;="&amp;$U$4,DEALS!$K:$K,L$6,DEALS!$M:$M,$K9,DEALS!$N:$N,"&lt;&gt;*RECEIVED*",DEALS!$N:$N,"&lt;&gt;*EXECUTED*"))+SUM(SUMIFS(DEALS!$R:$R,DEALS!$A:$A,{"*REFUND*","*EXECUTED*"},DEALS!$O:$O,$B$2,DEALS!$E:$E,"&gt;="&amp;$C$4,DEALS!$E:$E,"&lt;="&amp;$U$4,DEALS!$S:$S,L$6,DEALS!$U:$U,$K9,DEALS!$V:$V,"&lt;&gt;*RECEIVED*",DEALS!$V:$V,"&lt;&gt;*EXECUTED*"))</f>
        <v>0</v>
      </c>
      <c r="M9" s="29" cm="1">
        <f t="array" ref="M9">SUMIFS(FLOWS!$C:$C,FLOWS!$A:$A,$B$2,FLOWS!$E:$E,$K9,FLOWS!$D:$D,M$6,FLOWS!$H:$H,"&gt;="&amp;$C$4,FLOWS!$H:$H,"&lt;="&amp;$U$4)+SUM(SUMIFS(DEALS!$J:$J,DEALS!$A:$A,{"*REFUND*","*EXECUTED*"},DEALS!$G:$G,$B$2,DEALS!$E:$E,"&gt;="&amp;$C$4,DEALS!$E:$E,"&lt;="&amp;$U$4,DEALS!$K:$K,M$6,DEALS!$M:$M,$K9,DEALS!$N:$N,"&lt;&gt;*RECEIVED*",DEALS!$N:$N,"&lt;&gt;*EXECUTED*"))+SUM(SUMIFS(DEALS!$R:$R,DEALS!$A:$A,{"*REFUND*","*EXECUTED*"},DEALS!$O:$O,$B$2,DEALS!$E:$E,"&gt;="&amp;$C$4,DEALS!$E:$E,"&lt;="&amp;$U$4,DEALS!$S:$S,M$6,DEALS!$U:$U,$K9,DEALS!$V:$V,"&lt;&gt;*RECEIVED*",DEALS!$V:$V,"&lt;&gt;*EXECUTED*"))</f>
        <v>0</v>
      </c>
      <c r="N9" s="29" cm="1">
        <f t="array" ref="N9">SUMIFS(FLOWS!$C:$C,FLOWS!$A:$A,$B$2,FLOWS!$E:$E,$K9,FLOWS!$D:$D,N$6,FLOWS!$H:$H,"&gt;="&amp;$C$4,FLOWS!$H:$H,"&lt;="&amp;$U$4)+SUM(SUMIFS(DEALS!$J:$J,DEALS!$A:$A,{"*REFUND*","*EXECUTED*"},DEALS!$G:$G,$B$2,DEALS!$E:$E,"&gt;="&amp;$C$4,DEALS!$E:$E,"&lt;="&amp;$U$4,DEALS!$K:$K,N$6,DEALS!$M:$M,$K9,DEALS!$N:$N,"&lt;&gt;*RECEIVED*",DEALS!$N:$N,"&lt;&gt;*EXECUTED*"))+SUM(SUMIFS(DEALS!$R:$R,DEALS!$A:$A,{"*REFUND*","*EXECUTED*"},DEALS!$O:$O,$B$2,DEALS!$E:$E,"&gt;="&amp;$C$4,DEALS!$E:$E,"&lt;="&amp;$U$4,DEALS!$S:$S,N$6,DEALS!$U:$U,$K9,DEALS!$V:$V,"&lt;&gt;*RECEIVED*",DEALS!$V:$V,"&lt;&gt;*EXECUTED*"))</f>
        <v>0</v>
      </c>
      <c r="O9" s="29" cm="1">
        <f t="array" ref="O9">SUMIFS(FLOWS!$C:$C,FLOWS!$A:$A,$B$2,FLOWS!$E:$E,$K9,FLOWS!$D:$D,O$6,FLOWS!$H:$H,"&gt;="&amp;$C$4,FLOWS!$H:$H,"&lt;="&amp;$U$4)+SUM(SUMIFS(DEALS!$J:$J,DEALS!$A:$A,{"*REFUND*","*EXECUTED*"},DEALS!$G:$G,$B$2,DEALS!$E:$E,"&gt;="&amp;$C$4,DEALS!$E:$E,"&lt;="&amp;$U$4,DEALS!$K:$K,O$6,DEALS!$M:$M,$K9,DEALS!$N:$N,"&lt;&gt;*RECEIVED*",DEALS!$N:$N,"&lt;&gt;*EXECUTED*"))+SUM(SUMIFS(DEALS!$R:$R,DEALS!$A:$A,{"*REFUND*","*EXECUTED*"},DEALS!$O:$O,$B$2,DEALS!$E:$E,"&gt;="&amp;$C$4,DEALS!$E:$E,"&lt;="&amp;$U$4,DEALS!$S:$S,O$6,DEALS!$U:$U,$K9,DEALS!$V:$V,"&lt;&gt;*RECEIVED*",DEALS!$V:$V,"&lt;&gt;*EXECUTED*"))</f>
        <v>0</v>
      </c>
      <c r="P9" s="29" cm="1">
        <f t="array" ref="P9">SUMIFS(FLOWS!$C:$C,FLOWS!$A:$A,$B$2,FLOWS!$E:$E,$K9,FLOWS!$D:$D,P$6,FLOWS!$H:$H,"&gt;="&amp;$C$4,FLOWS!$H:$H,"&lt;="&amp;$U$4)+SUM(SUMIFS(DEALS!$J:$J,DEALS!$A:$A,{"*REFUND*","*EXECUTED*"},DEALS!$G:$G,$B$2,DEALS!$E:$E,"&gt;="&amp;$C$4,DEALS!$E:$E,"&lt;="&amp;$U$4,DEALS!$K:$K,P$6,DEALS!$M:$M,$K9,DEALS!$N:$N,"&lt;&gt;*RECEIVED*",DEALS!$N:$N,"&lt;&gt;*EXECUTED*"))+SUM(SUMIFS(DEALS!$R:$R,DEALS!$A:$A,{"*REFUND*","*EXECUTED*"},DEALS!$O:$O,$B$2,DEALS!$E:$E,"&gt;="&amp;$C$4,DEALS!$E:$E,"&lt;="&amp;$U$4,DEALS!$S:$S,P$6,DEALS!$U:$U,$K9,DEALS!$V:$V,"&lt;&gt;*RECEIVED*",DEALS!$V:$V,"&lt;&gt;*EXECUTED*"))</f>
        <v>0</v>
      </c>
      <c r="Q9" s="29" cm="1">
        <f t="array" ref="Q9">SUMIFS(FLOWS!$C:$C,FLOWS!$A:$A,$B$2,FLOWS!$E:$E,$K9,FLOWS!$D:$D,Q$6,FLOWS!$H:$H,"&gt;="&amp;$C$4,FLOWS!$H:$H,"&lt;="&amp;$U$4)+SUM(SUMIFS(DEALS!$J:$J,DEALS!$A:$A,{"*REFUND*","*EXECUTED*"},DEALS!$G:$G,$B$2,DEALS!$E:$E,"&gt;="&amp;$C$4,DEALS!$E:$E,"&lt;="&amp;$U$4,DEALS!$K:$K,Q$6,DEALS!$M:$M,$K9,DEALS!$N:$N,"&lt;&gt;*RECEIVED*",DEALS!$N:$N,"&lt;&gt;*EXECUTED*"))+SUM(SUMIFS(DEALS!$R:$R,DEALS!$A:$A,{"*REFUND*","*EXECUTED*"},DEALS!$O:$O,$B$2,DEALS!$E:$E,"&gt;="&amp;$C$4,DEALS!$E:$E,"&lt;="&amp;$U$4,DEALS!$S:$S,Q$6,DEALS!$U:$U,$K9,DEALS!$V:$V,"&lt;&gt;*RECEIVED*",DEALS!$V:$V,"&lt;&gt;*EXECUTED*"))</f>
        <v>0</v>
      </c>
      <c r="R9" s="30">
        <f ca="1">L9*VLOOKUP(L$6,'FX RATES'!$E$1:$F$50,2,FALSE)+M9*VLOOKUP(M$6,'FX RATES'!$E$1:$F$50,2,FALSE)+N9*VLOOKUP(N$6,'FX RATES'!$E$1:$F$50,2,FALSE)+O9*VLOOKUP(O$6,'FX RATES'!$E$1:$F$50,2,FALSE)+P9*VLOOKUP(P$6,'FX RATES'!$E$1:$F$50,2,FALSE)+Q9*VLOOKUP(Q$6,'FX RATES'!$E$1:$F$50,2,FALSE)</f>
        <v>0</v>
      </c>
      <c r="T9" s="28" t="str">
        <f t="shared" si="3"/>
        <v>MISR</v>
      </c>
      <c r="U9" s="29" cm="1">
        <f t="array" ref="U9">SUMIFS(BALANCES!$C:$C,BALANCES!$A:$A,$B$2,BALANCES!$B:$B,$T9,BALANCES!$D:$D,U$6)+SUMIFS(FLOWS!$C:$C,FLOWS!$A:$A,$B$2,FLOWS!$E:$E,$T9,FLOWS!$D:$D,U$6,FLOWS!$H:$H,"&lt;="&amp;$U$4)+SUM(SUMIFS(DEALS!$J:$J,DEALS!$A:$A,{"*REFUND*","*EXECUTED*"},DEALS!$G:$G,$B$2,DEALS!$E:$E,"&lt;="&amp;$U$4,DEALS!$K:$K,U$6,DEALS!$M:$M,$T9,DEALS!$N:$N,"&lt;&gt;*RECEIVED*",DEALS!$N:$N,"&lt;&gt;*EXECUTED*"))+SUM(SUMIFS(DEALS!$R:$R,DEALS!$A:$A,{"*REFUND*","*EXECUTED*"},DEALS!$O:$O,$B$2,DEALS!$E:$E,"&lt;="&amp;$U$4,DEALS!$S:$S,U$6,DEALS!$U:$U,$T9,DEALS!$V:$V,"&lt;&gt;*RECEIVED*",DEALS!$V:$V,"&lt;&gt;*EXECUTED*"))</f>
        <v>2916.76</v>
      </c>
      <c r="V9" s="29" cm="1">
        <f t="array" ref="V9">SUMIFS(BALANCES!$C:$C,BALANCES!$A:$A,$B$2,BALANCES!$B:$B,$T9,BALANCES!$D:$D,V$6)+SUMIFS(FLOWS!$C:$C,FLOWS!$A:$A,$B$2,FLOWS!$E:$E,$T9,FLOWS!$D:$D,V$6,FLOWS!$H:$H,"&lt;="&amp;$U$4)+SUM(SUMIFS(DEALS!$J:$J,DEALS!$A:$A,{"*REFUND*","*EXECUTED*"},DEALS!$G:$G,$B$2,DEALS!$E:$E,"&lt;="&amp;$U$4,DEALS!$K:$K,V$6,DEALS!$M:$M,$T9,DEALS!$N:$N,"&lt;&gt;*RECEIVED*",DEALS!$N:$N,"&lt;&gt;*EXECUTED*"))+SUM(SUMIFS(DEALS!$R:$R,DEALS!$A:$A,{"*REFUND*","*EXECUTED*"},DEALS!$O:$O,$B$2,DEALS!$E:$E,"&lt;="&amp;$U$4,DEALS!$S:$S,V$6,DEALS!$U:$U,$T9,DEALS!$V:$V,"&lt;&gt;*RECEIVED*",DEALS!$V:$V,"&lt;&gt;*EXECUTED*"))</f>
        <v>712.19</v>
      </c>
      <c r="W9" s="29" cm="1">
        <f t="array" ref="W9">SUMIFS(BALANCES!$C:$C,BALANCES!$A:$A,$B$2,BALANCES!$B:$B,$T9,BALANCES!$D:$D,W$6)+SUMIFS(FLOWS!$C:$C,FLOWS!$A:$A,$B$2,FLOWS!$E:$E,$T9,FLOWS!$D:$D,W$6,FLOWS!$H:$H,"&lt;="&amp;$U$4)+SUM(SUMIFS(DEALS!$J:$J,DEALS!$A:$A,{"*REFUND*","*EXECUTED*"},DEALS!$G:$G,$B$2,DEALS!$E:$E,"&lt;="&amp;$U$4,DEALS!$K:$K,W$6,DEALS!$M:$M,$T9,DEALS!$N:$N,"&lt;&gt;*RECEIVED*",DEALS!$N:$N,"&lt;&gt;*EXECUTED*"))+SUM(SUMIFS(DEALS!$R:$R,DEALS!$A:$A,{"*REFUND*","*EXECUTED*"},DEALS!$O:$O,$B$2,DEALS!$E:$E,"&lt;="&amp;$U$4,DEALS!$S:$S,W$6,DEALS!$U:$U,$T9,DEALS!$V:$V,"&lt;&gt;*RECEIVED*",DEALS!$V:$V,"&lt;&gt;*EXECUTED*"))</f>
        <v>0</v>
      </c>
      <c r="X9" s="29" cm="1">
        <f t="array" ref="X9">SUMIFS(BALANCES!$C:$C,BALANCES!$A:$A,$B$2,BALANCES!$B:$B,$T9,BALANCES!$D:$D,X$6)+SUMIFS(FLOWS!$C:$C,FLOWS!$A:$A,$B$2,FLOWS!$E:$E,$T9,FLOWS!$D:$D,X$6,FLOWS!$H:$H,"&lt;="&amp;$U$4)+SUM(SUMIFS(DEALS!$J:$J,DEALS!$A:$A,{"*REFUND*","*EXECUTED*"},DEALS!$G:$G,$B$2,DEALS!$E:$E,"&lt;="&amp;$U$4,DEALS!$K:$K,X$6,DEALS!$M:$M,$T9,DEALS!$N:$N,"&lt;&gt;*RECEIVED*",DEALS!$N:$N,"&lt;&gt;*EXECUTED*"))+SUM(SUMIFS(DEALS!$R:$R,DEALS!$A:$A,{"*REFUND*","*EXECUTED*"},DEALS!$O:$O,$B$2,DEALS!$E:$E,"&lt;="&amp;$U$4,DEALS!$S:$S,X$6,DEALS!$U:$U,$T9,DEALS!$V:$V,"&lt;&gt;*RECEIVED*",DEALS!$V:$V,"&lt;&gt;*EXECUTED*"))</f>
        <v>4430.6099999999997</v>
      </c>
      <c r="Y9" s="29" cm="1">
        <f t="array" ref="Y9">SUMIFS(BALANCES!$C:$C,BALANCES!$A:$A,$B$2,BALANCES!$B:$B,$T9,BALANCES!$D:$D,Y$6)+SUMIFS(FLOWS!$C:$C,FLOWS!$A:$A,$B$2,FLOWS!$E:$E,$T9,FLOWS!$D:$D,Y$6,FLOWS!$H:$H,"&lt;="&amp;$U$4)+SUM(SUMIFS(DEALS!$J:$J,DEALS!$A:$A,{"*REFUND*","*EXECUTED*"},DEALS!$G:$G,$B$2,DEALS!$E:$E,"&lt;="&amp;$U$4,DEALS!$K:$K,Y$6,DEALS!$M:$M,$T9,DEALS!$N:$N,"&lt;&gt;*RECEIVED*",DEALS!$N:$N,"&lt;&gt;*EXECUTED*"))+SUM(SUMIFS(DEALS!$R:$R,DEALS!$A:$A,{"*REFUND*","*EXECUTED*"},DEALS!$O:$O,$B$2,DEALS!$E:$E,"&lt;="&amp;$U$4,DEALS!$S:$S,Y$6,DEALS!$U:$U,$T9,DEALS!$V:$V,"&lt;&gt;*RECEIVED*",DEALS!$V:$V,"&lt;&gt;*EXECUTED*"))</f>
        <v>0</v>
      </c>
      <c r="Z9" s="29" cm="1">
        <f t="array" ref="Z9">SUMIFS(BALANCES!$C:$C,BALANCES!$A:$A,$B$2,BALANCES!$B:$B,$T9,BALANCES!$D:$D,Z$6)+SUMIFS(FLOWS!$C:$C,FLOWS!$A:$A,$B$2,FLOWS!$E:$E,$T9,FLOWS!$D:$D,Z$6,FLOWS!$H:$H,"&lt;="&amp;$U$4)+SUM(SUMIFS(DEALS!$J:$J,DEALS!$A:$A,{"*REFUND*","*EXECUTED*"},DEALS!$G:$G,$B$2,DEALS!$E:$E,"&lt;="&amp;$U$4,DEALS!$K:$K,Z$6,DEALS!$M:$M,$T9,DEALS!$N:$N,"&lt;&gt;*RECEIVED*",DEALS!$N:$N,"&lt;&gt;*EXECUTED*"))+SUM(SUMIFS(DEALS!$R:$R,DEALS!$A:$A,{"*REFUND*","*EXECUTED*"},DEALS!$O:$O,$B$2,DEALS!$E:$E,"&lt;="&amp;$U$4,DEALS!$S:$S,Z$6,DEALS!$U:$U,$T9,DEALS!$V:$V,"&lt;&gt;*RECEIVED*",DEALS!$V:$V,"&lt;&gt;*EXECUTED*"))</f>
        <v>0</v>
      </c>
      <c r="AA9" s="30">
        <f ca="1">U9*VLOOKUP(U$6,'FX RATES'!$E$1:$F$50,2,FALSE)+V9*VLOOKUP(V$6,'FX RATES'!$E$1:$F$50,2,FALSE)+W9*VLOOKUP(W$6,'FX RATES'!$E$1:$F$50,2,FALSE)+X9*VLOOKUP(X$6,'FX RATES'!$E$1:$F$50,2,FALSE)+Y9*VLOOKUP(Y$6,'FX RATES'!$E$1:$F$50,2,FALSE)+Z9*VLOOKUP(Z$6,'FX RATES'!$E$1:$F$50,2,FALSE)</f>
        <v>4962.1158337232482</v>
      </c>
      <c r="AC9" s="139">
        <f t="shared" ca="1" si="4"/>
        <v>0</v>
      </c>
    </row>
    <row r="10" spans="2:29" ht="19">
      <c r="B10" s="31" t="s">
        <v>16</v>
      </c>
      <c r="C10" s="32" cm="1">
        <f t="array" ref="C10">SUMIFS(BALANCES!$C:$C,BALANCES!$A:$A,$B$2,BALANCES!$B:$B,$B10,BALANCES!$D:$D,C$6)+SUMIFS(FLOWS!$C:$C,FLOWS!$A:$A,$B$2,FLOWS!$E:$E,$B10,FLOWS!$D:$D,C$6,FLOWS!$H:$H,"&lt;"&amp;$C$4)+SUM(SUMIFS(DEALS!$J:$J,DEALS!$A:$A,{"*REFUND*","*EXECUTED*"},DEALS!$G:$G,$B$2,DEALS!$E:$E,"&lt;"&amp;$C$4,DEALS!$K:$K,C$6,DEALS!$M:$M,$B10,DEALS!$N:$N,"&lt;&gt;*RECEIVED*",DEALS!$N:$N,"&lt;&gt;*EXECUTED*"))+SUM(SUMIFS(DEALS!$R:$R,DEALS!$A:$A,{"*REFUND*","*EXECUTED*"},DEALS!$O:$O,$B$2,DEALS!$E:$E,"&lt;"&amp;$C$4,DEALS!$S:$S,C$6,DEALS!$U:$U,$B10,DEALS!$V:$V,"&lt;&gt;*RECEIVED*",DEALS!$V:$V,"&lt;&gt;*EXECUTED*"))</f>
        <v>1080.98</v>
      </c>
      <c r="D10" s="32" cm="1">
        <f t="array" ref="D10">SUMIFS(BALANCES!$C:$C,BALANCES!$A:$A,$B$2,BALANCES!$B:$B,$B10,BALANCES!$D:$D,D$6)+SUMIFS(FLOWS!$C:$C,FLOWS!$A:$A,$B$2,FLOWS!$E:$E,$B10,FLOWS!$D:$D,D$6,FLOWS!$H:$H,"&lt;"&amp;$C$4)+SUM(SUMIFS(DEALS!$J:$J,DEALS!$A:$A,{"*REFUND*","*EXECUTED*"},DEALS!$G:$G,$B$2,DEALS!$E:$E,"&lt;"&amp;$C$4,DEALS!$K:$K,D$6,DEALS!$M:$M,$B10,DEALS!$N:$N,"&lt;&gt;*RECEIVED*",DEALS!$N:$N,"&lt;&gt;*EXECUTED*"))+SUM(SUMIFS(DEALS!$R:$R,DEALS!$A:$A,{"*REFUND*","*EXECUTED*"},DEALS!$O:$O,$B$2,DEALS!$E:$E,"&lt;"&amp;$C$4,DEALS!$S:$S,D$6,DEALS!$U:$U,$B10,DEALS!$V:$V,"&lt;&gt;*RECEIVED*",DEALS!$V:$V,"&lt;&gt;*EXECUTED*"))</f>
        <v>0</v>
      </c>
      <c r="E10" s="32" cm="1">
        <f t="array" ref="E10">SUMIFS(BALANCES!$C:$C,BALANCES!$A:$A,$B$2,BALANCES!$B:$B,$B10,BALANCES!$D:$D,E$6)+SUMIFS(FLOWS!$C:$C,FLOWS!$A:$A,$B$2,FLOWS!$E:$E,$B10,FLOWS!$D:$D,E$6,FLOWS!$H:$H,"&lt;"&amp;$C$4)+SUM(SUMIFS(DEALS!$J:$J,DEALS!$A:$A,{"*REFUND*","*EXECUTED*"},DEALS!$G:$G,$B$2,DEALS!$E:$E,"&lt;"&amp;$C$4,DEALS!$K:$K,E$6,DEALS!$M:$M,$B10,DEALS!$N:$N,"&lt;&gt;*RECEIVED*",DEALS!$N:$N,"&lt;&gt;*EXECUTED*"))+SUM(SUMIFS(DEALS!$R:$R,DEALS!$A:$A,{"*REFUND*","*EXECUTED*"},DEALS!$O:$O,$B$2,DEALS!$E:$E,"&lt;"&amp;$C$4,DEALS!$S:$S,E$6,DEALS!$U:$U,$B10,DEALS!$V:$V,"&lt;&gt;*RECEIVED*",DEALS!$V:$V,"&lt;&gt;*EXECUTED*"))</f>
        <v>0</v>
      </c>
      <c r="F10" s="32" cm="1">
        <f t="array" ref="F10">SUMIFS(BALANCES!$C:$C,BALANCES!$A:$A,$B$2,BALANCES!$B:$B,$B10,BALANCES!$D:$D,F$6)+SUMIFS(FLOWS!$C:$C,FLOWS!$A:$A,$B$2,FLOWS!$E:$E,$B10,FLOWS!$D:$D,F$6,FLOWS!$H:$H,"&lt;"&amp;$C$4)+SUM(SUMIFS(DEALS!$J:$J,DEALS!$A:$A,{"*REFUND*","*EXECUTED*"},DEALS!$G:$G,$B$2,DEALS!$E:$E,"&lt;"&amp;$C$4,DEALS!$K:$K,F$6,DEALS!$M:$M,$B10,DEALS!$N:$N,"&lt;&gt;*RECEIVED*",DEALS!$N:$N,"&lt;&gt;*EXECUTED*"))+SUM(SUMIFS(DEALS!$R:$R,DEALS!$A:$A,{"*REFUND*","*EXECUTED*"},DEALS!$O:$O,$B$2,DEALS!$E:$E,"&lt;"&amp;$C$4,DEALS!$S:$S,F$6,DEALS!$U:$U,$B10,DEALS!$V:$V,"&lt;&gt;*RECEIVED*",DEALS!$V:$V,"&lt;&gt;*EXECUTED*"))</f>
        <v>164092.25</v>
      </c>
      <c r="G10" s="32" cm="1">
        <f t="array" ref="G10">SUMIFS(BALANCES!$C:$C,BALANCES!$A:$A,$B$2,BALANCES!$B:$B,$B10,BALANCES!$D:$D,G$6)+SUMIFS(FLOWS!$C:$C,FLOWS!$A:$A,$B$2,FLOWS!$E:$E,$B10,FLOWS!$D:$D,G$6,FLOWS!$H:$H,"&lt;"&amp;$C$4)+SUM(SUMIFS(DEALS!$J:$J,DEALS!$A:$A,{"*REFUND*","*EXECUTED*"},DEALS!$G:$G,$B$2,DEALS!$E:$E,"&lt;"&amp;$C$4,DEALS!$K:$K,G$6,DEALS!$M:$M,$B10,DEALS!$N:$N,"&lt;&gt;*RECEIVED*",DEALS!$N:$N,"&lt;&gt;*EXECUTED*"))+SUM(SUMIFS(DEALS!$R:$R,DEALS!$A:$A,{"*REFUND*","*EXECUTED*"},DEALS!$O:$O,$B$2,DEALS!$E:$E,"&lt;"&amp;$C$4,DEALS!$S:$S,G$6,DEALS!$U:$U,$B10,DEALS!$V:$V,"&lt;&gt;*RECEIVED*",DEALS!$V:$V,"&lt;&gt;*EXECUTED*"))</f>
        <v>0</v>
      </c>
      <c r="H10" s="32" cm="1">
        <f t="array" ref="H10">SUMIFS(BALANCES!$C:$C,BALANCES!$A:$A,$B$2,BALANCES!$B:$B,$B10,BALANCES!$D:$D,H$6)+SUMIFS(FLOWS!$C:$C,FLOWS!$A:$A,$B$2,FLOWS!$E:$E,$B10,FLOWS!$D:$D,H$6,FLOWS!$H:$H,"&lt;"&amp;$C$4)+SUM(SUMIFS(DEALS!$J:$J,DEALS!$A:$A,{"*REFUND*","*EXECUTED*"},DEALS!$G:$G,$B$2,DEALS!$E:$E,"&lt;"&amp;$C$4,DEALS!$K:$K,H$6,DEALS!$M:$M,$B10,DEALS!$N:$N,"&lt;&gt;*RECEIVED*",DEALS!$N:$N,"&lt;&gt;*EXECUTED*"))+SUM(SUMIFS(DEALS!$R:$R,DEALS!$A:$A,{"*REFUND*","*EXECUTED*"},DEALS!$O:$O,$B$2,DEALS!$E:$E,"&lt;"&amp;$C$4,DEALS!$S:$S,H$6,DEALS!$U:$U,$B10,DEALS!$V:$V,"&lt;&gt;*RECEIVED*",DEALS!$V:$V,"&lt;&gt;*EXECUTED*"))</f>
        <v>0</v>
      </c>
      <c r="I10" s="33">
        <f ca="1">C10*VLOOKUP(C$6,'FX RATES'!$E$1:$F$50,2,FALSE)+D10*VLOOKUP(D$6,'FX RATES'!$E$1:$F$50,2,FALSE)+E10*VLOOKUP(E$6,'FX RATES'!$E$1:$F$50,2,FALSE)+F10*VLOOKUP(F$6,'FX RATES'!$E$1:$F$50,2,FALSE)+G10*VLOOKUP(G$6,'FX RATES'!$E$1:$F$50,2,FALSE)+H10*VLOOKUP(H$6,'FX RATES'!$E$1:$F$50,2,FALSE)</f>
        <v>45761.111242171763</v>
      </c>
      <c r="J10" s="138"/>
      <c r="K10" s="31" t="str">
        <f t="shared" si="2"/>
        <v>ADIB</v>
      </c>
      <c r="L10" s="32" cm="1">
        <f t="array" ref="L10">SUMIFS(FLOWS!$C:$C,FLOWS!$A:$A,$B$2,FLOWS!$E:$E,$K10,FLOWS!$D:$D,L$6,FLOWS!$H:$H,"&gt;="&amp;$C$4,FLOWS!$H:$H,"&lt;="&amp;$U$4)+SUM(SUMIFS(DEALS!$J:$J,DEALS!$A:$A,{"*REFUND*","*EXECUTED*"},DEALS!$G:$G,$B$2,DEALS!$E:$E,"&gt;="&amp;$C$4,DEALS!$E:$E,"&lt;="&amp;$U$4,DEALS!$K:$K,L$6,DEALS!$M:$M,$K10,DEALS!$N:$N,"&lt;&gt;*RECEIVED*",DEALS!$N:$N,"&lt;&gt;*EXECUTED*"))+SUM(SUMIFS(DEALS!$R:$R,DEALS!$A:$A,{"*REFUND*","*EXECUTED*"},DEALS!$O:$O,$B$2,DEALS!$E:$E,"&gt;="&amp;$C$4,DEALS!$E:$E,"&lt;="&amp;$U$4,DEALS!$S:$S,L$6,DEALS!$U:$U,$K10,DEALS!$V:$V,"&lt;&gt;*RECEIVED*",DEALS!$V:$V,"&lt;&gt;*EXECUTED*"))</f>
        <v>0</v>
      </c>
      <c r="M10" s="32" cm="1">
        <f t="array" ref="M10">SUMIFS(FLOWS!$C:$C,FLOWS!$A:$A,$B$2,FLOWS!$E:$E,$K10,FLOWS!$D:$D,M$6,FLOWS!$H:$H,"&gt;="&amp;$C$4,FLOWS!$H:$H,"&lt;="&amp;$U$4)+SUM(SUMIFS(DEALS!$J:$J,DEALS!$A:$A,{"*REFUND*","*EXECUTED*"},DEALS!$G:$G,$B$2,DEALS!$E:$E,"&gt;="&amp;$C$4,DEALS!$E:$E,"&lt;="&amp;$U$4,DEALS!$K:$K,M$6,DEALS!$M:$M,$K10,DEALS!$N:$N,"&lt;&gt;*RECEIVED*",DEALS!$N:$N,"&lt;&gt;*EXECUTED*"))+SUM(SUMIFS(DEALS!$R:$R,DEALS!$A:$A,{"*REFUND*","*EXECUTED*"},DEALS!$O:$O,$B$2,DEALS!$E:$E,"&gt;="&amp;$C$4,DEALS!$E:$E,"&lt;="&amp;$U$4,DEALS!$S:$S,M$6,DEALS!$U:$U,$K10,DEALS!$V:$V,"&lt;&gt;*RECEIVED*",DEALS!$V:$V,"&lt;&gt;*EXECUTED*"))</f>
        <v>0</v>
      </c>
      <c r="N10" s="32" cm="1">
        <f t="array" ref="N10">SUMIFS(FLOWS!$C:$C,FLOWS!$A:$A,$B$2,FLOWS!$E:$E,$K10,FLOWS!$D:$D,N$6,FLOWS!$H:$H,"&gt;="&amp;$C$4,FLOWS!$H:$H,"&lt;="&amp;$U$4)+SUM(SUMIFS(DEALS!$J:$J,DEALS!$A:$A,{"*REFUND*","*EXECUTED*"},DEALS!$G:$G,$B$2,DEALS!$E:$E,"&gt;="&amp;$C$4,DEALS!$E:$E,"&lt;="&amp;$U$4,DEALS!$K:$K,N$6,DEALS!$M:$M,$K10,DEALS!$N:$N,"&lt;&gt;*RECEIVED*",DEALS!$N:$N,"&lt;&gt;*EXECUTED*"))+SUM(SUMIFS(DEALS!$R:$R,DEALS!$A:$A,{"*REFUND*","*EXECUTED*"},DEALS!$O:$O,$B$2,DEALS!$E:$E,"&gt;="&amp;$C$4,DEALS!$E:$E,"&lt;="&amp;$U$4,DEALS!$S:$S,N$6,DEALS!$U:$U,$K10,DEALS!$V:$V,"&lt;&gt;*RECEIVED*",DEALS!$V:$V,"&lt;&gt;*EXECUTED*"))</f>
        <v>0</v>
      </c>
      <c r="O10" s="32" cm="1">
        <f t="array" ref="O10">SUMIFS(FLOWS!$C:$C,FLOWS!$A:$A,$B$2,FLOWS!$E:$E,$K10,FLOWS!$D:$D,O$6,FLOWS!$H:$H,"&gt;="&amp;$C$4,FLOWS!$H:$H,"&lt;="&amp;$U$4)+SUM(SUMIFS(DEALS!$J:$J,DEALS!$A:$A,{"*REFUND*","*EXECUTED*"},DEALS!$G:$G,$B$2,DEALS!$E:$E,"&gt;="&amp;$C$4,DEALS!$E:$E,"&lt;="&amp;$U$4,DEALS!$K:$K,O$6,DEALS!$M:$M,$K10,DEALS!$N:$N,"&lt;&gt;*RECEIVED*",DEALS!$N:$N,"&lt;&gt;*EXECUTED*"))+SUM(SUMIFS(DEALS!$R:$R,DEALS!$A:$A,{"*REFUND*","*EXECUTED*"},DEALS!$O:$O,$B$2,DEALS!$E:$E,"&gt;="&amp;$C$4,DEALS!$E:$E,"&lt;="&amp;$U$4,DEALS!$S:$S,O$6,DEALS!$U:$U,$K10,DEALS!$V:$V,"&lt;&gt;*RECEIVED*",DEALS!$V:$V,"&lt;&gt;*EXECUTED*"))</f>
        <v>0</v>
      </c>
      <c r="P10" s="32" cm="1">
        <f t="array" ref="P10">SUMIFS(FLOWS!$C:$C,FLOWS!$A:$A,$B$2,FLOWS!$E:$E,$K10,FLOWS!$D:$D,P$6,FLOWS!$H:$H,"&gt;="&amp;$C$4,FLOWS!$H:$H,"&lt;="&amp;$U$4)+SUM(SUMIFS(DEALS!$J:$J,DEALS!$A:$A,{"*REFUND*","*EXECUTED*"},DEALS!$G:$G,$B$2,DEALS!$E:$E,"&gt;="&amp;$C$4,DEALS!$E:$E,"&lt;="&amp;$U$4,DEALS!$K:$K,P$6,DEALS!$M:$M,$K10,DEALS!$N:$N,"&lt;&gt;*RECEIVED*",DEALS!$N:$N,"&lt;&gt;*EXECUTED*"))+SUM(SUMIFS(DEALS!$R:$R,DEALS!$A:$A,{"*REFUND*","*EXECUTED*"},DEALS!$O:$O,$B$2,DEALS!$E:$E,"&gt;="&amp;$C$4,DEALS!$E:$E,"&lt;="&amp;$U$4,DEALS!$S:$S,P$6,DEALS!$U:$U,$K10,DEALS!$V:$V,"&lt;&gt;*RECEIVED*",DEALS!$V:$V,"&lt;&gt;*EXECUTED*"))</f>
        <v>0</v>
      </c>
      <c r="Q10" s="32" cm="1">
        <f t="array" ref="Q10">SUMIFS(FLOWS!$C:$C,FLOWS!$A:$A,$B$2,FLOWS!$E:$E,$K10,FLOWS!$D:$D,Q$6,FLOWS!$H:$H,"&gt;="&amp;$C$4,FLOWS!$H:$H,"&lt;="&amp;$U$4)+SUM(SUMIFS(DEALS!$J:$J,DEALS!$A:$A,{"*REFUND*","*EXECUTED*"},DEALS!$G:$G,$B$2,DEALS!$E:$E,"&gt;="&amp;$C$4,DEALS!$E:$E,"&lt;="&amp;$U$4,DEALS!$K:$K,Q$6,DEALS!$M:$M,$K10,DEALS!$N:$N,"&lt;&gt;*RECEIVED*",DEALS!$N:$N,"&lt;&gt;*EXECUTED*"))+SUM(SUMIFS(DEALS!$R:$R,DEALS!$A:$A,{"*REFUND*","*EXECUTED*"},DEALS!$O:$O,$B$2,DEALS!$E:$E,"&gt;="&amp;$C$4,DEALS!$E:$E,"&lt;="&amp;$U$4,DEALS!$S:$S,Q$6,DEALS!$U:$U,$K10,DEALS!$V:$V,"&lt;&gt;*RECEIVED*",DEALS!$V:$V,"&lt;&gt;*EXECUTED*"))</f>
        <v>0</v>
      </c>
      <c r="R10" s="33">
        <f ca="1">L10*VLOOKUP(L$6,'FX RATES'!$E$1:$F$50,2,FALSE)+M10*VLOOKUP(M$6,'FX RATES'!$E$1:$F$50,2,FALSE)+N10*VLOOKUP(N$6,'FX RATES'!$E$1:$F$50,2,FALSE)+O10*VLOOKUP(O$6,'FX RATES'!$E$1:$F$50,2,FALSE)+P10*VLOOKUP(P$6,'FX RATES'!$E$1:$F$50,2,FALSE)+Q10*VLOOKUP(Q$6,'FX RATES'!$E$1:$F$50,2,FALSE)</f>
        <v>0</v>
      </c>
      <c r="T10" s="31" t="str">
        <f t="shared" si="3"/>
        <v>ADIB</v>
      </c>
      <c r="U10" s="32" cm="1">
        <f t="array" ref="U10">SUMIFS(BALANCES!$C:$C,BALANCES!$A:$A,$B$2,BALANCES!$B:$B,$T10,BALANCES!$D:$D,U$6)+SUMIFS(FLOWS!$C:$C,FLOWS!$A:$A,$B$2,FLOWS!$E:$E,$T10,FLOWS!$D:$D,U$6,FLOWS!$H:$H,"&lt;="&amp;$U$4)+SUM(SUMIFS(DEALS!$J:$J,DEALS!$A:$A,{"*REFUND*","*EXECUTED*"},DEALS!$G:$G,$B$2,DEALS!$E:$E,"&lt;="&amp;$U$4,DEALS!$K:$K,U$6,DEALS!$M:$M,$T10,DEALS!$N:$N,"&lt;&gt;*RECEIVED*",DEALS!$N:$N,"&lt;&gt;*EXECUTED*"))+SUM(SUMIFS(DEALS!$R:$R,DEALS!$A:$A,{"*REFUND*","*EXECUTED*"},DEALS!$O:$O,$B$2,DEALS!$E:$E,"&lt;="&amp;$U$4,DEALS!$S:$S,U$6,DEALS!$U:$U,$T10,DEALS!$V:$V,"&lt;&gt;*RECEIVED*",DEALS!$V:$V,"&lt;&gt;*EXECUTED*"))</f>
        <v>1080.98</v>
      </c>
      <c r="V10" s="32" cm="1">
        <f t="array" ref="V10">SUMIFS(BALANCES!$C:$C,BALANCES!$A:$A,$B$2,BALANCES!$B:$B,$T10,BALANCES!$D:$D,V$6)+SUMIFS(FLOWS!$C:$C,FLOWS!$A:$A,$B$2,FLOWS!$E:$E,$T10,FLOWS!$D:$D,V$6,FLOWS!$H:$H,"&lt;="&amp;$U$4)+SUM(SUMIFS(DEALS!$J:$J,DEALS!$A:$A,{"*REFUND*","*EXECUTED*"},DEALS!$G:$G,$B$2,DEALS!$E:$E,"&lt;="&amp;$U$4,DEALS!$K:$K,V$6,DEALS!$M:$M,$T10,DEALS!$N:$N,"&lt;&gt;*RECEIVED*",DEALS!$N:$N,"&lt;&gt;*EXECUTED*"))+SUM(SUMIFS(DEALS!$R:$R,DEALS!$A:$A,{"*REFUND*","*EXECUTED*"},DEALS!$O:$O,$B$2,DEALS!$E:$E,"&lt;="&amp;$U$4,DEALS!$S:$S,V$6,DEALS!$U:$U,$T10,DEALS!$V:$V,"&lt;&gt;*RECEIVED*",DEALS!$V:$V,"&lt;&gt;*EXECUTED*"))</f>
        <v>0</v>
      </c>
      <c r="W10" s="32" cm="1">
        <f t="array" ref="W10">SUMIFS(BALANCES!$C:$C,BALANCES!$A:$A,$B$2,BALANCES!$B:$B,$T10,BALANCES!$D:$D,W$6)+SUMIFS(FLOWS!$C:$C,FLOWS!$A:$A,$B$2,FLOWS!$E:$E,$T10,FLOWS!$D:$D,W$6,FLOWS!$H:$H,"&lt;="&amp;$U$4)+SUM(SUMIFS(DEALS!$J:$J,DEALS!$A:$A,{"*REFUND*","*EXECUTED*"},DEALS!$G:$G,$B$2,DEALS!$E:$E,"&lt;="&amp;$U$4,DEALS!$K:$K,W$6,DEALS!$M:$M,$T10,DEALS!$N:$N,"&lt;&gt;*RECEIVED*",DEALS!$N:$N,"&lt;&gt;*EXECUTED*"))+SUM(SUMIFS(DEALS!$R:$R,DEALS!$A:$A,{"*REFUND*","*EXECUTED*"},DEALS!$O:$O,$B$2,DEALS!$E:$E,"&lt;="&amp;$U$4,DEALS!$S:$S,W$6,DEALS!$U:$U,$T10,DEALS!$V:$V,"&lt;&gt;*RECEIVED*",DEALS!$V:$V,"&lt;&gt;*EXECUTED*"))</f>
        <v>0</v>
      </c>
      <c r="X10" s="32" cm="1">
        <f t="array" ref="X10">SUMIFS(BALANCES!$C:$C,BALANCES!$A:$A,$B$2,BALANCES!$B:$B,$T10,BALANCES!$D:$D,X$6)+SUMIFS(FLOWS!$C:$C,FLOWS!$A:$A,$B$2,FLOWS!$E:$E,$T10,FLOWS!$D:$D,X$6,FLOWS!$H:$H,"&lt;="&amp;$U$4)+SUM(SUMIFS(DEALS!$J:$J,DEALS!$A:$A,{"*REFUND*","*EXECUTED*"},DEALS!$G:$G,$B$2,DEALS!$E:$E,"&lt;="&amp;$U$4,DEALS!$K:$K,X$6,DEALS!$M:$M,$T10,DEALS!$N:$N,"&lt;&gt;*RECEIVED*",DEALS!$N:$N,"&lt;&gt;*EXECUTED*"))+SUM(SUMIFS(DEALS!$R:$R,DEALS!$A:$A,{"*REFUND*","*EXECUTED*"},DEALS!$O:$O,$B$2,DEALS!$E:$E,"&lt;="&amp;$U$4,DEALS!$S:$S,X$6,DEALS!$U:$U,$T10,DEALS!$V:$V,"&lt;&gt;*RECEIVED*",DEALS!$V:$V,"&lt;&gt;*EXECUTED*"))</f>
        <v>164092.25</v>
      </c>
      <c r="Y10" s="32" cm="1">
        <f t="array" ref="Y10">SUMIFS(BALANCES!$C:$C,BALANCES!$A:$A,$B$2,BALANCES!$B:$B,$T10,BALANCES!$D:$D,Y$6)+SUMIFS(FLOWS!$C:$C,FLOWS!$A:$A,$B$2,FLOWS!$E:$E,$T10,FLOWS!$D:$D,Y$6,FLOWS!$H:$H,"&lt;="&amp;$U$4)+SUM(SUMIFS(DEALS!$J:$J,DEALS!$A:$A,{"*REFUND*","*EXECUTED*"},DEALS!$G:$G,$B$2,DEALS!$E:$E,"&lt;="&amp;$U$4,DEALS!$K:$K,Y$6,DEALS!$M:$M,$T10,DEALS!$N:$N,"&lt;&gt;*RECEIVED*",DEALS!$N:$N,"&lt;&gt;*EXECUTED*"))+SUM(SUMIFS(DEALS!$R:$R,DEALS!$A:$A,{"*REFUND*","*EXECUTED*"},DEALS!$O:$O,$B$2,DEALS!$E:$E,"&lt;="&amp;$U$4,DEALS!$S:$S,Y$6,DEALS!$U:$U,$T10,DEALS!$V:$V,"&lt;&gt;*RECEIVED*",DEALS!$V:$V,"&lt;&gt;*EXECUTED*"))</f>
        <v>0</v>
      </c>
      <c r="Z10" s="32" cm="1">
        <f t="array" ref="Z10">SUMIFS(BALANCES!$C:$C,BALANCES!$A:$A,$B$2,BALANCES!$B:$B,$T10,BALANCES!$D:$D,Z$6)+SUMIFS(FLOWS!$C:$C,FLOWS!$A:$A,$B$2,FLOWS!$E:$E,$T10,FLOWS!$D:$D,Z$6,FLOWS!$H:$H,"&lt;="&amp;$U$4)+SUM(SUMIFS(DEALS!$J:$J,DEALS!$A:$A,{"*REFUND*","*EXECUTED*"},DEALS!$G:$G,$B$2,DEALS!$E:$E,"&lt;="&amp;$U$4,DEALS!$K:$K,Z$6,DEALS!$M:$M,$T10,DEALS!$N:$N,"&lt;&gt;*RECEIVED*",DEALS!$N:$N,"&lt;&gt;*EXECUTED*"))+SUM(SUMIFS(DEALS!$R:$R,DEALS!$A:$A,{"*REFUND*","*EXECUTED*"},DEALS!$O:$O,$B$2,DEALS!$E:$E,"&lt;="&amp;$U$4,DEALS!$S:$S,Z$6,DEALS!$U:$U,$T10,DEALS!$V:$V,"&lt;&gt;*RECEIVED*",DEALS!$V:$V,"&lt;&gt;*EXECUTED*"))</f>
        <v>0</v>
      </c>
      <c r="AA10" s="33">
        <f ca="1">U10*VLOOKUP(U$6,'FX RATES'!$E$1:$F$50,2,FALSE)+V10*VLOOKUP(V$6,'FX RATES'!$E$1:$F$50,2,FALSE)+W10*VLOOKUP(W$6,'FX RATES'!$E$1:$F$50,2,FALSE)+X10*VLOOKUP(X$6,'FX RATES'!$E$1:$F$50,2,FALSE)+Y10*VLOOKUP(Y$6,'FX RATES'!$E$1:$F$50,2,FALSE)+Z10*VLOOKUP(Z$6,'FX RATES'!$E$1:$F$50,2,FALSE)</f>
        <v>45761.111242171763</v>
      </c>
      <c r="AC10" s="139">
        <f t="shared" ref="AC10" ca="1" si="5">I10+R10-AA10</f>
        <v>0</v>
      </c>
    </row>
    <row r="11" spans="2:29" ht="19">
      <c r="B11" s="28" t="s">
        <v>17</v>
      </c>
      <c r="C11" s="29" cm="1">
        <f t="array" ref="C11">SUMIFS(BALANCES!$C:$C,BALANCES!$A:$A,$B$2,BALANCES!$B:$B,$B11,BALANCES!$D:$D,C$6)+SUMIFS(FLOWS!$C:$C,FLOWS!$A:$A,$B$2,FLOWS!$E:$E,$B11,FLOWS!$D:$D,C$6,FLOWS!$H:$H,"&lt;"&amp;$C$4)+SUM(SUMIFS(DEALS!$J:$J,DEALS!$A:$A,{"*REFUND*","*EXECUTED*"},DEALS!$G:$G,$B$2,DEALS!$E:$E,"&lt;"&amp;$C$4,DEALS!$K:$K,C$6,DEALS!$M:$M,$B11,DEALS!$N:$N,"&lt;&gt;*RECEIVED*",DEALS!$N:$N,"&lt;&gt;*EXECUTED*"))+SUM(SUMIFS(DEALS!$R:$R,DEALS!$A:$A,{"*REFUND*","*EXECUTED*"},DEALS!$O:$O,$B$2,DEALS!$E:$E,"&lt;"&amp;$C$4,DEALS!$S:$S,C$6,DEALS!$U:$U,$B11,DEALS!$V:$V,"&lt;&gt;*RECEIVED*",DEALS!$V:$V,"&lt;&gt;*EXECUTED*"))</f>
        <v>12811.26</v>
      </c>
      <c r="D11" s="29" cm="1">
        <f t="array" ref="D11">SUMIFS(BALANCES!$C:$C,BALANCES!$A:$A,$B$2,BALANCES!$B:$B,$B11,BALANCES!$D:$D,D$6)+SUMIFS(FLOWS!$C:$C,FLOWS!$A:$A,$B$2,FLOWS!$E:$E,$B11,FLOWS!$D:$D,D$6,FLOWS!$H:$H,"&lt;"&amp;$C$4)+SUM(SUMIFS(DEALS!$J:$J,DEALS!$A:$A,{"*REFUND*","*EXECUTED*"},DEALS!$G:$G,$B$2,DEALS!$E:$E,"&lt;"&amp;$C$4,DEALS!$K:$K,D$6,DEALS!$M:$M,$B11,DEALS!$N:$N,"&lt;&gt;*RECEIVED*",DEALS!$N:$N,"&lt;&gt;*EXECUTED*"))+SUM(SUMIFS(DEALS!$R:$R,DEALS!$A:$A,{"*REFUND*","*EXECUTED*"},DEALS!$O:$O,$B$2,DEALS!$E:$E,"&lt;"&amp;$C$4,DEALS!$S:$S,D$6,DEALS!$U:$U,$B11,DEALS!$V:$V,"&lt;&gt;*RECEIVED*",DEALS!$V:$V,"&lt;&gt;*EXECUTED*"))</f>
        <v>2901.34</v>
      </c>
      <c r="E11" s="29" cm="1">
        <f t="array" ref="E11">SUMIFS(BALANCES!$C:$C,BALANCES!$A:$A,$B$2,BALANCES!$B:$B,$B11,BALANCES!$D:$D,E$6)+SUMIFS(FLOWS!$C:$C,FLOWS!$A:$A,$B$2,FLOWS!$E:$E,$B11,FLOWS!$D:$D,E$6,FLOWS!$H:$H,"&lt;"&amp;$C$4)+SUM(SUMIFS(DEALS!$J:$J,DEALS!$A:$A,{"*REFUND*","*EXECUTED*"},DEALS!$G:$G,$B$2,DEALS!$E:$E,"&lt;"&amp;$C$4,DEALS!$K:$K,E$6,DEALS!$M:$M,$B11,DEALS!$N:$N,"&lt;&gt;*RECEIVED*",DEALS!$N:$N,"&lt;&gt;*EXECUTED*"))+SUM(SUMIFS(DEALS!$R:$R,DEALS!$A:$A,{"*REFUND*","*EXECUTED*"},DEALS!$O:$O,$B$2,DEALS!$E:$E,"&lt;"&amp;$C$4,DEALS!$S:$S,E$6,DEALS!$U:$U,$B11,DEALS!$V:$V,"&lt;&gt;*RECEIVED*",DEALS!$V:$V,"&lt;&gt;*EXECUTED*"))</f>
        <v>0</v>
      </c>
      <c r="F11" s="29" cm="1">
        <f t="array" ref="F11">SUMIFS(BALANCES!$C:$C,BALANCES!$A:$A,$B$2,BALANCES!$B:$B,$B11,BALANCES!$D:$D,F$6)+SUMIFS(FLOWS!$C:$C,FLOWS!$A:$A,$B$2,FLOWS!$E:$E,$B11,FLOWS!$D:$D,F$6,FLOWS!$H:$H,"&lt;"&amp;$C$4)+SUM(SUMIFS(DEALS!$J:$J,DEALS!$A:$A,{"*REFUND*","*EXECUTED*"},DEALS!$G:$G,$B$2,DEALS!$E:$E,"&lt;"&amp;$C$4,DEALS!$K:$K,F$6,DEALS!$M:$M,$B11,DEALS!$N:$N,"&lt;&gt;*RECEIVED*",DEALS!$N:$N,"&lt;&gt;*EXECUTED*"))+SUM(SUMIFS(DEALS!$R:$R,DEALS!$A:$A,{"*REFUND*","*EXECUTED*"},DEALS!$O:$O,$B$2,DEALS!$E:$E,"&lt;"&amp;$C$4,DEALS!$S:$S,F$6,DEALS!$U:$U,$B11,DEALS!$V:$V,"&lt;&gt;*RECEIVED*",DEALS!$V:$V,"&lt;&gt;*EXECUTED*"))</f>
        <v>-2827656.51</v>
      </c>
      <c r="G11" s="29" cm="1">
        <f t="array" ref="G11">SUMIFS(BALANCES!$C:$C,BALANCES!$A:$A,$B$2,BALANCES!$B:$B,$B11,BALANCES!$D:$D,G$6)+SUMIFS(FLOWS!$C:$C,FLOWS!$A:$A,$B$2,FLOWS!$E:$E,$B11,FLOWS!$D:$D,G$6,FLOWS!$H:$H,"&lt;"&amp;$C$4)+SUM(SUMIFS(DEALS!$J:$J,DEALS!$A:$A,{"*REFUND*","*EXECUTED*"},DEALS!$G:$G,$B$2,DEALS!$E:$E,"&lt;"&amp;$C$4,DEALS!$K:$K,G$6,DEALS!$M:$M,$B11,DEALS!$N:$N,"&lt;&gt;*RECEIVED*",DEALS!$N:$N,"&lt;&gt;*EXECUTED*"))+SUM(SUMIFS(DEALS!$R:$R,DEALS!$A:$A,{"*REFUND*","*EXECUTED*"},DEALS!$O:$O,$B$2,DEALS!$E:$E,"&lt;"&amp;$C$4,DEALS!$S:$S,G$6,DEALS!$U:$U,$B11,DEALS!$V:$V,"&lt;&gt;*RECEIVED*",DEALS!$V:$V,"&lt;&gt;*EXECUTED*"))</f>
        <v>0</v>
      </c>
      <c r="H11" s="29" cm="1">
        <f t="array" ref="H11">SUMIFS(BALANCES!$C:$C,BALANCES!$A:$A,$B$2,BALANCES!$B:$B,$B11,BALANCES!$D:$D,H$6)+SUMIFS(FLOWS!$C:$C,FLOWS!$A:$A,$B$2,FLOWS!$E:$E,$B11,FLOWS!$D:$D,H$6,FLOWS!$H:$H,"&lt;"&amp;$C$4)+SUM(SUMIFS(DEALS!$J:$J,DEALS!$A:$A,{"*REFUND*","*EXECUTED*"},DEALS!$G:$G,$B$2,DEALS!$E:$E,"&lt;"&amp;$C$4,DEALS!$K:$K,H$6,DEALS!$M:$M,$B11,DEALS!$N:$N,"&lt;&gt;*RECEIVED*",DEALS!$N:$N,"&lt;&gt;*EXECUTED*"))+SUM(SUMIFS(DEALS!$R:$R,DEALS!$A:$A,{"*REFUND*","*EXECUTED*"},DEALS!$O:$O,$B$2,DEALS!$E:$E,"&lt;"&amp;$C$4,DEALS!$S:$S,H$6,DEALS!$U:$U,$B11,DEALS!$V:$V,"&lt;&gt;*RECEIVED*",DEALS!$V:$V,"&lt;&gt;*EXECUTED*"))</f>
        <v>0</v>
      </c>
      <c r="I11" s="30">
        <f ca="1">C11*VLOOKUP(C$6,'FX RATES'!$E$1:$F$50,2,FALSE)+D11*VLOOKUP(D$6,'FX RATES'!$E$1:$F$50,2,FALSE)+E11*VLOOKUP(E$6,'FX RATES'!$E$1:$F$50,2,FALSE)+F11*VLOOKUP(F$6,'FX RATES'!$E$1:$F$50,2,FALSE)+G11*VLOOKUP(G$6,'FX RATES'!$E$1:$F$50,2,FALSE)+H11*VLOOKUP(H$6,'FX RATES'!$E$1:$F$50,2,FALSE)</f>
        <v>-753704.11782700208</v>
      </c>
      <c r="K11" s="28" t="str">
        <f t="shared" si="2"/>
        <v>UBL</v>
      </c>
      <c r="L11" s="29" cm="1">
        <f t="array" ref="L11">SUMIFS(FLOWS!$C:$C,FLOWS!$A:$A,$B$2,FLOWS!$E:$E,$K11,FLOWS!$D:$D,L$6,FLOWS!$H:$H,"&gt;="&amp;$C$4,FLOWS!$H:$H,"&lt;="&amp;$U$4)+SUM(SUMIFS(DEALS!$J:$J,DEALS!$A:$A,{"*REFUND*","*EXECUTED*"},DEALS!$G:$G,$B$2,DEALS!$E:$E,"&gt;="&amp;$C$4,DEALS!$E:$E,"&lt;="&amp;$U$4,DEALS!$K:$K,L$6,DEALS!$M:$M,$K11,DEALS!$N:$N,"&lt;&gt;*RECEIVED*",DEALS!$N:$N,"&lt;&gt;*EXECUTED*"))+SUM(SUMIFS(DEALS!$R:$R,DEALS!$A:$A,{"*REFUND*","*EXECUTED*"},DEALS!$O:$O,$B$2,DEALS!$E:$E,"&gt;="&amp;$C$4,DEALS!$E:$E,"&lt;="&amp;$U$4,DEALS!$S:$S,L$6,DEALS!$U:$U,$K11,DEALS!$V:$V,"&lt;&gt;*RECEIVED*",DEALS!$V:$V,"&lt;&gt;*EXECUTED*"))</f>
        <v>0</v>
      </c>
      <c r="M11" s="29" cm="1">
        <f t="array" ref="M11">SUMIFS(FLOWS!$C:$C,FLOWS!$A:$A,$B$2,FLOWS!$E:$E,$K11,FLOWS!$D:$D,M$6,FLOWS!$H:$H,"&gt;="&amp;$C$4,FLOWS!$H:$H,"&lt;="&amp;$U$4)+SUM(SUMIFS(DEALS!$J:$J,DEALS!$A:$A,{"*REFUND*","*EXECUTED*"},DEALS!$G:$G,$B$2,DEALS!$E:$E,"&gt;="&amp;$C$4,DEALS!$E:$E,"&lt;="&amp;$U$4,DEALS!$K:$K,M$6,DEALS!$M:$M,$K11,DEALS!$N:$N,"&lt;&gt;*RECEIVED*",DEALS!$N:$N,"&lt;&gt;*EXECUTED*"))+SUM(SUMIFS(DEALS!$R:$R,DEALS!$A:$A,{"*REFUND*","*EXECUTED*"},DEALS!$O:$O,$B$2,DEALS!$E:$E,"&gt;="&amp;$C$4,DEALS!$E:$E,"&lt;="&amp;$U$4,DEALS!$S:$S,M$6,DEALS!$U:$U,$K11,DEALS!$V:$V,"&lt;&gt;*RECEIVED*",DEALS!$V:$V,"&lt;&gt;*EXECUTED*"))</f>
        <v>0</v>
      </c>
      <c r="N11" s="29" cm="1">
        <f t="array" ref="N11">SUMIFS(FLOWS!$C:$C,FLOWS!$A:$A,$B$2,FLOWS!$E:$E,$K11,FLOWS!$D:$D,N$6,FLOWS!$H:$H,"&gt;="&amp;$C$4,FLOWS!$H:$H,"&lt;="&amp;$U$4)+SUM(SUMIFS(DEALS!$J:$J,DEALS!$A:$A,{"*REFUND*","*EXECUTED*"},DEALS!$G:$G,$B$2,DEALS!$E:$E,"&gt;="&amp;$C$4,DEALS!$E:$E,"&lt;="&amp;$U$4,DEALS!$K:$K,N$6,DEALS!$M:$M,$K11,DEALS!$N:$N,"&lt;&gt;*RECEIVED*",DEALS!$N:$N,"&lt;&gt;*EXECUTED*"))+SUM(SUMIFS(DEALS!$R:$R,DEALS!$A:$A,{"*REFUND*","*EXECUTED*"},DEALS!$O:$O,$B$2,DEALS!$E:$E,"&gt;="&amp;$C$4,DEALS!$E:$E,"&lt;="&amp;$U$4,DEALS!$S:$S,N$6,DEALS!$U:$U,$K11,DEALS!$V:$V,"&lt;&gt;*RECEIVED*",DEALS!$V:$V,"&lt;&gt;*EXECUTED*"))</f>
        <v>0</v>
      </c>
      <c r="O11" s="29" cm="1">
        <f t="array" ref="O11">SUMIFS(FLOWS!$C:$C,FLOWS!$A:$A,$B$2,FLOWS!$E:$E,$K11,FLOWS!$D:$D,O$6,FLOWS!$H:$H,"&gt;="&amp;$C$4,FLOWS!$H:$H,"&lt;="&amp;$U$4)+SUM(SUMIFS(DEALS!$J:$J,DEALS!$A:$A,{"*REFUND*","*EXECUTED*"},DEALS!$G:$G,$B$2,DEALS!$E:$E,"&gt;="&amp;$C$4,DEALS!$E:$E,"&lt;="&amp;$U$4,DEALS!$K:$K,O$6,DEALS!$M:$M,$K11,DEALS!$N:$N,"&lt;&gt;*RECEIVED*",DEALS!$N:$N,"&lt;&gt;*EXECUTED*"))+SUM(SUMIFS(DEALS!$R:$R,DEALS!$A:$A,{"*REFUND*","*EXECUTED*"},DEALS!$O:$O,$B$2,DEALS!$E:$E,"&gt;="&amp;$C$4,DEALS!$E:$E,"&lt;="&amp;$U$4,DEALS!$S:$S,O$6,DEALS!$U:$U,$K11,DEALS!$V:$V,"&lt;&gt;*RECEIVED*",DEALS!$V:$V,"&lt;&gt;*EXECUTED*"))</f>
        <v>0</v>
      </c>
      <c r="P11" s="29" cm="1">
        <f t="array" ref="P11">SUMIFS(FLOWS!$C:$C,FLOWS!$A:$A,$B$2,FLOWS!$E:$E,$K11,FLOWS!$D:$D,P$6,FLOWS!$H:$H,"&gt;="&amp;$C$4,FLOWS!$H:$H,"&lt;="&amp;$U$4)+SUM(SUMIFS(DEALS!$J:$J,DEALS!$A:$A,{"*REFUND*","*EXECUTED*"},DEALS!$G:$G,$B$2,DEALS!$E:$E,"&gt;="&amp;$C$4,DEALS!$E:$E,"&lt;="&amp;$U$4,DEALS!$K:$K,P$6,DEALS!$M:$M,$K11,DEALS!$N:$N,"&lt;&gt;*RECEIVED*",DEALS!$N:$N,"&lt;&gt;*EXECUTED*"))+SUM(SUMIFS(DEALS!$R:$R,DEALS!$A:$A,{"*REFUND*","*EXECUTED*"},DEALS!$O:$O,$B$2,DEALS!$E:$E,"&gt;="&amp;$C$4,DEALS!$E:$E,"&lt;="&amp;$U$4,DEALS!$S:$S,P$6,DEALS!$U:$U,$K11,DEALS!$V:$V,"&lt;&gt;*RECEIVED*",DEALS!$V:$V,"&lt;&gt;*EXECUTED*"))</f>
        <v>0</v>
      </c>
      <c r="Q11" s="29" cm="1">
        <f t="array" ref="Q11">SUMIFS(FLOWS!$C:$C,FLOWS!$A:$A,$B$2,FLOWS!$E:$E,$K11,FLOWS!$D:$D,Q$6,FLOWS!$H:$H,"&gt;="&amp;$C$4,FLOWS!$H:$H,"&lt;="&amp;$U$4)+SUM(SUMIFS(DEALS!$J:$J,DEALS!$A:$A,{"*REFUND*","*EXECUTED*"},DEALS!$G:$G,$B$2,DEALS!$E:$E,"&gt;="&amp;$C$4,DEALS!$E:$E,"&lt;="&amp;$U$4,DEALS!$K:$K,Q$6,DEALS!$M:$M,$K11,DEALS!$N:$N,"&lt;&gt;*RECEIVED*",DEALS!$N:$N,"&lt;&gt;*EXECUTED*"))+SUM(SUMIFS(DEALS!$R:$R,DEALS!$A:$A,{"*REFUND*","*EXECUTED*"},DEALS!$O:$O,$B$2,DEALS!$E:$E,"&gt;="&amp;$C$4,DEALS!$E:$E,"&lt;="&amp;$U$4,DEALS!$S:$S,Q$6,DEALS!$U:$U,$K11,DEALS!$V:$V,"&lt;&gt;*RECEIVED*",DEALS!$V:$V,"&lt;&gt;*EXECUTED*"))</f>
        <v>0</v>
      </c>
      <c r="R11" s="30">
        <f ca="1">L11*VLOOKUP(L$6,'FX RATES'!$E$1:$F$50,2,FALSE)+M11*VLOOKUP(M$6,'FX RATES'!$E$1:$F$50,2,FALSE)+N11*VLOOKUP(N$6,'FX RATES'!$E$1:$F$50,2,FALSE)+O11*VLOOKUP(O$6,'FX RATES'!$E$1:$F$50,2,FALSE)+P11*VLOOKUP(P$6,'FX RATES'!$E$1:$F$50,2,FALSE)+Q11*VLOOKUP(Q$6,'FX RATES'!$E$1:$F$50,2,FALSE)</f>
        <v>0</v>
      </c>
      <c r="T11" s="28" t="str">
        <f t="shared" si="3"/>
        <v>UBL</v>
      </c>
      <c r="U11" s="29" cm="1">
        <f t="array" ref="U11">SUMIFS(BALANCES!$C:$C,BALANCES!$A:$A,$B$2,BALANCES!$B:$B,$T11,BALANCES!$D:$D,U$6)+SUMIFS(FLOWS!$C:$C,FLOWS!$A:$A,$B$2,FLOWS!$E:$E,$T11,FLOWS!$D:$D,U$6,FLOWS!$H:$H,"&lt;="&amp;$U$4)+SUM(SUMIFS(DEALS!$J:$J,DEALS!$A:$A,{"*REFUND*","*EXECUTED*"},DEALS!$G:$G,$B$2,DEALS!$E:$E,"&lt;="&amp;$U$4,DEALS!$K:$K,U$6,DEALS!$M:$M,$T11,DEALS!$N:$N,"&lt;&gt;*RECEIVED*",DEALS!$N:$N,"&lt;&gt;*EXECUTED*"))+SUM(SUMIFS(DEALS!$R:$R,DEALS!$A:$A,{"*REFUND*","*EXECUTED*"},DEALS!$O:$O,$B$2,DEALS!$E:$E,"&lt;="&amp;$U$4,DEALS!$S:$S,U$6,DEALS!$U:$U,$T11,DEALS!$V:$V,"&lt;&gt;*RECEIVED*",DEALS!$V:$V,"&lt;&gt;*EXECUTED*"))</f>
        <v>12811.26</v>
      </c>
      <c r="V11" s="29" cm="1">
        <f t="array" ref="V11">SUMIFS(BALANCES!$C:$C,BALANCES!$A:$A,$B$2,BALANCES!$B:$B,$T11,BALANCES!$D:$D,V$6)+SUMIFS(FLOWS!$C:$C,FLOWS!$A:$A,$B$2,FLOWS!$E:$E,$T11,FLOWS!$D:$D,V$6,FLOWS!$H:$H,"&lt;="&amp;$U$4)+SUM(SUMIFS(DEALS!$J:$J,DEALS!$A:$A,{"*REFUND*","*EXECUTED*"},DEALS!$G:$G,$B$2,DEALS!$E:$E,"&lt;="&amp;$U$4,DEALS!$K:$K,V$6,DEALS!$M:$M,$T11,DEALS!$N:$N,"&lt;&gt;*RECEIVED*",DEALS!$N:$N,"&lt;&gt;*EXECUTED*"))+SUM(SUMIFS(DEALS!$R:$R,DEALS!$A:$A,{"*REFUND*","*EXECUTED*"},DEALS!$O:$O,$B$2,DEALS!$E:$E,"&lt;="&amp;$U$4,DEALS!$S:$S,V$6,DEALS!$U:$U,$T11,DEALS!$V:$V,"&lt;&gt;*RECEIVED*",DEALS!$V:$V,"&lt;&gt;*EXECUTED*"))</f>
        <v>2901.34</v>
      </c>
      <c r="W11" s="29" cm="1">
        <f t="array" ref="W11">SUMIFS(BALANCES!$C:$C,BALANCES!$A:$A,$B$2,BALANCES!$B:$B,$T11,BALANCES!$D:$D,W$6)+SUMIFS(FLOWS!$C:$C,FLOWS!$A:$A,$B$2,FLOWS!$E:$E,$T11,FLOWS!$D:$D,W$6,FLOWS!$H:$H,"&lt;="&amp;$U$4)+SUM(SUMIFS(DEALS!$J:$J,DEALS!$A:$A,{"*REFUND*","*EXECUTED*"},DEALS!$G:$G,$B$2,DEALS!$E:$E,"&lt;="&amp;$U$4,DEALS!$K:$K,W$6,DEALS!$M:$M,$T11,DEALS!$N:$N,"&lt;&gt;*RECEIVED*",DEALS!$N:$N,"&lt;&gt;*EXECUTED*"))+SUM(SUMIFS(DEALS!$R:$R,DEALS!$A:$A,{"*REFUND*","*EXECUTED*"},DEALS!$O:$O,$B$2,DEALS!$E:$E,"&lt;="&amp;$U$4,DEALS!$S:$S,W$6,DEALS!$U:$U,$T11,DEALS!$V:$V,"&lt;&gt;*RECEIVED*",DEALS!$V:$V,"&lt;&gt;*EXECUTED*"))</f>
        <v>0</v>
      </c>
      <c r="X11" s="29" cm="1">
        <f t="array" ref="X11">SUMIFS(BALANCES!$C:$C,BALANCES!$A:$A,$B$2,BALANCES!$B:$B,$T11,BALANCES!$D:$D,X$6)+SUMIFS(FLOWS!$C:$C,FLOWS!$A:$A,$B$2,FLOWS!$E:$E,$T11,FLOWS!$D:$D,X$6,FLOWS!$H:$H,"&lt;="&amp;$U$4)+SUM(SUMIFS(DEALS!$J:$J,DEALS!$A:$A,{"*REFUND*","*EXECUTED*"},DEALS!$G:$G,$B$2,DEALS!$E:$E,"&lt;="&amp;$U$4,DEALS!$K:$K,X$6,DEALS!$M:$M,$T11,DEALS!$N:$N,"&lt;&gt;*RECEIVED*",DEALS!$N:$N,"&lt;&gt;*EXECUTED*"))+SUM(SUMIFS(DEALS!$R:$R,DEALS!$A:$A,{"*REFUND*","*EXECUTED*"},DEALS!$O:$O,$B$2,DEALS!$E:$E,"&lt;="&amp;$U$4,DEALS!$S:$S,X$6,DEALS!$U:$U,$T11,DEALS!$V:$V,"&lt;&gt;*RECEIVED*",DEALS!$V:$V,"&lt;&gt;*EXECUTED*"))</f>
        <v>-2827656.51</v>
      </c>
      <c r="Y11" s="29" cm="1">
        <f t="array" ref="Y11">SUMIFS(BALANCES!$C:$C,BALANCES!$A:$A,$B$2,BALANCES!$B:$B,$T11,BALANCES!$D:$D,Y$6)+SUMIFS(FLOWS!$C:$C,FLOWS!$A:$A,$B$2,FLOWS!$E:$E,$T11,FLOWS!$D:$D,Y$6,FLOWS!$H:$H,"&lt;="&amp;$U$4)+SUM(SUMIFS(DEALS!$J:$J,DEALS!$A:$A,{"*REFUND*","*EXECUTED*"},DEALS!$G:$G,$B$2,DEALS!$E:$E,"&lt;="&amp;$U$4,DEALS!$K:$K,Y$6,DEALS!$M:$M,$T11,DEALS!$N:$N,"&lt;&gt;*RECEIVED*",DEALS!$N:$N,"&lt;&gt;*EXECUTED*"))+SUM(SUMIFS(DEALS!$R:$R,DEALS!$A:$A,{"*REFUND*","*EXECUTED*"},DEALS!$O:$O,$B$2,DEALS!$E:$E,"&lt;="&amp;$U$4,DEALS!$S:$S,Y$6,DEALS!$U:$U,$T11,DEALS!$V:$V,"&lt;&gt;*RECEIVED*",DEALS!$V:$V,"&lt;&gt;*EXECUTED*"))</f>
        <v>0</v>
      </c>
      <c r="Z11" s="29" cm="1">
        <f t="array" ref="Z11">SUMIFS(BALANCES!$C:$C,BALANCES!$A:$A,$B$2,BALANCES!$B:$B,$T11,BALANCES!$D:$D,Z$6)+SUMIFS(FLOWS!$C:$C,FLOWS!$A:$A,$B$2,FLOWS!$E:$E,$T11,FLOWS!$D:$D,Z$6,FLOWS!$H:$H,"&lt;="&amp;$U$4)+SUM(SUMIFS(DEALS!$J:$J,DEALS!$A:$A,{"*REFUND*","*EXECUTED*"},DEALS!$G:$G,$B$2,DEALS!$E:$E,"&lt;="&amp;$U$4,DEALS!$K:$K,Z$6,DEALS!$M:$M,$T11,DEALS!$N:$N,"&lt;&gt;*RECEIVED*",DEALS!$N:$N,"&lt;&gt;*EXECUTED*"))+SUM(SUMIFS(DEALS!$R:$R,DEALS!$A:$A,{"*REFUND*","*EXECUTED*"},DEALS!$O:$O,$B$2,DEALS!$E:$E,"&lt;="&amp;$U$4,DEALS!$S:$S,Z$6,DEALS!$U:$U,$T11,DEALS!$V:$V,"&lt;&gt;*RECEIVED*",DEALS!$V:$V,"&lt;&gt;*EXECUTED*"))</f>
        <v>0</v>
      </c>
      <c r="AA11" s="30">
        <f ca="1">U11*VLOOKUP(U$6,'FX RATES'!$E$1:$F$50,2,FALSE)+V11*VLOOKUP(V$6,'FX RATES'!$E$1:$F$50,2,FALSE)+W11*VLOOKUP(W$6,'FX RATES'!$E$1:$F$50,2,FALSE)+X11*VLOOKUP(X$6,'FX RATES'!$E$1:$F$50,2,FALSE)+Y11*VLOOKUP(Y$6,'FX RATES'!$E$1:$F$50,2,FALSE)+Z11*VLOOKUP(Z$6,'FX RATES'!$E$1:$F$50,2,FALSE)</f>
        <v>-753704.11782700208</v>
      </c>
      <c r="AC11" s="139">
        <f t="shared" ca="1" si="4"/>
        <v>0</v>
      </c>
    </row>
    <row r="12" spans="2:29" ht="19">
      <c r="B12" s="31" t="s">
        <v>18</v>
      </c>
      <c r="C12" s="32" cm="1">
        <f t="array" ref="C12">SUMIFS(BALANCES!$C:$C,BALANCES!$A:$A,$B$2,BALANCES!$B:$B,$B12,BALANCES!$D:$D,C$6)+SUMIFS(FLOWS!$C:$C,FLOWS!$A:$A,$B$2,FLOWS!$E:$E,$B12,FLOWS!$D:$D,C$6,FLOWS!$H:$H,"&lt;"&amp;$C$4)+SUM(SUMIFS(DEALS!$J:$J,DEALS!$A:$A,{"*REFUND*","*EXECUTED*"},DEALS!$G:$G,$B$2,DEALS!$E:$E,"&lt;"&amp;$C$4,DEALS!$K:$K,C$6,DEALS!$M:$M,$B12,DEALS!$N:$N,"&lt;&gt;*RECEIVED*",DEALS!$N:$N,"&lt;&gt;*EXECUTED*"))+SUM(SUMIFS(DEALS!$R:$R,DEALS!$A:$A,{"*REFUND*","*EXECUTED*"},DEALS!$O:$O,$B$2,DEALS!$E:$E,"&lt;"&amp;$C$4,DEALS!$S:$S,C$6,DEALS!$U:$U,$B12,DEALS!$V:$V,"&lt;&gt;*RECEIVED*",DEALS!$V:$V,"&lt;&gt;*EXECUTED*"))</f>
        <v>6486.39</v>
      </c>
      <c r="D12" s="32" cm="1">
        <f t="array" ref="D12">SUMIFS(BALANCES!$C:$C,BALANCES!$A:$A,$B$2,BALANCES!$B:$B,$B12,BALANCES!$D:$D,D$6)+SUMIFS(FLOWS!$C:$C,FLOWS!$A:$A,$B$2,FLOWS!$E:$E,$B12,FLOWS!$D:$D,D$6,FLOWS!$H:$H,"&lt;"&amp;$C$4)+SUM(SUMIFS(DEALS!$J:$J,DEALS!$A:$A,{"*REFUND*","*EXECUTED*"},DEALS!$G:$G,$B$2,DEALS!$E:$E,"&lt;"&amp;$C$4,DEALS!$K:$K,D$6,DEALS!$M:$M,$B12,DEALS!$N:$N,"&lt;&gt;*RECEIVED*",DEALS!$N:$N,"&lt;&gt;*EXECUTED*"))+SUM(SUMIFS(DEALS!$R:$R,DEALS!$A:$A,{"*REFUND*","*EXECUTED*"},DEALS!$O:$O,$B$2,DEALS!$E:$E,"&lt;"&amp;$C$4,DEALS!$S:$S,D$6,DEALS!$U:$U,$B12,DEALS!$V:$V,"&lt;&gt;*RECEIVED*",DEALS!$V:$V,"&lt;&gt;*EXECUTED*"))</f>
        <v>0</v>
      </c>
      <c r="E12" s="32" cm="1">
        <f t="array" ref="E12">SUMIFS(BALANCES!$C:$C,BALANCES!$A:$A,$B$2,BALANCES!$B:$B,$B12,BALANCES!$D:$D,E$6)+SUMIFS(FLOWS!$C:$C,FLOWS!$A:$A,$B$2,FLOWS!$E:$E,$B12,FLOWS!$D:$D,E$6,FLOWS!$H:$H,"&lt;"&amp;$C$4)+SUM(SUMIFS(DEALS!$J:$J,DEALS!$A:$A,{"*REFUND*","*EXECUTED*"},DEALS!$G:$G,$B$2,DEALS!$E:$E,"&lt;"&amp;$C$4,DEALS!$K:$K,E$6,DEALS!$M:$M,$B12,DEALS!$N:$N,"&lt;&gt;*RECEIVED*",DEALS!$N:$N,"&lt;&gt;*EXECUTED*"))+SUM(SUMIFS(DEALS!$R:$R,DEALS!$A:$A,{"*REFUND*","*EXECUTED*"},DEALS!$O:$O,$B$2,DEALS!$E:$E,"&lt;"&amp;$C$4,DEALS!$S:$S,E$6,DEALS!$U:$U,$B12,DEALS!$V:$V,"&lt;&gt;*RECEIVED*",DEALS!$V:$V,"&lt;&gt;*EXECUTED*"))</f>
        <v>0</v>
      </c>
      <c r="F12" s="32" cm="1">
        <f t="array" ref="F12">SUMIFS(BALANCES!$C:$C,BALANCES!$A:$A,$B$2,BALANCES!$B:$B,$B12,BALANCES!$D:$D,F$6)+SUMIFS(FLOWS!$C:$C,FLOWS!$A:$A,$B$2,FLOWS!$E:$E,$B12,FLOWS!$D:$D,F$6,FLOWS!$H:$H,"&lt;"&amp;$C$4)+SUM(SUMIFS(DEALS!$J:$J,DEALS!$A:$A,{"*REFUND*","*EXECUTED*"},DEALS!$G:$G,$B$2,DEALS!$E:$E,"&lt;"&amp;$C$4,DEALS!$K:$K,F$6,DEALS!$M:$M,$B12,DEALS!$N:$N,"&lt;&gt;*RECEIVED*",DEALS!$N:$N,"&lt;&gt;*EXECUTED*"))+SUM(SUMIFS(DEALS!$R:$R,DEALS!$A:$A,{"*REFUND*","*EXECUTED*"},DEALS!$O:$O,$B$2,DEALS!$E:$E,"&lt;"&amp;$C$4,DEALS!$S:$S,F$6,DEALS!$U:$U,$B12,DEALS!$V:$V,"&lt;&gt;*RECEIVED*",DEALS!$V:$V,"&lt;&gt;*EXECUTED*"))</f>
        <v>2284.19</v>
      </c>
      <c r="G12" s="32" cm="1">
        <f t="array" ref="G12">SUMIFS(BALANCES!$C:$C,BALANCES!$A:$A,$B$2,BALANCES!$B:$B,$B12,BALANCES!$D:$D,G$6)+SUMIFS(FLOWS!$C:$C,FLOWS!$A:$A,$B$2,FLOWS!$E:$E,$B12,FLOWS!$D:$D,G$6,FLOWS!$H:$H,"&lt;"&amp;$C$4)+SUM(SUMIFS(DEALS!$J:$J,DEALS!$A:$A,{"*REFUND*","*EXECUTED*"},DEALS!$G:$G,$B$2,DEALS!$E:$E,"&lt;"&amp;$C$4,DEALS!$K:$K,G$6,DEALS!$M:$M,$B12,DEALS!$N:$N,"&lt;&gt;*RECEIVED*",DEALS!$N:$N,"&lt;&gt;*EXECUTED*"))+SUM(SUMIFS(DEALS!$R:$R,DEALS!$A:$A,{"*REFUND*","*EXECUTED*"},DEALS!$O:$O,$B$2,DEALS!$E:$E,"&lt;"&amp;$C$4,DEALS!$S:$S,G$6,DEALS!$U:$U,$B12,DEALS!$V:$V,"&lt;&gt;*RECEIVED*",DEALS!$V:$V,"&lt;&gt;*EXECUTED*"))</f>
        <v>0</v>
      </c>
      <c r="H12" s="32" cm="1">
        <f t="array" ref="H12">SUMIFS(BALANCES!$C:$C,BALANCES!$A:$A,$B$2,BALANCES!$B:$B,$B12,BALANCES!$D:$D,H$6)+SUMIFS(FLOWS!$C:$C,FLOWS!$A:$A,$B$2,FLOWS!$E:$E,$B12,FLOWS!$D:$D,H$6,FLOWS!$H:$H,"&lt;"&amp;$C$4)+SUM(SUMIFS(DEALS!$J:$J,DEALS!$A:$A,{"*REFUND*","*EXECUTED*"},DEALS!$G:$G,$B$2,DEALS!$E:$E,"&lt;"&amp;$C$4,DEALS!$K:$K,H$6,DEALS!$M:$M,$B12,DEALS!$N:$N,"&lt;&gt;*RECEIVED*",DEALS!$N:$N,"&lt;&gt;*EXECUTED*"))+SUM(SUMIFS(DEALS!$R:$R,DEALS!$A:$A,{"*REFUND*","*EXECUTED*"},DEALS!$O:$O,$B$2,DEALS!$E:$E,"&lt;"&amp;$C$4,DEALS!$S:$S,H$6,DEALS!$U:$U,$B12,DEALS!$V:$V,"&lt;&gt;*RECEIVED*",DEALS!$V:$V,"&lt;&gt;*EXECUTED*"))</f>
        <v>0</v>
      </c>
      <c r="I12" s="33">
        <f ca="1">C12*VLOOKUP(C$6,'FX RATES'!$E$1:$F$50,2,FALSE)+D12*VLOOKUP(D$6,'FX RATES'!$E$1:$F$50,2,FALSE)+E12*VLOOKUP(E$6,'FX RATES'!$E$1:$F$50,2,FALSE)+F12*VLOOKUP(F$6,'FX RATES'!$E$1:$F$50,2,FALSE)+G12*VLOOKUP(G$6,'FX RATES'!$E$1:$F$50,2,FALSE)+H12*VLOOKUP(H$6,'FX RATES'!$E$1:$F$50,2,FALSE)</f>
        <v>7108.3444736698802</v>
      </c>
      <c r="K12" s="31" t="str">
        <f t="shared" si="2"/>
        <v>HDFC</v>
      </c>
      <c r="L12" s="32" cm="1">
        <f t="array" ref="L12">SUMIFS(FLOWS!$C:$C,FLOWS!$A:$A,$B$2,FLOWS!$E:$E,$K12,FLOWS!$D:$D,L$6,FLOWS!$H:$H,"&gt;="&amp;$C$4,FLOWS!$H:$H,"&lt;="&amp;$U$4)+SUM(SUMIFS(DEALS!$J:$J,DEALS!$A:$A,{"*REFUND*","*EXECUTED*"},DEALS!$G:$G,$B$2,DEALS!$E:$E,"&gt;="&amp;$C$4,DEALS!$E:$E,"&lt;="&amp;$U$4,DEALS!$K:$K,L$6,DEALS!$M:$M,$K12,DEALS!$N:$N,"&lt;&gt;*RECEIVED*",DEALS!$N:$N,"&lt;&gt;*EXECUTED*"))+SUM(SUMIFS(DEALS!$R:$R,DEALS!$A:$A,{"*REFUND*","*EXECUTED*"},DEALS!$O:$O,$B$2,DEALS!$E:$E,"&gt;="&amp;$C$4,DEALS!$E:$E,"&lt;="&amp;$U$4,DEALS!$S:$S,L$6,DEALS!$U:$U,$K12,DEALS!$V:$V,"&lt;&gt;*RECEIVED*",DEALS!$V:$V,"&lt;&gt;*EXECUTED*"))</f>
        <v>0</v>
      </c>
      <c r="M12" s="32" cm="1">
        <f t="array" ref="M12">SUMIFS(FLOWS!$C:$C,FLOWS!$A:$A,$B$2,FLOWS!$E:$E,$K12,FLOWS!$D:$D,M$6,FLOWS!$H:$H,"&gt;="&amp;$C$4,FLOWS!$H:$H,"&lt;="&amp;$U$4)+SUM(SUMIFS(DEALS!$J:$J,DEALS!$A:$A,{"*REFUND*","*EXECUTED*"},DEALS!$G:$G,$B$2,DEALS!$E:$E,"&gt;="&amp;$C$4,DEALS!$E:$E,"&lt;="&amp;$U$4,DEALS!$K:$K,M$6,DEALS!$M:$M,$K12,DEALS!$N:$N,"&lt;&gt;*RECEIVED*",DEALS!$N:$N,"&lt;&gt;*EXECUTED*"))+SUM(SUMIFS(DEALS!$R:$R,DEALS!$A:$A,{"*REFUND*","*EXECUTED*"},DEALS!$O:$O,$B$2,DEALS!$E:$E,"&gt;="&amp;$C$4,DEALS!$E:$E,"&lt;="&amp;$U$4,DEALS!$S:$S,M$6,DEALS!$U:$U,$K12,DEALS!$V:$V,"&lt;&gt;*RECEIVED*",DEALS!$V:$V,"&lt;&gt;*EXECUTED*"))</f>
        <v>0</v>
      </c>
      <c r="N12" s="32" cm="1">
        <f t="array" ref="N12">SUMIFS(FLOWS!$C:$C,FLOWS!$A:$A,$B$2,FLOWS!$E:$E,$K12,FLOWS!$D:$D,N$6,FLOWS!$H:$H,"&gt;="&amp;$C$4,FLOWS!$H:$H,"&lt;="&amp;$U$4)+SUM(SUMIFS(DEALS!$J:$J,DEALS!$A:$A,{"*REFUND*","*EXECUTED*"},DEALS!$G:$G,$B$2,DEALS!$E:$E,"&gt;="&amp;$C$4,DEALS!$E:$E,"&lt;="&amp;$U$4,DEALS!$K:$K,N$6,DEALS!$M:$M,$K12,DEALS!$N:$N,"&lt;&gt;*RECEIVED*",DEALS!$N:$N,"&lt;&gt;*EXECUTED*"))+SUM(SUMIFS(DEALS!$R:$R,DEALS!$A:$A,{"*REFUND*","*EXECUTED*"},DEALS!$O:$O,$B$2,DEALS!$E:$E,"&gt;="&amp;$C$4,DEALS!$E:$E,"&lt;="&amp;$U$4,DEALS!$S:$S,N$6,DEALS!$U:$U,$K12,DEALS!$V:$V,"&lt;&gt;*RECEIVED*",DEALS!$V:$V,"&lt;&gt;*EXECUTED*"))</f>
        <v>0</v>
      </c>
      <c r="O12" s="32" cm="1">
        <f t="array" ref="O12">SUMIFS(FLOWS!$C:$C,FLOWS!$A:$A,$B$2,FLOWS!$E:$E,$K12,FLOWS!$D:$D,O$6,FLOWS!$H:$H,"&gt;="&amp;$C$4,FLOWS!$H:$H,"&lt;="&amp;$U$4)+SUM(SUMIFS(DEALS!$J:$J,DEALS!$A:$A,{"*REFUND*","*EXECUTED*"},DEALS!$G:$G,$B$2,DEALS!$E:$E,"&gt;="&amp;$C$4,DEALS!$E:$E,"&lt;="&amp;$U$4,DEALS!$K:$K,O$6,DEALS!$M:$M,$K12,DEALS!$N:$N,"&lt;&gt;*RECEIVED*",DEALS!$N:$N,"&lt;&gt;*EXECUTED*"))+SUM(SUMIFS(DEALS!$R:$R,DEALS!$A:$A,{"*REFUND*","*EXECUTED*"},DEALS!$O:$O,$B$2,DEALS!$E:$E,"&gt;="&amp;$C$4,DEALS!$E:$E,"&lt;="&amp;$U$4,DEALS!$S:$S,O$6,DEALS!$U:$U,$K12,DEALS!$V:$V,"&lt;&gt;*RECEIVED*",DEALS!$V:$V,"&lt;&gt;*EXECUTED*"))</f>
        <v>0</v>
      </c>
      <c r="P12" s="32" cm="1">
        <f t="array" ref="P12">SUMIFS(FLOWS!$C:$C,FLOWS!$A:$A,$B$2,FLOWS!$E:$E,$K12,FLOWS!$D:$D,P$6,FLOWS!$H:$H,"&gt;="&amp;$C$4,FLOWS!$H:$H,"&lt;="&amp;$U$4)+SUM(SUMIFS(DEALS!$J:$J,DEALS!$A:$A,{"*REFUND*","*EXECUTED*"},DEALS!$G:$G,$B$2,DEALS!$E:$E,"&gt;="&amp;$C$4,DEALS!$E:$E,"&lt;="&amp;$U$4,DEALS!$K:$K,P$6,DEALS!$M:$M,$K12,DEALS!$N:$N,"&lt;&gt;*RECEIVED*",DEALS!$N:$N,"&lt;&gt;*EXECUTED*"))+SUM(SUMIFS(DEALS!$R:$R,DEALS!$A:$A,{"*REFUND*","*EXECUTED*"},DEALS!$O:$O,$B$2,DEALS!$E:$E,"&gt;="&amp;$C$4,DEALS!$E:$E,"&lt;="&amp;$U$4,DEALS!$S:$S,P$6,DEALS!$U:$U,$K12,DEALS!$V:$V,"&lt;&gt;*RECEIVED*",DEALS!$V:$V,"&lt;&gt;*EXECUTED*"))</f>
        <v>0</v>
      </c>
      <c r="Q12" s="32" cm="1">
        <f t="array" ref="Q12">SUMIFS(FLOWS!$C:$C,FLOWS!$A:$A,$B$2,FLOWS!$E:$E,$K12,FLOWS!$D:$D,Q$6,FLOWS!$H:$H,"&gt;="&amp;$C$4,FLOWS!$H:$H,"&lt;="&amp;$U$4)+SUM(SUMIFS(DEALS!$J:$J,DEALS!$A:$A,{"*REFUND*","*EXECUTED*"},DEALS!$G:$G,$B$2,DEALS!$E:$E,"&gt;="&amp;$C$4,DEALS!$E:$E,"&lt;="&amp;$U$4,DEALS!$K:$K,Q$6,DEALS!$M:$M,$K12,DEALS!$N:$N,"&lt;&gt;*RECEIVED*",DEALS!$N:$N,"&lt;&gt;*EXECUTED*"))+SUM(SUMIFS(DEALS!$R:$R,DEALS!$A:$A,{"*REFUND*","*EXECUTED*"},DEALS!$O:$O,$B$2,DEALS!$E:$E,"&gt;="&amp;$C$4,DEALS!$E:$E,"&lt;="&amp;$U$4,DEALS!$S:$S,Q$6,DEALS!$U:$U,$K12,DEALS!$V:$V,"&lt;&gt;*RECEIVED*",DEALS!$V:$V,"&lt;&gt;*EXECUTED*"))</f>
        <v>0</v>
      </c>
      <c r="R12" s="33">
        <f ca="1">L12*VLOOKUP(L$6,'FX RATES'!$E$1:$F$50,2,FALSE)+M12*VLOOKUP(M$6,'FX RATES'!$E$1:$F$50,2,FALSE)+N12*VLOOKUP(N$6,'FX RATES'!$E$1:$F$50,2,FALSE)+O12*VLOOKUP(O$6,'FX RATES'!$E$1:$F$50,2,FALSE)+P12*VLOOKUP(P$6,'FX RATES'!$E$1:$F$50,2,FALSE)+Q12*VLOOKUP(Q$6,'FX RATES'!$E$1:$F$50,2,FALSE)</f>
        <v>0</v>
      </c>
      <c r="T12" s="31" t="str">
        <f t="shared" si="3"/>
        <v>HDFC</v>
      </c>
      <c r="U12" s="32" cm="1">
        <f t="array" ref="U12">SUMIFS(BALANCES!$C:$C,BALANCES!$A:$A,$B$2,BALANCES!$B:$B,$T12,BALANCES!$D:$D,U$6)+SUMIFS(FLOWS!$C:$C,FLOWS!$A:$A,$B$2,FLOWS!$E:$E,$T12,FLOWS!$D:$D,U$6,FLOWS!$H:$H,"&lt;="&amp;$U$4)+SUM(SUMIFS(DEALS!$J:$J,DEALS!$A:$A,{"*REFUND*","*EXECUTED*"},DEALS!$G:$G,$B$2,DEALS!$E:$E,"&lt;="&amp;$U$4,DEALS!$K:$K,U$6,DEALS!$M:$M,$T12,DEALS!$N:$N,"&lt;&gt;*RECEIVED*",DEALS!$N:$N,"&lt;&gt;*EXECUTED*"))+SUM(SUMIFS(DEALS!$R:$R,DEALS!$A:$A,{"*REFUND*","*EXECUTED*"},DEALS!$O:$O,$B$2,DEALS!$E:$E,"&lt;="&amp;$U$4,DEALS!$S:$S,U$6,DEALS!$U:$U,$T12,DEALS!$V:$V,"&lt;&gt;*RECEIVED*",DEALS!$V:$V,"&lt;&gt;*EXECUTED*"))</f>
        <v>6486.39</v>
      </c>
      <c r="V12" s="32" cm="1">
        <f t="array" ref="V12">SUMIFS(BALANCES!$C:$C,BALANCES!$A:$A,$B$2,BALANCES!$B:$B,$T12,BALANCES!$D:$D,V$6)+SUMIFS(FLOWS!$C:$C,FLOWS!$A:$A,$B$2,FLOWS!$E:$E,$T12,FLOWS!$D:$D,V$6,FLOWS!$H:$H,"&lt;="&amp;$U$4)+SUM(SUMIFS(DEALS!$J:$J,DEALS!$A:$A,{"*REFUND*","*EXECUTED*"},DEALS!$G:$G,$B$2,DEALS!$E:$E,"&lt;="&amp;$U$4,DEALS!$K:$K,V$6,DEALS!$M:$M,$T12,DEALS!$N:$N,"&lt;&gt;*RECEIVED*",DEALS!$N:$N,"&lt;&gt;*EXECUTED*"))+SUM(SUMIFS(DEALS!$R:$R,DEALS!$A:$A,{"*REFUND*","*EXECUTED*"},DEALS!$O:$O,$B$2,DEALS!$E:$E,"&lt;="&amp;$U$4,DEALS!$S:$S,V$6,DEALS!$U:$U,$T12,DEALS!$V:$V,"&lt;&gt;*RECEIVED*",DEALS!$V:$V,"&lt;&gt;*EXECUTED*"))</f>
        <v>0</v>
      </c>
      <c r="W12" s="32" cm="1">
        <f t="array" ref="W12">SUMIFS(BALANCES!$C:$C,BALANCES!$A:$A,$B$2,BALANCES!$B:$B,$T12,BALANCES!$D:$D,W$6)+SUMIFS(FLOWS!$C:$C,FLOWS!$A:$A,$B$2,FLOWS!$E:$E,$T12,FLOWS!$D:$D,W$6,FLOWS!$H:$H,"&lt;="&amp;$U$4)+SUM(SUMIFS(DEALS!$J:$J,DEALS!$A:$A,{"*REFUND*","*EXECUTED*"},DEALS!$G:$G,$B$2,DEALS!$E:$E,"&lt;="&amp;$U$4,DEALS!$K:$K,W$6,DEALS!$M:$M,$T12,DEALS!$N:$N,"&lt;&gt;*RECEIVED*",DEALS!$N:$N,"&lt;&gt;*EXECUTED*"))+SUM(SUMIFS(DEALS!$R:$R,DEALS!$A:$A,{"*REFUND*","*EXECUTED*"},DEALS!$O:$O,$B$2,DEALS!$E:$E,"&lt;="&amp;$U$4,DEALS!$S:$S,W$6,DEALS!$U:$U,$T12,DEALS!$V:$V,"&lt;&gt;*RECEIVED*",DEALS!$V:$V,"&lt;&gt;*EXECUTED*"))</f>
        <v>0</v>
      </c>
      <c r="X12" s="32" cm="1">
        <f t="array" ref="X12">SUMIFS(BALANCES!$C:$C,BALANCES!$A:$A,$B$2,BALANCES!$B:$B,$T12,BALANCES!$D:$D,X$6)+SUMIFS(FLOWS!$C:$C,FLOWS!$A:$A,$B$2,FLOWS!$E:$E,$T12,FLOWS!$D:$D,X$6,FLOWS!$H:$H,"&lt;="&amp;$U$4)+SUM(SUMIFS(DEALS!$J:$J,DEALS!$A:$A,{"*REFUND*","*EXECUTED*"},DEALS!$G:$G,$B$2,DEALS!$E:$E,"&lt;="&amp;$U$4,DEALS!$K:$K,X$6,DEALS!$M:$M,$T12,DEALS!$N:$N,"&lt;&gt;*RECEIVED*",DEALS!$N:$N,"&lt;&gt;*EXECUTED*"))+SUM(SUMIFS(DEALS!$R:$R,DEALS!$A:$A,{"*REFUND*","*EXECUTED*"},DEALS!$O:$O,$B$2,DEALS!$E:$E,"&lt;="&amp;$U$4,DEALS!$S:$S,X$6,DEALS!$U:$U,$T12,DEALS!$V:$V,"&lt;&gt;*RECEIVED*",DEALS!$V:$V,"&lt;&gt;*EXECUTED*"))</f>
        <v>2284.19</v>
      </c>
      <c r="Y12" s="32" cm="1">
        <f t="array" ref="Y12">SUMIFS(BALANCES!$C:$C,BALANCES!$A:$A,$B$2,BALANCES!$B:$B,$T12,BALANCES!$D:$D,Y$6)+SUMIFS(FLOWS!$C:$C,FLOWS!$A:$A,$B$2,FLOWS!$E:$E,$T12,FLOWS!$D:$D,Y$6,FLOWS!$H:$H,"&lt;="&amp;$U$4)+SUM(SUMIFS(DEALS!$J:$J,DEALS!$A:$A,{"*REFUND*","*EXECUTED*"},DEALS!$G:$G,$B$2,DEALS!$E:$E,"&lt;="&amp;$U$4,DEALS!$K:$K,Y$6,DEALS!$M:$M,$T12,DEALS!$N:$N,"&lt;&gt;*RECEIVED*",DEALS!$N:$N,"&lt;&gt;*EXECUTED*"))+SUM(SUMIFS(DEALS!$R:$R,DEALS!$A:$A,{"*REFUND*","*EXECUTED*"},DEALS!$O:$O,$B$2,DEALS!$E:$E,"&lt;="&amp;$U$4,DEALS!$S:$S,Y$6,DEALS!$U:$U,$T12,DEALS!$V:$V,"&lt;&gt;*RECEIVED*",DEALS!$V:$V,"&lt;&gt;*EXECUTED*"))</f>
        <v>0</v>
      </c>
      <c r="Z12" s="32" cm="1">
        <f t="array" ref="Z12">SUMIFS(BALANCES!$C:$C,BALANCES!$A:$A,$B$2,BALANCES!$B:$B,$T12,BALANCES!$D:$D,Z$6)+SUMIFS(FLOWS!$C:$C,FLOWS!$A:$A,$B$2,FLOWS!$E:$E,$T12,FLOWS!$D:$D,Z$6,FLOWS!$H:$H,"&lt;="&amp;$U$4)+SUM(SUMIFS(DEALS!$J:$J,DEALS!$A:$A,{"*REFUND*","*EXECUTED*"},DEALS!$G:$G,$B$2,DEALS!$E:$E,"&lt;="&amp;$U$4,DEALS!$K:$K,Z$6,DEALS!$M:$M,$T12,DEALS!$N:$N,"&lt;&gt;*RECEIVED*",DEALS!$N:$N,"&lt;&gt;*EXECUTED*"))+SUM(SUMIFS(DEALS!$R:$R,DEALS!$A:$A,{"*REFUND*","*EXECUTED*"},DEALS!$O:$O,$B$2,DEALS!$E:$E,"&lt;="&amp;$U$4,DEALS!$S:$S,Z$6,DEALS!$U:$U,$T12,DEALS!$V:$V,"&lt;&gt;*RECEIVED*",DEALS!$V:$V,"&lt;&gt;*EXECUTED*"))</f>
        <v>0</v>
      </c>
      <c r="AA12" s="33">
        <f ca="1">U12*VLOOKUP(U$6,'FX RATES'!$E$1:$F$50,2,FALSE)+V12*VLOOKUP(V$6,'FX RATES'!$E$1:$F$50,2,FALSE)+W12*VLOOKUP(W$6,'FX RATES'!$E$1:$F$50,2,FALSE)+X12*VLOOKUP(X$6,'FX RATES'!$E$1:$F$50,2,FALSE)+Y12*VLOOKUP(Y$6,'FX RATES'!$E$1:$F$50,2,FALSE)+Z12*VLOOKUP(Z$6,'FX RATES'!$E$1:$F$50,2,FALSE)</f>
        <v>7108.3444736698802</v>
      </c>
      <c r="AC12" s="139">
        <f t="shared" ca="1" si="4"/>
        <v>0</v>
      </c>
    </row>
    <row r="13" spans="2:29" ht="19">
      <c r="B13" s="28" t="s">
        <v>19</v>
      </c>
      <c r="C13" s="29" cm="1">
        <f t="array" ref="C13">SUMIFS(BALANCES!$C:$C,BALANCES!$A:$A,$B$2,BALANCES!$B:$B,$B13,BALANCES!$D:$D,C$6)+SUMIFS(FLOWS!$C:$C,FLOWS!$A:$A,$B$2,FLOWS!$E:$E,$B13,FLOWS!$D:$D,C$6,FLOWS!$H:$H,"&lt;"&amp;$C$4)+SUM(SUMIFS(DEALS!$J:$J,DEALS!$A:$A,{"*REFUND*","*EXECUTED*"},DEALS!$G:$G,$B$2,DEALS!$E:$E,"&lt;"&amp;$C$4,DEALS!$K:$K,C$6,DEALS!$M:$M,$B13,DEALS!$N:$N,"&lt;&gt;*RECEIVED*",DEALS!$N:$N,"&lt;&gt;*EXECUTED*"))+SUM(SUMIFS(DEALS!$R:$R,DEALS!$A:$A,{"*REFUND*","*EXECUTED*"},DEALS!$O:$O,$B$2,DEALS!$E:$E,"&lt;"&amp;$C$4,DEALS!$S:$S,C$6,DEALS!$U:$U,$B13,DEALS!$V:$V,"&lt;&gt;*RECEIVED*",DEALS!$V:$V,"&lt;&gt;*EXECUTED*"))</f>
        <v>33041.58</v>
      </c>
      <c r="D13" s="29" cm="1">
        <f t="array" ref="D13">SUMIFS(BALANCES!$C:$C,BALANCES!$A:$A,$B$2,BALANCES!$B:$B,$B13,BALANCES!$D:$D,D$6)+SUMIFS(FLOWS!$C:$C,FLOWS!$A:$A,$B$2,FLOWS!$E:$E,$B13,FLOWS!$D:$D,D$6,FLOWS!$H:$H,"&lt;"&amp;$C$4)+SUM(SUMIFS(DEALS!$J:$J,DEALS!$A:$A,{"*REFUND*","*EXECUTED*"},DEALS!$G:$G,$B$2,DEALS!$E:$E,"&lt;"&amp;$C$4,DEALS!$K:$K,D$6,DEALS!$M:$M,$B13,DEALS!$N:$N,"&lt;&gt;*RECEIVED*",DEALS!$N:$N,"&lt;&gt;*EXECUTED*"))+SUM(SUMIFS(DEALS!$R:$R,DEALS!$A:$A,{"*REFUND*","*EXECUTED*"},DEALS!$O:$O,$B$2,DEALS!$E:$E,"&lt;"&amp;$C$4,DEALS!$S:$S,D$6,DEALS!$U:$U,$B13,DEALS!$V:$V,"&lt;&gt;*RECEIVED*",DEALS!$V:$V,"&lt;&gt;*EXECUTED*"))</f>
        <v>6449.57</v>
      </c>
      <c r="E13" s="29" cm="1">
        <f t="array" ref="E13">SUMIFS(BALANCES!$C:$C,BALANCES!$A:$A,$B$2,BALANCES!$B:$B,$B13,BALANCES!$D:$D,E$6)+SUMIFS(FLOWS!$C:$C,FLOWS!$A:$A,$B$2,FLOWS!$E:$E,$B13,FLOWS!$D:$D,E$6,FLOWS!$H:$H,"&lt;"&amp;$C$4)+SUM(SUMIFS(DEALS!$J:$J,DEALS!$A:$A,{"*REFUND*","*EXECUTED*"},DEALS!$G:$G,$B$2,DEALS!$E:$E,"&lt;"&amp;$C$4,DEALS!$K:$K,E$6,DEALS!$M:$M,$B13,DEALS!$N:$N,"&lt;&gt;*RECEIVED*",DEALS!$N:$N,"&lt;&gt;*EXECUTED*"))+SUM(SUMIFS(DEALS!$R:$R,DEALS!$A:$A,{"*REFUND*","*EXECUTED*"},DEALS!$O:$O,$B$2,DEALS!$E:$E,"&lt;"&amp;$C$4,DEALS!$S:$S,E$6,DEALS!$U:$U,$B13,DEALS!$V:$V,"&lt;&gt;*RECEIVED*",DEALS!$V:$V,"&lt;&gt;*EXECUTED*"))</f>
        <v>0</v>
      </c>
      <c r="F13" s="29" cm="1">
        <f t="array" ref="F13">SUMIFS(BALANCES!$C:$C,BALANCES!$A:$A,$B$2,BALANCES!$B:$B,$B13,BALANCES!$D:$D,F$6)+SUMIFS(FLOWS!$C:$C,FLOWS!$A:$A,$B$2,FLOWS!$E:$E,$B13,FLOWS!$D:$D,F$6,FLOWS!$H:$H,"&lt;"&amp;$C$4)+SUM(SUMIFS(DEALS!$J:$J,DEALS!$A:$A,{"*REFUND*","*EXECUTED*"},DEALS!$G:$G,$B$2,DEALS!$E:$E,"&lt;"&amp;$C$4,DEALS!$K:$K,F$6,DEALS!$M:$M,$B13,DEALS!$N:$N,"&lt;&gt;*RECEIVED*",DEALS!$N:$N,"&lt;&gt;*EXECUTED*"))+SUM(SUMIFS(DEALS!$R:$R,DEALS!$A:$A,{"*REFUND*","*EXECUTED*"},DEALS!$O:$O,$B$2,DEALS!$E:$E,"&lt;"&amp;$C$4,DEALS!$S:$S,F$6,DEALS!$U:$U,$B13,DEALS!$V:$V,"&lt;&gt;*RECEIVED*",DEALS!$V:$V,"&lt;&gt;*EXECUTED*"))</f>
        <v>0</v>
      </c>
      <c r="G13" s="29" cm="1">
        <f t="array" ref="G13">SUMIFS(BALANCES!$C:$C,BALANCES!$A:$A,$B$2,BALANCES!$B:$B,$B13,BALANCES!$D:$D,G$6)+SUMIFS(FLOWS!$C:$C,FLOWS!$A:$A,$B$2,FLOWS!$E:$E,$B13,FLOWS!$D:$D,G$6,FLOWS!$H:$H,"&lt;"&amp;$C$4)+SUM(SUMIFS(DEALS!$J:$J,DEALS!$A:$A,{"*REFUND*","*EXECUTED*"},DEALS!$G:$G,$B$2,DEALS!$E:$E,"&lt;"&amp;$C$4,DEALS!$K:$K,G$6,DEALS!$M:$M,$B13,DEALS!$N:$N,"&lt;&gt;*RECEIVED*",DEALS!$N:$N,"&lt;&gt;*EXECUTED*"))+SUM(SUMIFS(DEALS!$R:$R,DEALS!$A:$A,{"*REFUND*","*EXECUTED*"},DEALS!$O:$O,$B$2,DEALS!$E:$E,"&lt;"&amp;$C$4,DEALS!$S:$S,G$6,DEALS!$U:$U,$B13,DEALS!$V:$V,"&lt;&gt;*RECEIVED*",DEALS!$V:$V,"&lt;&gt;*EXECUTED*"))</f>
        <v>0</v>
      </c>
      <c r="H13" s="29" cm="1">
        <f t="array" ref="H13">SUMIFS(BALANCES!$C:$C,BALANCES!$A:$A,$B$2,BALANCES!$B:$B,$B13,BALANCES!$D:$D,H$6)+SUMIFS(FLOWS!$C:$C,FLOWS!$A:$A,$B$2,FLOWS!$E:$E,$B13,FLOWS!$D:$D,H$6,FLOWS!$H:$H,"&lt;"&amp;$C$4)+SUM(SUMIFS(DEALS!$J:$J,DEALS!$A:$A,{"*REFUND*","*EXECUTED*"},DEALS!$G:$G,$B$2,DEALS!$E:$E,"&lt;"&amp;$C$4,DEALS!$K:$K,H$6,DEALS!$M:$M,$B13,DEALS!$N:$N,"&lt;&gt;*RECEIVED*",DEALS!$N:$N,"&lt;&gt;*EXECUTED*"))+SUM(SUMIFS(DEALS!$R:$R,DEALS!$A:$A,{"*REFUND*","*EXECUTED*"},DEALS!$O:$O,$B$2,DEALS!$E:$E,"&lt;"&amp;$C$4,DEALS!$S:$S,H$6,DEALS!$U:$U,$B13,DEALS!$V:$V,"&lt;&gt;*RECEIVED*",DEALS!$V:$V,"&lt;&gt;*EXECUTED*"))</f>
        <v>0</v>
      </c>
      <c r="I13" s="30">
        <f ca="1">C13*VLOOKUP(C$6,'FX RATES'!$E$1:$F$50,2,FALSE)+D13*VLOOKUP(D$6,'FX RATES'!$E$1:$F$50,2,FALSE)+E13*VLOOKUP(E$6,'FX RATES'!$E$1:$F$50,2,FALSE)+F13*VLOOKUP(F$6,'FX RATES'!$E$1:$F$50,2,FALSE)+G13*VLOOKUP(G$6,'FX RATES'!$E$1:$F$50,2,FALSE)+H13*VLOOKUP(H$6,'FX RATES'!$E$1:$F$50,2,FALSE)</f>
        <v>40639.173459999998</v>
      </c>
      <c r="K13" s="28" t="str">
        <f t="shared" ref="K13:K24" si="6">B13</f>
        <v>ALSAL</v>
      </c>
      <c r="L13" s="29" cm="1">
        <f t="array" ref="L13">SUMIFS(FLOWS!$C:$C,FLOWS!$A:$A,$B$2,FLOWS!$E:$E,$K13,FLOWS!$D:$D,L$6,FLOWS!$H:$H,"&gt;="&amp;$C$4,FLOWS!$H:$H,"&lt;="&amp;$U$4)+SUM(SUMIFS(DEALS!$J:$J,DEALS!$A:$A,{"*REFUND*","*EXECUTED*"},DEALS!$G:$G,$B$2,DEALS!$E:$E,"&gt;="&amp;$C$4,DEALS!$E:$E,"&lt;="&amp;$U$4,DEALS!$K:$K,L$6,DEALS!$M:$M,$K13,DEALS!$N:$N,"&lt;&gt;*RECEIVED*",DEALS!$N:$N,"&lt;&gt;*EXECUTED*"))+SUM(SUMIFS(DEALS!$R:$R,DEALS!$A:$A,{"*REFUND*","*EXECUTED*"},DEALS!$O:$O,$B$2,DEALS!$E:$E,"&gt;="&amp;$C$4,DEALS!$E:$E,"&lt;="&amp;$U$4,DEALS!$S:$S,L$6,DEALS!$U:$U,$K13,DEALS!$V:$V,"&lt;&gt;*RECEIVED*",DEALS!$V:$V,"&lt;&gt;*EXECUTED*"))</f>
        <v>0</v>
      </c>
      <c r="M13" s="29" cm="1">
        <f t="array" ref="M13">SUMIFS(FLOWS!$C:$C,FLOWS!$A:$A,$B$2,FLOWS!$E:$E,$K13,FLOWS!$D:$D,M$6,FLOWS!$H:$H,"&gt;="&amp;$C$4,FLOWS!$H:$H,"&lt;="&amp;$U$4)+SUM(SUMIFS(DEALS!$J:$J,DEALS!$A:$A,{"*REFUND*","*EXECUTED*"},DEALS!$G:$G,$B$2,DEALS!$E:$E,"&gt;="&amp;$C$4,DEALS!$E:$E,"&lt;="&amp;$U$4,DEALS!$K:$K,M$6,DEALS!$M:$M,$K13,DEALS!$N:$N,"&lt;&gt;*RECEIVED*",DEALS!$N:$N,"&lt;&gt;*EXECUTED*"))+SUM(SUMIFS(DEALS!$R:$R,DEALS!$A:$A,{"*REFUND*","*EXECUTED*"},DEALS!$O:$O,$B$2,DEALS!$E:$E,"&gt;="&amp;$C$4,DEALS!$E:$E,"&lt;="&amp;$U$4,DEALS!$S:$S,M$6,DEALS!$U:$U,$K13,DEALS!$V:$V,"&lt;&gt;*RECEIVED*",DEALS!$V:$V,"&lt;&gt;*EXECUTED*"))</f>
        <v>0</v>
      </c>
      <c r="N13" s="29" cm="1">
        <f t="array" ref="N13">SUMIFS(FLOWS!$C:$C,FLOWS!$A:$A,$B$2,FLOWS!$E:$E,$K13,FLOWS!$D:$D,N$6,FLOWS!$H:$H,"&gt;="&amp;$C$4,FLOWS!$H:$H,"&lt;="&amp;$U$4)+SUM(SUMIFS(DEALS!$J:$J,DEALS!$A:$A,{"*REFUND*","*EXECUTED*"},DEALS!$G:$G,$B$2,DEALS!$E:$E,"&gt;="&amp;$C$4,DEALS!$E:$E,"&lt;="&amp;$U$4,DEALS!$K:$K,N$6,DEALS!$M:$M,$K13,DEALS!$N:$N,"&lt;&gt;*RECEIVED*",DEALS!$N:$N,"&lt;&gt;*EXECUTED*"))+SUM(SUMIFS(DEALS!$R:$R,DEALS!$A:$A,{"*REFUND*","*EXECUTED*"},DEALS!$O:$O,$B$2,DEALS!$E:$E,"&gt;="&amp;$C$4,DEALS!$E:$E,"&lt;="&amp;$U$4,DEALS!$S:$S,N$6,DEALS!$U:$U,$K13,DEALS!$V:$V,"&lt;&gt;*RECEIVED*",DEALS!$V:$V,"&lt;&gt;*EXECUTED*"))</f>
        <v>0</v>
      </c>
      <c r="O13" s="29" cm="1">
        <f t="array" ref="O13">SUMIFS(FLOWS!$C:$C,FLOWS!$A:$A,$B$2,FLOWS!$E:$E,$K13,FLOWS!$D:$D,O$6,FLOWS!$H:$H,"&gt;="&amp;$C$4,FLOWS!$H:$H,"&lt;="&amp;$U$4)+SUM(SUMIFS(DEALS!$J:$J,DEALS!$A:$A,{"*REFUND*","*EXECUTED*"},DEALS!$G:$G,$B$2,DEALS!$E:$E,"&gt;="&amp;$C$4,DEALS!$E:$E,"&lt;="&amp;$U$4,DEALS!$K:$K,O$6,DEALS!$M:$M,$K13,DEALS!$N:$N,"&lt;&gt;*RECEIVED*",DEALS!$N:$N,"&lt;&gt;*EXECUTED*"))+SUM(SUMIFS(DEALS!$R:$R,DEALS!$A:$A,{"*REFUND*","*EXECUTED*"},DEALS!$O:$O,$B$2,DEALS!$E:$E,"&gt;="&amp;$C$4,DEALS!$E:$E,"&lt;="&amp;$U$4,DEALS!$S:$S,O$6,DEALS!$U:$U,$K13,DEALS!$V:$V,"&lt;&gt;*RECEIVED*",DEALS!$V:$V,"&lt;&gt;*EXECUTED*"))</f>
        <v>0</v>
      </c>
      <c r="P13" s="29" cm="1">
        <f t="array" ref="P13">SUMIFS(FLOWS!$C:$C,FLOWS!$A:$A,$B$2,FLOWS!$E:$E,$K13,FLOWS!$D:$D,P$6,FLOWS!$H:$H,"&gt;="&amp;$C$4,FLOWS!$H:$H,"&lt;="&amp;$U$4)+SUM(SUMIFS(DEALS!$J:$J,DEALS!$A:$A,{"*REFUND*","*EXECUTED*"},DEALS!$G:$G,$B$2,DEALS!$E:$E,"&gt;="&amp;$C$4,DEALS!$E:$E,"&lt;="&amp;$U$4,DEALS!$K:$K,P$6,DEALS!$M:$M,$K13,DEALS!$N:$N,"&lt;&gt;*RECEIVED*",DEALS!$N:$N,"&lt;&gt;*EXECUTED*"))+SUM(SUMIFS(DEALS!$R:$R,DEALS!$A:$A,{"*REFUND*","*EXECUTED*"},DEALS!$O:$O,$B$2,DEALS!$E:$E,"&gt;="&amp;$C$4,DEALS!$E:$E,"&lt;="&amp;$U$4,DEALS!$S:$S,P$6,DEALS!$U:$U,$K13,DEALS!$V:$V,"&lt;&gt;*RECEIVED*",DEALS!$V:$V,"&lt;&gt;*EXECUTED*"))</f>
        <v>0</v>
      </c>
      <c r="Q13" s="29" cm="1">
        <f t="array" ref="Q13">SUMIFS(FLOWS!$C:$C,FLOWS!$A:$A,$B$2,FLOWS!$E:$E,$K13,FLOWS!$D:$D,Q$6,FLOWS!$H:$H,"&gt;="&amp;$C$4,FLOWS!$H:$H,"&lt;="&amp;$U$4)+SUM(SUMIFS(DEALS!$J:$J,DEALS!$A:$A,{"*REFUND*","*EXECUTED*"},DEALS!$G:$G,$B$2,DEALS!$E:$E,"&gt;="&amp;$C$4,DEALS!$E:$E,"&lt;="&amp;$U$4,DEALS!$K:$K,Q$6,DEALS!$M:$M,$K13,DEALS!$N:$N,"&lt;&gt;*RECEIVED*",DEALS!$N:$N,"&lt;&gt;*EXECUTED*"))+SUM(SUMIFS(DEALS!$R:$R,DEALS!$A:$A,{"*REFUND*","*EXECUTED*"},DEALS!$O:$O,$B$2,DEALS!$E:$E,"&gt;="&amp;$C$4,DEALS!$E:$E,"&lt;="&amp;$U$4,DEALS!$S:$S,Q$6,DEALS!$U:$U,$K13,DEALS!$V:$V,"&lt;&gt;*RECEIVED*",DEALS!$V:$V,"&lt;&gt;*EXECUTED*"))</f>
        <v>0</v>
      </c>
      <c r="R13" s="30">
        <f ca="1">L13*VLOOKUP(L$6,'FX RATES'!$E$1:$F$50,2,FALSE)+M13*VLOOKUP(M$6,'FX RATES'!$E$1:$F$50,2,FALSE)+N13*VLOOKUP(N$6,'FX RATES'!$E$1:$F$50,2,FALSE)+O13*VLOOKUP(O$6,'FX RATES'!$E$1:$F$50,2,FALSE)+P13*VLOOKUP(P$6,'FX RATES'!$E$1:$F$50,2,FALSE)+Q13*VLOOKUP(Q$6,'FX RATES'!$E$1:$F$50,2,FALSE)</f>
        <v>0</v>
      </c>
      <c r="T13" s="28" t="str">
        <f t="shared" ref="T13:T24" si="7">B13</f>
        <v>ALSAL</v>
      </c>
      <c r="U13" s="29" cm="1">
        <f t="array" ref="U13">SUMIFS(BALANCES!$C:$C,BALANCES!$A:$A,$B$2,BALANCES!$B:$B,$T13,BALANCES!$D:$D,U$6)+SUMIFS(FLOWS!$C:$C,FLOWS!$A:$A,$B$2,FLOWS!$E:$E,$T13,FLOWS!$D:$D,U$6,FLOWS!$H:$H,"&lt;="&amp;$U$4)+SUM(SUMIFS(DEALS!$J:$J,DEALS!$A:$A,{"*REFUND*","*EXECUTED*"},DEALS!$G:$G,$B$2,DEALS!$E:$E,"&lt;="&amp;$U$4,DEALS!$K:$K,U$6,DEALS!$M:$M,$T13,DEALS!$N:$N,"&lt;&gt;*RECEIVED*",DEALS!$N:$N,"&lt;&gt;*EXECUTED*"))+SUM(SUMIFS(DEALS!$R:$R,DEALS!$A:$A,{"*REFUND*","*EXECUTED*"},DEALS!$O:$O,$B$2,DEALS!$E:$E,"&lt;="&amp;$U$4,DEALS!$S:$S,U$6,DEALS!$U:$U,$T13,DEALS!$V:$V,"&lt;&gt;*RECEIVED*",DEALS!$V:$V,"&lt;&gt;*EXECUTED*"))</f>
        <v>33041.58</v>
      </c>
      <c r="V13" s="29" cm="1">
        <f t="array" ref="V13">SUMIFS(BALANCES!$C:$C,BALANCES!$A:$A,$B$2,BALANCES!$B:$B,$T13,BALANCES!$D:$D,V$6)+SUMIFS(FLOWS!$C:$C,FLOWS!$A:$A,$B$2,FLOWS!$E:$E,$T13,FLOWS!$D:$D,V$6,FLOWS!$H:$H,"&lt;="&amp;$U$4)+SUM(SUMIFS(DEALS!$J:$J,DEALS!$A:$A,{"*REFUND*","*EXECUTED*"},DEALS!$G:$G,$B$2,DEALS!$E:$E,"&lt;="&amp;$U$4,DEALS!$K:$K,V$6,DEALS!$M:$M,$T13,DEALS!$N:$N,"&lt;&gt;*RECEIVED*",DEALS!$N:$N,"&lt;&gt;*EXECUTED*"))+SUM(SUMIFS(DEALS!$R:$R,DEALS!$A:$A,{"*REFUND*","*EXECUTED*"},DEALS!$O:$O,$B$2,DEALS!$E:$E,"&lt;="&amp;$U$4,DEALS!$S:$S,V$6,DEALS!$U:$U,$T13,DEALS!$V:$V,"&lt;&gt;*RECEIVED*",DEALS!$V:$V,"&lt;&gt;*EXECUTED*"))</f>
        <v>6449.57</v>
      </c>
      <c r="W13" s="29" cm="1">
        <f t="array" ref="W13">SUMIFS(BALANCES!$C:$C,BALANCES!$A:$A,$B$2,BALANCES!$B:$B,$T13,BALANCES!$D:$D,W$6)+SUMIFS(FLOWS!$C:$C,FLOWS!$A:$A,$B$2,FLOWS!$E:$E,$T13,FLOWS!$D:$D,W$6,FLOWS!$H:$H,"&lt;="&amp;$U$4)+SUM(SUMIFS(DEALS!$J:$J,DEALS!$A:$A,{"*REFUND*","*EXECUTED*"},DEALS!$G:$G,$B$2,DEALS!$E:$E,"&lt;="&amp;$U$4,DEALS!$K:$K,W$6,DEALS!$M:$M,$T13,DEALS!$N:$N,"&lt;&gt;*RECEIVED*",DEALS!$N:$N,"&lt;&gt;*EXECUTED*"))+SUM(SUMIFS(DEALS!$R:$R,DEALS!$A:$A,{"*REFUND*","*EXECUTED*"},DEALS!$O:$O,$B$2,DEALS!$E:$E,"&lt;="&amp;$U$4,DEALS!$S:$S,W$6,DEALS!$U:$U,$T13,DEALS!$V:$V,"&lt;&gt;*RECEIVED*",DEALS!$V:$V,"&lt;&gt;*EXECUTED*"))</f>
        <v>0</v>
      </c>
      <c r="X13" s="29" cm="1">
        <f t="array" ref="X13">SUMIFS(BALANCES!$C:$C,BALANCES!$A:$A,$B$2,BALANCES!$B:$B,$T13,BALANCES!$D:$D,X$6)+SUMIFS(FLOWS!$C:$C,FLOWS!$A:$A,$B$2,FLOWS!$E:$E,$T13,FLOWS!$D:$D,X$6,FLOWS!$H:$H,"&lt;="&amp;$U$4)+SUM(SUMIFS(DEALS!$J:$J,DEALS!$A:$A,{"*REFUND*","*EXECUTED*"},DEALS!$G:$G,$B$2,DEALS!$E:$E,"&lt;="&amp;$U$4,DEALS!$K:$K,X$6,DEALS!$M:$M,$T13,DEALS!$N:$N,"&lt;&gt;*RECEIVED*",DEALS!$N:$N,"&lt;&gt;*EXECUTED*"))+SUM(SUMIFS(DEALS!$R:$R,DEALS!$A:$A,{"*REFUND*","*EXECUTED*"},DEALS!$O:$O,$B$2,DEALS!$E:$E,"&lt;="&amp;$U$4,DEALS!$S:$S,X$6,DEALS!$U:$U,$T13,DEALS!$V:$V,"&lt;&gt;*RECEIVED*",DEALS!$V:$V,"&lt;&gt;*EXECUTED*"))</f>
        <v>0</v>
      </c>
      <c r="Y13" s="29" cm="1">
        <f t="array" ref="Y13">SUMIFS(BALANCES!$C:$C,BALANCES!$A:$A,$B$2,BALANCES!$B:$B,$T13,BALANCES!$D:$D,Y$6)+SUMIFS(FLOWS!$C:$C,FLOWS!$A:$A,$B$2,FLOWS!$E:$E,$T13,FLOWS!$D:$D,Y$6,FLOWS!$H:$H,"&lt;="&amp;$U$4)+SUM(SUMIFS(DEALS!$J:$J,DEALS!$A:$A,{"*REFUND*","*EXECUTED*"},DEALS!$G:$G,$B$2,DEALS!$E:$E,"&lt;="&amp;$U$4,DEALS!$K:$K,Y$6,DEALS!$M:$M,$T13,DEALS!$N:$N,"&lt;&gt;*RECEIVED*",DEALS!$N:$N,"&lt;&gt;*EXECUTED*"))+SUM(SUMIFS(DEALS!$R:$R,DEALS!$A:$A,{"*REFUND*","*EXECUTED*"},DEALS!$O:$O,$B$2,DEALS!$E:$E,"&lt;="&amp;$U$4,DEALS!$S:$S,Y$6,DEALS!$U:$U,$T13,DEALS!$V:$V,"&lt;&gt;*RECEIVED*",DEALS!$V:$V,"&lt;&gt;*EXECUTED*"))</f>
        <v>0</v>
      </c>
      <c r="Z13" s="29" cm="1">
        <f t="array" ref="Z13">SUMIFS(BALANCES!$C:$C,BALANCES!$A:$A,$B$2,BALANCES!$B:$B,$T13,BALANCES!$D:$D,Z$6)+SUMIFS(FLOWS!$C:$C,FLOWS!$A:$A,$B$2,FLOWS!$E:$E,$T13,FLOWS!$D:$D,Z$6,FLOWS!$H:$H,"&lt;="&amp;$U$4)+SUM(SUMIFS(DEALS!$J:$J,DEALS!$A:$A,{"*REFUND*","*EXECUTED*"},DEALS!$G:$G,$B$2,DEALS!$E:$E,"&lt;="&amp;$U$4,DEALS!$K:$K,Z$6,DEALS!$M:$M,$T13,DEALS!$N:$N,"&lt;&gt;*RECEIVED*",DEALS!$N:$N,"&lt;&gt;*EXECUTED*"))+SUM(SUMIFS(DEALS!$R:$R,DEALS!$A:$A,{"*REFUND*","*EXECUTED*"},DEALS!$O:$O,$B$2,DEALS!$E:$E,"&lt;="&amp;$U$4,DEALS!$S:$S,Z$6,DEALS!$U:$U,$T13,DEALS!$V:$V,"&lt;&gt;*RECEIVED*",DEALS!$V:$V,"&lt;&gt;*EXECUTED*"))</f>
        <v>0</v>
      </c>
      <c r="AA13" s="30">
        <f ca="1">U13*VLOOKUP(U$6,'FX RATES'!$E$1:$F$50,2,FALSE)+V13*VLOOKUP(V$6,'FX RATES'!$E$1:$F$50,2,FALSE)+W13*VLOOKUP(W$6,'FX RATES'!$E$1:$F$50,2,FALSE)+X13*VLOOKUP(X$6,'FX RATES'!$E$1:$F$50,2,FALSE)+Y13*VLOOKUP(Y$6,'FX RATES'!$E$1:$F$50,2,FALSE)+Z13*VLOOKUP(Z$6,'FX RATES'!$E$1:$F$50,2,FALSE)</f>
        <v>40639.173459999998</v>
      </c>
      <c r="AC13" s="139">
        <f t="shared" ca="1" si="4"/>
        <v>0</v>
      </c>
    </row>
    <row r="14" spans="2:29" ht="19">
      <c r="B14" s="31" t="s">
        <v>20</v>
      </c>
      <c r="C14" s="32" cm="1">
        <f t="array" ref="C14">SUMIFS(BALANCES!$C:$C,BALANCES!$A:$A,$B$2,BALANCES!$B:$B,$B14,BALANCES!$D:$D,C$6)+SUMIFS(FLOWS!$C:$C,FLOWS!$A:$A,$B$2,FLOWS!$E:$E,$B14,FLOWS!$D:$D,C$6,FLOWS!$H:$H,"&lt;"&amp;$C$4)+SUM(SUMIFS(DEALS!$J:$J,DEALS!$A:$A,{"*REFUND*","*EXECUTED*"},DEALS!$G:$G,$B$2,DEALS!$E:$E,"&lt;"&amp;$C$4,DEALS!$K:$K,C$6,DEALS!$M:$M,$B14,DEALS!$N:$N,"&lt;&gt;*RECEIVED*",DEALS!$N:$N,"&lt;&gt;*EXECUTED*"))+SUM(SUMIFS(DEALS!$R:$R,DEALS!$A:$A,{"*REFUND*","*EXECUTED*"},DEALS!$O:$O,$B$2,DEALS!$E:$E,"&lt;"&amp;$C$4,DEALS!$S:$S,C$6,DEALS!$U:$U,$B14,DEALS!$V:$V,"&lt;&gt;*RECEIVED*",DEALS!$V:$V,"&lt;&gt;*EXECUTED*"))</f>
        <v>703.27</v>
      </c>
      <c r="D14" s="32" cm="1">
        <f t="array" ref="D14">SUMIFS(BALANCES!$C:$C,BALANCES!$A:$A,$B$2,BALANCES!$B:$B,$B14,BALANCES!$D:$D,D$6)+SUMIFS(FLOWS!$C:$C,FLOWS!$A:$A,$B$2,FLOWS!$E:$E,$B14,FLOWS!$D:$D,D$6,FLOWS!$H:$H,"&lt;"&amp;$C$4)+SUM(SUMIFS(DEALS!$J:$J,DEALS!$A:$A,{"*REFUND*","*EXECUTED*"},DEALS!$G:$G,$B$2,DEALS!$E:$E,"&lt;"&amp;$C$4,DEALS!$K:$K,D$6,DEALS!$M:$M,$B14,DEALS!$N:$N,"&lt;&gt;*RECEIVED*",DEALS!$N:$N,"&lt;&gt;*EXECUTED*"))+SUM(SUMIFS(DEALS!$R:$R,DEALS!$A:$A,{"*REFUND*","*EXECUTED*"},DEALS!$O:$O,$B$2,DEALS!$E:$E,"&lt;"&amp;$C$4,DEALS!$S:$S,D$6,DEALS!$U:$U,$B14,DEALS!$V:$V,"&lt;&gt;*RECEIVED*",DEALS!$V:$V,"&lt;&gt;*EXECUTED*"))</f>
        <v>0</v>
      </c>
      <c r="E14" s="32" cm="1">
        <f t="array" ref="E14">SUMIFS(BALANCES!$C:$C,BALANCES!$A:$A,$B$2,BALANCES!$B:$B,$B14,BALANCES!$D:$D,E$6)+SUMIFS(FLOWS!$C:$C,FLOWS!$A:$A,$B$2,FLOWS!$E:$E,$B14,FLOWS!$D:$D,E$6,FLOWS!$H:$H,"&lt;"&amp;$C$4)+SUM(SUMIFS(DEALS!$J:$J,DEALS!$A:$A,{"*REFUND*","*EXECUTED*"},DEALS!$G:$G,$B$2,DEALS!$E:$E,"&lt;"&amp;$C$4,DEALS!$K:$K,E$6,DEALS!$M:$M,$B14,DEALS!$N:$N,"&lt;&gt;*RECEIVED*",DEALS!$N:$N,"&lt;&gt;*EXECUTED*"))+SUM(SUMIFS(DEALS!$R:$R,DEALS!$A:$A,{"*REFUND*","*EXECUTED*"},DEALS!$O:$O,$B$2,DEALS!$E:$E,"&lt;"&amp;$C$4,DEALS!$S:$S,E$6,DEALS!$U:$U,$B14,DEALS!$V:$V,"&lt;&gt;*RECEIVED*",DEALS!$V:$V,"&lt;&gt;*EXECUTED*"))</f>
        <v>0.5</v>
      </c>
      <c r="F14" s="32" cm="1">
        <f t="array" ref="F14">SUMIFS(BALANCES!$C:$C,BALANCES!$A:$A,$B$2,BALANCES!$B:$B,$B14,BALANCES!$D:$D,F$6)+SUMIFS(FLOWS!$C:$C,FLOWS!$A:$A,$B$2,FLOWS!$E:$E,$B14,FLOWS!$D:$D,F$6,FLOWS!$H:$H,"&lt;"&amp;$C$4)+SUM(SUMIFS(DEALS!$J:$J,DEALS!$A:$A,{"*REFUND*","*EXECUTED*"},DEALS!$G:$G,$B$2,DEALS!$E:$E,"&lt;"&amp;$C$4,DEALS!$K:$K,F$6,DEALS!$M:$M,$B14,DEALS!$N:$N,"&lt;&gt;*RECEIVED*",DEALS!$N:$N,"&lt;&gt;*EXECUTED*"))+SUM(SUMIFS(DEALS!$R:$R,DEALS!$A:$A,{"*REFUND*","*EXECUTED*"},DEALS!$O:$O,$B$2,DEALS!$E:$E,"&lt;"&amp;$C$4,DEALS!$S:$S,F$6,DEALS!$U:$U,$B14,DEALS!$V:$V,"&lt;&gt;*RECEIVED*",DEALS!$V:$V,"&lt;&gt;*EXECUTED*"))</f>
        <v>56383.25</v>
      </c>
      <c r="G14" s="32" cm="1">
        <f t="array" ref="G14">SUMIFS(BALANCES!$C:$C,BALANCES!$A:$A,$B$2,BALANCES!$B:$B,$B14,BALANCES!$D:$D,G$6)+SUMIFS(FLOWS!$C:$C,FLOWS!$A:$A,$B$2,FLOWS!$E:$E,$B14,FLOWS!$D:$D,G$6,FLOWS!$H:$H,"&lt;"&amp;$C$4)+SUM(SUMIFS(DEALS!$J:$J,DEALS!$A:$A,{"*REFUND*","*EXECUTED*"},DEALS!$G:$G,$B$2,DEALS!$E:$E,"&lt;"&amp;$C$4,DEALS!$K:$K,G$6,DEALS!$M:$M,$B14,DEALS!$N:$N,"&lt;&gt;*RECEIVED*",DEALS!$N:$N,"&lt;&gt;*EXECUTED*"))+SUM(SUMIFS(DEALS!$R:$R,DEALS!$A:$A,{"*REFUND*","*EXECUTED*"},DEALS!$O:$O,$B$2,DEALS!$E:$E,"&lt;"&amp;$C$4,DEALS!$S:$S,G$6,DEALS!$U:$U,$B14,DEALS!$V:$V,"&lt;&gt;*RECEIVED*",DEALS!$V:$V,"&lt;&gt;*EXECUTED*"))</f>
        <v>0</v>
      </c>
      <c r="H14" s="32" cm="1">
        <f t="array" ref="H14">SUMIFS(BALANCES!$C:$C,BALANCES!$A:$A,$B$2,BALANCES!$B:$B,$B14,BALANCES!$D:$D,H$6)+SUMIFS(FLOWS!$C:$C,FLOWS!$A:$A,$B$2,FLOWS!$E:$E,$B14,FLOWS!$D:$D,H$6,FLOWS!$H:$H,"&lt;"&amp;$C$4)+SUM(SUMIFS(DEALS!$J:$J,DEALS!$A:$A,{"*REFUND*","*EXECUTED*"},DEALS!$G:$G,$B$2,DEALS!$E:$E,"&lt;"&amp;$C$4,DEALS!$K:$K,H$6,DEALS!$M:$M,$B14,DEALS!$N:$N,"&lt;&gt;*RECEIVED*",DEALS!$N:$N,"&lt;&gt;*EXECUTED*"))+SUM(SUMIFS(DEALS!$R:$R,DEALS!$A:$A,{"*REFUND*","*EXECUTED*"},DEALS!$O:$O,$B$2,DEALS!$E:$E,"&lt;"&amp;$C$4,DEALS!$S:$S,H$6,DEALS!$U:$U,$B14,DEALS!$V:$V,"&lt;&gt;*RECEIVED*",DEALS!$V:$V,"&lt;&gt;*EXECUTED*"))</f>
        <v>0</v>
      </c>
      <c r="I14" s="33">
        <f ca="1">C14*VLOOKUP(C$6,'FX RATES'!$E$1:$F$50,2,FALSE)+D14*VLOOKUP(D$6,'FX RATES'!$E$1:$F$50,2,FALSE)+E14*VLOOKUP(E$6,'FX RATES'!$E$1:$F$50,2,FALSE)+F14*VLOOKUP(F$6,'FX RATES'!$E$1:$F$50,2,FALSE)+G14*VLOOKUP(G$6,'FX RATES'!$E$1:$F$50,2,FALSE)+H14*VLOOKUP(H$6,'FX RATES'!$E$1:$F$50,2,FALSE)</f>
        <v>16055.749393953898</v>
      </c>
      <c r="J14" s="145"/>
      <c r="K14" s="31" t="str">
        <f t="shared" si="6"/>
        <v>UAB</v>
      </c>
      <c r="L14" s="32" cm="1">
        <f t="array" ref="L14">SUMIFS(FLOWS!$C:$C,FLOWS!$A:$A,$B$2,FLOWS!$E:$E,$K14,FLOWS!$D:$D,L$6,FLOWS!$H:$H,"&gt;="&amp;$C$4,FLOWS!$H:$H,"&lt;="&amp;$U$4)+SUM(SUMIFS(DEALS!$J:$J,DEALS!$A:$A,{"*REFUND*","*EXECUTED*"},DEALS!$G:$G,$B$2,DEALS!$E:$E,"&gt;="&amp;$C$4,DEALS!$E:$E,"&lt;="&amp;$U$4,DEALS!$K:$K,L$6,DEALS!$M:$M,$K14,DEALS!$N:$N,"&lt;&gt;*RECEIVED*",DEALS!$N:$N,"&lt;&gt;*EXECUTED*"))+SUM(SUMIFS(DEALS!$R:$R,DEALS!$A:$A,{"*REFUND*","*EXECUTED*"},DEALS!$O:$O,$B$2,DEALS!$E:$E,"&gt;="&amp;$C$4,DEALS!$E:$E,"&lt;="&amp;$U$4,DEALS!$S:$S,L$6,DEALS!$U:$U,$K14,DEALS!$V:$V,"&lt;&gt;*RECEIVED*",DEALS!$V:$V,"&lt;&gt;*EXECUTED*"))</f>
        <v>0</v>
      </c>
      <c r="M14" s="32" cm="1">
        <f t="array" ref="M14">SUMIFS(FLOWS!$C:$C,FLOWS!$A:$A,$B$2,FLOWS!$E:$E,$K14,FLOWS!$D:$D,M$6,FLOWS!$H:$H,"&gt;="&amp;$C$4,FLOWS!$H:$H,"&lt;="&amp;$U$4)+SUM(SUMIFS(DEALS!$J:$J,DEALS!$A:$A,{"*REFUND*","*EXECUTED*"},DEALS!$G:$G,$B$2,DEALS!$E:$E,"&gt;="&amp;$C$4,DEALS!$E:$E,"&lt;="&amp;$U$4,DEALS!$K:$K,M$6,DEALS!$M:$M,$K14,DEALS!$N:$N,"&lt;&gt;*RECEIVED*",DEALS!$N:$N,"&lt;&gt;*EXECUTED*"))+SUM(SUMIFS(DEALS!$R:$R,DEALS!$A:$A,{"*REFUND*","*EXECUTED*"},DEALS!$O:$O,$B$2,DEALS!$E:$E,"&gt;="&amp;$C$4,DEALS!$E:$E,"&lt;="&amp;$U$4,DEALS!$S:$S,M$6,DEALS!$U:$U,$K14,DEALS!$V:$V,"&lt;&gt;*RECEIVED*",DEALS!$V:$V,"&lt;&gt;*EXECUTED*"))</f>
        <v>0</v>
      </c>
      <c r="N14" s="32" cm="1">
        <f t="array" ref="N14">SUMIFS(FLOWS!$C:$C,FLOWS!$A:$A,$B$2,FLOWS!$E:$E,$K14,FLOWS!$D:$D,N$6,FLOWS!$H:$H,"&gt;="&amp;$C$4,FLOWS!$H:$H,"&lt;="&amp;$U$4)+SUM(SUMIFS(DEALS!$J:$J,DEALS!$A:$A,{"*REFUND*","*EXECUTED*"},DEALS!$G:$G,$B$2,DEALS!$E:$E,"&gt;="&amp;$C$4,DEALS!$E:$E,"&lt;="&amp;$U$4,DEALS!$K:$K,N$6,DEALS!$M:$M,$K14,DEALS!$N:$N,"&lt;&gt;*RECEIVED*",DEALS!$N:$N,"&lt;&gt;*EXECUTED*"))+SUM(SUMIFS(DEALS!$R:$R,DEALS!$A:$A,{"*REFUND*","*EXECUTED*"},DEALS!$O:$O,$B$2,DEALS!$E:$E,"&gt;="&amp;$C$4,DEALS!$E:$E,"&lt;="&amp;$U$4,DEALS!$S:$S,N$6,DEALS!$U:$U,$K14,DEALS!$V:$V,"&lt;&gt;*RECEIVED*",DEALS!$V:$V,"&lt;&gt;*EXECUTED*"))</f>
        <v>0</v>
      </c>
      <c r="O14" s="32" cm="1">
        <f t="array" ref="O14">SUMIFS(FLOWS!$C:$C,FLOWS!$A:$A,$B$2,FLOWS!$E:$E,$K14,FLOWS!$D:$D,O$6,FLOWS!$H:$H,"&gt;="&amp;$C$4,FLOWS!$H:$H,"&lt;="&amp;$U$4)+SUM(SUMIFS(DEALS!$J:$J,DEALS!$A:$A,{"*REFUND*","*EXECUTED*"},DEALS!$G:$G,$B$2,DEALS!$E:$E,"&gt;="&amp;$C$4,DEALS!$E:$E,"&lt;="&amp;$U$4,DEALS!$K:$K,O$6,DEALS!$M:$M,$K14,DEALS!$N:$N,"&lt;&gt;*RECEIVED*",DEALS!$N:$N,"&lt;&gt;*EXECUTED*"))+SUM(SUMIFS(DEALS!$R:$R,DEALS!$A:$A,{"*REFUND*","*EXECUTED*"},DEALS!$O:$O,$B$2,DEALS!$E:$E,"&gt;="&amp;$C$4,DEALS!$E:$E,"&lt;="&amp;$U$4,DEALS!$S:$S,O$6,DEALS!$U:$U,$K14,DEALS!$V:$V,"&lt;&gt;*RECEIVED*",DEALS!$V:$V,"&lt;&gt;*EXECUTED*"))</f>
        <v>0</v>
      </c>
      <c r="P14" s="32" cm="1">
        <f t="array" ref="P14">SUMIFS(FLOWS!$C:$C,FLOWS!$A:$A,$B$2,FLOWS!$E:$E,$K14,FLOWS!$D:$D,P$6,FLOWS!$H:$H,"&gt;="&amp;$C$4,FLOWS!$H:$H,"&lt;="&amp;$U$4)+SUM(SUMIFS(DEALS!$J:$J,DEALS!$A:$A,{"*REFUND*","*EXECUTED*"},DEALS!$G:$G,$B$2,DEALS!$E:$E,"&gt;="&amp;$C$4,DEALS!$E:$E,"&lt;="&amp;$U$4,DEALS!$K:$K,P$6,DEALS!$M:$M,$K14,DEALS!$N:$N,"&lt;&gt;*RECEIVED*",DEALS!$N:$N,"&lt;&gt;*EXECUTED*"))+SUM(SUMIFS(DEALS!$R:$R,DEALS!$A:$A,{"*REFUND*","*EXECUTED*"},DEALS!$O:$O,$B$2,DEALS!$E:$E,"&gt;="&amp;$C$4,DEALS!$E:$E,"&lt;="&amp;$U$4,DEALS!$S:$S,P$6,DEALS!$U:$U,$K14,DEALS!$V:$V,"&lt;&gt;*RECEIVED*",DEALS!$V:$V,"&lt;&gt;*EXECUTED*"))</f>
        <v>0</v>
      </c>
      <c r="Q14" s="32" cm="1">
        <f t="array" ref="Q14">SUMIFS(FLOWS!$C:$C,FLOWS!$A:$A,$B$2,FLOWS!$E:$E,$K14,FLOWS!$D:$D,Q$6,FLOWS!$H:$H,"&gt;="&amp;$C$4,FLOWS!$H:$H,"&lt;="&amp;$U$4)+SUM(SUMIFS(DEALS!$J:$J,DEALS!$A:$A,{"*REFUND*","*EXECUTED*"},DEALS!$G:$G,$B$2,DEALS!$E:$E,"&gt;="&amp;$C$4,DEALS!$E:$E,"&lt;="&amp;$U$4,DEALS!$K:$K,Q$6,DEALS!$M:$M,$K14,DEALS!$N:$N,"&lt;&gt;*RECEIVED*",DEALS!$N:$N,"&lt;&gt;*EXECUTED*"))+SUM(SUMIFS(DEALS!$R:$R,DEALS!$A:$A,{"*REFUND*","*EXECUTED*"},DEALS!$O:$O,$B$2,DEALS!$E:$E,"&gt;="&amp;$C$4,DEALS!$E:$E,"&lt;="&amp;$U$4,DEALS!$S:$S,Q$6,DEALS!$U:$U,$K14,DEALS!$V:$V,"&lt;&gt;*RECEIVED*",DEALS!$V:$V,"&lt;&gt;*EXECUTED*"))</f>
        <v>0</v>
      </c>
      <c r="R14" s="33">
        <f ca="1">L14*VLOOKUP(L$6,'FX RATES'!$E$1:$F$50,2,FALSE)+M14*VLOOKUP(M$6,'FX RATES'!$E$1:$F$50,2,FALSE)+N14*VLOOKUP(N$6,'FX RATES'!$E$1:$F$50,2,FALSE)+O14*VLOOKUP(O$6,'FX RATES'!$E$1:$F$50,2,FALSE)+P14*VLOOKUP(P$6,'FX RATES'!$E$1:$F$50,2,FALSE)+Q14*VLOOKUP(Q$6,'FX RATES'!$E$1:$F$50,2,FALSE)</f>
        <v>0</v>
      </c>
      <c r="T14" s="31" t="str">
        <f t="shared" si="7"/>
        <v>UAB</v>
      </c>
      <c r="U14" s="32" cm="1">
        <f t="array" ref="U14">SUMIFS(BALANCES!$C:$C,BALANCES!$A:$A,$B$2,BALANCES!$B:$B,$T14,BALANCES!$D:$D,U$6)+SUMIFS(FLOWS!$C:$C,FLOWS!$A:$A,$B$2,FLOWS!$E:$E,$T14,FLOWS!$D:$D,U$6,FLOWS!$H:$H,"&lt;="&amp;$U$4)+SUM(SUMIFS(DEALS!$J:$J,DEALS!$A:$A,{"*REFUND*","*EXECUTED*"},DEALS!$G:$G,$B$2,DEALS!$E:$E,"&lt;="&amp;$U$4,DEALS!$K:$K,U$6,DEALS!$M:$M,$T14,DEALS!$N:$N,"&lt;&gt;*RECEIVED*",DEALS!$N:$N,"&lt;&gt;*EXECUTED*"))+SUM(SUMIFS(DEALS!$R:$R,DEALS!$A:$A,{"*REFUND*","*EXECUTED*"},DEALS!$O:$O,$B$2,DEALS!$E:$E,"&lt;="&amp;$U$4,DEALS!$S:$S,U$6,DEALS!$U:$U,$T14,DEALS!$V:$V,"&lt;&gt;*RECEIVED*",DEALS!$V:$V,"&lt;&gt;*EXECUTED*"))</f>
        <v>703.27</v>
      </c>
      <c r="V14" s="32" cm="1">
        <f t="array" ref="V14">SUMIFS(BALANCES!$C:$C,BALANCES!$A:$A,$B$2,BALANCES!$B:$B,$T14,BALANCES!$D:$D,V$6)+SUMIFS(FLOWS!$C:$C,FLOWS!$A:$A,$B$2,FLOWS!$E:$E,$T14,FLOWS!$D:$D,V$6,FLOWS!$H:$H,"&lt;="&amp;$U$4)+SUM(SUMIFS(DEALS!$J:$J,DEALS!$A:$A,{"*REFUND*","*EXECUTED*"},DEALS!$G:$G,$B$2,DEALS!$E:$E,"&lt;="&amp;$U$4,DEALS!$K:$K,V$6,DEALS!$M:$M,$T14,DEALS!$N:$N,"&lt;&gt;*RECEIVED*",DEALS!$N:$N,"&lt;&gt;*EXECUTED*"))+SUM(SUMIFS(DEALS!$R:$R,DEALS!$A:$A,{"*REFUND*","*EXECUTED*"},DEALS!$O:$O,$B$2,DEALS!$E:$E,"&lt;="&amp;$U$4,DEALS!$S:$S,V$6,DEALS!$U:$U,$T14,DEALS!$V:$V,"&lt;&gt;*RECEIVED*",DEALS!$V:$V,"&lt;&gt;*EXECUTED*"))</f>
        <v>0</v>
      </c>
      <c r="W14" s="32" cm="1">
        <f t="array" ref="W14">SUMIFS(BALANCES!$C:$C,BALANCES!$A:$A,$B$2,BALANCES!$B:$B,$T14,BALANCES!$D:$D,W$6)+SUMIFS(FLOWS!$C:$C,FLOWS!$A:$A,$B$2,FLOWS!$E:$E,$T14,FLOWS!$D:$D,W$6,FLOWS!$H:$H,"&lt;="&amp;$U$4)+SUM(SUMIFS(DEALS!$J:$J,DEALS!$A:$A,{"*REFUND*","*EXECUTED*"},DEALS!$G:$G,$B$2,DEALS!$E:$E,"&lt;="&amp;$U$4,DEALS!$K:$K,W$6,DEALS!$M:$M,$T14,DEALS!$N:$N,"&lt;&gt;*RECEIVED*",DEALS!$N:$N,"&lt;&gt;*EXECUTED*"))+SUM(SUMIFS(DEALS!$R:$R,DEALS!$A:$A,{"*REFUND*","*EXECUTED*"},DEALS!$O:$O,$B$2,DEALS!$E:$E,"&lt;="&amp;$U$4,DEALS!$S:$S,W$6,DEALS!$U:$U,$T14,DEALS!$V:$V,"&lt;&gt;*RECEIVED*",DEALS!$V:$V,"&lt;&gt;*EXECUTED*"))</f>
        <v>0.5</v>
      </c>
      <c r="X14" s="32" cm="1">
        <f t="array" ref="X14">SUMIFS(BALANCES!$C:$C,BALANCES!$A:$A,$B$2,BALANCES!$B:$B,$T14,BALANCES!$D:$D,X$6)+SUMIFS(FLOWS!$C:$C,FLOWS!$A:$A,$B$2,FLOWS!$E:$E,$T14,FLOWS!$D:$D,X$6,FLOWS!$H:$H,"&lt;="&amp;$U$4)+SUM(SUMIFS(DEALS!$J:$J,DEALS!$A:$A,{"*REFUND*","*EXECUTED*"},DEALS!$G:$G,$B$2,DEALS!$E:$E,"&lt;="&amp;$U$4,DEALS!$K:$K,X$6,DEALS!$M:$M,$T14,DEALS!$N:$N,"&lt;&gt;*RECEIVED*",DEALS!$N:$N,"&lt;&gt;*EXECUTED*"))+SUM(SUMIFS(DEALS!$R:$R,DEALS!$A:$A,{"*REFUND*","*EXECUTED*"},DEALS!$O:$O,$B$2,DEALS!$E:$E,"&lt;="&amp;$U$4,DEALS!$S:$S,X$6,DEALS!$U:$U,$T14,DEALS!$V:$V,"&lt;&gt;*RECEIVED*",DEALS!$V:$V,"&lt;&gt;*EXECUTED*"))</f>
        <v>56383.25</v>
      </c>
      <c r="Y14" s="32" cm="1">
        <f t="array" ref="Y14">SUMIFS(BALANCES!$C:$C,BALANCES!$A:$A,$B$2,BALANCES!$B:$B,$T14,BALANCES!$D:$D,Y$6)+SUMIFS(FLOWS!$C:$C,FLOWS!$A:$A,$B$2,FLOWS!$E:$E,$T14,FLOWS!$D:$D,Y$6,FLOWS!$H:$H,"&lt;="&amp;$U$4)+SUM(SUMIFS(DEALS!$J:$J,DEALS!$A:$A,{"*REFUND*","*EXECUTED*"},DEALS!$G:$G,$B$2,DEALS!$E:$E,"&lt;="&amp;$U$4,DEALS!$K:$K,Y$6,DEALS!$M:$M,$T14,DEALS!$N:$N,"&lt;&gt;*RECEIVED*",DEALS!$N:$N,"&lt;&gt;*EXECUTED*"))+SUM(SUMIFS(DEALS!$R:$R,DEALS!$A:$A,{"*REFUND*","*EXECUTED*"},DEALS!$O:$O,$B$2,DEALS!$E:$E,"&lt;="&amp;$U$4,DEALS!$S:$S,Y$6,DEALS!$U:$U,$T14,DEALS!$V:$V,"&lt;&gt;*RECEIVED*",DEALS!$V:$V,"&lt;&gt;*EXECUTED*"))</f>
        <v>0</v>
      </c>
      <c r="Z14" s="32" cm="1">
        <f t="array" ref="Z14">SUMIFS(BALANCES!$C:$C,BALANCES!$A:$A,$B$2,BALANCES!$B:$B,$T14,BALANCES!$D:$D,Z$6)+SUMIFS(FLOWS!$C:$C,FLOWS!$A:$A,$B$2,FLOWS!$E:$E,$T14,FLOWS!$D:$D,Z$6,FLOWS!$H:$H,"&lt;="&amp;$U$4)+SUM(SUMIFS(DEALS!$J:$J,DEALS!$A:$A,{"*REFUND*","*EXECUTED*"},DEALS!$G:$G,$B$2,DEALS!$E:$E,"&lt;="&amp;$U$4,DEALS!$K:$K,Z$6,DEALS!$M:$M,$T14,DEALS!$N:$N,"&lt;&gt;*RECEIVED*",DEALS!$N:$N,"&lt;&gt;*EXECUTED*"))+SUM(SUMIFS(DEALS!$R:$R,DEALS!$A:$A,{"*REFUND*","*EXECUTED*"},DEALS!$O:$O,$B$2,DEALS!$E:$E,"&lt;="&amp;$U$4,DEALS!$S:$S,Z$6,DEALS!$U:$U,$T14,DEALS!$V:$V,"&lt;&gt;*RECEIVED*",DEALS!$V:$V,"&lt;&gt;*EXECUTED*"))</f>
        <v>0</v>
      </c>
      <c r="AA14" s="33">
        <f ca="1">U14*VLOOKUP(U$6,'FX RATES'!$E$1:$F$50,2,FALSE)+V14*VLOOKUP(V$6,'FX RATES'!$E$1:$F$50,2,FALSE)+W14*VLOOKUP(W$6,'FX RATES'!$E$1:$F$50,2,FALSE)+X14*VLOOKUP(X$6,'FX RATES'!$E$1:$F$50,2,FALSE)+Y14*VLOOKUP(Y$6,'FX RATES'!$E$1:$F$50,2,FALSE)+Z14*VLOOKUP(Z$6,'FX RATES'!$E$1:$F$50,2,FALSE)</f>
        <v>16055.749393953898</v>
      </c>
      <c r="AC14" s="139">
        <f t="shared" ca="1" si="4"/>
        <v>0</v>
      </c>
    </row>
    <row r="15" spans="2:29" ht="19">
      <c r="B15" s="28" t="s">
        <v>21</v>
      </c>
      <c r="C15" s="29" cm="1">
        <f t="array" ref="C15">SUMIFS(BALANCES!$C:$C,BALANCES!$A:$A,$B$2,BALANCES!$B:$B,$B15,BALANCES!$D:$D,C$6)+SUMIFS(FLOWS!$C:$C,FLOWS!$A:$A,$B$2,FLOWS!$E:$E,$B15,FLOWS!$D:$D,C$6,FLOWS!$H:$H,"&lt;"&amp;$C$4)+SUM(SUMIFS(DEALS!$J:$J,DEALS!$A:$A,{"*REFUND*","*EXECUTED*"},DEALS!$G:$G,$B$2,DEALS!$E:$E,"&lt;"&amp;$C$4,DEALS!$K:$K,C$6,DEALS!$M:$M,$B15,DEALS!$N:$N,"&lt;&gt;*RECEIVED*",DEALS!$N:$N,"&lt;&gt;*EXECUTED*"))+SUM(SUMIFS(DEALS!$R:$R,DEALS!$A:$A,{"*REFUND*","*EXECUTED*"},DEALS!$O:$O,$B$2,DEALS!$E:$E,"&lt;"&amp;$C$4,DEALS!$S:$S,C$6,DEALS!$U:$U,$B15,DEALS!$V:$V,"&lt;&gt;*RECEIVED*",DEALS!$V:$V,"&lt;&gt;*EXECUTED*"))</f>
        <v>0.52</v>
      </c>
      <c r="D15" s="29" cm="1">
        <f t="array" ref="D15">SUMIFS(BALANCES!$C:$C,BALANCES!$A:$A,$B$2,BALANCES!$B:$B,$B15,BALANCES!$D:$D,D$6)+SUMIFS(FLOWS!$C:$C,FLOWS!$A:$A,$B$2,FLOWS!$E:$E,$B15,FLOWS!$D:$D,D$6,FLOWS!$H:$H,"&lt;"&amp;$C$4)+SUM(SUMIFS(DEALS!$J:$J,DEALS!$A:$A,{"*REFUND*","*EXECUTED*"},DEALS!$G:$G,$B$2,DEALS!$E:$E,"&lt;"&amp;$C$4,DEALS!$K:$K,D$6,DEALS!$M:$M,$B15,DEALS!$N:$N,"&lt;&gt;*RECEIVED*",DEALS!$N:$N,"&lt;&gt;*EXECUTED*"))+SUM(SUMIFS(DEALS!$R:$R,DEALS!$A:$A,{"*REFUND*","*EXECUTED*"},DEALS!$O:$O,$B$2,DEALS!$E:$E,"&lt;"&amp;$C$4,DEALS!$S:$S,D$6,DEALS!$U:$U,$B15,DEALS!$V:$V,"&lt;&gt;*RECEIVED*",DEALS!$V:$V,"&lt;&gt;*EXECUTED*"))</f>
        <v>0</v>
      </c>
      <c r="E15" s="29" cm="1">
        <f t="array" ref="E15">SUMIFS(BALANCES!$C:$C,BALANCES!$A:$A,$B$2,BALANCES!$B:$B,$B15,BALANCES!$D:$D,E$6)+SUMIFS(FLOWS!$C:$C,FLOWS!$A:$A,$B$2,FLOWS!$E:$E,$B15,FLOWS!$D:$D,E$6,FLOWS!$H:$H,"&lt;"&amp;$C$4)+SUM(SUMIFS(DEALS!$J:$J,DEALS!$A:$A,{"*REFUND*","*EXECUTED*"},DEALS!$G:$G,$B$2,DEALS!$E:$E,"&lt;"&amp;$C$4,DEALS!$K:$K,E$6,DEALS!$M:$M,$B15,DEALS!$N:$N,"&lt;&gt;*RECEIVED*",DEALS!$N:$N,"&lt;&gt;*EXECUTED*"))+SUM(SUMIFS(DEALS!$R:$R,DEALS!$A:$A,{"*REFUND*","*EXECUTED*"},DEALS!$O:$O,$B$2,DEALS!$E:$E,"&lt;"&amp;$C$4,DEALS!$S:$S,E$6,DEALS!$U:$U,$B15,DEALS!$V:$V,"&lt;&gt;*RECEIVED*",DEALS!$V:$V,"&lt;&gt;*EXECUTED*"))</f>
        <v>80965.19</v>
      </c>
      <c r="F15" s="29" cm="1">
        <f t="array" ref="F15">SUMIFS(BALANCES!$C:$C,BALANCES!$A:$A,$B$2,BALANCES!$B:$B,$B15,BALANCES!$D:$D,F$6)+SUMIFS(FLOWS!$C:$C,FLOWS!$A:$A,$B$2,FLOWS!$E:$E,$B15,FLOWS!$D:$D,F$6,FLOWS!$H:$H,"&lt;"&amp;$C$4)+SUM(SUMIFS(DEALS!$J:$J,DEALS!$A:$A,{"*REFUND*","*EXECUTED*"},DEALS!$G:$G,$B$2,DEALS!$E:$E,"&lt;"&amp;$C$4,DEALS!$K:$K,F$6,DEALS!$M:$M,$B15,DEALS!$N:$N,"&lt;&gt;*RECEIVED*",DEALS!$N:$N,"&lt;&gt;*EXECUTED*"))+SUM(SUMIFS(DEALS!$R:$R,DEALS!$A:$A,{"*REFUND*","*EXECUTED*"},DEALS!$O:$O,$B$2,DEALS!$E:$E,"&lt;"&amp;$C$4,DEALS!$S:$S,F$6,DEALS!$U:$U,$B15,DEALS!$V:$V,"&lt;&gt;*RECEIVED*",DEALS!$V:$V,"&lt;&gt;*EXECUTED*"))</f>
        <v>0</v>
      </c>
      <c r="G15" s="29" cm="1">
        <f t="array" ref="G15">SUMIFS(BALANCES!$C:$C,BALANCES!$A:$A,$B$2,BALANCES!$B:$B,$B15,BALANCES!$D:$D,G$6)+SUMIFS(FLOWS!$C:$C,FLOWS!$A:$A,$B$2,FLOWS!$E:$E,$B15,FLOWS!$D:$D,G$6,FLOWS!$H:$H,"&lt;"&amp;$C$4)+SUM(SUMIFS(DEALS!$J:$J,DEALS!$A:$A,{"*REFUND*","*EXECUTED*"},DEALS!$G:$G,$B$2,DEALS!$E:$E,"&lt;"&amp;$C$4,DEALS!$K:$K,G$6,DEALS!$M:$M,$B15,DEALS!$N:$N,"&lt;&gt;*RECEIVED*",DEALS!$N:$N,"&lt;&gt;*EXECUTED*"))+SUM(SUMIFS(DEALS!$R:$R,DEALS!$A:$A,{"*REFUND*","*EXECUTED*"},DEALS!$O:$O,$B$2,DEALS!$E:$E,"&lt;"&amp;$C$4,DEALS!$S:$S,G$6,DEALS!$U:$U,$B15,DEALS!$V:$V,"&lt;&gt;*RECEIVED*",DEALS!$V:$V,"&lt;&gt;*EXECUTED*"))</f>
        <v>0</v>
      </c>
      <c r="H15" s="29" cm="1">
        <f t="array" ref="H15">SUMIFS(BALANCES!$C:$C,BALANCES!$A:$A,$B$2,BALANCES!$B:$B,$B15,BALANCES!$D:$D,H$6)+SUMIFS(FLOWS!$C:$C,FLOWS!$A:$A,$B$2,FLOWS!$E:$E,$B15,FLOWS!$D:$D,H$6,FLOWS!$H:$H,"&lt;"&amp;$C$4)+SUM(SUMIFS(DEALS!$J:$J,DEALS!$A:$A,{"*REFUND*","*EXECUTED*"},DEALS!$G:$G,$B$2,DEALS!$E:$E,"&lt;"&amp;$C$4,DEALS!$K:$K,H$6,DEALS!$M:$M,$B15,DEALS!$N:$N,"&lt;&gt;*RECEIVED*",DEALS!$N:$N,"&lt;&gt;*EXECUTED*"))+SUM(SUMIFS(DEALS!$R:$R,DEALS!$A:$A,{"*REFUND*","*EXECUTED*"},DEALS!$O:$O,$B$2,DEALS!$E:$E,"&lt;"&amp;$C$4,DEALS!$S:$S,H$6,DEALS!$U:$U,$B15,DEALS!$V:$V,"&lt;&gt;*RECEIVED*",DEALS!$V:$V,"&lt;&gt;*EXECUTED*"))</f>
        <v>0</v>
      </c>
      <c r="I15" s="30">
        <f ca="1">C15*VLOOKUP(C$6,'FX RATES'!$E$1:$F$50,2,FALSE)+D15*VLOOKUP(D$6,'FX RATES'!$E$1:$F$50,2,FALSE)+E15*VLOOKUP(E$6,'FX RATES'!$E$1:$F$50,2,FALSE)+F15*VLOOKUP(F$6,'FX RATES'!$E$1:$F$50,2,FALSE)+G15*VLOOKUP(G$6,'FX RATES'!$E$1:$F$50,2,FALSE)+H15*VLOOKUP(H$6,'FX RATES'!$E$1:$F$50,2,FALSE)</f>
        <v>11721.016525767227</v>
      </c>
      <c r="K15" s="28" t="str">
        <f t="shared" si="6"/>
        <v>ICBC CM</v>
      </c>
      <c r="L15" s="29" cm="1">
        <f t="array" ref="L15">SUMIFS(FLOWS!$C:$C,FLOWS!$A:$A,$B$2,FLOWS!$E:$E,$K15,FLOWS!$D:$D,L$6,FLOWS!$H:$H,"&gt;="&amp;$C$4,FLOWS!$H:$H,"&lt;="&amp;$U$4)+SUM(SUMIFS(DEALS!$J:$J,DEALS!$A:$A,{"*REFUND*","*EXECUTED*"},DEALS!$G:$G,$B$2,DEALS!$E:$E,"&gt;="&amp;$C$4,DEALS!$E:$E,"&lt;="&amp;$U$4,DEALS!$K:$K,L$6,DEALS!$M:$M,$K15,DEALS!$N:$N,"&lt;&gt;*RECEIVED*",DEALS!$N:$N,"&lt;&gt;*EXECUTED*"))+SUM(SUMIFS(DEALS!$R:$R,DEALS!$A:$A,{"*REFUND*","*EXECUTED*"},DEALS!$O:$O,$B$2,DEALS!$E:$E,"&gt;="&amp;$C$4,DEALS!$E:$E,"&lt;="&amp;$U$4,DEALS!$S:$S,L$6,DEALS!$U:$U,$K15,DEALS!$V:$V,"&lt;&gt;*RECEIVED*",DEALS!$V:$V,"&lt;&gt;*EXECUTED*"))</f>
        <v>0</v>
      </c>
      <c r="M15" s="29" cm="1">
        <f t="array" ref="M15">SUMIFS(FLOWS!$C:$C,FLOWS!$A:$A,$B$2,FLOWS!$E:$E,$K15,FLOWS!$D:$D,M$6,FLOWS!$H:$H,"&gt;="&amp;$C$4,FLOWS!$H:$H,"&lt;="&amp;$U$4)+SUM(SUMIFS(DEALS!$J:$J,DEALS!$A:$A,{"*REFUND*","*EXECUTED*"},DEALS!$G:$G,$B$2,DEALS!$E:$E,"&gt;="&amp;$C$4,DEALS!$E:$E,"&lt;="&amp;$U$4,DEALS!$K:$K,M$6,DEALS!$M:$M,$K15,DEALS!$N:$N,"&lt;&gt;*RECEIVED*",DEALS!$N:$N,"&lt;&gt;*EXECUTED*"))+SUM(SUMIFS(DEALS!$R:$R,DEALS!$A:$A,{"*REFUND*","*EXECUTED*"},DEALS!$O:$O,$B$2,DEALS!$E:$E,"&gt;="&amp;$C$4,DEALS!$E:$E,"&lt;="&amp;$U$4,DEALS!$S:$S,M$6,DEALS!$U:$U,$K15,DEALS!$V:$V,"&lt;&gt;*RECEIVED*",DEALS!$V:$V,"&lt;&gt;*EXECUTED*"))</f>
        <v>0</v>
      </c>
      <c r="N15" s="29" cm="1">
        <f t="array" ref="N15">SUMIFS(FLOWS!$C:$C,FLOWS!$A:$A,$B$2,FLOWS!$E:$E,$K15,FLOWS!$D:$D,N$6,FLOWS!$H:$H,"&gt;="&amp;$C$4,FLOWS!$H:$H,"&lt;="&amp;$U$4)+SUM(SUMIFS(DEALS!$J:$J,DEALS!$A:$A,{"*REFUND*","*EXECUTED*"},DEALS!$G:$G,$B$2,DEALS!$E:$E,"&gt;="&amp;$C$4,DEALS!$E:$E,"&lt;="&amp;$U$4,DEALS!$K:$K,N$6,DEALS!$M:$M,$K15,DEALS!$N:$N,"&lt;&gt;*RECEIVED*",DEALS!$N:$N,"&lt;&gt;*EXECUTED*"))+SUM(SUMIFS(DEALS!$R:$R,DEALS!$A:$A,{"*REFUND*","*EXECUTED*"},DEALS!$O:$O,$B$2,DEALS!$E:$E,"&gt;="&amp;$C$4,DEALS!$E:$E,"&lt;="&amp;$U$4,DEALS!$S:$S,N$6,DEALS!$U:$U,$K15,DEALS!$V:$V,"&lt;&gt;*RECEIVED*",DEALS!$V:$V,"&lt;&gt;*EXECUTED*"))</f>
        <v>0</v>
      </c>
      <c r="O15" s="29" cm="1">
        <f t="array" ref="O15">SUMIFS(FLOWS!$C:$C,FLOWS!$A:$A,$B$2,FLOWS!$E:$E,$K15,FLOWS!$D:$D,O$6,FLOWS!$H:$H,"&gt;="&amp;$C$4,FLOWS!$H:$H,"&lt;="&amp;$U$4)+SUM(SUMIFS(DEALS!$J:$J,DEALS!$A:$A,{"*REFUND*","*EXECUTED*"},DEALS!$G:$G,$B$2,DEALS!$E:$E,"&gt;="&amp;$C$4,DEALS!$E:$E,"&lt;="&amp;$U$4,DEALS!$K:$K,O$6,DEALS!$M:$M,$K15,DEALS!$N:$N,"&lt;&gt;*RECEIVED*",DEALS!$N:$N,"&lt;&gt;*EXECUTED*"))+SUM(SUMIFS(DEALS!$R:$R,DEALS!$A:$A,{"*REFUND*","*EXECUTED*"},DEALS!$O:$O,$B$2,DEALS!$E:$E,"&gt;="&amp;$C$4,DEALS!$E:$E,"&lt;="&amp;$U$4,DEALS!$S:$S,O$6,DEALS!$U:$U,$K15,DEALS!$V:$V,"&lt;&gt;*RECEIVED*",DEALS!$V:$V,"&lt;&gt;*EXECUTED*"))</f>
        <v>0</v>
      </c>
      <c r="P15" s="29" cm="1">
        <f t="array" ref="P15">SUMIFS(FLOWS!$C:$C,FLOWS!$A:$A,$B$2,FLOWS!$E:$E,$K15,FLOWS!$D:$D,P$6,FLOWS!$H:$H,"&gt;="&amp;$C$4,FLOWS!$H:$H,"&lt;="&amp;$U$4)+SUM(SUMIFS(DEALS!$J:$J,DEALS!$A:$A,{"*REFUND*","*EXECUTED*"},DEALS!$G:$G,$B$2,DEALS!$E:$E,"&gt;="&amp;$C$4,DEALS!$E:$E,"&lt;="&amp;$U$4,DEALS!$K:$K,P$6,DEALS!$M:$M,$K15,DEALS!$N:$N,"&lt;&gt;*RECEIVED*",DEALS!$N:$N,"&lt;&gt;*EXECUTED*"))+SUM(SUMIFS(DEALS!$R:$R,DEALS!$A:$A,{"*REFUND*","*EXECUTED*"},DEALS!$O:$O,$B$2,DEALS!$E:$E,"&gt;="&amp;$C$4,DEALS!$E:$E,"&lt;="&amp;$U$4,DEALS!$S:$S,P$6,DEALS!$U:$U,$K15,DEALS!$V:$V,"&lt;&gt;*RECEIVED*",DEALS!$V:$V,"&lt;&gt;*EXECUTED*"))</f>
        <v>0</v>
      </c>
      <c r="Q15" s="29" cm="1">
        <f t="array" ref="Q15">SUMIFS(FLOWS!$C:$C,FLOWS!$A:$A,$B$2,FLOWS!$E:$E,$K15,FLOWS!$D:$D,Q$6,FLOWS!$H:$H,"&gt;="&amp;$C$4,FLOWS!$H:$H,"&lt;="&amp;$U$4)+SUM(SUMIFS(DEALS!$J:$J,DEALS!$A:$A,{"*REFUND*","*EXECUTED*"},DEALS!$G:$G,$B$2,DEALS!$E:$E,"&gt;="&amp;$C$4,DEALS!$E:$E,"&lt;="&amp;$U$4,DEALS!$K:$K,Q$6,DEALS!$M:$M,$K15,DEALS!$N:$N,"&lt;&gt;*RECEIVED*",DEALS!$N:$N,"&lt;&gt;*EXECUTED*"))+SUM(SUMIFS(DEALS!$R:$R,DEALS!$A:$A,{"*REFUND*","*EXECUTED*"},DEALS!$O:$O,$B$2,DEALS!$E:$E,"&gt;="&amp;$C$4,DEALS!$E:$E,"&lt;="&amp;$U$4,DEALS!$S:$S,Q$6,DEALS!$U:$U,$K15,DEALS!$V:$V,"&lt;&gt;*RECEIVED*",DEALS!$V:$V,"&lt;&gt;*EXECUTED*"))</f>
        <v>0</v>
      </c>
      <c r="R15" s="30">
        <f ca="1">L15*VLOOKUP(L$6,'FX RATES'!$E$1:$F$50,2,FALSE)+M15*VLOOKUP(M$6,'FX RATES'!$E$1:$F$50,2,FALSE)+N15*VLOOKUP(N$6,'FX RATES'!$E$1:$F$50,2,FALSE)+O15*VLOOKUP(O$6,'FX RATES'!$E$1:$F$50,2,FALSE)+P15*VLOOKUP(P$6,'FX RATES'!$E$1:$F$50,2,FALSE)+Q15*VLOOKUP(Q$6,'FX RATES'!$E$1:$F$50,2,FALSE)</f>
        <v>0</v>
      </c>
      <c r="T15" s="28" t="str">
        <f t="shared" si="7"/>
        <v>ICBC CM</v>
      </c>
      <c r="U15" s="29" cm="1">
        <f t="array" ref="U15">SUMIFS(BALANCES!$C:$C,BALANCES!$A:$A,$B$2,BALANCES!$B:$B,$T15,BALANCES!$D:$D,U$6)+SUMIFS(FLOWS!$C:$C,FLOWS!$A:$A,$B$2,FLOWS!$E:$E,$T15,FLOWS!$D:$D,U$6,FLOWS!$H:$H,"&lt;="&amp;$U$4)+SUM(SUMIFS(DEALS!$J:$J,DEALS!$A:$A,{"*REFUND*","*EXECUTED*"},DEALS!$G:$G,$B$2,DEALS!$E:$E,"&lt;="&amp;$U$4,DEALS!$K:$K,U$6,DEALS!$M:$M,$T15,DEALS!$N:$N,"&lt;&gt;*RECEIVED*",DEALS!$N:$N,"&lt;&gt;*EXECUTED*"))+SUM(SUMIFS(DEALS!$R:$R,DEALS!$A:$A,{"*REFUND*","*EXECUTED*"},DEALS!$O:$O,$B$2,DEALS!$E:$E,"&lt;="&amp;$U$4,DEALS!$S:$S,U$6,DEALS!$U:$U,$T15,DEALS!$V:$V,"&lt;&gt;*RECEIVED*",DEALS!$V:$V,"&lt;&gt;*EXECUTED*"))</f>
        <v>0.52</v>
      </c>
      <c r="V15" s="29" cm="1">
        <f t="array" ref="V15">SUMIFS(BALANCES!$C:$C,BALANCES!$A:$A,$B$2,BALANCES!$B:$B,$T15,BALANCES!$D:$D,V$6)+SUMIFS(FLOWS!$C:$C,FLOWS!$A:$A,$B$2,FLOWS!$E:$E,$T15,FLOWS!$D:$D,V$6,FLOWS!$H:$H,"&lt;="&amp;$U$4)+SUM(SUMIFS(DEALS!$J:$J,DEALS!$A:$A,{"*REFUND*","*EXECUTED*"},DEALS!$G:$G,$B$2,DEALS!$E:$E,"&lt;="&amp;$U$4,DEALS!$K:$K,V$6,DEALS!$M:$M,$T15,DEALS!$N:$N,"&lt;&gt;*RECEIVED*",DEALS!$N:$N,"&lt;&gt;*EXECUTED*"))+SUM(SUMIFS(DEALS!$R:$R,DEALS!$A:$A,{"*REFUND*","*EXECUTED*"},DEALS!$O:$O,$B$2,DEALS!$E:$E,"&lt;="&amp;$U$4,DEALS!$S:$S,V$6,DEALS!$U:$U,$T15,DEALS!$V:$V,"&lt;&gt;*RECEIVED*",DEALS!$V:$V,"&lt;&gt;*EXECUTED*"))</f>
        <v>0</v>
      </c>
      <c r="W15" s="29" cm="1">
        <f t="array" ref="W15">SUMIFS(BALANCES!$C:$C,BALANCES!$A:$A,$B$2,BALANCES!$B:$B,$T15,BALANCES!$D:$D,W$6)+SUMIFS(FLOWS!$C:$C,FLOWS!$A:$A,$B$2,FLOWS!$E:$E,$T15,FLOWS!$D:$D,W$6,FLOWS!$H:$H,"&lt;="&amp;$U$4)+SUM(SUMIFS(DEALS!$J:$J,DEALS!$A:$A,{"*REFUND*","*EXECUTED*"},DEALS!$G:$G,$B$2,DEALS!$E:$E,"&lt;="&amp;$U$4,DEALS!$K:$K,W$6,DEALS!$M:$M,$T15,DEALS!$N:$N,"&lt;&gt;*RECEIVED*",DEALS!$N:$N,"&lt;&gt;*EXECUTED*"))+SUM(SUMIFS(DEALS!$R:$R,DEALS!$A:$A,{"*REFUND*","*EXECUTED*"},DEALS!$O:$O,$B$2,DEALS!$E:$E,"&lt;="&amp;$U$4,DEALS!$S:$S,W$6,DEALS!$U:$U,$T15,DEALS!$V:$V,"&lt;&gt;*RECEIVED*",DEALS!$V:$V,"&lt;&gt;*EXECUTED*"))</f>
        <v>80965.19</v>
      </c>
      <c r="X15" s="29" cm="1">
        <f t="array" ref="X15">SUMIFS(BALANCES!$C:$C,BALANCES!$A:$A,$B$2,BALANCES!$B:$B,$T15,BALANCES!$D:$D,X$6)+SUMIFS(FLOWS!$C:$C,FLOWS!$A:$A,$B$2,FLOWS!$E:$E,$T15,FLOWS!$D:$D,X$6,FLOWS!$H:$H,"&lt;="&amp;$U$4)+SUM(SUMIFS(DEALS!$J:$J,DEALS!$A:$A,{"*REFUND*","*EXECUTED*"},DEALS!$G:$G,$B$2,DEALS!$E:$E,"&lt;="&amp;$U$4,DEALS!$K:$K,X$6,DEALS!$M:$M,$T15,DEALS!$N:$N,"&lt;&gt;*RECEIVED*",DEALS!$N:$N,"&lt;&gt;*EXECUTED*"))+SUM(SUMIFS(DEALS!$R:$R,DEALS!$A:$A,{"*REFUND*","*EXECUTED*"},DEALS!$O:$O,$B$2,DEALS!$E:$E,"&lt;="&amp;$U$4,DEALS!$S:$S,X$6,DEALS!$U:$U,$T15,DEALS!$V:$V,"&lt;&gt;*RECEIVED*",DEALS!$V:$V,"&lt;&gt;*EXECUTED*"))</f>
        <v>0</v>
      </c>
      <c r="Y15" s="29" cm="1">
        <f t="array" ref="Y15">SUMIFS(BALANCES!$C:$C,BALANCES!$A:$A,$B$2,BALANCES!$B:$B,$T15,BALANCES!$D:$D,Y$6)+SUMIFS(FLOWS!$C:$C,FLOWS!$A:$A,$B$2,FLOWS!$E:$E,$T15,FLOWS!$D:$D,Y$6,FLOWS!$H:$H,"&lt;="&amp;$U$4)+SUM(SUMIFS(DEALS!$J:$J,DEALS!$A:$A,{"*REFUND*","*EXECUTED*"},DEALS!$G:$G,$B$2,DEALS!$E:$E,"&lt;="&amp;$U$4,DEALS!$K:$K,Y$6,DEALS!$M:$M,$T15,DEALS!$N:$N,"&lt;&gt;*RECEIVED*",DEALS!$N:$N,"&lt;&gt;*EXECUTED*"))+SUM(SUMIFS(DEALS!$R:$R,DEALS!$A:$A,{"*REFUND*","*EXECUTED*"},DEALS!$O:$O,$B$2,DEALS!$E:$E,"&lt;="&amp;$U$4,DEALS!$S:$S,Y$6,DEALS!$U:$U,$T15,DEALS!$V:$V,"&lt;&gt;*RECEIVED*",DEALS!$V:$V,"&lt;&gt;*EXECUTED*"))</f>
        <v>0</v>
      </c>
      <c r="Z15" s="29" cm="1">
        <f t="array" ref="Z15">SUMIFS(BALANCES!$C:$C,BALANCES!$A:$A,$B$2,BALANCES!$B:$B,$T15,BALANCES!$D:$D,Z$6)+SUMIFS(FLOWS!$C:$C,FLOWS!$A:$A,$B$2,FLOWS!$E:$E,$T15,FLOWS!$D:$D,Z$6,FLOWS!$H:$H,"&lt;="&amp;$U$4)+SUM(SUMIFS(DEALS!$J:$J,DEALS!$A:$A,{"*REFUND*","*EXECUTED*"},DEALS!$G:$G,$B$2,DEALS!$E:$E,"&lt;="&amp;$U$4,DEALS!$K:$K,Z$6,DEALS!$M:$M,$T15,DEALS!$N:$N,"&lt;&gt;*RECEIVED*",DEALS!$N:$N,"&lt;&gt;*EXECUTED*"))+SUM(SUMIFS(DEALS!$R:$R,DEALS!$A:$A,{"*REFUND*","*EXECUTED*"},DEALS!$O:$O,$B$2,DEALS!$E:$E,"&lt;="&amp;$U$4,DEALS!$S:$S,Z$6,DEALS!$U:$U,$T15,DEALS!$V:$V,"&lt;&gt;*RECEIVED*",DEALS!$V:$V,"&lt;&gt;*EXECUTED*"))</f>
        <v>0</v>
      </c>
      <c r="AA15" s="30">
        <f ca="1">U15*VLOOKUP(U$6,'FX RATES'!$E$1:$F$50,2,FALSE)+V15*VLOOKUP(V$6,'FX RATES'!$E$1:$F$50,2,FALSE)+W15*VLOOKUP(W$6,'FX RATES'!$E$1:$F$50,2,FALSE)+X15*VLOOKUP(X$6,'FX RATES'!$E$1:$F$50,2,FALSE)+Y15*VLOOKUP(Y$6,'FX RATES'!$E$1:$F$50,2,FALSE)+Z15*VLOOKUP(Z$6,'FX RATES'!$E$1:$F$50,2,FALSE)</f>
        <v>11721.016525767227</v>
      </c>
      <c r="AC15" s="139">
        <f t="shared" ca="1" si="4"/>
        <v>0</v>
      </c>
    </row>
    <row r="16" spans="2:29" ht="19">
      <c r="B16" s="31" t="s">
        <v>22</v>
      </c>
      <c r="C16" s="32" cm="1">
        <f t="array" ref="C16">SUMIFS(BALANCES!$C:$C,BALANCES!$A:$A,$B$2,BALANCES!$B:$B,$B16,BALANCES!$D:$D,C$6)+SUMIFS(FLOWS!$C:$C,FLOWS!$A:$A,$B$2,FLOWS!$E:$E,$B16,FLOWS!$D:$D,C$6,FLOWS!$H:$H,"&lt;"&amp;$C$4)+SUM(SUMIFS(DEALS!$J:$J,DEALS!$A:$A,{"*REFUND*","*EXECUTED*"},DEALS!$G:$G,$B$2,DEALS!$E:$E,"&lt;"&amp;$C$4,DEALS!$K:$K,C$6,DEALS!$M:$M,$B16,DEALS!$N:$N,"&lt;&gt;*RECEIVED*",DEALS!$N:$N,"&lt;&gt;*EXECUTED*"))+SUM(SUMIFS(DEALS!$R:$R,DEALS!$A:$A,{"*REFUND*","*EXECUTED*"},DEALS!$O:$O,$B$2,DEALS!$E:$E,"&lt;"&amp;$C$4,DEALS!$S:$S,C$6,DEALS!$U:$U,$B16,DEALS!$V:$V,"&lt;&gt;*RECEIVED*",DEALS!$V:$V,"&lt;&gt;*EXECUTED*"))</f>
        <v>0</v>
      </c>
      <c r="D16" s="32" cm="1">
        <f t="array" ref="D16">SUMIFS(BALANCES!$C:$C,BALANCES!$A:$A,$B$2,BALANCES!$B:$B,$B16,BALANCES!$D:$D,D$6)+SUMIFS(FLOWS!$C:$C,FLOWS!$A:$A,$B$2,FLOWS!$E:$E,$B16,FLOWS!$D:$D,D$6,FLOWS!$H:$H,"&lt;"&amp;$C$4)+SUM(SUMIFS(DEALS!$J:$J,DEALS!$A:$A,{"*REFUND*","*EXECUTED*"},DEALS!$G:$G,$B$2,DEALS!$E:$E,"&lt;"&amp;$C$4,DEALS!$K:$K,D$6,DEALS!$M:$M,$B16,DEALS!$N:$N,"&lt;&gt;*RECEIVED*",DEALS!$N:$N,"&lt;&gt;*EXECUTED*"))+SUM(SUMIFS(DEALS!$R:$R,DEALS!$A:$A,{"*REFUND*","*EXECUTED*"},DEALS!$O:$O,$B$2,DEALS!$E:$E,"&lt;"&amp;$C$4,DEALS!$S:$S,D$6,DEALS!$U:$U,$B16,DEALS!$V:$V,"&lt;&gt;*RECEIVED*",DEALS!$V:$V,"&lt;&gt;*EXECUTED*"))</f>
        <v>0</v>
      </c>
      <c r="E16" s="32" cm="1">
        <f t="array" ref="E16">SUMIFS(BALANCES!$C:$C,BALANCES!$A:$A,$B$2,BALANCES!$B:$B,$B16,BALANCES!$D:$D,E$6)+SUMIFS(FLOWS!$C:$C,FLOWS!$A:$A,$B$2,FLOWS!$E:$E,$B16,FLOWS!$D:$D,E$6,FLOWS!$H:$H,"&lt;"&amp;$C$4)+SUM(SUMIFS(DEALS!$J:$J,DEALS!$A:$A,{"*REFUND*","*EXECUTED*"},DEALS!$G:$G,$B$2,DEALS!$E:$E,"&lt;"&amp;$C$4,DEALS!$K:$K,E$6,DEALS!$M:$M,$B16,DEALS!$N:$N,"&lt;&gt;*RECEIVED*",DEALS!$N:$N,"&lt;&gt;*EXECUTED*"))+SUM(SUMIFS(DEALS!$R:$R,DEALS!$A:$A,{"*REFUND*","*EXECUTED*"},DEALS!$O:$O,$B$2,DEALS!$E:$E,"&lt;"&amp;$C$4,DEALS!$S:$S,E$6,DEALS!$U:$U,$B16,DEALS!$V:$V,"&lt;&gt;*RECEIVED*",DEALS!$V:$V,"&lt;&gt;*EXECUTED*"))</f>
        <v>9899.35</v>
      </c>
      <c r="F16" s="32" cm="1">
        <f t="array" ref="F16">SUMIFS(BALANCES!$C:$C,BALANCES!$A:$A,$B$2,BALANCES!$B:$B,$B16,BALANCES!$D:$D,F$6)+SUMIFS(FLOWS!$C:$C,FLOWS!$A:$A,$B$2,FLOWS!$E:$E,$B16,FLOWS!$D:$D,F$6,FLOWS!$H:$H,"&lt;"&amp;$C$4)+SUM(SUMIFS(DEALS!$J:$J,DEALS!$A:$A,{"*REFUND*","*EXECUTED*"},DEALS!$G:$G,$B$2,DEALS!$E:$E,"&lt;"&amp;$C$4,DEALS!$K:$K,F$6,DEALS!$M:$M,$B16,DEALS!$N:$N,"&lt;&gt;*RECEIVED*",DEALS!$N:$N,"&lt;&gt;*EXECUTED*"))+SUM(SUMIFS(DEALS!$R:$R,DEALS!$A:$A,{"*REFUND*","*EXECUTED*"},DEALS!$O:$O,$B$2,DEALS!$E:$E,"&lt;"&amp;$C$4,DEALS!$S:$S,F$6,DEALS!$U:$U,$B16,DEALS!$V:$V,"&lt;&gt;*RECEIVED*",DEALS!$V:$V,"&lt;&gt;*EXECUTED*"))</f>
        <v>0</v>
      </c>
      <c r="G16" s="32" cm="1">
        <f t="array" ref="G16">SUMIFS(BALANCES!$C:$C,BALANCES!$A:$A,$B$2,BALANCES!$B:$B,$B16,BALANCES!$D:$D,G$6)+SUMIFS(FLOWS!$C:$C,FLOWS!$A:$A,$B$2,FLOWS!$E:$E,$B16,FLOWS!$D:$D,G$6,FLOWS!$H:$H,"&lt;"&amp;$C$4)+SUM(SUMIFS(DEALS!$J:$J,DEALS!$A:$A,{"*REFUND*","*EXECUTED*"},DEALS!$G:$G,$B$2,DEALS!$E:$E,"&lt;"&amp;$C$4,DEALS!$K:$K,G$6,DEALS!$M:$M,$B16,DEALS!$N:$N,"&lt;&gt;*RECEIVED*",DEALS!$N:$N,"&lt;&gt;*EXECUTED*"))+SUM(SUMIFS(DEALS!$R:$R,DEALS!$A:$A,{"*REFUND*","*EXECUTED*"},DEALS!$O:$O,$B$2,DEALS!$E:$E,"&lt;"&amp;$C$4,DEALS!$S:$S,G$6,DEALS!$U:$U,$B16,DEALS!$V:$V,"&lt;&gt;*RECEIVED*",DEALS!$V:$V,"&lt;&gt;*EXECUTED*"))</f>
        <v>0</v>
      </c>
      <c r="H16" s="32" cm="1">
        <f t="array" ref="H16">SUMIFS(BALANCES!$C:$C,BALANCES!$A:$A,$B$2,BALANCES!$B:$B,$B16,BALANCES!$D:$D,H$6)+SUMIFS(FLOWS!$C:$C,FLOWS!$A:$A,$B$2,FLOWS!$E:$E,$B16,FLOWS!$D:$D,H$6,FLOWS!$H:$H,"&lt;"&amp;$C$4)+SUM(SUMIFS(DEALS!$J:$J,DEALS!$A:$A,{"*REFUND*","*EXECUTED*"},DEALS!$G:$G,$B$2,DEALS!$E:$E,"&lt;"&amp;$C$4,DEALS!$K:$K,H$6,DEALS!$M:$M,$B16,DEALS!$N:$N,"&lt;&gt;*RECEIVED*",DEALS!$N:$N,"&lt;&gt;*EXECUTED*"))+SUM(SUMIFS(DEALS!$R:$R,DEALS!$A:$A,{"*REFUND*","*EXECUTED*"},DEALS!$O:$O,$B$2,DEALS!$E:$E,"&lt;"&amp;$C$4,DEALS!$S:$S,H$6,DEALS!$U:$U,$B16,DEALS!$V:$V,"&lt;&gt;*RECEIVED*",DEALS!$V:$V,"&lt;&gt;*EXECUTED*"))</f>
        <v>0</v>
      </c>
      <c r="I16" s="33">
        <f ca="1">C16*VLOOKUP(C$6,'FX RATES'!$E$1:$F$50,2,FALSE)+D16*VLOOKUP(D$6,'FX RATES'!$E$1:$F$50,2,FALSE)+E16*VLOOKUP(E$6,'FX RATES'!$E$1:$F$50,2,FALSE)+F16*VLOOKUP(F$6,'FX RATES'!$E$1:$F$50,2,FALSE)+G16*VLOOKUP(G$6,'FX RATES'!$E$1:$F$50,2,FALSE)+H16*VLOOKUP(H$6,'FX RATES'!$E$1:$F$50,2,FALSE)</f>
        <v>1433.0269253039955</v>
      </c>
      <c r="K16" s="31" t="str">
        <f t="shared" si="6"/>
        <v>CHZH</v>
      </c>
      <c r="L16" s="32" cm="1">
        <f t="array" ref="L16">SUMIFS(FLOWS!$C:$C,FLOWS!$A:$A,$B$2,FLOWS!$E:$E,$K16,FLOWS!$D:$D,L$6,FLOWS!$H:$H,"&gt;="&amp;$C$4,FLOWS!$H:$H,"&lt;="&amp;$U$4)+SUM(SUMIFS(DEALS!$J:$J,DEALS!$A:$A,{"*REFUND*","*EXECUTED*"},DEALS!$G:$G,$B$2,DEALS!$E:$E,"&gt;="&amp;$C$4,DEALS!$E:$E,"&lt;="&amp;$U$4,DEALS!$K:$K,L$6,DEALS!$M:$M,$K16,DEALS!$N:$N,"&lt;&gt;*RECEIVED*",DEALS!$N:$N,"&lt;&gt;*EXECUTED*"))+SUM(SUMIFS(DEALS!$R:$R,DEALS!$A:$A,{"*REFUND*","*EXECUTED*"},DEALS!$O:$O,$B$2,DEALS!$E:$E,"&gt;="&amp;$C$4,DEALS!$E:$E,"&lt;="&amp;$U$4,DEALS!$S:$S,L$6,DEALS!$U:$U,$K16,DEALS!$V:$V,"&lt;&gt;*RECEIVED*",DEALS!$V:$V,"&lt;&gt;*EXECUTED*"))</f>
        <v>0</v>
      </c>
      <c r="M16" s="32" cm="1">
        <f t="array" ref="M16">SUMIFS(FLOWS!$C:$C,FLOWS!$A:$A,$B$2,FLOWS!$E:$E,$K16,FLOWS!$D:$D,M$6,FLOWS!$H:$H,"&gt;="&amp;$C$4,FLOWS!$H:$H,"&lt;="&amp;$U$4)+SUM(SUMIFS(DEALS!$J:$J,DEALS!$A:$A,{"*REFUND*","*EXECUTED*"},DEALS!$G:$G,$B$2,DEALS!$E:$E,"&gt;="&amp;$C$4,DEALS!$E:$E,"&lt;="&amp;$U$4,DEALS!$K:$K,M$6,DEALS!$M:$M,$K16,DEALS!$N:$N,"&lt;&gt;*RECEIVED*",DEALS!$N:$N,"&lt;&gt;*EXECUTED*"))+SUM(SUMIFS(DEALS!$R:$R,DEALS!$A:$A,{"*REFUND*","*EXECUTED*"},DEALS!$O:$O,$B$2,DEALS!$E:$E,"&gt;="&amp;$C$4,DEALS!$E:$E,"&lt;="&amp;$U$4,DEALS!$S:$S,M$6,DEALS!$U:$U,$K16,DEALS!$V:$V,"&lt;&gt;*RECEIVED*",DEALS!$V:$V,"&lt;&gt;*EXECUTED*"))</f>
        <v>0</v>
      </c>
      <c r="N16" s="32" cm="1">
        <f t="array" ref="N16">SUMIFS(FLOWS!$C:$C,FLOWS!$A:$A,$B$2,FLOWS!$E:$E,$K16,FLOWS!$D:$D,N$6,FLOWS!$H:$H,"&gt;="&amp;$C$4,FLOWS!$H:$H,"&lt;="&amp;$U$4)+SUM(SUMIFS(DEALS!$J:$J,DEALS!$A:$A,{"*REFUND*","*EXECUTED*"},DEALS!$G:$G,$B$2,DEALS!$E:$E,"&gt;="&amp;$C$4,DEALS!$E:$E,"&lt;="&amp;$U$4,DEALS!$K:$K,N$6,DEALS!$M:$M,$K16,DEALS!$N:$N,"&lt;&gt;*RECEIVED*",DEALS!$N:$N,"&lt;&gt;*EXECUTED*"))+SUM(SUMIFS(DEALS!$R:$R,DEALS!$A:$A,{"*REFUND*","*EXECUTED*"},DEALS!$O:$O,$B$2,DEALS!$E:$E,"&gt;="&amp;$C$4,DEALS!$E:$E,"&lt;="&amp;$U$4,DEALS!$S:$S,N$6,DEALS!$U:$U,$K16,DEALS!$V:$V,"&lt;&gt;*RECEIVED*",DEALS!$V:$V,"&lt;&gt;*EXECUTED*"))</f>
        <v>0</v>
      </c>
      <c r="O16" s="32" cm="1">
        <f t="array" ref="O16">SUMIFS(FLOWS!$C:$C,FLOWS!$A:$A,$B$2,FLOWS!$E:$E,$K16,FLOWS!$D:$D,O$6,FLOWS!$H:$H,"&gt;="&amp;$C$4,FLOWS!$H:$H,"&lt;="&amp;$U$4)+SUM(SUMIFS(DEALS!$J:$J,DEALS!$A:$A,{"*REFUND*","*EXECUTED*"},DEALS!$G:$G,$B$2,DEALS!$E:$E,"&gt;="&amp;$C$4,DEALS!$E:$E,"&lt;="&amp;$U$4,DEALS!$K:$K,O$6,DEALS!$M:$M,$K16,DEALS!$N:$N,"&lt;&gt;*RECEIVED*",DEALS!$N:$N,"&lt;&gt;*EXECUTED*"))+SUM(SUMIFS(DEALS!$R:$R,DEALS!$A:$A,{"*REFUND*","*EXECUTED*"},DEALS!$O:$O,$B$2,DEALS!$E:$E,"&gt;="&amp;$C$4,DEALS!$E:$E,"&lt;="&amp;$U$4,DEALS!$S:$S,O$6,DEALS!$U:$U,$K16,DEALS!$V:$V,"&lt;&gt;*RECEIVED*",DEALS!$V:$V,"&lt;&gt;*EXECUTED*"))</f>
        <v>0</v>
      </c>
      <c r="P16" s="32" cm="1">
        <f t="array" ref="P16">SUMIFS(FLOWS!$C:$C,FLOWS!$A:$A,$B$2,FLOWS!$E:$E,$K16,FLOWS!$D:$D,P$6,FLOWS!$H:$H,"&gt;="&amp;$C$4,FLOWS!$H:$H,"&lt;="&amp;$U$4)+SUM(SUMIFS(DEALS!$J:$J,DEALS!$A:$A,{"*REFUND*","*EXECUTED*"},DEALS!$G:$G,$B$2,DEALS!$E:$E,"&gt;="&amp;$C$4,DEALS!$E:$E,"&lt;="&amp;$U$4,DEALS!$K:$K,P$6,DEALS!$M:$M,$K16,DEALS!$N:$N,"&lt;&gt;*RECEIVED*",DEALS!$N:$N,"&lt;&gt;*EXECUTED*"))+SUM(SUMIFS(DEALS!$R:$R,DEALS!$A:$A,{"*REFUND*","*EXECUTED*"},DEALS!$O:$O,$B$2,DEALS!$E:$E,"&gt;="&amp;$C$4,DEALS!$E:$E,"&lt;="&amp;$U$4,DEALS!$S:$S,P$6,DEALS!$U:$U,$K16,DEALS!$V:$V,"&lt;&gt;*RECEIVED*",DEALS!$V:$V,"&lt;&gt;*EXECUTED*"))</f>
        <v>0</v>
      </c>
      <c r="Q16" s="32" cm="1">
        <f t="array" ref="Q16">SUMIFS(FLOWS!$C:$C,FLOWS!$A:$A,$B$2,FLOWS!$E:$E,$K16,FLOWS!$D:$D,Q$6,FLOWS!$H:$H,"&gt;="&amp;$C$4,FLOWS!$H:$H,"&lt;="&amp;$U$4)+SUM(SUMIFS(DEALS!$J:$J,DEALS!$A:$A,{"*REFUND*","*EXECUTED*"},DEALS!$G:$G,$B$2,DEALS!$E:$E,"&gt;="&amp;$C$4,DEALS!$E:$E,"&lt;="&amp;$U$4,DEALS!$K:$K,Q$6,DEALS!$M:$M,$K16,DEALS!$N:$N,"&lt;&gt;*RECEIVED*",DEALS!$N:$N,"&lt;&gt;*EXECUTED*"))+SUM(SUMIFS(DEALS!$R:$R,DEALS!$A:$A,{"*REFUND*","*EXECUTED*"},DEALS!$O:$O,$B$2,DEALS!$E:$E,"&gt;="&amp;$C$4,DEALS!$E:$E,"&lt;="&amp;$U$4,DEALS!$S:$S,Q$6,DEALS!$U:$U,$K16,DEALS!$V:$V,"&lt;&gt;*RECEIVED*",DEALS!$V:$V,"&lt;&gt;*EXECUTED*"))</f>
        <v>0</v>
      </c>
      <c r="R16" s="33">
        <f ca="1">L16*VLOOKUP(L$6,'FX RATES'!$E$1:$F$50,2,FALSE)+M16*VLOOKUP(M$6,'FX RATES'!$E$1:$F$50,2,FALSE)+N16*VLOOKUP(N$6,'FX RATES'!$E$1:$F$50,2,FALSE)+O16*VLOOKUP(O$6,'FX RATES'!$E$1:$F$50,2,FALSE)+P16*VLOOKUP(P$6,'FX RATES'!$E$1:$F$50,2,FALSE)+Q16*VLOOKUP(Q$6,'FX RATES'!$E$1:$F$50,2,FALSE)</f>
        <v>0</v>
      </c>
      <c r="T16" s="31" t="str">
        <f t="shared" si="7"/>
        <v>CHZH</v>
      </c>
      <c r="U16" s="32" cm="1">
        <f t="array" ref="U16">SUMIFS(BALANCES!$C:$C,BALANCES!$A:$A,$B$2,BALANCES!$B:$B,$T16,BALANCES!$D:$D,U$6)+SUMIFS(FLOWS!$C:$C,FLOWS!$A:$A,$B$2,FLOWS!$E:$E,$T16,FLOWS!$D:$D,U$6,FLOWS!$H:$H,"&lt;="&amp;$U$4)+SUM(SUMIFS(DEALS!$J:$J,DEALS!$A:$A,{"*REFUND*","*EXECUTED*"},DEALS!$G:$G,$B$2,DEALS!$E:$E,"&lt;="&amp;$U$4,DEALS!$K:$K,U$6,DEALS!$M:$M,$T16,DEALS!$N:$N,"&lt;&gt;*RECEIVED*",DEALS!$N:$N,"&lt;&gt;*EXECUTED*"))+SUM(SUMIFS(DEALS!$R:$R,DEALS!$A:$A,{"*REFUND*","*EXECUTED*"},DEALS!$O:$O,$B$2,DEALS!$E:$E,"&lt;="&amp;$U$4,DEALS!$S:$S,U$6,DEALS!$U:$U,$T16,DEALS!$V:$V,"&lt;&gt;*RECEIVED*",DEALS!$V:$V,"&lt;&gt;*EXECUTED*"))</f>
        <v>0</v>
      </c>
      <c r="V16" s="32" cm="1">
        <f t="array" ref="V16">SUMIFS(BALANCES!$C:$C,BALANCES!$A:$A,$B$2,BALANCES!$B:$B,$T16,BALANCES!$D:$D,V$6)+SUMIFS(FLOWS!$C:$C,FLOWS!$A:$A,$B$2,FLOWS!$E:$E,$T16,FLOWS!$D:$D,V$6,FLOWS!$H:$H,"&lt;="&amp;$U$4)+SUM(SUMIFS(DEALS!$J:$J,DEALS!$A:$A,{"*REFUND*","*EXECUTED*"},DEALS!$G:$G,$B$2,DEALS!$E:$E,"&lt;="&amp;$U$4,DEALS!$K:$K,V$6,DEALS!$M:$M,$T16,DEALS!$N:$N,"&lt;&gt;*RECEIVED*",DEALS!$N:$N,"&lt;&gt;*EXECUTED*"))+SUM(SUMIFS(DEALS!$R:$R,DEALS!$A:$A,{"*REFUND*","*EXECUTED*"},DEALS!$O:$O,$B$2,DEALS!$E:$E,"&lt;="&amp;$U$4,DEALS!$S:$S,V$6,DEALS!$U:$U,$T16,DEALS!$V:$V,"&lt;&gt;*RECEIVED*",DEALS!$V:$V,"&lt;&gt;*EXECUTED*"))</f>
        <v>0</v>
      </c>
      <c r="W16" s="32" cm="1">
        <f t="array" ref="W16">SUMIFS(BALANCES!$C:$C,BALANCES!$A:$A,$B$2,BALANCES!$B:$B,$T16,BALANCES!$D:$D,W$6)+SUMIFS(FLOWS!$C:$C,FLOWS!$A:$A,$B$2,FLOWS!$E:$E,$T16,FLOWS!$D:$D,W$6,FLOWS!$H:$H,"&lt;="&amp;$U$4)+SUM(SUMIFS(DEALS!$J:$J,DEALS!$A:$A,{"*REFUND*","*EXECUTED*"},DEALS!$G:$G,$B$2,DEALS!$E:$E,"&lt;="&amp;$U$4,DEALS!$K:$K,W$6,DEALS!$M:$M,$T16,DEALS!$N:$N,"&lt;&gt;*RECEIVED*",DEALS!$N:$N,"&lt;&gt;*EXECUTED*"))+SUM(SUMIFS(DEALS!$R:$R,DEALS!$A:$A,{"*REFUND*","*EXECUTED*"},DEALS!$O:$O,$B$2,DEALS!$E:$E,"&lt;="&amp;$U$4,DEALS!$S:$S,W$6,DEALS!$U:$U,$T16,DEALS!$V:$V,"&lt;&gt;*RECEIVED*",DEALS!$V:$V,"&lt;&gt;*EXECUTED*"))</f>
        <v>9899.35</v>
      </c>
      <c r="X16" s="32" cm="1">
        <f t="array" ref="X16">SUMIFS(BALANCES!$C:$C,BALANCES!$A:$A,$B$2,BALANCES!$B:$B,$T16,BALANCES!$D:$D,X$6)+SUMIFS(FLOWS!$C:$C,FLOWS!$A:$A,$B$2,FLOWS!$E:$E,$T16,FLOWS!$D:$D,X$6,FLOWS!$H:$H,"&lt;="&amp;$U$4)+SUM(SUMIFS(DEALS!$J:$J,DEALS!$A:$A,{"*REFUND*","*EXECUTED*"},DEALS!$G:$G,$B$2,DEALS!$E:$E,"&lt;="&amp;$U$4,DEALS!$K:$K,X$6,DEALS!$M:$M,$T16,DEALS!$N:$N,"&lt;&gt;*RECEIVED*",DEALS!$N:$N,"&lt;&gt;*EXECUTED*"))+SUM(SUMIFS(DEALS!$R:$R,DEALS!$A:$A,{"*REFUND*","*EXECUTED*"},DEALS!$O:$O,$B$2,DEALS!$E:$E,"&lt;="&amp;$U$4,DEALS!$S:$S,X$6,DEALS!$U:$U,$T16,DEALS!$V:$V,"&lt;&gt;*RECEIVED*",DEALS!$V:$V,"&lt;&gt;*EXECUTED*"))</f>
        <v>0</v>
      </c>
      <c r="Y16" s="32" cm="1">
        <f t="array" ref="Y16">SUMIFS(BALANCES!$C:$C,BALANCES!$A:$A,$B$2,BALANCES!$B:$B,$T16,BALANCES!$D:$D,Y$6)+SUMIFS(FLOWS!$C:$C,FLOWS!$A:$A,$B$2,FLOWS!$E:$E,$T16,FLOWS!$D:$D,Y$6,FLOWS!$H:$H,"&lt;="&amp;$U$4)+SUM(SUMIFS(DEALS!$J:$J,DEALS!$A:$A,{"*REFUND*","*EXECUTED*"},DEALS!$G:$G,$B$2,DEALS!$E:$E,"&lt;="&amp;$U$4,DEALS!$K:$K,Y$6,DEALS!$M:$M,$T16,DEALS!$N:$N,"&lt;&gt;*RECEIVED*",DEALS!$N:$N,"&lt;&gt;*EXECUTED*"))+SUM(SUMIFS(DEALS!$R:$R,DEALS!$A:$A,{"*REFUND*","*EXECUTED*"},DEALS!$O:$O,$B$2,DEALS!$E:$E,"&lt;="&amp;$U$4,DEALS!$S:$S,Y$6,DEALS!$U:$U,$T16,DEALS!$V:$V,"&lt;&gt;*RECEIVED*",DEALS!$V:$V,"&lt;&gt;*EXECUTED*"))</f>
        <v>0</v>
      </c>
      <c r="Z16" s="32" cm="1">
        <f t="array" ref="Z16">SUMIFS(BALANCES!$C:$C,BALANCES!$A:$A,$B$2,BALANCES!$B:$B,$T16,BALANCES!$D:$D,Z$6)+SUMIFS(FLOWS!$C:$C,FLOWS!$A:$A,$B$2,FLOWS!$E:$E,$T16,FLOWS!$D:$D,Z$6,FLOWS!$H:$H,"&lt;="&amp;$U$4)+SUM(SUMIFS(DEALS!$J:$J,DEALS!$A:$A,{"*REFUND*","*EXECUTED*"},DEALS!$G:$G,$B$2,DEALS!$E:$E,"&lt;="&amp;$U$4,DEALS!$K:$K,Z$6,DEALS!$M:$M,$T16,DEALS!$N:$N,"&lt;&gt;*RECEIVED*",DEALS!$N:$N,"&lt;&gt;*EXECUTED*"))+SUM(SUMIFS(DEALS!$R:$R,DEALS!$A:$A,{"*REFUND*","*EXECUTED*"},DEALS!$O:$O,$B$2,DEALS!$E:$E,"&lt;="&amp;$U$4,DEALS!$S:$S,Z$6,DEALS!$U:$U,$T16,DEALS!$V:$V,"&lt;&gt;*RECEIVED*",DEALS!$V:$V,"&lt;&gt;*EXECUTED*"))</f>
        <v>0</v>
      </c>
      <c r="AA16" s="33">
        <f ca="1">U16*VLOOKUP(U$6,'FX RATES'!$E$1:$F$50,2,FALSE)+V16*VLOOKUP(V$6,'FX RATES'!$E$1:$F$50,2,FALSE)+W16*VLOOKUP(W$6,'FX RATES'!$E$1:$F$50,2,FALSE)+X16*VLOOKUP(X$6,'FX RATES'!$E$1:$F$50,2,FALSE)+Y16*VLOOKUP(Y$6,'FX RATES'!$E$1:$F$50,2,FALSE)+Z16*VLOOKUP(Z$6,'FX RATES'!$E$1:$F$50,2,FALSE)</f>
        <v>1433.0269253039955</v>
      </c>
      <c r="AC16" s="139">
        <f t="shared" ca="1" si="4"/>
        <v>0</v>
      </c>
    </row>
    <row r="17" spans="2:29" ht="19">
      <c r="B17" s="28" t="s">
        <v>23</v>
      </c>
      <c r="C17" s="29" cm="1">
        <f t="array" ref="C17">SUMIFS(BALANCES!$C:$C,BALANCES!$A:$A,$B$2,BALANCES!$B:$B,$B17,BALANCES!$D:$D,C$6)+SUMIFS(FLOWS!$C:$C,FLOWS!$A:$A,$B$2,FLOWS!$E:$E,$B17,FLOWS!$D:$D,C$6,FLOWS!$H:$H,"&lt;"&amp;$C$4)+SUM(SUMIFS(DEALS!$J:$J,DEALS!$A:$A,{"*REFUND*","*EXECUTED*"},DEALS!$G:$G,$B$2,DEALS!$E:$E,"&lt;"&amp;$C$4,DEALS!$K:$K,C$6,DEALS!$M:$M,$B17,DEALS!$N:$N,"&lt;&gt;*RECEIVED*",DEALS!$N:$N,"&lt;&gt;*EXECUTED*"))+SUM(SUMIFS(DEALS!$R:$R,DEALS!$A:$A,{"*REFUND*","*EXECUTED*"},DEALS!$O:$O,$B$2,DEALS!$E:$E,"&lt;"&amp;$C$4,DEALS!$S:$S,C$6,DEALS!$U:$U,$B17,DEALS!$V:$V,"&lt;&gt;*RECEIVED*",DEALS!$V:$V,"&lt;&gt;*EXECUTED*"))</f>
        <v>0</v>
      </c>
      <c r="D17" s="29" cm="1">
        <f t="array" ref="D17">SUMIFS(BALANCES!$C:$C,BALANCES!$A:$A,$B$2,BALANCES!$B:$B,$B17,BALANCES!$D:$D,D$6)+SUMIFS(FLOWS!$C:$C,FLOWS!$A:$A,$B$2,FLOWS!$E:$E,$B17,FLOWS!$D:$D,D$6,FLOWS!$H:$H,"&lt;"&amp;$C$4)+SUM(SUMIFS(DEALS!$J:$J,DEALS!$A:$A,{"*REFUND*","*EXECUTED*"},DEALS!$G:$G,$B$2,DEALS!$E:$E,"&lt;"&amp;$C$4,DEALS!$K:$K,D$6,DEALS!$M:$M,$B17,DEALS!$N:$N,"&lt;&gt;*RECEIVED*",DEALS!$N:$N,"&lt;&gt;*EXECUTED*"))+SUM(SUMIFS(DEALS!$R:$R,DEALS!$A:$A,{"*REFUND*","*EXECUTED*"},DEALS!$O:$O,$B$2,DEALS!$E:$E,"&lt;"&amp;$C$4,DEALS!$S:$S,D$6,DEALS!$U:$U,$B17,DEALS!$V:$V,"&lt;&gt;*RECEIVED*",DEALS!$V:$V,"&lt;&gt;*EXECUTED*"))</f>
        <v>0</v>
      </c>
      <c r="E17" s="29" cm="1">
        <f t="array" ref="E17">SUMIFS(BALANCES!$C:$C,BALANCES!$A:$A,$B$2,BALANCES!$B:$B,$B17,BALANCES!$D:$D,E$6)+SUMIFS(FLOWS!$C:$C,FLOWS!$A:$A,$B$2,FLOWS!$E:$E,$B17,FLOWS!$D:$D,E$6,FLOWS!$H:$H,"&lt;"&amp;$C$4)+SUM(SUMIFS(DEALS!$J:$J,DEALS!$A:$A,{"*REFUND*","*EXECUTED*"},DEALS!$G:$G,$B$2,DEALS!$E:$E,"&lt;"&amp;$C$4,DEALS!$K:$K,E$6,DEALS!$M:$M,$B17,DEALS!$N:$N,"&lt;&gt;*RECEIVED*",DEALS!$N:$N,"&lt;&gt;*EXECUTED*"))+SUM(SUMIFS(DEALS!$R:$R,DEALS!$A:$A,{"*REFUND*","*EXECUTED*"},DEALS!$O:$O,$B$2,DEALS!$E:$E,"&lt;"&amp;$C$4,DEALS!$S:$S,E$6,DEALS!$U:$U,$B17,DEALS!$V:$V,"&lt;&gt;*RECEIVED*",DEALS!$V:$V,"&lt;&gt;*EXECUTED*"))</f>
        <v>0</v>
      </c>
      <c r="F17" s="29" cm="1">
        <f t="array" ref="F17">SUMIFS(BALANCES!$C:$C,BALANCES!$A:$A,$B$2,BALANCES!$B:$B,$B17,BALANCES!$D:$D,F$6)+SUMIFS(FLOWS!$C:$C,FLOWS!$A:$A,$B$2,FLOWS!$E:$E,$B17,FLOWS!$D:$D,F$6,FLOWS!$H:$H,"&lt;"&amp;$C$4)+SUM(SUMIFS(DEALS!$J:$J,DEALS!$A:$A,{"*REFUND*","*EXECUTED*"},DEALS!$G:$G,$B$2,DEALS!$E:$E,"&lt;"&amp;$C$4,DEALS!$K:$K,F$6,DEALS!$M:$M,$B17,DEALS!$N:$N,"&lt;&gt;*RECEIVED*",DEALS!$N:$N,"&lt;&gt;*EXECUTED*"))+SUM(SUMIFS(DEALS!$R:$R,DEALS!$A:$A,{"*REFUND*","*EXECUTED*"},DEALS!$O:$O,$B$2,DEALS!$E:$E,"&lt;"&amp;$C$4,DEALS!$S:$S,F$6,DEALS!$U:$U,$B17,DEALS!$V:$V,"&lt;&gt;*RECEIVED*",DEALS!$V:$V,"&lt;&gt;*EXECUTED*"))</f>
        <v>0</v>
      </c>
      <c r="G17" s="29" cm="1">
        <f t="array" ref="G17">SUMIFS(BALANCES!$C:$C,BALANCES!$A:$A,$B$2,BALANCES!$B:$B,$B17,BALANCES!$D:$D,G$6)+SUMIFS(FLOWS!$C:$C,FLOWS!$A:$A,$B$2,FLOWS!$E:$E,$B17,FLOWS!$D:$D,G$6,FLOWS!$H:$H,"&lt;"&amp;$C$4)+SUM(SUMIFS(DEALS!$J:$J,DEALS!$A:$A,{"*REFUND*","*EXECUTED*"},DEALS!$G:$G,$B$2,DEALS!$E:$E,"&lt;"&amp;$C$4,DEALS!$K:$K,G$6,DEALS!$M:$M,$B17,DEALS!$N:$N,"&lt;&gt;*RECEIVED*",DEALS!$N:$N,"&lt;&gt;*EXECUTED*"))+SUM(SUMIFS(DEALS!$R:$R,DEALS!$A:$A,{"*REFUND*","*EXECUTED*"},DEALS!$O:$O,$B$2,DEALS!$E:$E,"&lt;"&amp;$C$4,DEALS!$S:$S,G$6,DEALS!$U:$U,$B17,DEALS!$V:$V,"&lt;&gt;*RECEIVED*",DEALS!$V:$V,"&lt;&gt;*EXECUTED*"))</f>
        <v>638946.37</v>
      </c>
      <c r="H17" s="29" cm="1">
        <f t="array" ref="H17">SUMIFS(BALANCES!$C:$C,BALANCES!$A:$A,$B$2,BALANCES!$B:$B,$B17,BALANCES!$D:$D,H$6)+SUMIFS(FLOWS!$C:$C,FLOWS!$A:$A,$B$2,FLOWS!$E:$E,$B17,FLOWS!$D:$D,H$6,FLOWS!$H:$H,"&lt;"&amp;$C$4)+SUM(SUMIFS(DEALS!$J:$J,DEALS!$A:$A,{"*REFUND*","*EXECUTED*"},DEALS!$G:$G,$B$2,DEALS!$E:$E,"&lt;"&amp;$C$4,DEALS!$K:$K,H$6,DEALS!$M:$M,$B17,DEALS!$N:$N,"&lt;&gt;*RECEIVED*",DEALS!$N:$N,"&lt;&gt;*EXECUTED*"))+SUM(SUMIFS(DEALS!$R:$R,DEALS!$A:$A,{"*REFUND*","*EXECUTED*"},DEALS!$O:$O,$B$2,DEALS!$E:$E,"&lt;"&amp;$C$4,DEALS!$S:$S,H$6,DEALS!$U:$U,$B17,DEALS!$V:$V,"&lt;&gt;*RECEIVED*",DEALS!$V:$V,"&lt;&gt;*EXECUTED*"))</f>
        <v>0</v>
      </c>
      <c r="I17" s="30">
        <f ca="1">C17*VLOOKUP(C$6,'FX RATES'!$E$1:$F$50,2,FALSE)+D17*VLOOKUP(D$6,'FX RATES'!$E$1:$F$50,2,FALSE)+E17*VLOOKUP(E$6,'FX RATES'!$E$1:$F$50,2,FALSE)+F17*VLOOKUP(F$6,'FX RATES'!$E$1:$F$50,2,FALSE)+G17*VLOOKUP(G$6,'FX RATES'!$E$1:$F$50,2,FALSE)+H17*VLOOKUP(H$6,'FX RATES'!$E$1:$F$50,2,FALSE)</f>
        <v>8328.2352174451407</v>
      </c>
      <c r="K17" s="28" t="str">
        <f t="shared" si="6"/>
        <v>AGORA</v>
      </c>
      <c r="L17" s="29" cm="1">
        <f t="array" ref="L17">SUMIFS(FLOWS!$C:$C,FLOWS!$A:$A,$B$2,FLOWS!$E:$E,$K17,FLOWS!$D:$D,L$6,FLOWS!$H:$H,"&gt;="&amp;$C$4,FLOWS!$H:$H,"&lt;="&amp;$U$4)+SUM(SUMIFS(DEALS!$J:$J,DEALS!$A:$A,{"*REFUND*","*EXECUTED*"},DEALS!$G:$G,$B$2,DEALS!$E:$E,"&gt;="&amp;$C$4,DEALS!$E:$E,"&lt;="&amp;$U$4,DEALS!$K:$K,L$6,DEALS!$M:$M,$K17,DEALS!$N:$N,"&lt;&gt;*RECEIVED*",DEALS!$N:$N,"&lt;&gt;*EXECUTED*"))+SUM(SUMIFS(DEALS!$R:$R,DEALS!$A:$A,{"*REFUND*","*EXECUTED*"},DEALS!$O:$O,$B$2,DEALS!$E:$E,"&gt;="&amp;$C$4,DEALS!$E:$E,"&lt;="&amp;$U$4,DEALS!$S:$S,L$6,DEALS!$U:$U,$K17,DEALS!$V:$V,"&lt;&gt;*RECEIVED*",DEALS!$V:$V,"&lt;&gt;*EXECUTED*"))</f>
        <v>0</v>
      </c>
      <c r="M17" s="29" cm="1">
        <f t="array" ref="M17">SUMIFS(FLOWS!$C:$C,FLOWS!$A:$A,$B$2,FLOWS!$E:$E,$K17,FLOWS!$D:$D,M$6,FLOWS!$H:$H,"&gt;="&amp;$C$4,FLOWS!$H:$H,"&lt;="&amp;$U$4)+SUM(SUMIFS(DEALS!$J:$J,DEALS!$A:$A,{"*REFUND*","*EXECUTED*"},DEALS!$G:$G,$B$2,DEALS!$E:$E,"&gt;="&amp;$C$4,DEALS!$E:$E,"&lt;="&amp;$U$4,DEALS!$K:$K,M$6,DEALS!$M:$M,$K17,DEALS!$N:$N,"&lt;&gt;*RECEIVED*",DEALS!$N:$N,"&lt;&gt;*EXECUTED*"))+SUM(SUMIFS(DEALS!$R:$R,DEALS!$A:$A,{"*REFUND*","*EXECUTED*"},DEALS!$O:$O,$B$2,DEALS!$E:$E,"&gt;="&amp;$C$4,DEALS!$E:$E,"&lt;="&amp;$U$4,DEALS!$S:$S,M$6,DEALS!$U:$U,$K17,DEALS!$V:$V,"&lt;&gt;*RECEIVED*",DEALS!$V:$V,"&lt;&gt;*EXECUTED*"))</f>
        <v>0</v>
      </c>
      <c r="N17" s="29" cm="1">
        <f t="array" ref="N17">SUMIFS(FLOWS!$C:$C,FLOWS!$A:$A,$B$2,FLOWS!$E:$E,$K17,FLOWS!$D:$D,N$6,FLOWS!$H:$H,"&gt;="&amp;$C$4,FLOWS!$H:$H,"&lt;="&amp;$U$4)+SUM(SUMIFS(DEALS!$J:$J,DEALS!$A:$A,{"*REFUND*","*EXECUTED*"},DEALS!$G:$G,$B$2,DEALS!$E:$E,"&gt;="&amp;$C$4,DEALS!$E:$E,"&lt;="&amp;$U$4,DEALS!$K:$K,N$6,DEALS!$M:$M,$K17,DEALS!$N:$N,"&lt;&gt;*RECEIVED*",DEALS!$N:$N,"&lt;&gt;*EXECUTED*"))+SUM(SUMIFS(DEALS!$R:$R,DEALS!$A:$A,{"*REFUND*","*EXECUTED*"},DEALS!$O:$O,$B$2,DEALS!$E:$E,"&gt;="&amp;$C$4,DEALS!$E:$E,"&lt;="&amp;$U$4,DEALS!$S:$S,N$6,DEALS!$U:$U,$K17,DEALS!$V:$V,"&lt;&gt;*RECEIVED*",DEALS!$V:$V,"&lt;&gt;*EXECUTED*"))</f>
        <v>0</v>
      </c>
      <c r="O17" s="29" cm="1">
        <f t="array" ref="O17">SUMIFS(FLOWS!$C:$C,FLOWS!$A:$A,$B$2,FLOWS!$E:$E,$K17,FLOWS!$D:$D,O$6,FLOWS!$H:$H,"&gt;="&amp;$C$4,FLOWS!$H:$H,"&lt;="&amp;$U$4)+SUM(SUMIFS(DEALS!$J:$J,DEALS!$A:$A,{"*REFUND*","*EXECUTED*"},DEALS!$G:$G,$B$2,DEALS!$E:$E,"&gt;="&amp;$C$4,DEALS!$E:$E,"&lt;="&amp;$U$4,DEALS!$K:$K,O$6,DEALS!$M:$M,$K17,DEALS!$N:$N,"&lt;&gt;*RECEIVED*",DEALS!$N:$N,"&lt;&gt;*EXECUTED*"))+SUM(SUMIFS(DEALS!$R:$R,DEALS!$A:$A,{"*REFUND*","*EXECUTED*"},DEALS!$O:$O,$B$2,DEALS!$E:$E,"&gt;="&amp;$C$4,DEALS!$E:$E,"&lt;="&amp;$U$4,DEALS!$S:$S,O$6,DEALS!$U:$U,$K17,DEALS!$V:$V,"&lt;&gt;*RECEIVED*",DEALS!$V:$V,"&lt;&gt;*EXECUTED*"))</f>
        <v>0</v>
      </c>
      <c r="P17" s="29" cm="1">
        <f t="array" ref="P17">SUMIFS(FLOWS!$C:$C,FLOWS!$A:$A,$B$2,FLOWS!$E:$E,$K17,FLOWS!$D:$D,P$6,FLOWS!$H:$H,"&gt;="&amp;$C$4,FLOWS!$H:$H,"&lt;="&amp;$U$4)+SUM(SUMIFS(DEALS!$J:$J,DEALS!$A:$A,{"*REFUND*","*EXECUTED*"},DEALS!$G:$G,$B$2,DEALS!$E:$E,"&gt;="&amp;$C$4,DEALS!$E:$E,"&lt;="&amp;$U$4,DEALS!$K:$K,P$6,DEALS!$M:$M,$K17,DEALS!$N:$N,"&lt;&gt;*RECEIVED*",DEALS!$N:$N,"&lt;&gt;*EXECUTED*"))+SUM(SUMIFS(DEALS!$R:$R,DEALS!$A:$A,{"*REFUND*","*EXECUTED*"},DEALS!$O:$O,$B$2,DEALS!$E:$E,"&gt;="&amp;$C$4,DEALS!$E:$E,"&lt;="&amp;$U$4,DEALS!$S:$S,P$6,DEALS!$U:$U,$K17,DEALS!$V:$V,"&lt;&gt;*RECEIVED*",DEALS!$V:$V,"&lt;&gt;*EXECUTED*"))</f>
        <v>0</v>
      </c>
      <c r="Q17" s="29" cm="1">
        <f t="array" ref="Q17">SUMIFS(FLOWS!$C:$C,FLOWS!$A:$A,$B$2,FLOWS!$E:$E,$K17,FLOWS!$D:$D,Q$6,FLOWS!$H:$H,"&gt;="&amp;$C$4,FLOWS!$H:$H,"&lt;="&amp;$U$4)+SUM(SUMIFS(DEALS!$J:$J,DEALS!$A:$A,{"*REFUND*","*EXECUTED*"},DEALS!$G:$G,$B$2,DEALS!$E:$E,"&gt;="&amp;$C$4,DEALS!$E:$E,"&lt;="&amp;$U$4,DEALS!$K:$K,Q$6,DEALS!$M:$M,$K17,DEALS!$N:$N,"&lt;&gt;*RECEIVED*",DEALS!$N:$N,"&lt;&gt;*EXECUTED*"))+SUM(SUMIFS(DEALS!$R:$R,DEALS!$A:$A,{"*REFUND*","*EXECUTED*"},DEALS!$O:$O,$B$2,DEALS!$E:$E,"&gt;="&amp;$C$4,DEALS!$E:$E,"&lt;="&amp;$U$4,DEALS!$S:$S,Q$6,DEALS!$U:$U,$K17,DEALS!$V:$V,"&lt;&gt;*RECEIVED*",DEALS!$V:$V,"&lt;&gt;*EXECUTED*"))</f>
        <v>0</v>
      </c>
      <c r="R17" s="30">
        <f ca="1">L17*VLOOKUP(L$6,'FX RATES'!$E$1:$F$50,2,FALSE)+M17*VLOOKUP(M$6,'FX RATES'!$E$1:$F$50,2,FALSE)+N17*VLOOKUP(N$6,'FX RATES'!$E$1:$F$50,2,FALSE)+O17*VLOOKUP(O$6,'FX RATES'!$E$1:$F$50,2,FALSE)+P17*VLOOKUP(P$6,'FX RATES'!$E$1:$F$50,2,FALSE)+Q17*VLOOKUP(Q$6,'FX RATES'!$E$1:$F$50,2,FALSE)</f>
        <v>0</v>
      </c>
      <c r="T17" s="28" t="str">
        <f t="shared" si="7"/>
        <v>AGORA</v>
      </c>
      <c r="U17" s="29" cm="1">
        <f t="array" ref="U17">SUMIFS(BALANCES!$C:$C,BALANCES!$A:$A,$B$2,BALANCES!$B:$B,$T17,BALANCES!$D:$D,U$6)+SUMIFS(FLOWS!$C:$C,FLOWS!$A:$A,$B$2,FLOWS!$E:$E,$T17,FLOWS!$D:$D,U$6,FLOWS!$H:$H,"&lt;="&amp;$U$4)+SUM(SUMIFS(DEALS!$J:$J,DEALS!$A:$A,{"*REFUND*","*EXECUTED*"},DEALS!$G:$G,$B$2,DEALS!$E:$E,"&lt;="&amp;$U$4,DEALS!$K:$K,U$6,DEALS!$M:$M,$T17,DEALS!$N:$N,"&lt;&gt;*RECEIVED*",DEALS!$N:$N,"&lt;&gt;*EXECUTED*"))+SUM(SUMIFS(DEALS!$R:$R,DEALS!$A:$A,{"*REFUND*","*EXECUTED*"},DEALS!$O:$O,$B$2,DEALS!$E:$E,"&lt;="&amp;$U$4,DEALS!$S:$S,U$6,DEALS!$U:$U,$T17,DEALS!$V:$V,"&lt;&gt;*RECEIVED*",DEALS!$V:$V,"&lt;&gt;*EXECUTED*"))</f>
        <v>0</v>
      </c>
      <c r="V17" s="29" cm="1">
        <f t="array" ref="V17">SUMIFS(BALANCES!$C:$C,BALANCES!$A:$A,$B$2,BALANCES!$B:$B,$T17,BALANCES!$D:$D,V$6)+SUMIFS(FLOWS!$C:$C,FLOWS!$A:$A,$B$2,FLOWS!$E:$E,$T17,FLOWS!$D:$D,V$6,FLOWS!$H:$H,"&lt;="&amp;$U$4)+SUM(SUMIFS(DEALS!$J:$J,DEALS!$A:$A,{"*REFUND*","*EXECUTED*"},DEALS!$G:$G,$B$2,DEALS!$E:$E,"&lt;="&amp;$U$4,DEALS!$K:$K,V$6,DEALS!$M:$M,$T17,DEALS!$N:$N,"&lt;&gt;*RECEIVED*",DEALS!$N:$N,"&lt;&gt;*EXECUTED*"))+SUM(SUMIFS(DEALS!$R:$R,DEALS!$A:$A,{"*REFUND*","*EXECUTED*"},DEALS!$O:$O,$B$2,DEALS!$E:$E,"&lt;="&amp;$U$4,DEALS!$S:$S,V$6,DEALS!$U:$U,$T17,DEALS!$V:$V,"&lt;&gt;*RECEIVED*",DEALS!$V:$V,"&lt;&gt;*EXECUTED*"))</f>
        <v>0</v>
      </c>
      <c r="W17" s="29" cm="1">
        <f t="array" ref="W17">SUMIFS(BALANCES!$C:$C,BALANCES!$A:$A,$B$2,BALANCES!$B:$B,$T17,BALANCES!$D:$D,W$6)+SUMIFS(FLOWS!$C:$C,FLOWS!$A:$A,$B$2,FLOWS!$E:$E,$T17,FLOWS!$D:$D,W$6,FLOWS!$H:$H,"&lt;="&amp;$U$4)+SUM(SUMIFS(DEALS!$J:$J,DEALS!$A:$A,{"*REFUND*","*EXECUTED*"},DEALS!$G:$G,$B$2,DEALS!$E:$E,"&lt;="&amp;$U$4,DEALS!$K:$K,W$6,DEALS!$M:$M,$T17,DEALS!$N:$N,"&lt;&gt;*RECEIVED*",DEALS!$N:$N,"&lt;&gt;*EXECUTED*"))+SUM(SUMIFS(DEALS!$R:$R,DEALS!$A:$A,{"*REFUND*","*EXECUTED*"},DEALS!$O:$O,$B$2,DEALS!$E:$E,"&lt;="&amp;$U$4,DEALS!$S:$S,W$6,DEALS!$U:$U,$T17,DEALS!$V:$V,"&lt;&gt;*RECEIVED*",DEALS!$V:$V,"&lt;&gt;*EXECUTED*"))</f>
        <v>0</v>
      </c>
      <c r="X17" s="29" cm="1">
        <f t="array" ref="X17">SUMIFS(BALANCES!$C:$C,BALANCES!$A:$A,$B$2,BALANCES!$B:$B,$T17,BALANCES!$D:$D,X$6)+SUMIFS(FLOWS!$C:$C,FLOWS!$A:$A,$B$2,FLOWS!$E:$E,$T17,FLOWS!$D:$D,X$6,FLOWS!$H:$H,"&lt;="&amp;$U$4)+SUM(SUMIFS(DEALS!$J:$J,DEALS!$A:$A,{"*REFUND*","*EXECUTED*"},DEALS!$G:$G,$B$2,DEALS!$E:$E,"&lt;="&amp;$U$4,DEALS!$K:$K,X$6,DEALS!$M:$M,$T17,DEALS!$N:$N,"&lt;&gt;*RECEIVED*",DEALS!$N:$N,"&lt;&gt;*EXECUTED*"))+SUM(SUMIFS(DEALS!$R:$R,DEALS!$A:$A,{"*REFUND*","*EXECUTED*"},DEALS!$O:$O,$B$2,DEALS!$E:$E,"&lt;="&amp;$U$4,DEALS!$S:$S,X$6,DEALS!$U:$U,$T17,DEALS!$V:$V,"&lt;&gt;*RECEIVED*",DEALS!$V:$V,"&lt;&gt;*EXECUTED*"))</f>
        <v>0</v>
      </c>
      <c r="Y17" s="29" cm="1">
        <f t="array" ref="Y17">SUMIFS(BALANCES!$C:$C,BALANCES!$A:$A,$B$2,BALANCES!$B:$B,$T17,BALANCES!$D:$D,Y$6)+SUMIFS(FLOWS!$C:$C,FLOWS!$A:$A,$B$2,FLOWS!$E:$E,$T17,FLOWS!$D:$D,Y$6,FLOWS!$H:$H,"&lt;="&amp;$U$4)+SUM(SUMIFS(DEALS!$J:$J,DEALS!$A:$A,{"*REFUND*","*EXECUTED*"},DEALS!$G:$G,$B$2,DEALS!$E:$E,"&lt;="&amp;$U$4,DEALS!$K:$K,Y$6,DEALS!$M:$M,$T17,DEALS!$N:$N,"&lt;&gt;*RECEIVED*",DEALS!$N:$N,"&lt;&gt;*EXECUTED*"))+SUM(SUMIFS(DEALS!$R:$R,DEALS!$A:$A,{"*REFUND*","*EXECUTED*"},DEALS!$O:$O,$B$2,DEALS!$E:$E,"&lt;="&amp;$U$4,DEALS!$S:$S,Y$6,DEALS!$U:$U,$T17,DEALS!$V:$V,"&lt;&gt;*RECEIVED*",DEALS!$V:$V,"&lt;&gt;*EXECUTED*"))</f>
        <v>638946.37</v>
      </c>
      <c r="Z17" s="29" cm="1">
        <f t="array" ref="Z17">SUMIFS(BALANCES!$C:$C,BALANCES!$A:$A,$B$2,BALANCES!$B:$B,$T17,BALANCES!$D:$D,Z$6)+SUMIFS(FLOWS!$C:$C,FLOWS!$A:$A,$B$2,FLOWS!$E:$E,$T17,FLOWS!$D:$D,Z$6,FLOWS!$H:$H,"&lt;="&amp;$U$4)+SUM(SUMIFS(DEALS!$J:$J,DEALS!$A:$A,{"*REFUND*","*EXECUTED*"},DEALS!$G:$G,$B$2,DEALS!$E:$E,"&lt;="&amp;$U$4,DEALS!$K:$K,Z$6,DEALS!$M:$M,$T17,DEALS!$N:$N,"&lt;&gt;*RECEIVED*",DEALS!$N:$N,"&lt;&gt;*EXECUTED*"))+SUM(SUMIFS(DEALS!$R:$R,DEALS!$A:$A,{"*REFUND*","*EXECUTED*"},DEALS!$O:$O,$B$2,DEALS!$E:$E,"&lt;="&amp;$U$4,DEALS!$S:$S,Z$6,DEALS!$U:$U,$T17,DEALS!$V:$V,"&lt;&gt;*RECEIVED*",DEALS!$V:$V,"&lt;&gt;*EXECUTED*"))</f>
        <v>0</v>
      </c>
      <c r="AA17" s="30">
        <f ca="1">U17*VLOOKUP(U$6,'FX RATES'!$E$1:$F$50,2,FALSE)+V17*VLOOKUP(V$6,'FX RATES'!$E$1:$F$50,2,FALSE)+W17*VLOOKUP(W$6,'FX RATES'!$E$1:$F$50,2,FALSE)+X17*VLOOKUP(X$6,'FX RATES'!$E$1:$F$50,2,FALSE)+Y17*VLOOKUP(Y$6,'FX RATES'!$E$1:$F$50,2,FALSE)+Z17*VLOOKUP(Z$6,'FX RATES'!$E$1:$F$50,2,FALSE)</f>
        <v>8328.2352174451407</v>
      </c>
      <c r="AC17" s="139">
        <f t="shared" ca="1" si="4"/>
        <v>0</v>
      </c>
    </row>
    <row r="18" spans="2:29" ht="19">
      <c r="B18" s="31" t="s">
        <v>24</v>
      </c>
      <c r="C18" s="32" cm="1">
        <f t="array" ref="C18">SUMIFS(BALANCES!$C:$C,BALANCES!$A:$A,$B$2,BALANCES!$B:$B,$B18,BALANCES!$D:$D,C$6)+SUMIFS(FLOWS!$C:$C,FLOWS!$A:$A,$B$2,FLOWS!$E:$E,$B18,FLOWS!$D:$D,C$6,FLOWS!$H:$H,"&lt;"&amp;$C$4)+SUM(SUMIFS(DEALS!$J:$J,DEALS!$A:$A,{"*REFUND*","*EXECUTED*"},DEALS!$G:$G,$B$2,DEALS!$E:$E,"&lt;"&amp;$C$4,DEALS!$K:$K,C$6,DEALS!$M:$M,$B18,DEALS!$N:$N,"&lt;&gt;*RECEIVED*",DEALS!$N:$N,"&lt;&gt;*EXECUTED*"))+SUM(SUMIFS(DEALS!$R:$R,DEALS!$A:$A,{"*REFUND*","*EXECUTED*"},DEALS!$O:$O,$B$2,DEALS!$E:$E,"&lt;"&amp;$C$4,DEALS!$S:$S,C$6,DEALS!$U:$U,$B18,DEALS!$V:$V,"&lt;&gt;*RECEIVED*",DEALS!$V:$V,"&lt;&gt;*EXECUTED*"))</f>
        <v>0</v>
      </c>
      <c r="D18" s="32" cm="1">
        <f t="array" ref="D18">SUMIFS(BALANCES!$C:$C,BALANCES!$A:$A,$B$2,BALANCES!$B:$B,$B18,BALANCES!$D:$D,D$6)+SUMIFS(FLOWS!$C:$C,FLOWS!$A:$A,$B$2,FLOWS!$E:$E,$B18,FLOWS!$D:$D,D$6,FLOWS!$H:$H,"&lt;"&amp;$C$4)+SUM(SUMIFS(DEALS!$J:$J,DEALS!$A:$A,{"*REFUND*","*EXECUTED*"},DEALS!$G:$G,$B$2,DEALS!$E:$E,"&lt;"&amp;$C$4,DEALS!$K:$K,D$6,DEALS!$M:$M,$B18,DEALS!$N:$N,"&lt;&gt;*RECEIVED*",DEALS!$N:$N,"&lt;&gt;*EXECUTED*"))+SUM(SUMIFS(DEALS!$R:$R,DEALS!$A:$A,{"*REFUND*","*EXECUTED*"},DEALS!$O:$O,$B$2,DEALS!$E:$E,"&lt;"&amp;$C$4,DEALS!$S:$S,D$6,DEALS!$U:$U,$B18,DEALS!$V:$V,"&lt;&gt;*RECEIVED*",DEALS!$V:$V,"&lt;&gt;*EXECUTED*"))</f>
        <v>0</v>
      </c>
      <c r="E18" s="32" cm="1">
        <f t="array" ref="E18">SUMIFS(BALANCES!$C:$C,BALANCES!$A:$A,$B$2,BALANCES!$B:$B,$B18,BALANCES!$D:$D,E$6)+SUMIFS(FLOWS!$C:$C,FLOWS!$A:$A,$B$2,FLOWS!$E:$E,$B18,FLOWS!$D:$D,E$6,FLOWS!$H:$H,"&lt;"&amp;$C$4)+SUM(SUMIFS(DEALS!$J:$J,DEALS!$A:$A,{"*REFUND*","*EXECUTED*"},DEALS!$G:$G,$B$2,DEALS!$E:$E,"&lt;"&amp;$C$4,DEALS!$K:$K,E$6,DEALS!$M:$M,$B18,DEALS!$N:$N,"&lt;&gt;*RECEIVED*",DEALS!$N:$N,"&lt;&gt;*EXECUTED*"))+SUM(SUMIFS(DEALS!$R:$R,DEALS!$A:$A,{"*REFUND*","*EXECUTED*"},DEALS!$O:$O,$B$2,DEALS!$E:$E,"&lt;"&amp;$C$4,DEALS!$S:$S,E$6,DEALS!$U:$U,$B18,DEALS!$V:$V,"&lt;&gt;*RECEIVED*",DEALS!$V:$V,"&lt;&gt;*EXECUTED*"))</f>
        <v>0</v>
      </c>
      <c r="F18" s="32" cm="1">
        <f t="array" ref="F18">SUMIFS(BALANCES!$C:$C,BALANCES!$A:$A,$B$2,BALANCES!$B:$B,$B18,BALANCES!$D:$D,F$6)+SUMIFS(FLOWS!$C:$C,FLOWS!$A:$A,$B$2,FLOWS!$E:$E,$B18,FLOWS!$D:$D,F$6,FLOWS!$H:$H,"&lt;"&amp;$C$4)+SUM(SUMIFS(DEALS!$J:$J,DEALS!$A:$A,{"*REFUND*","*EXECUTED*"},DEALS!$G:$G,$B$2,DEALS!$E:$E,"&lt;"&amp;$C$4,DEALS!$K:$K,F$6,DEALS!$M:$M,$B18,DEALS!$N:$N,"&lt;&gt;*RECEIVED*",DEALS!$N:$N,"&lt;&gt;*EXECUTED*"))+SUM(SUMIFS(DEALS!$R:$R,DEALS!$A:$A,{"*REFUND*","*EXECUTED*"},DEALS!$O:$O,$B$2,DEALS!$E:$E,"&lt;"&amp;$C$4,DEALS!$S:$S,F$6,DEALS!$U:$U,$B18,DEALS!$V:$V,"&lt;&gt;*RECEIVED*",DEALS!$V:$V,"&lt;&gt;*EXECUTED*"))</f>
        <v>0</v>
      </c>
      <c r="G18" s="32" cm="1">
        <f t="array" ref="G18">SUMIFS(BALANCES!$C:$C,BALANCES!$A:$A,$B$2,BALANCES!$B:$B,$B18,BALANCES!$D:$D,G$6)+SUMIFS(FLOWS!$C:$C,FLOWS!$A:$A,$B$2,FLOWS!$E:$E,$B18,FLOWS!$D:$D,G$6,FLOWS!$H:$H,"&lt;"&amp;$C$4)+SUM(SUMIFS(DEALS!$J:$J,DEALS!$A:$A,{"*REFUND*","*EXECUTED*"},DEALS!$G:$G,$B$2,DEALS!$E:$E,"&lt;"&amp;$C$4,DEALS!$K:$K,G$6,DEALS!$M:$M,$B18,DEALS!$N:$N,"&lt;&gt;*RECEIVED*",DEALS!$N:$N,"&lt;&gt;*EXECUTED*"))+SUM(SUMIFS(DEALS!$R:$R,DEALS!$A:$A,{"*REFUND*","*EXECUTED*"},DEALS!$O:$O,$B$2,DEALS!$E:$E,"&lt;"&amp;$C$4,DEALS!$S:$S,G$6,DEALS!$U:$U,$B18,DEALS!$V:$V,"&lt;&gt;*RECEIVED*",DEALS!$V:$V,"&lt;&gt;*EXECUTED*"))</f>
        <v>6499.37</v>
      </c>
      <c r="H18" s="32" cm="1">
        <f t="array" ref="H18">SUMIFS(BALANCES!$C:$C,BALANCES!$A:$A,$B$2,BALANCES!$B:$B,$B18,BALANCES!$D:$D,H$6)+SUMIFS(FLOWS!$C:$C,FLOWS!$A:$A,$B$2,FLOWS!$E:$E,$B18,FLOWS!$D:$D,H$6,FLOWS!$H:$H,"&lt;"&amp;$C$4)+SUM(SUMIFS(DEALS!$J:$J,DEALS!$A:$A,{"*REFUND*","*EXECUTED*"},DEALS!$G:$G,$B$2,DEALS!$E:$E,"&lt;"&amp;$C$4,DEALS!$K:$K,H$6,DEALS!$M:$M,$B18,DEALS!$N:$N,"&lt;&gt;*RECEIVED*",DEALS!$N:$N,"&lt;&gt;*EXECUTED*"))+SUM(SUMIFS(DEALS!$R:$R,DEALS!$A:$A,{"*REFUND*","*EXECUTED*"},DEALS!$O:$O,$B$2,DEALS!$E:$E,"&lt;"&amp;$C$4,DEALS!$S:$S,H$6,DEALS!$U:$U,$B18,DEALS!$V:$V,"&lt;&gt;*RECEIVED*",DEALS!$V:$V,"&lt;&gt;*EXECUTED*"))</f>
        <v>0</v>
      </c>
      <c r="I18" s="33">
        <f ca="1">C18*VLOOKUP(C$6,'FX RATES'!$E$1:$F$50,2,FALSE)+D18*VLOOKUP(D$6,'FX RATES'!$E$1:$F$50,2,FALSE)+E18*VLOOKUP(E$6,'FX RATES'!$E$1:$F$50,2,FALSE)+F18*VLOOKUP(F$6,'FX RATES'!$E$1:$F$50,2,FALSE)+G18*VLOOKUP(G$6,'FX RATES'!$E$1:$F$50,2,FALSE)+H18*VLOOKUP(H$6,'FX RATES'!$E$1:$F$50,2,FALSE)</f>
        <v>84.714906706812386</v>
      </c>
      <c r="K18" s="31" t="str">
        <f t="shared" si="6"/>
        <v>BK</v>
      </c>
      <c r="L18" s="32" cm="1">
        <f t="array" ref="L18">SUMIFS(FLOWS!$C:$C,FLOWS!$A:$A,$B$2,FLOWS!$E:$E,$K18,FLOWS!$D:$D,L$6,FLOWS!$H:$H,"&gt;="&amp;$C$4,FLOWS!$H:$H,"&lt;="&amp;$U$4)+SUM(SUMIFS(DEALS!$J:$J,DEALS!$A:$A,{"*REFUND*","*EXECUTED*"},DEALS!$G:$G,$B$2,DEALS!$E:$E,"&gt;="&amp;$C$4,DEALS!$E:$E,"&lt;="&amp;$U$4,DEALS!$K:$K,L$6,DEALS!$M:$M,$K18,DEALS!$N:$N,"&lt;&gt;*RECEIVED*",DEALS!$N:$N,"&lt;&gt;*EXECUTED*"))+SUM(SUMIFS(DEALS!$R:$R,DEALS!$A:$A,{"*REFUND*","*EXECUTED*"},DEALS!$O:$O,$B$2,DEALS!$E:$E,"&gt;="&amp;$C$4,DEALS!$E:$E,"&lt;="&amp;$U$4,DEALS!$S:$S,L$6,DEALS!$U:$U,$K18,DEALS!$V:$V,"&lt;&gt;*RECEIVED*",DEALS!$V:$V,"&lt;&gt;*EXECUTED*"))</f>
        <v>0</v>
      </c>
      <c r="M18" s="32" cm="1">
        <f t="array" ref="M18">SUMIFS(FLOWS!$C:$C,FLOWS!$A:$A,$B$2,FLOWS!$E:$E,$K18,FLOWS!$D:$D,M$6,FLOWS!$H:$H,"&gt;="&amp;$C$4,FLOWS!$H:$H,"&lt;="&amp;$U$4)+SUM(SUMIFS(DEALS!$J:$J,DEALS!$A:$A,{"*REFUND*","*EXECUTED*"},DEALS!$G:$G,$B$2,DEALS!$E:$E,"&gt;="&amp;$C$4,DEALS!$E:$E,"&lt;="&amp;$U$4,DEALS!$K:$K,M$6,DEALS!$M:$M,$K18,DEALS!$N:$N,"&lt;&gt;*RECEIVED*",DEALS!$N:$N,"&lt;&gt;*EXECUTED*"))+SUM(SUMIFS(DEALS!$R:$R,DEALS!$A:$A,{"*REFUND*","*EXECUTED*"},DEALS!$O:$O,$B$2,DEALS!$E:$E,"&gt;="&amp;$C$4,DEALS!$E:$E,"&lt;="&amp;$U$4,DEALS!$S:$S,M$6,DEALS!$U:$U,$K18,DEALS!$V:$V,"&lt;&gt;*RECEIVED*",DEALS!$V:$V,"&lt;&gt;*EXECUTED*"))</f>
        <v>0</v>
      </c>
      <c r="N18" s="32" cm="1">
        <f t="array" ref="N18">SUMIFS(FLOWS!$C:$C,FLOWS!$A:$A,$B$2,FLOWS!$E:$E,$K18,FLOWS!$D:$D,N$6,FLOWS!$H:$H,"&gt;="&amp;$C$4,FLOWS!$H:$H,"&lt;="&amp;$U$4)+SUM(SUMIFS(DEALS!$J:$J,DEALS!$A:$A,{"*REFUND*","*EXECUTED*"},DEALS!$G:$G,$B$2,DEALS!$E:$E,"&gt;="&amp;$C$4,DEALS!$E:$E,"&lt;="&amp;$U$4,DEALS!$K:$K,N$6,DEALS!$M:$M,$K18,DEALS!$N:$N,"&lt;&gt;*RECEIVED*",DEALS!$N:$N,"&lt;&gt;*EXECUTED*"))+SUM(SUMIFS(DEALS!$R:$R,DEALS!$A:$A,{"*REFUND*","*EXECUTED*"},DEALS!$O:$O,$B$2,DEALS!$E:$E,"&gt;="&amp;$C$4,DEALS!$E:$E,"&lt;="&amp;$U$4,DEALS!$S:$S,N$6,DEALS!$U:$U,$K18,DEALS!$V:$V,"&lt;&gt;*RECEIVED*",DEALS!$V:$V,"&lt;&gt;*EXECUTED*"))</f>
        <v>0</v>
      </c>
      <c r="O18" s="32" cm="1">
        <f t="array" ref="O18">SUMIFS(FLOWS!$C:$C,FLOWS!$A:$A,$B$2,FLOWS!$E:$E,$K18,FLOWS!$D:$D,O$6,FLOWS!$H:$H,"&gt;="&amp;$C$4,FLOWS!$H:$H,"&lt;="&amp;$U$4)+SUM(SUMIFS(DEALS!$J:$J,DEALS!$A:$A,{"*REFUND*","*EXECUTED*"},DEALS!$G:$G,$B$2,DEALS!$E:$E,"&gt;="&amp;$C$4,DEALS!$E:$E,"&lt;="&amp;$U$4,DEALS!$K:$K,O$6,DEALS!$M:$M,$K18,DEALS!$N:$N,"&lt;&gt;*RECEIVED*",DEALS!$N:$N,"&lt;&gt;*EXECUTED*"))+SUM(SUMIFS(DEALS!$R:$R,DEALS!$A:$A,{"*REFUND*","*EXECUTED*"},DEALS!$O:$O,$B$2,DEALS!$E:$E,"&gt;="&amp;$C$4,DEALS!$E:$E,"&lt;="&amp;$U$4,DEALS!$S:$S,O$6,DEALS!$U:$U,$K18,DEALS!$V:$V,"&lt;&gt;*RECEIVED*",DEALS!$V:$V,"&lt;&gt;*EXECUTED*"))</f>
        <v>0</v>
      </c>
      <c r="P18" s="32" cm="1">
        <f t="array" ref="P18">SUMIFS(FLOWS!$C:$C,FLOWS!$A:$A,$B$2,FLOWS!$E:$E,$K18,FLOWS!$D:$D,P$6,FLOWS!$H:$H,"&gt;="&amp;$C$4,FLOWS!$H:$H,"&lt;="&amp;$U$4)+SUM(SUMIFS(DEALS!$J:$J,DEALS!$A:$A,{"*REFUND*","*EXECUTED*"},DEALS!$G:$G,$B$2,DEALS!$E:$E,"&gt;="&amp;$C$4,DEALS!$E:$E,"&lt;="&amp;$U$4,DEALS!$K:$K,P$6,DEALS!$M:$M,$K18,DEALS!$N:$N,"&lt;&gt;*RECEIVED*",DEALS!$N:$N,"&lt;&gt;*EXECUTED*"))+SUM(SUMIFS(DEALS!$R:$R,DEALS!$A:$A,{"*REFUND*","*EXECUTED*"},DEALS!$O:$O,$B$2,DEALS!$E:$E,"&gt;="&amp;$C$4,DEALS!$E:$E,"&lt;="&amp;$U$4,DEALS!$S:$S,P$6,DEALS!$U:$U,$K18,DEALS!$V:$V,"&lt;&gt;*RECEIVED*",DEALS!$V:$V,"&lt;&gt;*EXECUTED*"))</f>
        <v>0</v>
      </c>
      <c r="Q18" s="32" cm="1">
        <f t="array" ref="Q18">SUMIFS(FLOWS!$C:$C,FLOWS!$A:$A,$B$2,FLOWS!$E:$E,$K18,FLOWS!$D:$D,Q$6,FLOWS!$H:$H,"&gt;="&amp;$C$4,FLOWS!$H:$H,"&lt;="&amp;$U$4)+SUM(SUMIFS(DEALS!$J:$J,DEALS!$A:$A,{"*REFUND*","*EXECUTED*"},DEALS!$G:$G,$B$2,DEALS!$E:$E,"&gt;="&amp;$C$4,DEALS!$E:$E,"&lt;="&amp;$U$4,DEALS!$K:$K,Q$6,DEALS!$M:$M,$K18,DEALS!$N:$N,"&lt;&gt;*RECEIVED*",DEALS!$N:$N,"&lt;&gt;*EXECUTED*"))+SUM(SUMIFS(DEALS!$R:$R,DEALS!$A:$A,{"*REFUND*","*EXECUTED*"},DEALS!$O:$O,$B$2,DEALS!$E:$E,"&gt;="&amp;$C$4,DEALS!$E:$E,"&lt;="&amp;$U$4,DEALS!$S:$S,Q$6,DEALS!$U:$U,$K18,DEALS!$V:$V,"&lt;&gt;*RECEIVED*",DEALS!$V:$V,"&lt;&gt;*EXECUTED*"))</f>
        <v>0</v>
      </c>
      <c r="R18" s="33">
        <f ca="1">L18*VLOOKUP(L$6,'FX RATES'!$E$1:$F$50,2,FALSE)+M18*VLOOKUP(M$6,'FX RATES'!$E$1:$F$50,2,FALSE)+N18*VLOOKUP(N$6,'FX RATES'!$E$1:$F$50,2,FALSE)+O18*VLOOKUP(O$6,'FX RATES'!$E$1:$F$50,2,FALSE)+P18*VLOOKUP(P$6,'FX RATES'!$E$1:$F$50,2,FALSE)+Q18*VLOOKUP(Q$6,'FX RATES'!$E$1:$F$50,2,FALSE)</f>
        <v>0</v>
      </c>
      <c r="T18" s="31" t="str">
        <f t="shared" si="7"/>
        <v>BK</v>
      </c>
      <c r="U18" s="32" cm="1">
        <f t="array" ref="U18">SUMIFS(BALANCES!$C:$C,BALANCES!$A:$A,$B$2,BALANCES!$B:$B,$T18,BALANCES!$D:$D,U$6)+SUMIFS(FLOWS!$C:$C,FLOWS!$A:$A,$B$2,FLOWS!$E:$E,$T18,FLOWS!$D:$D,U$6,FLOWS!$H:$H,"&lt;="&amp;$U$4)+SUM(SUMIFS(DEALS!$J:$J,DEALS!$A:$A,{"*REFUND*","*EXECUTED*"},DEALS!$G:$G,$B$2,DEALS!$E:$E,"&lt;="&amp;$U$4,DEALS!$K:$K,U$6,DEALS!$M:$M,$T18,DEALS!$N:$N,"&lt;&gt;*RECEIVED*",DEALS!$N:$N,"&lt;&gt;*EXECUTED*"))+SUM(SUMIFS(DEALS!$R:$R,DEALS!$A:$A,{"*REFUND*","*EXECUTED*"},DEALS!$O:$O,$B$2,DEALS!$E:$E,"&lt;="&amp;$U$4,DEALS!$S:$S,U$6,DEALS!$U:$U,$T18,DEALS!$V:$V,"&lt;&gt;*RECEIVED*",DEALS!$V:$V,"&lt;&gt;*EXECUTED*"))</f>
        <v>0</v>
      </c>
      <c r="V18" s="32" cm="1">
        <f t="array" ref="V18">SUMIFS(BALANCES!$C:$C,BALANCES!$A:$A,$B$2,BALANCES!$B:$B,$T18,BALANCES!$D:$D,V$6)+SUMIFS(FLOWS!$C:$C,FLOWS!$A:$A,$B$2,FLOWS!$E:$E,$T18,FLOWS!$D:$D,V$6,FLOWS!$H:$H,"&lt;="&amp;$U$4)+SUM(SUMIFS(DEALS!$J:$J,DEALS!$A:$A,{"*REFUND*","*EXECUTED*"},DEALS!$G:$G,$B$2,DEALS!$E:$E,"&lt;="&amp;$U$4,DEALS!$K:$K,V$6,DEALS!$M:$M,$T18,DEALS!$N:$N,"&lt;&gt;*RECEIVED*",DEALS!$N:$N,"&lt;&gt;*EXECUTED*"))+SUM(SUMIFS(DEALS!$R:$R,DEALS!$A:$A,{"*REFUND*","*EXECUTED*"},DEALS!$O:$O,$B$2,DEALS!$E:$E,"&lt;="&amp;$U$4,DEALS!$S:$S,V$6,DEALS!$U:$U,$T18,DEALS!$V:$V,"&lt;&gt;*RECEIVED*",DEALS!$V:$V,"&lt;&gt;*EXECUTED*"))</f>
        <v>0</v>
      </c>
      <c r="W18" s="32" cm="1">
        <f t="array" ref="W18">SUMIFS(BALANCES!$C:$C,BALANCES!$A:$A,$B$2,BALANCES!$B:$B,$T18,BALANCES!$D:$D,W$6)+SUMIFS(FLOWS!$C:$C,FLOWS!$A:$A,$B$2,FLOWS!$E:$E,$T18,FLOWS!$D:$D,W$6,FLOWS!$H:$H,"&lt;="&amp;$U$4)+SUM(SUMIFS(DEALS!$J:$J,DEALS!$A:$A,{"*REFUND*","*EXECUTED*"},DEALS!$G:$G,$B$2,DEALS!$E:$E,"&lt;="&amp;$U$4,DEALS!$K:$K,W$6,DEALS!$M:$M,$T18,DEALS!$N:$N,"&lt;&gt;*RECEIVED*",DEALS!$N:$N,"&lt;&gt;*EXECUTED*"))+SUM(SUMIFS(DEALS!$R:$R,DEALS!$A:$A,{"*REFUND*","*EXECUTED*"},DEALS!$O:$O,$B$2,DEALS!$E:$E,"&lt;="&amp;$U$4,DEALS!$S:$S,W$6,DEALS!$U:$U,$T18,DEALS!$V:$V,"&lt;&gt;*RECEIVED*",DEALS!$V:$V,"&lt;&gt;*EXECUTED*"))</f>
        <v>0</v>
      </c>
      <c r="X18" s="32" cm="1">
        <f t="array" ref="X18">SUMIFS(BALANCES!$C:$C,BALANCES!$A:$A,$B$2,BALANCES!$B:$B,$T18,BALANCES!$D:$D,X$6)+SUMIFS(FLOWS!$C:$C,FLOWS!$A:$A,$B$2,FLOWS!$E:$E,$T18,FLOWS!$D:$D,X$6,FLOWS!$H:$H,"&lt;="&amp;$U$4)+SUM(SUMIFS(DEALS!$J:$J,DEALS!$A:$A,{"*REFUND*","*EXECUTED*"},DEALS!$G:$G,$B$2,DEALS!$E:$E,"&lt;="&amp;$U$4,DEALS!$K:$K,X$6,DEALS!$M:$M,$T18,DEALS!$N:$N,"&lt;&gt;*RECEIVED*",DEALS!$N:$N,"&lt;&gt;*EXECUTED*"))+SUM(SUMIFS(DEALS!$R:$R,DEALS!$A:$A,{"*REFUND*","*EXECUTED*"},DEALS!$O:$O,$B$2,DEALS!$E:$E,"&lt;="&amp;$U$4,DEALS!$S:$S,X$6,DEALS!$U:$U,$T18,DEALS!$V:$V,"&lt;&gt;*RECEIVED*",DEALS!$V:$V,"&lt;&gt;*EXECUTED*"))</f>
        <v>0</v>
      </c>
      <c r="Y18" s="32" cm="1">
        <f t="array" ref="Y18">SUMIFS(BALANCES!$C:$C,BALANCES!$A:$A,$B$2,BALANCES!$B:$B,$T18,BALANCES!$D:$D,Y$6)+SUMIFS(FLOWS!$C:$C,FLOWS!$A:$A,$B$2,FLOWS!$E:$E,$T18,FLOWS!$D:$D,Y$6,FLOWS!$H:$H,"&lt;="&amp;$U$4)+SUM(SUMIFS(DEALS!$J:$J,DEALS!$A:$A,{"*REFUND*","*EXECUTED*"},DEALS!$G:$G,$B$2,DEALS!$E:$E,"&lt;="&amp;$U$4,DEALS!$K:$K,Y$6,DEALS!$M:$M,$T18,DEALS!$N:$N,"&lt;&gt;*RECEIVED*",DEALS!$N:$N,"&lt;&gt;*EXECUTED*"))+SUM(SUMIFS(DEALS!$R:$R,DEALS!$A:$A,{"*REFUND*","*EXECUTED*"},DEALS!$O:$O,$B$2,DEALS!$E:$E,"&lt;="&amp;$U$4,DEALS!$S:$S,Y$6,DEALS!$U:$U,$T18,DEALS!$V:$V,"&lt;&gt;*RECEIVED*",DEALS!$V:$V,"&lt;&gt;*EXECUTED*"))</f>
        <v>6499.37</v>
      </c>
      <c r="Z18" s="32" cm="1">
        <f t="array" ref="Z18">SUMIFS(BALANCES!$C:$C,BALANCES!$A:$A,$B$2,BALANCES!$B:$B,$T18,BALANCES!$D:$D,Z$6)+SUMIFS(FLOWS!$C:$C,FLOWS!$A:$A,$B$2,FLOWS!$E:$E,$T18,FLOWS!$D:$D,Z$6,FLOWS!$H:$H,"&lt;="&amp;$U$4)+SUM(SUMIFS(DEALS!$J:$J,DEALS!$A:$A,{"*REFUND*","*EXECUTED*"},DEALS!$G:$G,$B$2,DEALS!$E:$E,"&lt;="&amp;$U$4,DEALS!$K:$K,Z$6,DEALS!$M:$M,$T18,DEALS!$N:$N,"&lt;&gt;*RECEIVED*",DEALS!$N:$N,"&lt;&gt;*EXECUTED*"))+SUM(SUMIFS(DEALS!$R:$R,DEALS!$A:$A,{"*REFUND*","*EXECUTED*"},DEALS!$O:$O,$B$2,DEALS!$E:$E,"&lt;="&amp;$U$4,DEALS!$S:$S,Z$6,DEALS!$U:$U,$T18,DEALS!$V:$V,"&lt;&gt;*RECEIVED*",DEALS!$V:$V,"&lt;&gt;*EXECUTED*"))</f>
        <v>0</v>
      </c>
      <c r="AA18" s="33">
        <f ca="1">U18*VLOOKUP(U$6,'FX RATES'!$E$1:$F$50,2,FALSE)+V18*VLOOKUP(V$6,'FX RATES'!$E$1:$F$50,2,FALSE)+W18*VLOOKUP(W$6,'FX RATES'!$E$1:$F$50,2,FALSE)+X18*VLOOKUP(X$6,'FX RATES'!$E$1:$F$50,2,FALSE)+Y18*VLOOKUP(Y$6,'FX RATES'!$E$1:$F$50,2,FALSE)+Z18*VLOOKUP(Z$6,'FX RATES'!$E$1:$F$50,2,FALSE)</f>
        <v>84.714906706812386</v>
      </c>
      <c r="AC18" s="139">
        <f t="shared" ca="1" si="4"/>
        <v>0</v>
      </c>
    </row>
    <row r="19" spans="2:29" ht="20" thickBot="1">
      <c r="B19" s="28" t="s">
        <v>25</v>
      </c>
      <c r="C19" s="29" cm="1">
        <f t="array" ref="C19">SUMIFS(BALANCES!$C:$C,BALANCES!$A:$A,$B$2,BALANCES!$B:$B,$B19,BALANCES!$D:$D,C$6)+SUMIFS(FLOWS!$C:$C,FLOWS!$A:$A,$B$2,FLOWS!$E:$E,$B19,FLOWS!$D:$D,C$6,FLOWS!$H:$H,"&lt;"&amp;$C$4)+SUM(SUMIFS(DEALS!$J:$J,DEALS!$A:$A,{"*REFUND*","*EXECUTED*"},DEALS!$G:$G,$B$2,DEALS!$E:$E,"&lt;"&amp;$C$4,DEALS!$K:$K,C$6,DEALS!$M:$M,$B19,DEALS!$N:$N,"&lt;&gt;*RECEIVED*",DEALS!$N:$N,"&lt;&gt;*EXECUTED*"))+SUM(SUMIFS(DEALS!$R:$R,DEALS!$A:$A,{"*REFUND*","*EXECUTED*"},DEALS!$O:$O,$B$2,DEALS!$E:$E,"&lt;"&amp;$C$4,DEALS!$S:$S,C$6,DEALS!$U:$U,$B19,DEALS!$V:$V,"&lt;&gt;*RECEIVED*",DEALS!$V:$V,"&lt;&gt;*EXECUTED*"))</f>
        <v>0</v>
      </c>
      <c r="D19" s="29" cm="1">
        <f t="array" ref="D19">SUMIFS(BALANCES!$C:$C,BALANCES!$A:$A,$B$2,BALANCES!$B:$B,$B19,BALANCES!$D:$D,D$6)+SUMIFS(FLOWS!$C:$C,FLOWS!$A:$A,$B$2,FLOWS!$E:$E,$B19,FLOWS!$D:$D,D$6,FLOWS!$H:$H,"&lt;"&amp;$C$4)+SUM(SUMIFS(DEALS!$J:$J,DEALS!$A:$A,{"*REFUND*","*EXECUTED*"},DEALS!$G:$G,$B$2,DEALS!$E:$E,"&lt;"&amp;$C$4,DEALS!$K:$K,D$6,DEALS!$M:$M,$B19,DEALS!$N:$N,"&lt;&gt;*RECEIVED*",DEALS!$N:$N,"&lt;&gt;*EXECUTED*"))+SUM(SUMIFS(DEALS!$R:$R,DEALS!$A:$A,{"*REFUND*","*EXECUTED*"},DEALS!$O:$O,$B$2,DEALS!$E:$E,"&lt;"&amp;$C$4,DEALS!$S:$S,D$6,DEALS!$U:$U,$B19,DEALS!$V:$V,"&lt;&gt;*RECEIVED*",DEALS!$V:$V,"&lt;&gt;*EXECUTED*"))</f>
        <v>0</v>
      </c>
      <c r="E19" s="29" cm="1">
        <f t="array" ref="E19">SUMIFS(BALANCES!$C:$C,BALANCES!$A:$A,$B$2,BALANCES!$B:$B,$B19,BALANCES!$D:$D,E$6)+SUMIFS(FLOWS!$C:$C,FLOWS!$A:$A,$B$2,FLOWS!$E:$E,$B19,FLOWS!$D:$D,E$6,FLOWS!$H:$H,"&lt;"&amp;$C$4)+SUM(SUMIFS(DEALS!$J:$J,DEALS!$A:$A,{"*REFUND*","*EXECUTED*"},DEALS!$G:$G,$B$2,DEALS!$E:$E,"&lt;"&amp;$C$4,DEALS!$K:$K,E$6,DEALS!$M:$M,$B19,DEALS!$N:$N,"&lt;&gt;*RECEIVED*",DEALS!$N:$N,"&lt;&gt;*EXECUTED*"))+SUM(SUMIFS(DEALS!$R:$R,DEALS!$A:$A,{"*REFUND*","*EXECUTED*"},DEALS!$O:$O,$B$2,DEALS!$E:$E,"&lt;"&amp;$C$4,DEALS!$S:$S,E$6,DEALS!$U:$U,$B19,DEALS!$V:$V,"&lt;&gt;*RECEIVED*",DEALS!$V:$V,"&lt;&gt;*EXECUTED*"))</f>
        <v>1.01</v>
      </c>
      <c r="F19" s="29" cm="1">
        <f t="array" ref="F19">SUMIFS(BALANCES!$C:$C,BALANCES!$A:$A,$B$2,BALANCES!$B:$B,$B19,BALANCES!$D:$D,F$6)+SUMIFS(FLOWS!$C:$C,FLOWS!$A:$A,$B$2,FLOWS!$E:$E,$B19,FLOWS!$D:$D,F$6,FLOWS!$H:$H,"&lt;"&amp;$C$4)+SUM(SUMIFS(DEALS!$J:$J,DEALS!$A:$A,{"*REFUND*","*EXECUTED*"},DEALS!$G:$G,$B$2,DEALS!$E:$E,"&lt;"&amp;$C$4,DEALS!$K:$K,F$6,DEALS!$M:$M,$B19,DEALS!$N:$N,"&lt;&gt;*RECEIVED*",DEALS!$N:$N,"&lt;&gt;*EXECUTED*"))+SUM(SUMIFS(DEALS!$R:$R,DEALS!$A:$A,{"*REFUND*","*EXECUTED*"},DEALS!$O:$O,$B$2,DEALS!$E:$E,"&lt;"&amp;$C$4,DEALS!$S:$S,F$6,DEALS!$U:$U,$B19,DEALS!$V:$V,"&lt;&gt;*RECEIVED*",DEALS!$V:$V,"&lt;&gt;*EXECUTED*"))</f>
        <v>0</v>
      </c>
      <c r="G19" s="29" cm="1">
        <f t="array" ref="G19">SUMIFS(BALANCES!$C:$C,BALANCES!$A:$A,$B$2,BALANCES!$B:$B,$B19,BALANCES!$D:$D,G$6)+SUMIFS(FLOWS!$C:$C,FLOWS!$A:$A,$B$2,FLOWS!$E:$E,$B19,FLOWS!$D:$D,G$6,FLOWS!$H:$H,"&lt;"&amp;$C$4)+SUM(SUMIFS(DEALS!$J:$J,DEALS!$A:$A,{"*REFUND*","*EXECUTED*"},DEALS!$G:$G,$B$2,DEALS!$E:$E,"&lt;"&amp;$C$4,DEALS!$K:$K,G$6,DEALS!$M:$M,$B19,DEALS!$N:$N,"&lt;&gt;*RECEIVED*",DEALS!$N:$N,"&lt;&gt;*EXECUTED*"))+SUM(SUMIFS(DEALS!$R:$R,DEALS!$A:$A,{"*REFUND*","*EXECUTED*"},DEALS!$O:$O,$B$2,DEALS!$E:$E,"&lt;"&amp;$C$4,DEALS!$S:$S,G$6,DEALS!$U:$U,$B19,DEALS!$V:$V,"&lt;&gt;*RECEIVED*",DEALS!$V:$V,"&lt;&gt;*EXECUTED*"))</f>
        <v>329009.57</v>
      </c>
      <c r="H19" s="29" cm="1">
        <f t="array" ref="H19">SUMIFS(BALANCES!$C:$C,BALANCES!$A:$A,$B$2,BALANCES!$B:$B,$B19,BALANCES!$D:$D,H$6)+SUMIFS(FLOWS!$C:$C,FLOWS!$A:$A,$B$2,FLOWS!$E:$E,$B19,FLOWS!$D:$D,H$6,FLOWS!$H:$H,"&lt;"&amp;$C$4)+SUM(SUMIFS(DEALS!$J:$J,DEALS!$A:$A,{"*REFUND*","*EXECUTED*"},DEALS!$G:$G,$B$2,DEALS!$E:$E,"&lt;"&amp;$C$4,DEALS!$K:$K,H$6,DEALS!$M:$M,$B19,DEALS!$N:$N,"&lt;&gt;*RECEIVED*",DEALS!$N:$N,"&lt;&gt;*EXECUTED*"))+SUM(SUMIFS(DEALS!$R:$R,DEALS!$A:$A,{"*REFUND*","*EXECUTED*"},DEALS!$O:$O,$B$2,DEALS!$E:$E,"&lt;"&amp;$C$4,DEALS!$S:$S,H$6,DEALS!$U:$U,$B19,DEALS!$V:$V,"&lt;&gt;*RECEIVED*",DEALS!$V:$V,"&lt;&gt;*EXECUTED*"))</f>
        <v>0</v>
      </c>
      <c r="I19" s="30">
        <f ca="1">C19*VLOOKUP(C$6,'FX RATES'!$E$1:$F$50,2,FALSE)+D19*VLOOKUP(D$6,'FX RATES'!$E$1:$F$50,2,FALSE)+E19*VLOOKUP(E$6,'FX RATES'!$E$1:$F$50,2,FALSE)+F19*VLOOKUP(F$6,'FX RATES'!$E$1:$F$50,2,FALSE)+G19*VLOOKUP(G$6,'FX RATES'!$E$1:$F$50,2,FALSE)+H19*VLOOKUP(H$6,'FX RATES'!$E$1:$F$50,2,FALSE)</f>
        <v>4288.5641659901094</v>
      </c>
      <c r="K19" s="28" t="str">
        <f t="shared" si="6"/>
        <v>CEB</v>
      </c>
      <c r="L19" s="29" cm="1">
        <f t="array" ref="L19">SUMIFS(FLOWS!$C:$C,FLOWS!$A:$A,$B$2,FLOWS!$E:$E,$K19,FLOWS!$D:$D,L$6,FLOWS!$H:$H,"&gt;="&amp;$C$4,FLOWS!$H:$H,"&lt;="&amp;$U$4)+SUM(SUMIFS(DEALS!$J:$J,DEALS!$A:$A,{"*REFUND*","*EXECUTED*"},DEALS!$G:$G,$B$2,DEALS!$E:$E,"&gt;="&amp;$C$4,DEALS!$E:$E,"&lt;="&amp;$U$4,DEALS!$K:$K,L$6,DEALS!$M:$M,$K19,DEALS!$N:$N,"&lt;&gt;*RECEIVED*",DEALS!$N:$N,"&lt;&gt;*EXECUTED*"))+SUM(SUMIFS(DEALS!$R:$R,DEALS!$A:$A,{"*REFUND*","*EXECUTED*"},DEALS!$O:$O,$B$2,DEALS!$E:$E,"&gt;="&amp;$C$4,DEALS!$E:$E,"&lt;="&amp;$U$4,DEALS!$S:$S,L$6,DEALS!$U:$U,$K19,DEALS!$V:$V,"&lt;&gt;*RECEIVED*",DEALS!$V:$V,"&lt;&gt;*EXECUTED*"))</f>
        <v>0</v>
      </c>
      <c r="M19" s="29" cm="1">
        <f t="array" ref="M19">SUMIFS(FLOWS!$C:$C,FLOWS!$A:$A,$B$2,FLOWS!$E:$E,$K19,FLOWS!$D:$D,M$6,FLOWS!$H:$H,"&gt;="&amp;$C$4,FLOWS!$H:$H,"&lt;="&amp;$U$4)+SUM(SUMIFS(DEALS!$J:$J,DEALS!$A:$A,{"*REFUND*","*EXECUTED*"},DEALS!$G:$G,$B$2,DEALS!$E:$E,"&gt;="&amp;$C$4,DEALS!$E:$E,"&lt;="&amp;$U$4,DEALS!$K:$K,M$6,DEALS!$M:$M,$K19,DEALS!$N:$N,"&lt;&gt;*RECEIVED*",DEALS!$N:$N,"&lt;&gt;*EXECUTED*"))+SUM(SUMIFS(DEALS!$R:$R,DEALS!$A:$A,{"*REFUND*","*EXECUTED*"},DEALS!$O:$O,$B$2,DEALS!$E:$E,"&gt;="&amp;$C$4,DEALS!$E:$E,"&lt;="&amp;$U$4,DEALS!$S:$S,M$6,DEALS!$U:$U,$K19,DEALS!$V:$V,"&lt;&gt;*RECEIVED*",DEALS!$V:$V,"&lt;&gt;*EXECUTED*"))</f>
        <v>0</v>
      </c>
      <c r="N19" s="29" cm="1">
        <f t="array" ref="N19">SUMIFS(FLOWS!$C:$C,FLOWS!$A:$A,$B$2,FLOWS!$E:$E,$K19,FLOWS!$D:$D,N$6,FLOWS!$H:$H,"&gt;="&amp;$C$4,FLOWS!$H:$H,"&lt;="&amp;$U$4)+SUM(SUMIFS(DEALS!$J:$J,DEALS!$A:$A,{"*REFUND*","*EXECUTED*"},DEALS!$G:$G,$B$2,DEALS!$E:$E,"&gt;="&amp;$C$4,DEALS!$E:$E,"&lt;="&amp;$U$4,DEALS!$K:$K,N$6,DEALS!$M:$M,$K19,DEALS!$N:$N,"&lt;&gt;*RECEIVED*",DEALS!$N:$N,"&lt;&gt;*EXECUTED*"))+SUM(SUMIFS(DEALS!$R:$R,DEALS!$A:$A,{"*REFUND*","*EXECUTED*"},DEALS!$O:$O,$B$2,DEALS!$E:$E,"&gt;="&amp;$C$4,DEALS!$E:$E,"&lt;="&amp;$U$4,DEALS!$S:$S,N$6,DEALS!$U:$U,$K19,DEALS!$V:$V,"&lt;&gt;*RECEIVED*",DEALS!$V:$V,"&lt;&gt;*EXECUTED*"))</f>
        <v>0</v>
      </c>
      <c r="O19" s="29" cm="1">
        <f t="array" ref="O19">SUMIFS(FLOWS!$C:$C,FLOWS!$A:$A,$B$2,FLOWS!$E:$E,$K19,FLOWS!$D:$D,O$6,FLOWS!$H:$H,"&gt;="&amp;$C$4,FLOWS!$H:$H,"&lt;="&amp;$U$4)+SUM(SUMIFS(DEALS!$J:$J,DEALS!$A:$A,{"*REFUND*","*EXECUTED*"},DEALS!$G:$G,$B$2,DEALS!$E:$E,"&gt;="&amp;$C$4,DEALS!$E:$E,"&lt;="&amp;$U$4,DEALS!$K:$K,O$6,DEALS!$M:$M,$K19,DEALS!$N:$N,"&lt;&gt;*RECEIVED*",DEALS!$N:$N,"&lt;&gt;*EXECUTED*"))+SUM(SUMIFS(DEALS!$R:$R,DEALS!$A:$A,{"*REFUND*","*EXECUTED*"},DEALS!$O:$O,$B$2,DEALS!$E:$E,"&gt;="&amp;$C$4,DEALS!$E:$E,"&lt;="&amp;$U$4,DEALS!$S:$S,O$6,DEALS!$U:$U,$K19,DEALS!$V:$V,"&lt;&gt;*RECEIVED*",DEALS!$V:$V,"&lt;&gt;*EXECUTED*"))</f>
        <v>0</v>
      </c>
      <c r="P19" s="29" cm="1">
        <f t="array" ref="P19">SUMIFS(FLOWS!$C:$C,FLOWS!$A:$A,$B$2,FLOWS!$E:$E,$K19,FLOWS!$D:$D,P$6,FLOWS!$H:$H,"&gt;="&amp;$C$4,FLOWS!$H:$H,"&lt;="&amp;$U$4)+SUM(SUMIFS(DEALS!$J:$J,DEALS!$A:$A,{"*REFUND*","*EXECUTED*"},DEALS!$G:$G,$B$2,DEALS!$E:$E,"&gt;="&amp;$C$4,DEALS!$E:$E,"&lt;="&amp;$U$4,DEALS!$K:$K,P$6,DEALS!$M:$M,$K19,DEALS!$N:$N,"&lt;&gt;*RECEIVED*",DEALS!$N:$N,"&lt;&gt;*EXECUTED*"))+SUM(SUMIFS(DEALS!$R:$R,DEALS!$A:$A,{"*REFUND*","*EXECUTED*"},DEALS!$O:$O,$B$2,DEALS!$E:$E,"&gt;="&amp;$C$4,DEALS!$E:$E,"&lt;="&amp;$U$4,DEALS!$S:$S,P$6,DEALS!$U:$U,$K19,DEALS!$V:$V,"&lt;&gt;*RECEIVED*",DEALS!$V:$V,"&lt;&gt;*EXECUTED*"))</f>
        <v>0</v>
      </c>
      <c r="Q19" s="29" cm="1">
        <f t="array" ref="Q19">SUMIFS(FLOWS!$C:$C,FLOWS!$A:$A,$B$2,FLOWS!$E:$E,$K19,FLOWS!$D:$D,Q$6,FLOWS!$H:$H,"&gt;="&amp;$C$4,FLOWS!$H:$H,"&lt;="&amp;$U$4)+SUM(SUMIFS(DEALS!$J:$J,DEALS!$A:$A,{"*REFUND*","*EXECUTED*"},DEALS!$G:$G,$B$2,DEALS!$E:$E,"&gt;="&amp;$C$4,DEALS!$E:$E,"&lt;="&amp;$U$4,DEALS!$K:$K,Q$6,DEALS!$M:$M,$K19,DEALS!$N:$N,"&lt;&gt;*RECEIVED*",DEALS!$N:$N,"&lt;&gt;*EXECUTED*"))+SUM(SUMIFS(DEALS!$R:$R,DEALS!$A:$A,{"*REFUND*","*EXECUTED*"},DEALS!$O:$O,$B$2,DEALS!$E:$E,"&gt;="&amp;$C$4,DEALS!$E:$E,"&lt;="&amp;$U$4,DEALS!$S:$S,Q$6,DEALS!$U:$U,$K19,DEALS!$V:$V,"&lt;&gt;*RECEIVED*",DEALS!$V:$V,"&lt;&gt;*EXECUTED*"))</f>
        <v>0</v>
      </c>
      <c r="R19" s="30">
        <f ca="1">L19*VLOOKUP(L$6,'FX RATES'!$E$1:$F$50,2,FALSE)+M19*VLOOKUP(M$6,'FX RATES'!$E$1:$F$50,2,FALSE)+N19*VLOOKUP(N$6,'FX RATES'!$E$1:$F$50,2,FALSE)+O19*VLOOKUP(O$6,'FX RATES'!$E$1:$F$50,2,FALSE)+P19*VLOOKUP(P$6,'FX RATES'!$E$1:$F$50,2,FALSE)+Q19*VLOOKUP(Q$6,'FX RATES'!$E$1:$F$50,2,FALSE)</f>
        <v>0</v>
      </c>
      <c r="T19" s="28" t="str">
        <f t="shared" si="7"/>
        <v>CEB</v>
      </c>
      <c r="U19" s="29" cm="1">
        <f t="array" ref="U19">SUMIFS(BALANCES!$C:$C,BALANCES!$A:$A,$B$2,BALANCES!$B:$B,$T19,BALANCES!$D:$D,U$6)+SUMIFS(FLOWS!$C:$C,FLOWS!$A:$A,$B$2,FLOWS!$E:$E,$T19,FLOWS!$D:$D,U$6,FLOWS!$H:$H,"&lt;="&amp;$U$4)+SUM(SUMIFS(DEALS!$J:$J,DEALS!$A:$A,{"*REFUND*","*EXECUTED*"},DEALS!$G:$G,$B$2,DEALS!$E:$E,"&lt;="&amp;$U$4,DEALS!$K:$K,U$6,DEALS!$M:$M,$T19,DEALS!$N:$N,"&lt;&gt;*RECEIVED*",DEALS!$N:$N,"&lt;&gt;*EXECUTED*"))+SUM(SUMIFS(DEALS!$R:$R,DEALS!$A:$A,{"*REFUND*","*EXECUTED*"},DEALS!$O:$O,$B$2,DEALS!$E:$E,"&lt;="&amp;$U$4,DEALS!$S:$S,U$6,DEALS!$U:$U,$T19,DEALS!$V:$V,"&lt;&gt;*RECEIVED*",DEALS!$V:$V,"&lt;&gt;*EXECUTED*"))</f>
        <v>0</v>
      </c>
      <c r="V19" s="29" cm="1">
        <f t="array" ref="V19">SUMIFS(BALANCES!$C:$C,BALANCES!$A:$A,$B$2,BALANCES!$B:$B,$T19,BALANCES!$D:$D,V$6)+SUMIFS(FLOWS!$C:$C,FLOWS!$A:$A,$B$2,FLOWS!$E:$E,$T19,FLOWS!$D:$D,V$6,FLOWS!$H:$H,"&lt;="&amp;$U$4)+SUM(SUMIFS(DEALS!$J:$J,DEALS!$A:$A,{"*REFUND*","*EXECUTED*"},DEALS!$G:$G,$B$2,DEALS!$E:$E,"&lt;="&amp;$U$4,DEALS!$K:$K,V$6,DEALS!$M:$M,$T19,DEALS!$N:$N,"&lt;&gt;*RECEIVED*",DEALS!$N:$N,"&lt;&gt;*EXECUTED*"))+SUM(SUMIFS(DEALS!$R:$R,DEALS!$A:$A,{"*REFUND*","*EXECUTED*"},DEALS!$O:$O,$B$2,DEALS!$E:$E,"&lt;="&amp;$U$4,DEALS!$S:$S,V$6,DEALS!$U:$U,$T19,DEALS!$V:$V,"&lt;&gt;*RECEIVED*",DEALS!$V:$V,"&lt;&gt;*EXECUTED*"))</f>
        <v>0</v>
      </c>
      <c r="W19" s="29" cm="1">
        <f t="array" ref="W19">SUMIFS(BALANCES!$C:$C,BALANCES!$A:$A,$B$2,BALANCES!$B:$B,$T19,BALANCES!$D:$D,W$6)+SUMIFS(FLOWS!$C:$C,FLOWS!$A:$A,$B$2,FLOWS!$E:$E,$T19,FLOWS!$D:$D,W$6,FLOWS!$H:$H,"&lt;="&amp;$U$4)+SUM(SUMIFS(DEALS!$J:$J,DEALS!$A:$A,{"*REFUND*","*EXECUTED*"},DEALS!$G:$G,$B$2,DEALS!$E:$E,"&lt;="&amp;$U$4,DEALS!$K:$K,W$6,DEALS!$M:$M,$T19,DEALS!$N:$N,"&lt;&gt;*RECEIVED*",DEALS!$N:$N,"&lt;&gt;*EXECUTED*"))+SUM(SUMIFS(DEALS!$R:$R,DEALS!$A:$A,{"*REFUND*","*EXECUTED*"},DEALS!$O:$O,$B$2,DEALS!$E:$E,"&lt;="&amp;$U$4,DEALS!$S:$S,W$6,DEALS!$U:$U,$T19,DEALS!$V:$V,"&lt;&gt;*RECEIVED*",DEALS!$V:$V,"&lt;&gt;*EXECUTED*"))</f>
        <v>1.01</v>
      </c>
      <c r="X19" s="29" cm="1">
        <f t="array" ref="X19">SUMIFS(BALANCES!$C:$C,BALANCES!$A:$A,$B$2,BALANCES!$B:$B,$T19,BALANCES!$D:$D,X$6)+SUMIFS(FLOWS!$C:$C,FLOWS!$A:$A,$B$2,FLOWS!$E:$E,$T19,FLOWS!$D:$D,X$6,FLOWS!$H:$H,"&lt;="&amp;$U$4)+SUM(SUMIFS(DEALS!$J:$J,DEALS!$A:$A,{"*REFUND*","*EXECUTED*"},DEALS!$G:$G,$B$2,DEALS!$E:$E,"&lt;="&amp;$U$4,DEALS!$K:$K,X$6,DEALS!$M:$M,$T19,DEALS!$N:$N,"&lt;&gt;*RECEIVED*",DEALS!$N:$N,"&lt;&gt;*EXECUTED*"))+SUM(SUMIFS(DEALS!$R:$R,DEALS!$A:$A,{"*REFUND*","*EXECUTED*"},DEALS!$O:$O,$B$2,DEALS!$E:$E,"&lt;="&amp;$U$4,DEALS!$S:$S,X$6,DEALS!$U:$U,$T19,DEALS!$V:$V,"&lt;&gt;*RECEIVED*",DEALS!$V:$V,"&lt;&gt;*EXECUTED*"))</f>
        <v>0</v>
      </c>
      <c r="Y19" s="29" cm="1">
        <f t="array" ref="Y19">SUMIFS(BALANCES!$C:$C,BALANCES!$A:$A,$B$2,BALANCES!$B:$B,$T19,BALANCES!$D:$D,Y$6)+SUMIFS(FLOWS!$C:$C,FLOWS!$A:$A,$B$2,FLOWS!$E:$E,$T19,FLOWS!$D:$D,Y$6,FLOWS!$H:$H,"&lt;="&amp;$U$4)+SUM(SUMIFS(DEALS!$J:$J,DEALS!$A:$A,{"*REFUND*","*EXECUTED*"},DEALS!$G:$G,$B$2,DEALS!$E:$E,"&lt;="&amp;$U$4,DEALS!$K:$K,Y$6,DEALS!$M:$M,$T19,DEALS!$N:$N,"&lt;&gt;*RECEIVED*",DEALS!$N:$N,"&lt;&gt;*EXECUTED*"))+SUM(SUMIFS(DEALS!$R:$R,DEALS!$A:$A,{"*REFUND*","*EXECUTED*"},DEALS!$O:$O,$B$2,DEALS!$E:$E,"&lt;="&amp;$U$4,DEALS!$S:$S,Y$6,DEALS!$U:$U,$T19,DEALS!$V:$V,"&lt;&gt;*RECEIVED*",DEALS!$V:$V,"&lt;&gt;*EXECUTED*"))</f>
        <v>329009.57</v>
      </c>
      <c r="Z19" s="29" cm="1">
        <f t="array" ref="Z19">SUMIFS(BALANCES!$C:$C,BALANCES!$A:$A,$B$2,BALANCES!$B:$B,$T19,BALANCES!$D:$D,Z$6)+SUMIFS(FLOWS!$C:$C,FLOWS!$A:$A,$B$2,FLOWS!$E:$E,$T19,FLOWS!$D:$D,Z$6,FLOWS!$H:$H,"&lt;="&amp;$U$4)+SUM(SUMIFS(DEALS!$J:$J,DEALS!$A:$A,{"*REFUND*","*EXECUTED*"},DEALS!$G:$G,$B$2,DEALS!$E:$E,"&lt;="&amp;$U$4,DEALS!$K:$K,Z$6,DEALS!$M:$M,$T19,DEALS!$N:$N,"&lt;&gt;*RECEIVED*",DEALS!$N:$N,"&lt;&gt;*EXECUTED*"))+SUM(SUMIFS(DEALS!$R:$R,DEALS!$A:$A,{"*REFUND*","*EXECUTED*"},DEALS!$O:$O,$B$2,DEALS!$E:$E,"&lt;="&amp;$U$4,DEALS!$S:$S,Z$6,DEALS!$U:$U,$T19,DEALS!$V:$V,"&lt;&gt;*RECEIVED*",DEALS!$V:$V,"&lt;&gt;*EXECUTED*"))</f>
        <v>0</v>
      </c>
      <c r="AA19" s="30">
        <f ca="1">U19*VLOOKUP(U$6,'FX RATES'!$E$1:$F$50,2,FALSE)+V19*VLOOKUP(V$6,'FX RATES'!$E$1:$F$50,2,FALSE)+W19*VLOOKUP(W$6,'FX RATES'!$E$1:$F$50,2,FALSE)+X19*VLOOKUP(X$6,'FX RATES'!$E$1:$F$50,2,FALSE)+Y19*VLOOKUP(Y$6,'FX RATES'!$E$1:$F$50,2,FALSE)+Z19*VLOOKUP(Z$6,'FX RATES'!$E$1:$F$50,2,FALSE)</f>
        <v>4288.5641659901094</v>
      </c>
      <c r="AC19" s="139">
        <f t="shared" ca="1" si="4"/>
        <v>0</v>
      </c>
    </row>
    <row r="20" spans="2:29" ht="20" hidden="1" thickBot="1">
      <c r="B20" s="31"/>
      <c r="C20" s="32" cm="1">
        <f t="array" ref="C20">SUMIFS(BALANCES!$C:$C,BALANCES!$A:$A,$B$2,BALANCES!$B:$B,$B20,BALANCES!$D:$D,C$6)+SUMIFS(FLOWS!$C:$C,FLOWS!$A:$A,$B$2,FLOWS!$E:$E,$B20,FLOWS!$D:$D,C$6,FLOWS!$H:$H,"&lt;"&amp;$C$4)+SUM(SUMIFS(DEALS!$J:$J,DEALS!$A:$A,{"*REFUND*","*EXECUTED*"},DEALS!$G:$G,$B$2,DEALS!$E:$E,"&lt;"&amp;$C$4,DEALS!$K:$K,C$6,DEALS!$M:$M,$B20,DEALS!$N:$N,"&lt;&gt;*RECEIVED*",DEALS!$N:$N,"&lt;&gt;*EXECUTED*"))+SUM(SUMIFS(DEALS!$R:$R,DEALS!$A:$A,{"*REFUND*","*EXECUTED*"},DEALS!$O:$O,$B$2,DEALS!$E:$E,"&lt;"&amp;$C$4,DEALS!$S:$S,C$6,DEALS!$U:$U,$B20,DEALS!$V:$V,"&lt;&gt;*RECEIVED*",DEALS!$V:$V,"&lt;&gt;*EXECUTED*"))</f>
        <v>0</v>
      </c>
      <c r="D20" s="32" cm="1">
        <f t="array" ref="D20">SUMIFS(BALANCES!$C:$C,BALANCES!$A:$A,$B$2,BALANCES!$B:$B,$B20,BALANCES!$D:$D,D$6)+SUMIFS(FLOWS!$C:$C,FLOWS!$A:$A,$B$2,FLOWS!$E:$E,$B20,FLOWS!$D:$D,D$6,FLOWS!$H:$H,"&lt;"&amp;$C$4)+SUM(SUMIFS(DEALS!$J:$J,DEALS!$A:$A,{"*REFUND*","*EXECUTED*"},DEALS!$G:$G,$B$2,DEALS!$E:$E,"&lt;"&amp;$C$4,DEALS!$K:$K,D$6,DEALS!$M:$M,$B20,DEALS!$N:$N,"&lt;&gt;*RECEIVED*",DEALS!$N:$N,"&lt;&gt;*EXECUTED*"))+SUM(SUMIFS(DEALS!$R:$R,DEALS!$A:$A,{"*REFUND*","*EXECUTED*"},DEALS!$O:$O,$B$2,DEALS!$E:$E,"&lt;"&amp;$C$4,DEALS!$S:$S,D$6,DEALS!$U:$U,$B20,DEALS!$V:$V,"&lt;&gt;*RECEIVED*",DEALS!$V:$V,"&lt;&gt;*EXECUTED*"))</f>
        <v>0</v>
      </c>
      <c r="E20" s="32" cm="1">
        <f t="array" ref="E20">SUMIFS(BALANCES!$C:$C,BALANCES!$A:$A,$B$2,BALANCES!$B:$B,$B20,BALANCES!$D:$D,E$6)+SUMIFS(FLOWS!$C:$C,FLOWS!$A:$A,$B$2,FLOWS!$E:$E,$B20,FLOWS!$D:$D,E$6,FLOWS!$H:$H,"&lt;"&amp;$C$4)+SUM(SUMIFS(DEALS!$J:$J,DEALS!$A:$A,{"*REFUND*","*EXECUTED*"},DEALS!$G:$G,$B$2,DEALS!$E:$E,"&lt;"&amp;$C$4,DEALS!$K:$K,E$6,DEALS!$M:$M,$B20,DEALS!$N:$N,"&lt;&gt;*RECEIVED*",DEALS!$N:$N,"&lt;&gt;*EXECUTED*"))+SUM(SUMIFS(DEALS!$R:$R,DEALS!$A:$A,{"*REFUND*","*EXECUTED*"},DEALS!$O:$O,$B$2,DEALS!$E:$E,"&lt;"&amp;$C$4,DEALS!$S:$S,E$6,DEALS!$U:$U,$B20,DEALS!$V:$V,"&lt;&gt;*RECEIVED*",DEALS!$V:$V,"&lt;&gt;*EXECUTED*"))</f>
        <v>0</v>
      </c>
      <c r="F20" s="32" cm="1">
        <f t="array" ref="F20">SUMIFS(BALANCES!$C:$C,BALANCES!$A:$A,$B$2,BALANCES!$B:$B,$B20,BALANCES!$D:$D,F$6)+SUMIFS(FLOWS!$C:$C,FLOWS!$A:$A,$B$2,FLOWS!$E:$E,$B20,FLOWS!$D:$D,F$6,FLOWS!$H:$H,"&lt;"&amp;$C$4)+SUM(SUMIFS(DEALS!$J:$J,DEALS!$A:$A,{"*REFUND*","*EXECUTED*"},DEALS!$G:$G,$B$2,DEALS!$E:$E,"&lt;"&amp;$C$4,DEALS!$K:$K,F$6,DEALS!$M:$M,$B20,DEALS!$N:$N,"&lt;&gt;*RECEIVED*",DEALS!$N:$N,"&lt;&gt;*EXECUTED*"))+SUM(SUMIFS(DEALS!$R:$R,DEALS!$A:$A,{"*REFUND*","*EXECUTED*"},DEALS!$O:$O,$B$2,DEALS!$E:$E,"&lt;"&amp;$C$4,DEALS!$S:$S,F$6,DEALS!$U:$U,$B20,DEALS!$V:$V,"&lt;&gt;*RECEIVED*",DEALS!$V:$V,"&lt;&gt;*EXECUTED*"))</f>
        <v>0</v>
      </c>
      <c r="G20" s="32" cm="1">
        <f t="array" ref="G20">SUMIFS(BALANCES!$C:$C,BALANCES!$A:$A,$B$2,BALANCES!$B:$B,$B20,BALANCES!$D:$D,G$6)+SUMIFS(FLOWS!$C:$C,FLOWS!$A:$A,$B$2,FLOWS!$E:$E,$B20,FLOWS!$D:$D,G$6,FLOWS!$H:$H,"&lt;"&amp;$C$4)+SUM(SUMIFS(DEALS!$J:$J,DEALS!$A:$A,{"*REFUND*","*EXECUTED*"},DEALS!$G:$G,$B$2,DEALS!$E:$E,"&lt;"&amp;$C$4,DEALS!$K:$K,G$6,DEALS!$M:$M,$B20,DEALS!$N:$N,"&lt;&gt;*RECEIVED*",DEALS!$N:$N,"&lt;&gt;*EXECUTED*"))+SUM(SUMIFS(DEALS!$R:$R,DEALS!$A:$A,{"*REFUND*","*EXECUTED*"},DEALS!$O:$O,$B$2,DEALS!$E:$E,"&lt;"&amp;$C$4,DEALS!$S:$S,G$6,DEALS!$U:$U,$B20,DEALS!$V:$V,"&lt;&gt;*RECEIVED*",DEALS!$V:$V,"&lt;&gt;*EXECUTED*"))</f>
        <v>0</v>
      </c>
      <c r="H20" s="32" cm="1">
        <f t="array" ref="H20">SUMIFS(BALANCES!$C:$C,BALANCES!$A:$A,$B$2,BALANCES!$B:$B,$B20,BALANCES!$D:$D,H$6)+SUMIFS(FLOWS!$C:$C,FLOWS!$A:$A,$B$2,FLOWS!$E:$E,$B20,FLOWS!$D:$D,H$6,FLOWS!$H:$H,"&lt;"&amp;$C$4)+SUM(SUMIFS(DEALS!$J:$J,DEALS!$A:$A,{"*REFUND*","*EXECUTED*"},DEALS!$G:$G,$B$2,DEALS!$E:$E,"&lt;"&amp;$C$4,DEALS!$K:$K,H$6,DEALS!$M:$M,$B20,DEALS!$N:$N,"&lt;&gt;*RECEIVED*",DEALS!$N:$N,"&lt;&gt;*EXECUTED*"))+SUM(SUMIFS(DEALS!$R:$R,DEALS!$A:$A,{"*REFUND*","*EXECUTED*"},DEALS!$O:$O,$B$2,DEALS!$E:$E,"&lt;"&amp;$C$4,DEALS!$S:$S,H$6,DEALS!$U:$U,$B20,DEALS!$V:$V,"&lt;&gt;*RECEIVED*",DEALS!$V:$V,"&lt;&gt;*EXECUTED*"))</f>
        <v>0</v>
      </c>
      <c r="I20" s="33">
        <f ca="1">C20*VLOOKUP(C$6,'FX RATES'!$E$1:$F$50,2,FALSE)+D20*VLOOKUP(D$6,'FX RATES'!$E$1:$F$50,2,FALSE)+E20*VLOOKUP(E$6,'FX RATES'!$E$1:$F$50,2,FALSE)+F20*VLOOKUP(F$6,'FX RATES'!$E$1:$F$50,2,FALSE)+G20*VLOOKUP(G$6,'FX RATES'!$E$1:$F$50,2,FALSE)+H20*VLOOKUP(H$6,'FX RATES'!$E$1:$F$50,2,FALSE)</f>
        <v>0</v>
      </c>
      <c r="J20" s="138"/>
      <c r="K20" s="31">
        <f t="shared" si="6"/>
        <v>0</v>
      </c>
      <c r="L20" s="32" cm="1">
        <f t="array" ref="L20">SUMIFS(FLOWS!$C:$C,FLOWS!$A:$A,$B$2,FLOWS!$E:$E,$K20,FLOWS!$D:$D,L$6,FLOWS!$H:$H,"&gt;="&amp;$C$4,FLOWS!$H:$H,"&lt;="&amp;$U$4)+SUM(SUMIFS(DEALS!$J:$J,DEALS!$A:$A,{"*REFUND*","*EXECUTED*"},DEALS!$G:$G,$B$2,DEALS!$E:$E,"&gt;="&amp;$C$4,DEALS!$E:$E,"&lt;="&amp;$U$4,DEALS!$K:$K,L$6,DEALS!$M:$M,$K20,DEALS!$N:$N,"&lt;&gt;*RECEIVED*",DEALS!$N:$N,"&lt;&gt;*EXECUTED*"))+SUM(SUMIFS(DEALS!$R:$R,DEALS!$A:$A,{"*REFUND*","*EXECUTED*"},DEALS!$O:$O,$B$2,DEALS!$E:$E,"&gt;="&amp;$C$4,DEALS!$E:$E,"&lt;="&amp;$U$4,DEALS!$S:$S,L$6,DEALS!$U:$U,$K20,DEALS!$V:$V,"&lt;&gt;*RECEIVED*",DEALS!$V:$V,"&lt;&gt;*EXECUTED*"))</f>
        <v>0</v>
      </c>
      <c r="M20" s="32" cm="1">
        <f t="array" ref="M20">SUMIFS(FLOWS!$C:$C,FLOWS!$A:$A,$B$2,FLOWS!$E:$E,$K20,FLOWS!$D:$D,M$6,FLOWS!$H:$H,"&gt;="&amp;$C$4,FLOWS!$H:$H,"&lt;="&amp;$U$4)+SUM(SUMIFS(DEALS!$J:$J,DEALS!$A:$A,{"*REFUND*","*EXECUTED*"},DEALS!$G:$G,$B$2,DEALS!$E:$E,"&gt;="&amp;$C$4,DEALS!$E:$E,"&lt;="&amp;$U$4,DEALS!$K:$K,M$6,DEALS!$M:$M,$K20,DEALS!$N:$N,"&lt;&gt;*RECEIVED*",DEALS!$N:$N,"&lt;&gt;*EXECUTED*"))+SUM(SUMIFS(DEALS!$R:$R,DEALS!$A:$A,{"*REFUND*","*EXECUTED*"},DEALS!$O:$O,$B$2,DEALS!$E:$E,"&gt;="&amp;$C$4,DEALS!$E:$E,"&lt;="&amp;$U$4,DEALS!$S:$S,M$6,DEALS!$U:$U,$K20,DEALS!$V:$V,"&lt;&gt;*RECEIVED*",DEALS!$V:$V,"&lt;&gt;*EXECUTED*"))</f>
        <v>0</v>
      </c>
      <c r="N20" s="32" cm="1">
        <f t="array" ref="N20">SUMIFS(FLOWS!$C:$C,FLOWS!$A:$A,$B$2,FLOWS!$E:$E,$K20,FLOWS!$D:$D,N$6,FLOWS!$H:$H,"&gt;="&amp;$C$4,FLOWS!$H:$H,"&lt;="&amp;$U$4)+SUM(SUMIFS(DEALS!$J:$J,DEALS!$A:$A,{"*REFUND*","*EXECUTED*"},DEALS!$G:$G,$B$2,DEALS!$E:$E,"&gt;="&amp;$C$4,DEALS!$E:$E,"&lt;="&amp;$U$4,DEALS!$K:$K,N$6,DEALS!$M:$M,$K20,DEALS!$N:$N,"&lt;&gt;*RECEIVED*",DEALS!$N:$N,"&lt;&gt;*EXECUTED*"))+SUM(SUMIFS(DEALS!$R:$R,DEALS!$A:$A,{"*REFUND*","*EXECUTED*"},DEALS!$O:$O,$B$2,DEALS!$E:$E,"&gt;="&amp;$C$4,DEALS!$E:$E,"&lt;="&amp;$U$4,DEALS!$S:$S,N$6,DEALS!$U:$U,$K20,DEALS!$V:$V,"&lt;&gt;*RECEIVED*",DEALS!$V:$V,"&lt;&gt;*EXECUTED*"))</f>
        <v>0</v>
      </c>
      <c r="O20" s="32" cm="1">
        <f t="array" ref="O20">SUMIFS(FLOWS!$C:$C,FLOWS!$A:$A,$B$2,FLOWS!$E:$E,$K20,FLOWS!$D:$D,O$6,FLOWS!$H:$H,"&gt;="&amp;$C$4,FLOWS!$H:$H,"&lt;="&amp;$U$4)+SUM(SUMIFS(DEALS!$J:$J,DEALS!$A:$A,{"*REFUND*","*EXECUTED*"},DEALS!$G:$G,$B$2,DEALS!$E:$E,"&gt;="&amp;$C$4,DEALS!$E:$E,"&lt;="&amp;$U$4,DEALS!$K:$K,O$6,DEALS!$M:$M,$K20,DEALS!$N:$N,"&lt;&gt;*RECEIVED*",DEALS!$N:$N,"&lt;&gt;*EXECUTED*"))+SUM(SUMIFS(DEALS!$R:$R,DEALS!$A:$A,{"*REFUND*","*EXECUTED*"},DEALS!$O:$O,$B$2,DEALS!$E:$E,"&gt;="&amp;$C$4,DEALS!$E:$E,"&lt;="&amp;$U$4,DEALS!$S:$S,O$6,DEALS!$U:$U,$K20,DEALS!$V:$V,"&lt;&gt;*RECEIVED*",DEALS!$V:$V,"&lt;&gt;*EXECUTED*"))</f>
        <v>0</v>
      </c>
      <c r="P20" s="32" cm="1">
        <f t="array" ref="P20">SUMIFS(FLOWS!$C:$C,FLOWS!$A:$A,$B$2,FLOWS!$E:$E,$K20,FLOWS!$D:$D,P$6,FLOWS!$H:$H,"&gt;="&amp;$C$4,FLOWS!$H:$H,"&lt;="&amp;$U$4)+SUM(SUMIFS(DEALS!$J:$J,DEALS!$A:$A,{"*REFUND*","*EXECUTED*"},DEALS!$G:$G,$B$2,DEALS!$E:$E,"&gt;="&amp;$C$4,DEALS!$E:$E,"&lt;="&amp;$U$4,DEALS!$K:$K,P$6,DEALS!$M:$M,$K20,DEALS!$N:$N,"&lt;&gt;*RECEIVED*",DEALS!$N:$N,"&lt;&gt;*EXECUTED*"))+SUM(SUMIFS(DEALS!$R:$R,DEALS!$A:$A,{"*REFUND*","*EXECUTED*"},DEALS!$O:$O,$B$2,DEALS!$E:$E,"&gt;="&amp;$C$4,DEALS!$E:$E,"&lt;="&amp;$U$4,DEALS!$S:$S,P$6,DEALS!$U:$U,$K20,DEALS!$V:$V,"&lt;&gt;*RECEIVED*",DEALS!$V:$V,"&lt;&gt;*EXECUTED*"))</f>
        <v>0</v>
      </c>
      <c r="Q20" s="32" cm="1">
        <f t="array" ref="Q20">SUMIFS(FLOWS!$C:$C,FLOWS!$A:$A,$B$2,FLOWS!$E:$E,$K20,FLOWS!$D:$D,Q$6,FLOWS!$H:$H,"&gt;="&amp;$C$4,FLOWS!$H:$H,"&lt;="&amp;$U$4)+SUM(SUMIFS(DEALS!$J:$J,DEALS!$A:$A,{"*REFUND*","*EXECUTED*"},DEALS!$G:$G,$B$2,DEALS!$E:$E,"&gt;="&amp;$C$4,DEALS!$E:$E,"&lt;="&amp;$U$4,DEALS!$K:$K,Q$6,DEALS!$M:$M,$K20,DEALS!$N:$N,"&lt;&gt;*RECEIVED*",DEALS!$N:$N,"&lt;&gt;*EXECUTED*"))+SUM(SUMIFS(DEALS!$R:$R,DEALS!$A:$A,{"*REFUND*","*EXECUTED*"},DEALS!$O:$O,$B$2,DEALS!$E:$E,"&gt;="&amp;$C$4,DEALS!$E:$E,"&lt;="&amp;$U$4,DEALS!$S:$S,Q$6,DEALS!$U:$U,$K20,DEALS!$V:$V,"&lt;&gt;*RECEIVED*",DEALS!$V:$V,"&lt;&gt;*EXECUTED*"))</f>
        <v>0</v>
      </c>
      <c r="R20" s="33">
        <f ca="1">L20*VLOOKUP(L$6,'FX RATES'!$E$1:$F$50,2,FALSE)+M20*VLOOKUP(M$6,'FX RATES'!$E$1:$F$50,2,FALSE)+N20*VLOOKUP(N$6,'FX RATES'!$E$1:$F$50,2,FALSE)+O20*VLOOKUP(O$6,'FX RATES'!$E$1:$F$50,2,FALSE)+P20*VLOOKUP(P$6,'FX RATES'!$E$1:$F$50,2,FALSE)+Q20*VLOOKUP(Q$6,'FX RATES'!$E$1:$F$50,2,FALSE)</f>
        <v>0</v>
      </c>
      <c r="T20" s="31">
        <f t="shared" si="7"/>
        <v>0</v>
      </c>
      <c r="U20" s="32" cm="1">
        <f t="array" ref="U20">SUMIFS(BALANCES!$C:$C,BALANCES!$A:$A,$B$2,BALANCES!$B:$B,$T20,BALANCES!$D:$D,U$6)+SUMIFS(FLOWS!$C:$C,FLOWS!$A:$A,$B$2,FLOWS!$E:$E,$T20,FLOWS!$D:$D,U$6,FLOWS!$H:$H,"&lt;="&amp;$U$4)+SUM(SUMIFS(DEALS!$J:$J,DEALS!$A:$A,{"*REFUND*","*EXECUTED*"},DEALS!$G:$G,$B$2,DEALS!$E:$E,"&lt;="&amp;$U$4,DEALS!$K:$K,U$6,DEALS!$M:$M,$T20,DEALS!$N:$N,"&lt;&gt;*RECEIVED*",DEALS!$N:$N,"&lt;&gt;*EXECUTED*"))+SUM(SUMIFS(DEALS!$R:$R,DEALS!$A:$A,{"*REFUND*","*EXECUTED*"},DEALS!$O:$O,$B$2,DEALS!$E:$E,"&lt;="&amp;$U$4,DEALS!$S:$S,U$6,DEALS!$U:$U,$T20,DEALS!$V:$V,"&lt;&gt;*RECEIVED*",DEALS!$V:$V,"&lt;&gt;*EXECUTED*"))</f>
        <v>0</v>
      </c>
      <c r="V20" s="32" cm="1">
        <f t="array" ref="V20">SUMIFS(BALANCES!$C:$C,BALANCES!$A:$A,$B$2,BALANCES!$B:$B,$T20,BALANCES!$D:$D,V$6)+SUMIFS(FLOWS!$C:$C,FLOWS!$A:$A,$B$2,FLOWS!$E:$E,$T20,FLOWS!$D:$D,V$6,FLOWS!$H:$H,"&lt;="&amp;$U$4)+SUM(SUMIFS(DEALS!$J:$J,DEALS!$A:$A,{"*REFUND*","*EXECUTED*"},DEALS!$G:$G,$B$2,DEALS!$E:$E,"&lt;="&amp;$U$4,DEALS!$K:$K,V$6,DEALS!$M:$M,$T20,DEALS!$N:$N,"&lt;&gt;*RECEIVED*",DEALS!$N:$N,"&lt;&gt;*EXECUTED*"))+SUM(SUMIFS(DEALS!$R:$R,DEALS!$A:$A,{"*REFUND*","*EXECUTED*"},DEALS!$O:$O,$B$2,DEALS!$E:$E,"&lt;="&amp;$U$4,DEALS!$S:$S,V$6,DEALS!$U:$U,$T20,DEALS!$V:$V,"&lt;&gt;*RECEIVED*",DEALS!$V:$V,"&lt;&gt;*EXECUTED*"))</f>
        <v>0</v>
      </c>
      <c r="W20" s="32" cm="1">
        <f t="array" ref="W20">SUMIFS(BALANCES!$C:$C,BALANCES!$A:$A,$B$2,BALANCES!$B:$B,$T20,BALANCES!$D:$D,W$6)+SUMIFS(FLOWS!$C:$C,FLOWS!$A:$A,$B$2,FLOWS!$E:$E,$T20,FLOWS!$D:$D,W$6,FLOWS!$H:$H,"&lt;="&amp;$U$4)+SUM(SUMIFS(DEALS!$J:$J,DEALS!$A:$A,{"*REFUND*","*EXECUTED*"},DEALS!$G:$G,$B$2,DEALS!$E:$E,"&lt;="&amp;$U$4,DEALS!$K:$K,W$6,DEALS!$M:$M,$T20,DEALS!$N:$N,"&lt;&gt;*RECEIVED*",DEALS!$N:$N,"&lt;&gt;*EXECUTED*"))+SUM(SUMIFS(DEALS!$R:$R,DEALS!$A:$A,{"*REFUND*","*EXECUTED*"},DEALS!$O:$O,$B$2,DEALS!$E:$E,"&lt;="&amp;$U$4,DEALS!$S:$S,W$6,DEALS!$U:$U,$T20,DEALS!$V:$V,"&lt;&gt;*RECEIVED*",DEALS!$V:$V,"&lt;&gt;*EXECUTED*"))</f>
        <v>0</v>
      </c>
      <c r="X20" s="32" cm="1">
        <f t="array" ref="X20">SUMIFS(BALANCES!$C:$C,BALANCES!$A:$A,$B$2,BALANCES!$B:$B,$T20,BALANCES!$D:$D,X$6)+SUMIFS(FLOWS!$C:$C,FLOWS!$A:$A,$B$2,FLOWS!$E:$E,$T20,FLOWS!$D:$D,X$6,FLOWS!$H:$H,"&lt;="&amp;$U$4)+SUM(SUMIFS(DEALS!$J:$J,DEALS!$A:$A,{"*REFUND*","*EXECUTED*"},DEALS!$G:$G,$B$2,DEALS!$E:$E,"&lt;="&amp;$U$4,DEALS!$K:$K,X$6,DEALS!$M:$M,$T20,DEALS!$N:$N,"&lt;&gt;*RECEIVED*",DEALS!$N:$N,"&lt;&gt;*EXECUTED*"))+SUM(SUMIFS(DEALS!$R:$R,DEALS!$A:$A,{"*REFUND*","*EXECUTED*"},DEALS!$O:$O,$B$2,DEALS!$E:$E,"&lt;="&amp;$U$4,DEALS!$S:$S,X$6,DEALS!$U:$U,$T20,DEALS!$V:$V,"&lt;&gt;*RECEIVED*",DEALS!$V:$V,"&lt;&gt;*EXECUTED*"))</f>
        <v>0</v>
      </c>
      <c r="Y20" s="32" cm="1">
        <f t="array" ref="Y20">SUMIFS(BALANCES!$C:$C,BALANCES!$A:$A,$B$2,BALANCES!$B:$B,$T20,BALANCES!$D:$D,Y$6)+SUMIFS(FLOWS!$C:$C,FLOWS!$A:$A,$B$2,FLOWS!$E:$E,$T20,FLOWS!$D:$D,Y$6,FLOWS!$H:$H,"&lt;="&amp;$U$4)+SUM(SUMIFS(DEALS!$J:$J,DEALS!$A:$A,{"*REFUND*","*EXECUTED*"},DEALS!$G:$G,$B$2,DEALS!$E:$E,"&lt;="&amp;$U$4,DEALS!$K:$K,Y$6,DEALS!$M:$M,$T20,DEALS!$N:$N,"&lt;&gt;*RECEIVED*",DEALS!$N:$N,"&lt;&gt;*EXECUTED*"))+SUM(SUMIFS(DEALS!$R:$R,DEALS!$A:$A,{"*REFUND*","*EXECUTED*"},DEALS!$O:$O,$B$2,DEALS!$E:$E,"&lt;="&amp;$U$4,DEALS!$S:$S,Y$6,DEALS!$U:$U,$T20,DEALS!$V:$V,"&lt;&gt;*RECEIVED*",DEALS!$V:$V,"&lt;&gt;*EXECUTED*"))</f>
        <v>0</v>
      </c>
      <c r="Z20" s="32" cm="1">
        <f t="array" ref="Z20">SUMIFS(BALANCES!$C:$C,BALANCES!$A:$A,$B$2,BALANCES!$B:$B,$T20,BALANCES!$D:$D,Z$6)+SUMIFS(FLOWS!$C:$C,FLOWS!$A:$A,$B$2,FLOWS!$E:$E,$T20,FLOWS!$D:$D,Z$6,FLOWS!$H:$H,"&lt;="&amp;$U$4)+SUM(SUMIFS(DEALS!$J:$J,DEALS!$A:$A,{"*REFUND*","*EXECUTED*"},DEALS!$G:$G,$B$2,DEALS!$E:$E,"&lt;="&amp;$U$4,DEALS!$K:$K,Z$6,DEALS!$M:$M,$T20,DEALS!$N:$N,"&lt;&gt;*RECEIVED*",DEALS!$N:$N,"&lt;&gt;*EXECUTED*"))+SUM(SUMIFS(DEALS!$R:$R,DEALS!$A:$A,{"*REFUND*","*EXECUTED*"},DEALS!$O:$O,$B$2,DEALS!$E:$E,"&lt;="&amp;$U$4,DEALS!$S:$S,Z$6,DEALS!$U:$U,$T20,DEALS!$V:$V,"&lt;&gt;*RECEIVED*",DEALS!$V:$V,"&lt;&gt;*EXECUTED*"))</f>
        <v>0</v>
      </c>
      <c r="AA20" s="33">
        <f ca="1">U20*VLOOKUP(U$6,'FX RATES'!$E$1:$F$50,2,FALSE)+V20*VLOOKUP(V$6,'FX RATES'!$E$1:$F$50,2,FALSE)+W20*VLOOKUP(W$6,'FX RATES'!$E$1:$F$50,2,FALSE)+X20*VLOOKUP(X$6,'FX RATES'!$E$1:$F$50,2,FALSE)+Y20*VLOOKUP(Y$6,'FX RATES'!$E$1:$F$50,2,FALSE)+Z20*VLOOKUP(Z$6,'FX RATES'!$E$1:$F$50,2,FALSE)</f>
        <v>0</v>
      </c>
      <c r="AC20" s="139">
        <f t="shared" ca="1" si="4"/>
        <v>0</v>
      </c>
    </row>
    <row r="21" spans="2:29" ht="19" hidden="1">
      <c r="B21" s="28"/>
      <c r="C21" s="29" cm="1">
        <f t="array" ref="C21">SUMIFS(BALANCES!$C:$C,BALANCES!$A:$A,$B$2,BALANCES!$B:$B,$B21,BALANCES!$D:$D,C$6)+SUMIFS(FLOWS!$C:$C,FLOWS!$A:$A,$B$2,FLOWS!$E:$E,$B21,FLOWS!$D:$D,C$6,FLOWS!$H:$H,"&lt;"&amp;$C$4)+SUM(SUMIFS(DEALS!$J:$J,DEALS!$A:$A,{"*REFUND*","*EXECUTED*"},DEALS!$G:$G,$B$2,DEALS!$E:$E,"&lt;"&amp;$C$4,DEALS!$K:$K,C$6,DEALS!$M:$M,$B21,DEALS!$N:$N,"&lt;&gt;*RECEIVED*",DEALS!$N:$N,"&lt;&gt;*EXECUTED*"))+SUM(SUMIFS(DEALS!$R:$R,DEALS!$A:$A,{"*REFUND*","*EXECUTED*"},DEALS!$O:$O,$B$2,DEALS!$E:$E,"&lt;"&amp;$C$4,DEALS!$S:$S,C$6,DEALS!$U:$U,$B21,DEALS!$V:$V,"&lt;&gt;*RECEIVED*",DEALS!$V:$V,"&lt;&gt;*EXECUTED*"))</f>
        <v>0</v>
      </c>
      <c r="D21" s="29" cm="1">
        <f t="array" ref="D21">SUMIFS(BALANCES!$C:$C,BALANCES!$A:$A,$B$2,BALANCES!$B:$B,$B21,BALANCES!$D:$D,D$6)+SUMIFS(FLOWS!$C:$C,FLOWS!$A:$A,$B$2,FLOWS!$E:$E,$B21,FLOWS!$D:$D,D$6,FLOWS!$H:$H,"&lt;"&amp;$C$4)+SUM(SUMIFS(DEALS!$J:$J,DEALS!$A:$A,{"*REFUND*","*EXECUTED*"},DEALS!$G:$G,$B$2,DEALS!$E:$E,"&lt;"&amp;$C$4,DEALS!$K:$K,D$6,DEALS!$M:$M,$B21,DEALS!$N:$N,"&lt;&gt;*RECEIVED*",DEALS!$N:$N,"&lt;&gt;*EXECUTED*"))+SUM(SUMIFS(DEALS!$R:$R,DEALS!$A:$A,{"*REFUND*","*EXECUTED*"},DEALS!$O:$O,$B$2,DEALS!$E:$E,"&lt;"&amp;$C$4,DEALS!$S:$S,D$6,DEALS!$U:$U,$B21,DEALS!$V:$V,"&lt;&gt;*RECEIVED*",DEALS!$V:$V,"&lt;&gt;*EXECUTED*"))</f>
        <v>0</v>
      </c>
      <c r="E21" s="29" cm="1">
        <f t="array" ref="E21">SUMIFS(BALANCES!$C:$C,BALANCES!$A:$A,$B$2,BALANCES!$B:$B,$B21,BALANCES!$D:$D,E$6)+SUMIFS(FLOWS!$C:$C,FLOWS!$A:$A,$B$2,FLOWS!$E:$E,$B21,FLOWS!$D:$D,E$6,FLOWS!$H:$H,"&lt;"&amp;$C$4)+SUM(SUMIFS(DEALS!$J:$J,DEALS!$A:$A,{"*REFUND*","*EXECUTED*"},DEALS!$G:$G,$B$2,DEALS!$E:$E,"&lt;"&amp;$C$4,DEALS!$K:$K,E$6,DEALS!$M:$M,$B21,DEALS!$N:$N,"&lt;&gt;*RECEIVED*",DEALS!$N:$N,"&lt;&gt;*EXECUTED*"))+SUM(SUMIFS(DEALS!$R:$R,DEALS!$A:$A,{"*REFUND*","*EXECUTED*"},DEALS!$O:$O,$B$2,DEALS!$E:$E,"&lt;"&amp;$C$4,DEALS!$S:$S,E$6,DEALS!$U:$U,$B21,DEALS!$V:$V,"&lt;&gt;*RECEIVED*",DEALS!$V:$V,"&lt;&gt;*EXECUTED*"))</f>
        <v>0</v>
      </c>
      <c r="F21" s="29" cm="1">
        <f t="array" ref="F21">SUMIFS(BALANCES!$C:$C,BALANCES!$A:$A,$B$2,BALANCES!$B:$B,$B21,BALANCES!$D:$D,F$6)+SUMIFS(FLOWS!$C:$C,FLOWS!$A:$A,$B$2,FLOWS!$E:$E,$B21,FLOWS!$D:$D,F$6,FLOWS!$H:$H,"&lt;"&amp;$C$4)+SUM(SUMIFS(DEALS!$J:$J,DEALS!$A:$A,{"*REFUND*","*EXECUTED*"},DEALS!$G:$G,$B$2,DEALS!$E:$E,"&lt;"&amp;$C$4,DEALS!$K:$K,F$6,DEALS!$M:$M,$B21,DEALS!$N:$N,"&lt;&gt;*RECEIVED*",DEALS!$N:$N,"&lt;&gt;*EXECUTED*"))+SUM(SUMIFS(DEALS!$R:$R,DEALS!$A:$A,{"*REFUND*","*EXECUTED*"},DEALS!$O:$O,$B$2,DEALS!$E:$E,"&lt;"&amp;$C$4,DEALS!$S:$S,F$6,DEALS!$U:$U,$B21,DEALS!$V:$V,"&lt;&gt;*RECEIVED*",DEALS!$V:$V,"&lt;&gt;*EXECUTED*"))</f>
        <v>0</v>
      </c>
      <c r="G21" s="29" cm="1">
        <f t="array" ref="G21">SUMIFS(BALANCES!$C:$C,BALANCES!$A:$A,$B$2,BALANCES!$B:$B,$B21,BALANCES!$D:$D,G$6)+SUMIFS(FLOWS!$C:$C,FLOWS!$A:$A,$B$2,FLOWS!$E:$E,$B21,FLOWS!$D:$D,G$6,FLOWS!$H:$H,"&lt;"&amp;$C$4)+SUM(SUMIFS(DEALS!$J:$J,DEALS!$A:$A,{"*REFUND*","*EXECUTED*"},DEALS!$G:$G,$B$2,DEALS!$E:$E,"&lt;"&amp;$C$4,DEALS!$K:$K,G$6,DEALS!$M:$M,$B21,DEALS!$N:$N,"&lt;&gt;*RECEIVED*",DEALS!$N:$N,"&lt;&gt;*EXECUTED*"))+SUM(SUMIFS(DEALS!$R:$R,DEALS!$A:$A,{"*REFUND*","*EXECUTED*"},DEALS!$O:$O,$B$2,DEALS!$E:$E,"&lt;"&amp;$C$4,DEALS!$S:$S,G$6,DEALS!$U:$U,$B21,DEALS!$V:$V,"&lt;&gt;*RECEIVED*",DEALS!$V:$V,"&lt;&gt;*EXECUTED*"))</f>
        <v>0</v>
      </c>
      <c r="H21" s="29" cm="1">
        <f t="array" ref="H21">SUMIFS(BALANCES!$C:$C,BALANCES!$A:$A,$B$2,BALANCES!$B:$B,$B21,BALANCES!$D:$D,H$6)+SUMIFS(FLOWS!$C:$C,FLOWS!$A:$A,$B$2,FLOWS!$E:$E,$B21,FLOWS!$D:$D,H$6,FLOWS!$H:$H,"&lt;"&amp;$C$4)+SUM(SUMIFS(DEALS!$J:$J,DEALS!$A:$A,{"*REFUND*","*EXECUTED*"},DEALS!$G:$G,$B$2,DEALS!$E:$E,"&lt;"&amp;$C$4,DEALS!$K:$K,H$6,DEALS!$M:$M,$B21,DEALS!$N:$N,"&lt;&gt;*RECEIVED*",DEALS!$N:$N,"&lt;&gt;*EXECUTED*"))+SUM(SUMIFS(DEALS!$R:$R,DEALS!$A:$A,{"*REFUND*","*EXECUTED*"},DEALS!$O:$O,$B$2,DEALS!$E:$E,"&lt;"&amp;$C$4,DEALS!$S:$S,H$6,DEALS!$U:$U,$B21,DEALS!$V:$V,"&lt;&gt;*RECEIVED*",DEALS!$V:$V,"&lt;&gt;*EXECUTED*"))</f>
        <v>0</v>
      </c>
      <c r="I21" s="30">
        <f ca="1">C21*VLOOKUP(C$6,'FX RATES'!$E$1:$F$50,2,FALSE)+D21*VLOOKUP(D$6,'FX RATES'!$E$1:$F$50,2,FALSE)+E21*VLOOKUP(E$6,'FX RATES'!$E$1:$F$50,2,FALSE)+F21*VLOOKUP(F$6,'FX RATES'!$E$1:$F$50,2,FALSE)+G21*VLOOKUP(G$6,'FX RATES'!$E$1:$F$50,2,FALSE)+H21*VLOOKUP(H$6,'FX RATES'!$E$1:$F$50,2,FALSE)</f>
        <v>0</v>
      </c>
      <c r="J21" s="138"/>
      <c r="K21" s="28">
        <f t="shared" ref="K21" si="8">B21</f>
        <v>0</v>
      </c>
      <c r="L21" s="29" cm="1">
        <f t="array" ref="L21">SUMIFS(FLOWS!$C:$C,FLOWS!$A:$A,$B$2,FLOWS!$E:$E,$K21,FLOWS!$D:$D,L$6,FLOWS!$H:$H,"&gt;="&amp;$C$4,FLOWS!$H:$H,"&lt;="&amp;$U$4)+SUM(SUMIFS(DEALS!$J:$J,DEALS!$A:$A,{"*REFUND*","*EXECUTED*"},DEALS!$G:$G,$B$2,DEALS!$E:$E,"&gt;="&amp;$C$4,DEALS!$E:$E,"&lt;="&amp;$U$4,DEALS!$K:$K,L$6,DEALS!$M:$M,$K21,DEALS!$N:$N,"&lt;&gt;*RECEIVED*",DEALS!$N:$N,"&lt;&gt;*EXECUTED*"))+SUM(SUMIFS(DEALS!$R:$R,DEALS!$A:$A,{"*REFUND*","*EXECUTED*"},DEALS!$O:$O,$B$2,DEALS!$E:$E,"&gt;="&amp;$C$4,DEALS!$E:$E,"&lt;="&amp;$U$4,DEALS!$S:$S,L$6,DEALS!$U:$U,$K21,DEALS!$V:$V,"&lt;&gt;*RECEIVED*",DEALS!$V:$V,"&lt;&gt;*EXECUTED*"))</f>
        <v>0</v>
      </c>
      <c r="M21" s="29" cm="1">
        <f t="array" ref="M21">SUMIFS(FLOWS!$C:$C,FLOWS!$A:$A,$B$2,FLOWS!$E:$E,$K21,FLOWS!$D:$D,M$6,FLOWS!$H:$H,"&gt;="&amp;$C$4,FLOWS!$H:$H,"&lt;="&amp;$U$4)+SUM(SUMIFS(DEALS!$J:$J,DEALS!$A:$A,{"*REFUND*","*EXECUTED*"},DEALS!$G:$G,$B$2,DEALS!$E:$E,"&gt;="&amp;$C$4,DEALS!$E:$E,"&lt;="&amp;$U$4,DEALS!$K:$K,M$6,DEALS!$M:$M,$K21,DEALS!$N:$N,"&lt;&gt;*RECEIVED*",DEALS!$N:$N,"&lt;&gt;*EXECUTED*"))+SUM(SUMIFS(DEALS!$R:$R,DEALS!$A:$A,{"*REFUND*","*EXECUTED*"},DEALS!$O:$O,$B$2,DEALS!$E:$E,"&gt;="&amp;$C$4,DEALS!$E:$E,"&lt;="&amp;$U$4,DEALS!$S:$S,M$6,DEALS!$U:$U,$K21,DEALS!$V:$V,"&lt;&gt;*RECEIVED*",DEALS!$V:$V,"&lt;&gt;*EXECUTED*"))</f>
        <v>0</v>
      </c>
      <c r="N21" s="29" cm="1">
        <f t="array" ref="N21">SUMIFS(FLOWS!$C:$C,FLOWS!$A:$A,$B$2,FLOWS!$E:$E,$K21,FLOWS!$D:$D,N$6,FLOWS!$H:$H,"&gt;="&amp;$C$4,FLOWS!$H:$H,"&lt;="&amp;$U$4)+SUM(SUMIFS(DEALS!$J:$J,DEALS!$A:$A,{"*REFUND*","*EXECUTED*"},DEALS!$G:$G,$B$2,DEALS!$E:$E,"&gt;="&amp;$C$4,DEALS!$E:$E,"&lt;="&amp;$U$4,DEALS!$K:$K,N$6,DEALS!$M:$M,$K21,DEALS!$N:$N,"&lt;&gt;*RECEIVED*",DEALS!$N:$N,"&lt;&gt;*EXECUTED*"))+SUM(SUMIFS(DEALS!$R:$R,DEALS!$A:$A,{"*REFUND*","*EXECUTED*"},DEALS!$O:$O,$B$2,DEALS!$E:$E,"&gt;="&amp;$C$4,DEALS!$E:$E,"&lt;="&amp;$U$4,DEALS!$S:$S,N$6,DEALS!$U:$U,$K21,DEALS!$V:$V,"&lt;&gt;*RECEIVED*",DEALS!$V:$V,"&lt;&gt;*EXECUTED*"))</f>
        <v>0</v>
      </c>
      <c r="O21" s="29" cm="1">
        <f t="array" ref="O21">SUMIFS(FLOWS!$C:$C,FLOWS!$A:$A,$B$2,FLOWS!$E:$E,$K21,FLOWS!$D:$D,O$6,FLOWS!$H:$H,"&gt;="&amp;$C$4,FLOWS!$H:$H,"&lt;="&amp;$U$4)+SUM(SUMIFS(DEALS!$J:$J,DEALS!$A:$A,{"*REFUND*","*EXECUTED*"},DEALS!$G:$G,$B$2,DEALS!$E:$E,"&gt;="&amp;$C$4,DEALS!$E:$E,"&lt;="&amp;$U$4,DEALS!$K:$K,O$6,DEALS!$M:$M,$K21,DEALS!$N:$N,"&lt;&gt;*RECEIVED*",DEALS!$N:$N,"&lt;&gt;*EXECUTED*"))+SUM(SUMIFS(DEALS!$R:$R,DEALS!$A:$A,{"*REFUND*","*EXECUTED*"},DEALS!$O:$O,$B$2,DEALS!$E:$E,"&gt;="&amp;$C$4,DEALS!$E:$E,"&lt;="&amp;$U$4,DEALS!$S:$S,O$6,DEALS!$U:$U,$K21,DEALS!$V:$V,"&lt;&gt;*RECEIVED*",DEALS!$V:$V,"&lt;&gt;*EXECUTED*"))</f>
        <v>0</v>
      </c>
      <c r="P21" s="29" cm="1">
        <f t="array" ref="P21">SUMIFS(FLOWS!$C:$C,FLOWS!$A:$A,$B$2,FLOWS!$E:$E,$K21,FLOWS!$D:$D,P$6,FLOWS!$H:$H,"&gt;="&amp;$C$4,FLOWS!$H:$H,"&lt;="&amp;$U$4)+SUM(SUMIFS(DEALS!$J:$J,DEALS!$A:$A,{"*REFUND*","*EXECUTED*"},DEALS!$G:$G,$B$2,DEALS!$E:$E,"&gt;="&amp;$C$4,DEALS!$E:$E,"&lt;="&amp;$U$4,DEALS!$K:$K,P$6,DEALS!$M:$M,$K21,DEALS!$N:$N,"&lt;&gt;*RECEIVED*",DEALS!$N:$N,"&lt;&gt;*EXECUTED*"))+SUM(SUMIFS(DEALS!$R:$R,DEALS!$A:$A,{"*REFUND*","*EXECUTED*"},DEALS!$O:$O,$B$2,DEALS!$E:$E,"&gt;="&amp;$C$4,DEALS!$E:$E,"&lt;="&amp;$U$4,DEALS!$S:$S,P$6,DEALS!$U:$U,$K21,DEALS!$V:$V,"&lt;&gt;*RECEIVED*",DEALS!$V:$V,"&lt;&gt;*EXECUTED*"))</f>
        <v>0</v>
      </c>
      <c r="Q21" s="29" cm="1">
        <f t="array" ref="Q21">SUMIFS(FLOWS!$C:$C,FLOWS!$A:$A,$B$2,FLOWS!$E:$E,$K21,FLOWS!$D:$D,Q$6,FLOWS!$H:$H,"&gt;="&amp;$C$4,FLOWS!$H:$H,"&lt;="&amp;$U$4)+SUM(SUMIFS(DEALS!$J:$J,DEALS!$A:$A,{"*REFUND*","*EXECUTED*"},DEALS!$G:$G,$B$2,DEALS!$E:$E,"&gt;="&amp;$C$4,DEALS!$E:$E,"&lt;="&amp;$U$4,DEALS!$K:$K,Q$6,DEALS!$M:$M,$K21,DEALS!$N:$N,"&lt;&gt;*RECEIVED*",DEALS!$N:$N,"&lt;&gt;*EXECUTED*"))+SUM(SUMIFS(DEALS!$R:$R,DEALS!$A:$A,{"*REFUND*","*EXECUTED*"},DEALS!$O:$O,$B$2,DEALS!$E:$E,"&gt;="&amp;$C$4,DEALS!$E:$E,"&lt;="&amp;$U$4,DEALS!$S:$S,Q$6,DEALS!$U:$U,$K21,DEALS!$V:$V,"&lt;&gt;*RECEIVED*",DEALS!$V:$V,"&lt;&gt;*EXECUTED*"))</f>
        <v>0</v>
      </c>
      <c r="R21" s="30">
        <f ca="1">L21*VLOOKUP(L$6,'FX RATES'!$E$1:$F$50,2,FALSE)+M21*VLOOKUP(M$6,'FX RATES'!$E$1:$F$50,2,FALSE)+N21*VLOOKUP(N$6,'FX RATES'!$E$1:$F$50,2,FALSE)+O21*VLOOKUP(O$6,'FX RATES'!$E$1:$F$50,2,FALSE)+P21*VLOOKUP(P$6,'FX RATES'!$E$1:$F$50,2,FALSE)+Q21*VLOOKUP(Q$6,'FX RATES'!$E$1:$F$50,2,FALSE)</f>
        <v>0</v>
      </c>
      <c r="T21" s="28">
        <f t="shared" ref="T21" si="9">B21</f>
        <v>0</v>
      </c>
      <c r="U21" s="29" cm="1">
        <f t="array" ref="U21">SUMIFS(BALANCES!$C:$C,BALANCES!$A:$A,$B$2,BALANCES!$B:$B,$T21,BALANCES!$D:$D,U$6)+SUMIFS(FLOWS!$C:$C,FLOWS!$A:$A,$B$2,FLOWS!$E:$E,$T21,FLOWS!$D:$D,U$6,FLOWS!$H:$H,"&lt;="&amp;$U$4)+SUM(SUMIFS(DEALS!$J:$J,DEALS!$A:$A,{"*REFUND*","*EXECUTED*"},DEALS!$G:$G,$B$2,DEALS!$E:$E,"&lt;="&amp;$U$4,DEALS!$K:$K,U$6,DEALS!$M:$M,$T21,DEALS!$N:$N,"&lt;&gt;*RECEIVED*",DEALS!$N:$N,"&lt;&gt;*EXECUTED*"))+SUM(SUMIFS(DEALS!$R:$R,DEALS!$A:$A,{"*REFUND*","*EXECUTED*"},DEALS!$O:$O,$B$2,DEALS!$E:$E,"&lt;="&amp;$U$4,DEALS!$S:$S,U$6,DEALS!$U:$U,$T21,DEALS!$V:$V,"&lt;&gt;*RECEIVED*",DEALS!$V:$V,"&lt;&gt;*EXECUTED*"))</f>
        <v>0</v>
      </c>
      <c r="V21" s="29" cm="1">
        <f t="array" ref="V21">SUMIFS(BALANCES!$C:$C,BALANCES!$A:$A,$B$2,BALANCES!$B:$B,$T21,BALANCES!$D:$D,V$6)+SUMIFS(FLOWS!$C:$C,FLOWS!$A:$A,$B$2,FLOWS!$E:$E,$T21,FLOWS!$D:$D,V$6,FLOWS!$H:$H,"&lt;="&amp;$U$4)+SUM(SUMIFS(DEALS!$J:$J,DEALS!$A:$A,{"*REFUND*","*EXECUTED*"},DEALS!$G:$G,$B$2,DEALS!$E:$E,"&lt;="&amp;$U$4,DEALS!$K:$K,V$6,DEALS!$M:$M,$T21,DEALS!$N:$N,"&lt;&gt;*RECEIVED*",DEALS!$N:$N,"&lt;&gt;*EXECUTED*"))+SUM(SUMIFS(DEALS!$R:$R,DEALS!$A:$A,{"*REFUND*","*EXECUTED*"},DEALS!$O:$O,$B$2,DEALS!$E:$E,"&lt;="&amp;$U$4,DEALS!$S:$S,V$6,DEALS!$U:$U,$T21,DEALS!$V:$V,"&lt;&gt;*RECEIVED*",DEALS!$V:$V,"&lt;&gt;*EXECUTED*"))</f>
        <v>0</v>
      </c>
      <c r="W21" s="29" cm="1">
        <f t="array" ref="W21">SUMIFS(BALANCES!$C:$C,BALANCES!$A:$A,$B$2,BALANCES!$B:$B,$T21,BALANCES!$D:$D,W$6)+SUMIFS(FLOWS!$C:$C,FLOWS!$A:$A,$B$2,FLOWS!$E:$E,$T21,FLOWS!$D:$D,W$6,FLOWS!$H:$H,"&lt;="&amp;$U$4)+SUM(SUMIFS(DEALS!$J:$J,DEALS!$A:$A,{"*REFUND*","*EXECUTED*"},DEALS!$G:$G,$B$2,DEALS!$E:$E,"&lt;="&amp;$U$4,DEALS!$K:$K,W$6,DEALS!$M:$M,$T21,DEALS!$N:$N,"&lt;&gt;*RECEIVED*",DEALS!$N:$N,"&lt;&gt;*EXECUTED*"))+SUM(SUMIFS(DEALS!$R:$R,DEALS!$A:$A,{"*REFUND*","*EXECUTED*"},DEALS!$O:$O,$B$2,DEALS!$E:$E,"&lt;="&amp;$U$4,DEALS!$S:$S,W$6,DEALS!$U:$U,$T21,DEALS!$V:$V,"&lt;&gt;*RECEIVED*",DEALS!$V:$V,"&lt;&gt;*EXECUTED*"))</f>
        <v>0</v>
      </c>
      <c r="X21" s="29" cm="1">
        <f t="array" ref="X21">SUMIFS(BALANCES!$C:$C,BALANCES!$A:$A,$B$2,BALANCES!$B:$B,$T21,BALANCES!$D:$D,X$6)+SUMIFS(FLOWS!$C:$C,FLOWS!$A:$A,$B$2,FLOWS!$E:$E,$T21,FLOWS!$D:$D,X$6,FLOWS!$H:$H,"&lt;="&amp;$U$4)+SUM(SUMIFS(DEALS!$J:$J,DEALS!$A:$A,{"*REFUND*","*EXECUTED*"},DEALS!$G:$G,$B$2,DEALS!$E:$E,"&lt;="&amp;$U$4,DEALS!$K:$K,X$6,DEALS!$M:$M,$T21,DEALS!$N:$N,"&lt;&gt;*RECEIVED*",DEALS!$N:$N,"&lt;&gt;*EXECUTED*"))+SUM(SUMIFS(DEALS!$R:$R,DEALS!$A:$A,{"*REFUND*","*EXECUTED*"},DEALS!$O:$O,$B$2,DEALS!$E:$E,"&lt;="&amp;$U$4,DEALS!$S:$S,X$6,DEALS!$U:$U,$T21,DEALS!$V:$V,"&lt;&gt;*RECEIVED*",DEALS!$V:$V,"&lt;&gt;*EXECUTED*"))</f>
        <v>0</v>
      </c>
      <c r="Y21" s="29" cm="1">
        <f t="array" ref="Y21">SUMIFS(BALANCES!$C:$C,BALANCES!$A:$A,$B$2,BALANCES!$B:$B,$T21,BALANCES!$D:$D,Y$6)+SUMIFS(FLOWS!$C:$C,FLOWS!$A:$A,$B$2,FLOWS!$E:$E,$T21,FLOWS!$D:$D,Y$6,FLOWS!$H:$H,"&lt;="&amp;$U$4)+SUM(SUMIFS(DEALS!$J:$J,DEALS!$A:$A,{"*REFUND*","*EXECUTED*"},DEALS!$G:$G,$B$2,DEALS!$E:$E,"&lt;="&amp;$U$4,DEALS!$K:$K,Y$6,DEALS!$M:$M,$T21,DEALS!$N:$N,"&lt;&gt;*RECEIVED*",DEALS!$N:$N,"&lt;&gt;*EXECUTED*"))+SUM(SUMIFS(DEALS!$R:$R,DEALS!$A:$A,{"*REFUND*","*EXECUTED*"},DEALS!$O:$O,$B$2,DEALS!$E:$E,"&lt;="&amp;$U$4,DEALS!$S:$S,Y$6,DEALS!$U:$U,$T21,DEALS!$V:$V,"&lt;&gt;*RECEIVED*",DEALS!$V:$V,"&lt;&gt;*EXECUTED*"))</f>
        <v>0</v>
      </c>
      <c r="Z21" s="29" cm="1">
        <f t="array" ref="Z21">SUMIFS(BALANCES!$C:$C,BALANCES!$A:$A,$B$2,BALANCES!$B:$B,$T21,BALANCES!$D:$D,Z$6)+SUMIFS(FLOWS!$C:$C,FLOWS!$A:$A,$B$2,FLOWS!$E:$E,$T21,FLOWS!$D:$D,Z$6,FLOWS!$H:$H,"&lt;="&amp;$U$4)+SUM(SUMIFS(DEALS!$J:$J,DEALS!$A:$A,{"*REFUND*","*EXECUTED*"},DEALS!$G:$G,$B$2,DEALS!$E:$E,"&lt;="&amp;$U$4,DEALS!$K:$K,Z$6,DEALS!$M:$M,$T21,DEALS!$N:$N,"&lt;&gt;*RECEIVED*",DEALS!$N:$N,"&lt;&gt;*EXECUTED*"))+SUM(SUMIFS(DEALS!$R:$R,DEALS!$A:$A,{"*REFUND*","*EXECUTED*"},DEALS!$O:$O,$B$2,DEALS!$E:$E,"&lt;="&amp;$U$4,DEALS!$S:$S,Z$6,DEALS!$U:$U,$T21,DEALS!$V:$V,"&lt;&gt;*RECEIVED*",DEALS!$V:$V,"&lt;&gt;*EXECUTED*"))</f>
        <v>0</v>
      </c>
      <c r="AA21" s="30">
        <f ca="1">U21*VLOOKUP(U$6,'FX RATES'!$E$1:$F$50,2,FALSE)+V21*VLOOKUP(V$6,'FX RATES'!$E$1:$F$50,2,FALSE)+W21*VLOOKUP(W$6,'FX RATES'!$E$1:$F$50,2,FALSE)+X21*VLOOKUP(X$6,'FX RATES'!$E$1:$F$50,2,FALSE)+Y21*VLOOKUP(Y$6,'FX RATES'!$E$1:$F$50,2,FALSE)+Z21*VLOOKUP(Z$6,'FX RATES'!$E$1:$F$50,2,FALSE)</f>
        <v>0</v>
      </c>
      <c r="AC21" s="139">
        <f t="shared" ref="AC21" ca="1" si="10">I21+R21-AA21</f>
        <v>0</v>
      </c>
    </row>
    <row r="22" spans="2:29" ht="19" hidden="1">
      <c r="B22" s="31"/>
      <c r="C22" s="32" cm="1">
        <f t="array" ref="C22">SUMIFS(BALANCES!$C:$C,BALANCES!$A:$A,$B$2,BALANCES!$B:$B,$B22,BALANCES!$D:$D,C$6)+SUMIFS(FLOWS!$C:$C,FLOWS!$A:$A,$B$2,FLOWS!$E:$E,$B22,FLOWS!$D:$D,C$6,FLOWS!$H:$H,"&lt;"&amp;$C$4)+SUM(SUMIFS(DEALS!$J:$J,DEALS!$A:$A,{"*REFUND*","*EXECUTED*"},DEALS!$G:$G,$B$2,DEALS!$E:$E,"&lt;"&amp;$C$4,DEALS!$K:$K,C$6,DEALS!$M:$M,$B22,DEALS!$N:$N,"&lt;&gt;*RECEIVED*",DEALS!$N:$N,"&lt;&gt;*EXECUTED*"))+SUM(SUMIFS(DEALS!$R:$R,DEALS!$A:$A,{"*REFUND*","*EXECUTED*"},DEALS!$O:$O,$B$2,DEALS!$E:$E,"&lt;"&amp;$C$4,DEALS!$S:$S,C$6,DEALS!$U:$U,$B22,DEALS!$V:$V,"&lt;&gt;*RECEIVED*",DEALS!$V:$V,"&lt;&gt;*EXECUTED*"))</f>
        <v>0</v>
      </c>
      <c r="D22" s="32" cm="1">
        <f t="array" ref="D22">SUMIFS(BALANCES!$C:$C,BALANCES!$A:$A,$B$2,BALANCES!$B:$B,$B22,BALANCES!$D:$D,D$6)+SUMIFS(FLOWS!$C:$C,FLOWS!$A:$A,$B$2,FLOWS!$E:$E,$B22,FLOWS!$D:$D,D$6,FLOWS!$H:$H,"&lt;"&amp;$C$4)+SUM(SUMIFS(DEALS!$J:$J,DEALS!$A:$A,{"*REFUND*","*EXECUTED*"},DEALS!$G:$G,$B$2,DEALS!$E:$E,"&lt;"&amp;$C$4,DEALS!$K:$K,D$6,DEALS!$M:$M,$B22,DEALS!$N:$N,"&lt;&gt;*RECEIVED*",DEALS!$N:$N,"&lt;&gt;*EXECUTED*"))+SUM(SUMIFS(DEALS!$R:$R,DEALS!$A:$A,{"*REFUND*","*EXECUTED*"},DEALS!$O:$O,$B$2,DEALS!$E:$E,"&lt;"&amp;$C$4,DEALS!$S:$S,D$6,DEALS!$U:$U,$B22,DEALS!$V:$V,"&lt;&gt;*RECEIVED*",DEALS!$V:$V,"&lt;&gt;*EXECUTED*"))</f>
        <v>0</v>
      </c>
      <c r="E22" s="32" cm="1">
        <f t="array" ref="E22">SUMIFS(BALANCES!$C:$C,BALANCES!$A:$A,$B$2,BALANCES!$B:$B,$B22,BALANCES!$D:$D,E$6)+SUMIFS(FLOWS!$C:$C,FLOWS!$A:$A,$B$2,FLOWS!$E:$E,$B22,FLOWS!$D:$D,E$6,FLOWS!$H:$H,"&lt;"&amp;$C$4)+SUM(SUMIFS(DEALS!$J:$J,DEALS!$A:$A,{"*REFUND*","*EXECUTED*"},DEALS!$G:$G,$B$2,DEALS!$E:$E,"&lt;"&amp;$C$4,DEALS!$K:$K,E$6,DEALS!$M:$M,$B22,DEALS!$N:$N,"&lt;&gt;*RECEIVED*",DEALS!$N:$N,"&lt;&gt;*EXECUTED*"))+SUM(SUMIFS(DEALS!$R:$R,DEALS!$A:$A,{"*REFUND*","*EXECUTED*"},DEALS!$O:$O,$B$2,DEALS!$E:$E,"&lt;"&amp;$C$4,DEALS!$S:$S,E$6,DEALS!$U:$U,$B22,DEALS!$V:$V,"&lt;&gt;*RECEIVED*",DEALS!$V:$V,"&lt;&gt;*EXECUTED*"))</f>
        <v>0</v>
      </c>
      <c r="F22" s="32" cm="1">
        <f t="array" ref="F22">SUMIFS(BALANCES!$C:$C,BALANCES!$A:$A,$B$2,BALANCES!$B:$B,$B22,BALANCES!$D:$D,F$6)+SUMIFS(FLOWS!$C:$C,FLOWS!$A:$A,$B$2,FLOWS!$E:$E,$B22,FLOWS!$D:$D,F$6,FLOWS!$H:$H,"&lt;"&amp;$C$4)+SUM(SUMIFS(DEALS!$J:$J,DEALS!$A:$A,{"*REFUND*","*EXECUTED*"},DEALS!$G:$G,$B$2,DEALS!$E:$E,"&lt;"&amp;$C$4,DEALS!$K:$K,F$6,DEALS!$M:$M,$B22,DEALS!$N:$N,"&lt;&gt;*RECEIVED*",DEALS!$N:$N,"&lt;&gt;*EXECUTED*"))+SUM(SUMIFS(DEALS!$R:$R,DEALS!$A:$A,{"*REFUND*","*EXECUTED*"},DEALS!$O:$O,$B$2,DEALS!$E:$E,"&lt;"&amp;$C$4,DEALS!$S:$S,F$6,DEALS!$U:$U,$B22,DEALS!$V:$V,"&lt;&gt;*RECEIVED*",DEALS!$V:$V,"&lt;&gt;*EXECUTED*"))</f>
        <v>0</v>
      </c>
      <c r="G22" s="32" cm="1">
        <f t="array" ref="G22">SUMIFS(BALANCES!$C:$C,BALANCES!$A:$A,$B$2,BALANCES!$B:$B,$B22,BALANCES!$D:$D,G$6)+SUMIFS(FLOWS!$C:$C,FLOWS!$A:$A,$B$2,FLOWS!$E:$E,$B22,FLOWS!$D:$D,G$6,FLOWS!$H:$H,"&lt;"&amp;$C$4)+SUM(SUMIFS(DEALS!$J:$J,DEALS!$A:$A,{"*REFUND*","*EXECUTED*"},DEALS!$G:$G,$B$2,DEALS!$E:$E,"&lt;"&amp;$C$4,DEALS!$K:$K,G$6,DEALS!$M:$M,$B22,DEALS!$N:$N,"&lt;&gt;*RECEIVED*",DEALS!$N:$N,"&lt;&gt;*EXECUTED*"))+SUM(SUMIFS(DEALS!$R:$R,DEALS!$A:$A,{"*REFUND*","*EXECUTED*"},DEALS!$O:$O,$B$2,DEALS!$E:$E,"&lt;"&amp;$C$4,DEALS!$S:$S,G$6,DEALS!$U:$U,$B22,DEALS!$V:$V,"&lt;&gt;*RECEIVED*",DEALS!$V:$V,"&lt;&gt;*EXECUTED*"))</f>
        <v>0</v>
      </c>
      <c r="H22" s="32" cm="1">
        <f t="array" ref="H22">SUMIFS(BALANCES!$C:$C,BALANCES!$A:$A,$B$2,BALANCES!$B:$B,$B22,BALANCES!$D:$D,H$6)+SUMIFS(FLOWS!$C:$C,FLOWS!$A:$A,$B$2,FLOWS!$E:$E,$B22,FLOWS!$D:$D,H$6,FLOWS!$H:$H,"&lt;"&amp;$C$4)+SUM(SUMIFS(DEALS!$J:$J,DEALS!$A:$A,{"*REFUND*","*EXECUTED*"},DEALS!$G:$G,$B$2,DEALS!$E:$E,"&lt;"&amp;$C$4,DEALS!$K:$K,H$6,DEALS!$M:$M,$B22,DEALS!$N:$N,"&lt;&gt;*RECEIVED*",DEALS!$N:$N,"&lt;&gt;*EXECUTED*"))+SUM(SUMIFS(DEALS!$R:$R,DEALS!$A:$A,{"*REFUND*","*EXECUTED*"},DEALS!$O:$O,$B$2,DEALS!$E:$E,"&lt;"&amp;$C$4,DEALS!$S:$S,H$6,DEALS!$U:$U,$B22,DEALS!$V:$V,"&lt;&gt;*RECEIVED*",DEALS!$V:$V,"&lt;&gt;*EXECUTED*"))</f>
        <v>0</v>
      </c>
      <c r="I22" s="33">
        <f ca="1">C22*VLOOKUP(C$6,'FX RATES'!$E$1:$F$50,2,FALSE)+D22*VLOOKUP(D$6,'FX RATES'!$E$1:$F$50,2,FALSE)+E22*VLOOKUP(E$6,'FX RATES'!$E$1:$F$50,2,FALSE)+F22*VLOOKUP(F$6,'FX RATES'!$E$1:$F$50,2,FALSE)+G22*VLOOKUP(G$6,'FX RATES'!$E$1:$F$50,2,FALSE)+H22*VLOOKUP(H$6,'FX RATES'!$E$1:$F$50,2,FALSE)</f>
        <v>0</v>
      </c>
      <c r="J22" s="138"/>
      <c r="K22" s="31">
        <f t="shared" si="6"/>
        <v>0</v>
      </c>
      <c r="L22" s="32" cm="1">
        <f t="array" ref="L22">SUMIFS(FLOWS!$C:$C,FLOWS!$A:$A,$B$2,FLOWS!$E:$E,$K22,FLOWS!$D:$D,L$6,FLOWS!$H:$H,"&gt;="&amp;$C$4,FLOWS!$H:$H,"&lt;="&amp;$U$4)+SUM(SUMIFS(DEALS!$J:$J,DEALS!$A:$A,{"*REFUND*","*EXECUTED*"},DEALS!$G:$G,$B$2,DEALS!$E:$E,"&gt;="&amp;$C$4,DEALS!$E:$E,"&lt;="&amp;$U$4,DEALS!$K:$K,L$6,DEALS!$M:$M,$K22,DEALS!$N:$N,"&lt;&gt;*RECEIVED*",DEALS!$N:$N,"&lt;&gt;*EXECUTED*"))+SUM(SUMIFS(DEALS!$R:$R,DEALS!$A:$A,{"*REFUND*","*EXECUTED*"},DEALS!$O:$O,$B$2,DEALS!$E:$E,"&gt;="&amp;$C$4,DEALS!$E:$E,"&lt;="&amp;$U$4,DEALS!$S:$S,L$6,DEALS!$U:$U,$K22,DEALS!$V:$V,"&lt;&gt;*RECEIVED*",DEALS!$V:$V,"&lt;&gt;*EXECUTED*"))</f>
        <v>0</v>
      </c>
      <c r="M22" s="32" cm="1">
        <f t="array" ref="M22">SUMIFS(FLOWS!$C:$C,FLOWS!$A:$A,$B$2,FLOWS!$E:$E,$K22,FLOWS!$D:$D,M$6,FLOWS!$H:$H,"&gt;="&amp;$C$4,FLOWS!$H:$H,"&lt;="&amp;$U$4)+SUM(SUMIFS(DEALS!$J:$J,DEALS!$A:$A,{"*REFUND*","*EXECUTED*"},DEALS!$G:$G,$B$2,DEALS!$E:$E,"&gt;="&amp;$C$4,DEALS!$E:$E,"&lt;="&amp;$U$4,DEALS!$K:$K,M$6,DEALS!$M:$M,$K22,DEALS!$N:$N,"&lt;&gt;*RECEIVED*",DEALS!$N:$N,"&lt;&gt;*EXECUTED*"))+SUM(SUMIFS(DEALS!$R:$R,DEALS!$A:$A,{"*REFUND*","*EXECUTED*"},DEALS!$O:$O,$B$2,DEALS!$E:$E,"&gt;="&amp;$C$4,DEALS!$E:$E,"&lt;="&amp;$U$4,DEALS!$S:$S,M$6,DEALS!$U:$U,$K22,DEALS!$V:$V,"&lt;&gt;*RECEIVED*",DEALS!$V:$V,"&lt;&gt;*EXECUTED*"))</f>
        <v>0</v>
      </c>
      <c r="N22" s="32" cm="1">
        <f t="array" ref="N22">SUMIFS(FLOWS!$C:$C,FLOWS!$A:$A,$B$2,FLOWS!$E:$E,$K22,FLOWS!$D:$D,N$6,FLOWS!$H:$H,"&gt;="&amp;$C$4,FLOWS!$H:$H,"&lt;="&amp;$U$4)+SUM(SUMIFS(DEALS!$J:$J,DEALS!$A:$A,{"*REFUND*","*EXECUTED*"},DEALS!$G:$G,$B$2,DEALS!$E:$E,"&gt;="&amp;$C$4,DEALS!$E:$E,"&lt;="&amp;$U$4,DEALS!$K:$K,N$6,DEALS!$M:$M,$K22,DEALS!$N:$N,"&lt;&gt;*RECEIVED*",DEALS!$N:$N,"&lt;&gt;*EXECUTED*"))+SUM(SUMIFS(DEALS!$R:$R,DEALS!$A:$A,{"*REFUND*","*EXECUTED*"},DEALS!$O:$O,$B$2,DEALS!$E:$E,"&gt;="&amp;$C$4,DEALS!$E:$E,"&lt;="&amp;$U$4,DEALS!$S:$S,N$6,DEALS!$U:$U,$K22,DEALS!$V:$V,"&lt;&gt;*RECEIVED*",DEALS!$V:$V,"&lt;&gt;*EXECUTED*"))</f>
        <v>0</v>
      </c>
      <c r="O22" s="32" cm="1">
        <f t="array" ref="O22">SUMIFS(FLOWS!$C:$C,FLOWS!$A:$A,$B$2,FLOWS!$E:$E,$K22,FLOWS!$D:$D,O$6,FLOWS!$H:$H,"&gt;="&amp;$C$4,FLOWS!$H:$H,"&lt;="&amp;$U$4)+SUM(SUMIFS(DEALS!$J:$J,DEALS!$A:$A,{"*REFUND*","*EXECUTED*"},DEALS!$G:$G,$B$2,DEALS!$E:$E,"&gt;="&amp;$C$4,DEALS!$E:$E,"&lt;="&amp;$U$4,DEALS!$K:$K,O$6,DEALS!$M:$M,$K22,DEALS!$N:$N,"&lt;&gt;*RECEIVED*",DEALS!$N:$N,"&lt;&gt;*EXECUTED*"))+SUM(SUMIFS(DEALS!$R:$R,DEALS!$A:$A,{"*REFUND*","*EXECUTED*"},DEALS!$O:$O,$B$2,DEALS!$E:$E,"&gt;="&amp;$C$4,DEALS!$E:$E,"&lt;="&amp;$U$4,DEALS!$S:$S,O$6,DEALS!$U:$U,$K22,DEALS!$V:$V,"&lt;&gt;*RECEIVED*",DEALS!$V:$V,"&lt;&gt;*EXECUTED*"))</f>
        <v>0</v>
      </c>
      <c r="P22" s="32" cm="1">
        <f t="array" ref="P22">SUMIFS(FLOWS!$C:$C,FLOWS!$A:$A,$B$2,FLOWS!$E:$E,$K22,FLOWS!$D:$D,P$6,FLOWS!$H:$H,"&gt;="&amp;$C$4,FLOWS!$H:$H,"&lt;="&amp;$U$4)+SUM(SUMIFS(DEALS!$J:$J,DEALS!$A:$A,{"*REFUND*","*EXECUTED*"},DEALS!$G:$G,$B$2,DEALS!$E:$E,"&gt;="&amp;$C$4,DEALS!$E:$E,"&lt;="&amp;$U$4,DEALS!$K:$K,P$6,DEALS!$M:$M,$K22,DEALS!$N:$N,"&lt;&gt;*RECEIVED*",DEALS!$N:$N,"&lt;&gt;*EXECUTED*"))+SUM(SUMIFS(DEALS!$R:$R,DEALS!$A:$A,{"*REFUND*","*EXECUTED*"},DEALS!$O:$O,$B$2,DEALS!$E:$E,"&gt;="&amp;$C$4,DEALS!$E:$E,"&lt;="&amp;$U$4,DEALS!$S:$S,P$6,DEALS!$U:$U,$K22,DEALS!$V:$V,"&lt;&gt;*RECEIVED*",DEALS!$V:$V,"&lt;&gt;*EXECUTED*"))</f>
        <v>0</v>
      </c>
      <c r="Q22" s="32" cm="1">
        <f t="array" ref="Q22">SUMIFS(FLOWS!$C:$C,FLOWS!$A:$A,$B$2,FLOWS!$E:$E,$K22,FLOWS!$D:$D,Q$6,FLOWS!$H:$H,"&gt;="&amp;$C$4,FLOWS!$H:$H,"&lt;="&amp;$U$4)+SUM(SUMIFS(DEALS!$J:$J,DEALS!$A:$A,{"*REFUND*","*EXECUTED*"},DEALS!$G:$G,$B$2,DEALS!$E:$E,"&gt;="&amp;$C$4,DEALS!$E:$E,"&lt;="&amp;$U$4,DEALS!$K:$K,Q$6,DEALS!$M:$M,$K22,DEALS!$N:$N,"&lt;&gt;*RECEIVED*",DEALS!$N:$N,"&lt;&gt;*EXECUTED*"))+SUM(SUMIFS(DEALS!$R:$R,DEALS!$A:$A,{"*REFUND*","*EXECUTED*"},DEALS!$O:$O,$B$2,DEALS!$E:$E,"&gt;="&amp;$C$4,DEALS!$E:$E,"&lt;="&amp;$U$4,DEALS!$S:$S,Q$6,DEALS!$U:$U,$K22,DEALS!$V:$V,"&lt;&gt;*RECEIVED*",DEALS!$V:$V,"&lt;&gt;*EXECUTED*"))</f>
        <v>0</v>
      </c>
      <c r="R22" s="33">
        <f ca="1">L22*VLOOKUP(L$6,'FX RATES'!$E$1:$F$50,2,FALSE)+M22*VLOOKUP(M$6,'FX RATES'!$E$1:$F$50,2,FALSE)+N22*VLOOKUP(N$6,'FX RATES'!$E$1:$F$50,2,FALSE)+O22*VLOOKUP(O$6,'FX RATES'!$E$1:$F$50,2,FALSE)+P22*VLOOKUP(P$6,'FX RATES'!$E$1:$F$50,2,FALSE)+Q22*VLOOKUP(Q$6,'FX RATES'!$E$1:$F$50,2,FALSE)</f>
        <v>0</v>
      </c>
      <c r="T22" s="31">
        <f t="shared" si="7"/>
        <v>0</v>
      </c>
      <c r="U22" s="32" cm="1">
        <f t="array" ref="U22">SUMIFS(BALANCES!$C:$C,BALANCES!$A:$A,$B$2,BALANCES!$B:$B,$T22,BALANCES!$D:$D,U$6)+SUMIFS(FLOWS!$C:$C,FLOWS!$A:$A,$B$2,FLOWS!$E:$E,$T22,FLOWS!$D:$D,U$6,FLOWS!$H:$H,"&lt;="&amp;$U$4)+SUM(SUMIFS(DEALS!$J:$J,DEALS!$A:$A,{"*REFUND*","*EXECUTED*"},DEALS!$G:$G,$B$2,DEALS!$E:$E,"&lt;="&amp;$U$4,DEALS!$K:$K,U$6,DEALS!$M:$M,$T22,DEALS!$N:$N,"&lt;&gt;*RECEIVED*",DEALS!$N:$N,"&lt;&gt;*EXECUTED*"))+SUM(SUMIFS(DEALS!$R:$R,DEALS!$A:$A,{"*REFUND*","*EXECUTED*"},DEALS!$O:$O,$B$2,DEALS!$E:$E,"&lt;="&amp;$U$4,DEALS!$S:$S,U$6,DEALS!$U:$U,$T22,DEALS!$V:$V,"&lt;&gt;*RECEIVED*",DEALS!$V:$V,"&lt;&gt;*EXECUTED*"))</f>
        <v>0</v>
      </c>
      <c r="V22" s="32" cm="1">
        <f t="array" ref="V22">SUMIFS(BALANCES!$C:$C,BALANCES!$A:$A,$B$2,BALANCES!$B:$B,$T22,BALANCES!$D:$D,V$6)+SUMIFS(FLOWS!$C:$C,FLOWS!$A:$A,$B$2,FLOWS!$E:$E,$T22,FLOWS!$D:$D,V$6,FLOWS!$H:$H,"&lt;="&amp;$U$4)+SUM(SUMIFS(DEALS!$J:$J,DEALS!$A:$A,{"*REFUND*","*EXECUTED*"},DEALS!$G:$G,$B$2,DEALS!$E:$E,"&lt;="&amp;$U$4,DEALS!$K:$K,V$6,DEALS!$M:$M,$T22,DEALS!$N:$N,"&lt;&gt;*RECEIVED*",DEALS!$N:$N,"&lt;&gt;*EXECUTED*"))+SUM(SUMIFS(DEALS!$R:$R,DEALS!$A:$A,{"*REFUND*","*EXECUTED*"},DEALS!$O:$O,$B$2,DEALS!$E:$E,"&lt;="&amp;$U$4,DEALS!$S:$S,V$6,DEALS!$U:$U,$T22,DEALS!$V:$V,"&lt;&gt;*RECEIVED*",DEALS!$V:$V,"&lt;&gt;*EXECUTED*"))</f>
        <v>0</v>
      </c>
      <c r="W22" s="32" cm="1">
        <f t="array" ref="W22">SUMIFS(BALANCES!$C:$C,BALANCES!$A:$A,$B$2,BALANCES!$B:$B,$T22,BALANCES!$D:$D,W$6)+SUMIFS(FLOWS!$C:$C,FLOWS!$A:$A,$B$2,FLOWS!$E:$E,$T22,FLOWS!$D:$D,W$6,FLOWS!$H:$H,"&lt;="&amp;$U$4)+SUM(SUMIFS(DEALS!$J:$J,DEALS!$A:$A,{"*REFUND*","*EXECUTED*"},DEALS!$G:$G,$B$2,DEALS!$E:$E,"&lt;="&amp;$U$4,DEALS!$K:$K,W$6,DEALS!$M:$M,$T22,DEALS!$N:$N,"&lt;&gt;*RECEIVED*",DEALS!$N:$N,"&lt;&gt;*EXECUTED*"))+SUM(SUMIFS(DEALS!$R:$R,DEALS!$A:$A,{"*REFUND*","*EXECUTED*"},DEALS!$O:$O,$B$2,DEALS!$E:$E,"&lt;="&amp;$U$4,DEALS!$S:$S,W$6,DEALS!$U:$U,$T22,DEALS!$V:$V,"&lt;&gt;*RECEIVED*",DEALS!$V:$V,"&lt;&gt;*EXECUTED*"))</f>
        <v>0</v>
      </c>
      <c r="X22" s="32" cm="1">
        <f t="array" ref="X22">SUMIFS(BALANCES!$C:$C,BALANCES!$A:$A,$B$2,BALANCES!$B:$B,$T22,BALANCES!$D:$D,X$6)+SUMIFS(FLOWS!$C:$C,FLOWS!$A:$A,$B$2,FLOWS!$E:$E,$T22,FLOWS!$D:$D,X$6,FLOWS!$H:$H,"&lt;="&amp;$U$4)+SUM(SUMIFS(DEALS!$J:$J,DEALS!$A:$A,{"*REFUND*","*EXECUTED*"},DEALS!$G:$G,$B$2,DEALS!$E:$E,"&lt;="&amp;$U$4,DEALS!$K:$K,X$6,DEALS!$M:$M,$T22,DEALS!$N:$N,"&lt;&gt;*RECEIVED*",DEALS!$N:$N,"&lt;&gt;*EXECUTED*"))+SUM(SUMIFS(DEALS!$R:$R,DEALS!$A:$A,{"*REFUND*","*EXECUTED*"},DEALS!$O:$O,$B$2,DEALS!$E:$E,"&lt;="&amp;$U$4,DEALS!$S:$S,X$6,DEALS!$U:$U,$T22,DEALS!$V:$V,"&lt;&gt;*RECEIVED*",DEALS!$V:$V,"&lt;&gt;*EXECUTED*"))</f>
        <v>0</v>
      </c>
      <c r="Y22" s="32" cm="1">
        <f t="array" ref="Y22">SUMIFS(BALANCES!$C:$C,BALANCES!$A:$A,$B$2,BALANCES!$B:$B,$T22,BALANCES!$D:$D,Y$6)+SUMIFS(FLOWS!$C:$C,FLOWS!$A:$A,$B$2,FLOWS!$E:$E,$T22,FLOWS!$D:$D,Y$6,FLOWS!$H:$H,"&lt;="&amp;$U$4)+SUM(SUMIFS(DEALS!$J:$J,DEALS!$A:$A,{"*REFUND*","*EXECUTED*"},DEALS!$G:$G,$B$2,DEALS!$E:$E,"&lt;="&amp;$U$4,DEALS!$K:$K,Y$6,DEALS!$M:$M,$T22,DEALS!$N:$N,"&lt;&gt;*RECEIVED*",DEALS!$N:$N,"&lt;&gt;*EXECUTED*"))+SUM(SUMIFS(DEALS!$R:$R,DEALS!$A:$A,{"*REFUND*","*EXECUTED*"},DEALS!$O:$O,$B$2,DEALS!$E:$E,"&lt;="&amp;$U$4,DEALS!$S:$S,Y$6,DEALS!$U:$U,$T22,DEALS!$V:$V,"&lt;&gt;*RECEIVED*",DEALS!$V:$V,"&lt;&gt;*EXECUTED*"))</f>
        <v>0</v>
      </c>
      <c r="Z22" s="32" cm="1">
        <f t="array" ref="Z22">SUMIFS(BALANCES!$C:$C,BALANCES!$A:$A,$B$2,BALANCES!$B:$B,$T22,BALANCES!$D:$D,Z$6)+SUMIFS(FLOWS!$C:$C,FLOWS!$A:$A,$B$2,FLOWS!$E:$E,$T22,FLOWS!$D:$D,Z$6,FLOWS!$H:$H,"&lt;="&amp;$U$4)+SUM(SUMIFS(DEALS!$J:$J,DEALS!$A:$A,{"*REFUND*","*EXECUTED*"},DEALS!$G:$G,$B$2,DEALS!$E:$E,"&lt;="&amp;$U$4,DEALS!$K:$K,Z$6,DEALS!$M:$M,$T22,DEALS!$N:$N,"&lt;&gt;*RECEIVED*",DEALS!$N:$N,"&lt;&gt;*EXECUTED*"))+SUM(SUMIFS(DEALS!$R:$R,DEALS!$A:$A,{"*REFUND*","*EXECUTED*"},DEALS!$O:$O,$B$2,DEALS!$E:$E,"&lt;="&amp;$U$4,DEALS!$S:$S,Z$6,DEALS!$U:$U,$T22,DEALS!$V:$V,"&lt;&gt;*RECEIVED*",DEALS!$V:$V,"&lt;&gt;*EXECUTED*"))</f>
        <v>0</v>
      </c>
      <c r="AA22" s="33">
        <f ca="1">U22*VLOOKUP(U$6,'FX RATES'!$E$1:$F$50,2,FALSE)+V22*VLOOKUP(V$6,'FX RATES'!$E$1:$F$50,2,FALSE)+W22*VLOOKUP(W$6,'FX RATES'!$E$1:$F$50,2,FALSE)+X22*VLOOKUP(X$6,'FX RATES'!$E$1:$F$50,2,FALSE)+Y22*VLOOKUP(Y$6,'FX RATES'!$E$1:$F$50,2,FALSE)+Z22*VLOOKUP(Z$6,'FX RATES'!$E$1:$F$50,2,FALSE)</f>
        <v>0</v>
      </c>
      <c r="AC22" s="139">
        <f t="shared" ca="1" si="4"/>
        <v>0</v>
      </c>
    </row>
    <row r="23" spans="2:29" ht="19" hidden="1">
      <c r="B23" s="28"/>
      <c r="C23" s="29" cm="1">
        <f t="array" ref="C23">SUMIFS(BALANCES!$C:$C,BALANCES!$A:$A,$B$2,BALANCES!$B:$B,$B23,BALANCES!$D:$D,C$6)+SUMIFS(FLOWS!$C:$C,FLOWS!$A:$A,$B$2,FLOWS!$E:$E,$B23,FLOWS!$D:$D,C$6,FLOWS!$H:$H,"&lt;"&amp;$C$4)+SUM(SUMIFS(DEALS!$J:$J,DEALS!$A:$A,{"*REFUND*","*EXECUTED*"},DEALS!$G:$G,$B$2,DEALS!$E:$E,"&lt;"&amp;$C$4,DEALS!$K:$K,C$6,DEALS!$M:$M,$B23,DEALS!$N:$N,"&lt;&gt;*RECEIVED*",DEALS!$N:$N,"&lt;&gt;*EXECUTED*"))+SUM(SUMIFS(DEALS!$R:$R,DEALS!$A:$A,{"*REFUND*","*EXECUTED*"},DEALS!$O:$O,$B$2,DEALS!$E:$E,"&lt;"&amp;$C$4,DEALS!$S:$S,C$6,DEALS!$U:$U,$B23,DEALS!$V:$V,"&lt;&gt;*RECEIVED*",DEALS!$V:$V,"&lt;&gt;*EXECUTED*"))</f>
        <v>0</v>
      </c>
      <c r="D23" s="29" cm="1">
        <f t="array" ref="D23">SUMIFS(BALANCES!$C:$C,BALANCES!$A:$A,$B$2,BALANCES!$B:$B,$B23,BALANCES!$D:$D,D$6)+SUMIFS(FLOWS!$C:$C,FLOWS!$A:$A,$B$2,FLOWS!$E:$E,$B23,FLOWS!$D:$D,D$6,FLOWS!$H:$H,"&lt;"&amp;$C$4)+SUM(SUMIFS(DEALS!$J:$J,DEALS!$A:$A,{"*REFUND*","*EXECUTED*"},DEALS!$G:$G,$B$2,DEALS!$E:$E,"&lt;"&amp;$C$4,DEALS!$K:$K,D$6,DEALS!$M:$M,$B23,DEALS!$N:$N,"&lt;&gt;*RECEIVED*",DEALS!$N:$N,"&lt;&gt;*EXECUTED*"))+SUM(SUMIFS(DEALS!$R:$R,DEALS!$A:$A,{"*REFUND*","*EXECUTED*"},DEALS!$O:$O,$B$2,DEALS!$E:$E,"&lt;"&amp;$C$4,DEALS!$S:$S,D$6,DEALS!$U:$U,$B23,DEALS!$V:$V,"&lt;&gt;*RECEIVED*",DEALS!$V:$V,"&lt;&gt;*EXECUTED*"))</f>
        <v>0</v>
      </c>
      <c r="E23" s="29" cm="1">
        <f t="array" ref="E23">SUMIFS(BALANCES!$C:$C,BALANCES!$A:$A,$B$2,BALANCES!$B:$B,$B23,BALANCES!$D:$D,E$6)+SUMIFS(FLOWS!$C:$C,FLOWS!$A:$A,$B$2,FLOWS!$E:$E,$B23,FLOWS!$D:$D,E$6,FLOWS!$H:$H,"&lt;"&amp;$C$4)+SUM(SUMIFS(DEALS!$J:$J,DEALS!$A:$A,{"*REFUND*","*EXECUTED*"},DEALS!$G:$G,$B$2,DEALS!$E:$E,"&lt;"&amp;$C$4,DEALS!$K:$K,E$6,DEALS!$M:$M,$B23,DEALS!$N:$N,"&lt;&gt;*RECEIVED*",DEALS!$N:$N,"&lt;&gt;*EXECUTED*"))+SUM(SUMIFS(DEALS!$R:$R,DEALS!$A:$A,{"*REFUND*","*EXECUTED*"},DEALS!$O:$O,$B$2,DEALS!$E:$E,"&lt;"&amp;$C$4,DEALS!$S:$S,E$6,DEALS!$U:$U,$B23,DEALS!$V:$V,"&lt;&gt;*RECEIVED*",DEALS!$V:$V,"&lt;&gt;*EXECUTED*"))</f>
        <v>0</v>
      </c>
      <c r="F23" s="29" cm="1">
        <f t="array" ref="F23">SUMIFS(BALANCES!$C:$C,BALANCES!$A:$A,$B$2,BALANCES!$B:$B,$B23,BALANCES!$D:$D,F$6)+SUMIFS(FLOWS!$C:$C,FLOWS!$A:$A,$B$2,FLOWS!$E:$E,$B23,FLOWS!$D:$D,F$6,FLOWS!$H:$H,"&lt;"&amp;$C$4)+SUM(SUMIFS(DEALS!$J:$J,DEALS!$A:$A,{"*REFUND*","*EXECUTED*"},DEALS!$G:$G,$B$2,DEALS!$E:$E,"&lt;"&amp;$C$4,DEALS!$K:$K,F$6,DEALS!$M:$M,$B23,DEALS!$N:$N,"&lt;&gt;*RECEIVED*",DEALS!$N:$N,"&lt;&gt;*EXECUTED*"))+SUM(SUMIFS(DEALS!$R:$R,DEALS!$A:$A,{"*REFUND*","*EXECUTED*"},DEALS!$O:$O,$B$2,DEALS!$E:$E,"&lt;"&amp;$C$4,DEALS!$S:$S,F$6,DEALS!$U:$U,$B23,DEALS!$V:$V,"&lt;&gt;*RECEIVED*",DEALS!$V:$V,"&lt;&gt;*EXECUTED*"))</f>
        <v>0</v>
      </c>
      <c r="G23" s="29" cm="1">
        <f t="array" ref="G23">SUMIFS(BALANCES!$C:$C,BALANCES!$A:$A,$B$2,BALANCES!$B:$B,$B23,BALANCES!$D:$D,G$6)+SUMIFS(FLOWS!$C:$C,FLOWS!$A:$A,$B$2,FLOWS!$E:$E,$B23,FLOWS!$D:$D,G$6,FLOWS!$H:$H,"&lt;"&amp;$C$4)+SUM(SUMIFS(DEALS!$J:$J,DEALS!$A:$A,{"*REFUND*","*EXECUTED*"},DEALS!$G:$G,$B$2,DEALS!$E:$E,"&lt;"&amp;$C$4,DEALS!$K:$K,G$6,DEALS!$M:$M,$B23,DEALS!$N:$N,"&lt;&gt;*RECEIVED*",DEALS!$N:$N,"&lt;&gt;*EXECUTED*"))+SUM(SUMIFS(DEALS!$R:$R,DEALS!$A:$A,{"*REFUND*","*EXECUTED*"},DEALS!$O:$O,$B$2,DEALS!$E:$E,"&lt;"&amp;$C$4,DEALS!$S:$S,G$6,DEALS!$U:$U,$B23,DEALS!$V:$V,"&lt;&gt;*RECEIVED*",DEALS!$V:$V,"&lt;&gt;*EXECUTED*"))</f>
        <v>0</v>
      </c>
      <c r="H23" s="29" cm="1">
        <f t="array" ref="H23">SUMIFS(BALANCES!$C:$C,BALANCES!$A:$A,$B$2,BALANCES!$B:$B,$B23,BALANCES!$D:$D,H$6)+SUMIFS(FLOWS!$C:$C,FLOWS!$A:$A,$B$2,FLOWS!$E:$E,$B23,FLOWS!$D:$D,H$6,FLOWS!$H:$H,"&lt;"&amp;$C$4)+SUM(SUMIFS(DEALS!$J:$J,DEALS!$A:$A,{"*REFUND*","*EXECUTED*"},DEALS!$G:$G,$B$2,DEALS!$E:$E,"&lt;"&amp;$C$4,DEALS!$K:$K,H$6,DEALS!$M:$M,$B23,DEALS!$N:$N,"&lt;&gt;*RECEIVED*",DEALS!$N:$N,"&lt;&gt;*EXECUTED*"))+SUM(SUMIFS(DEALS!$R:$R,DEALS!$A:$A,{"*REFUND*","*EXECUTED*"},DEALS!$O:$O,$B$2,DEALS!$E:$E,"&lt;"&amp;$C$4,DEALS!$S:$S,H$6,DEALS!$U:$U,$B23,DEALS!$V:$V,"&lt;&gt;*RECEIVED*",DEALS!$V:$V,"&lt;&gt;*EXECUTED*"))</f>
        <v>0</v>
      </c>
      <c r="I23" s="30">
        <f ca="1">C23*VLOOKUP(C$6,'FX RATES'!$E$1:$F$50,2,FALSE)+D23*VLOOKUP(D$6,'FX RATES'!$E$1:$F$50,2,FALSE)+E23*VLOOKUP(E$6,'FX RATES'!$E$1:$F$50,2,FALSE)+F23*VLOOKUP(F$6,'FX RATES'!$E$1:$F$50,2,FALSE)+G23*VLOOKUP(G$6,'FX RATES'!$E$1:$F$50,2,FALSE)+H23*VLOOKUP(H$6,'FX RATES'!$E$1:$F$50,2,FALSE)</f>
        <v>0</v>
      </c>
      <c r="J23" s="138"/>
      <c r="K23" s="28">
        <f t="shared" si="6"/>
        <v>0</v>
      </c>
      <c r="L23" s="29" cm="1">
        <f t="array" ref="L23">SUMIFS(FLOWS!$C:$C,FLOWS!$A:$A,$B$2,FLOWS!$E:$E,$K23,FLOWS!$D:$D,L$6,FLOWS!$H:$H,"&gt;="&amp;$C$4,FLOWS!$H:$H,"&lt;="&amp;$U$4)+SUM(SUMIFS(DEALS!$J:$J,DEALS!$A:$A,{"*REFUND*","*EXECUTED*"},DEALS!$G:$G,$B$2,DEALS!$E:$E,"&gt;="&amp;$C$4,DEALS!$E:$E,"&lt;="&amp;$U$4,DEALS!$K:$K,L$6,DEALS!$M:$M,$K23,DEALS!$N:$N,"&lt;&gt;*RECEIVED*",DEALS!$N:$N,"&lt;&gt;*EXECUTED*"))+SUM(SUMIFS(DEALS!$R:$R,DEALS!$A:$A,{"*REFUND*","*EXECUTED*"},DEALS!$O:$O,$B$2,DEALS!$E:$E,"&gt;="&amp;$C$4,DEALS!$E:$E,"&lt;="&amp;$U$4,DEALS!$S:$S,L$6,DEALS!$U:$U,$K23,DEALS!$V:$V,"&lt;&gt;*RECEIVED*",DEALS!$V:$V,"&lt;&gt;*EXECUTED*"))</f>
        <v>0</v>
      </c>
      <c r="M23" s="29" cm="1">
        <f t="array" ref="M23">SUMIFS(FLOWS!$C:$C,FLOWS!$A:$A,$B$2,FLOWS!$E:$E,$K23,FLOWS!$D:$D,M$6,FLOWS!$H:$H,"&gt;="&amp;$C$4,FLOWS!$H:$H,"&lt;="&amp;$U$4)+SUM(SUMIFS(DEALS!$J:$J,DEALS!$A:$A,{"*REFUND*","*EXECUTED*"},DEALS!$G:$G,$B$2,DEALS!$E:$E,"&gt;="&amp;$C$4,DEALS!$E:$E,"&lt;="&amp;$U$4,DEALS!$K:$K,M$6,DEALS!$M:$M,$K23,DEALS!$N:$N,"&lt;&gt;*RECEIVED*",DEALS!$N:$N,"&lt;&gt;*EXECUTED*"))+SUM(SUMIFS(DEALS!$R:$R,DEALS!$A:$A,{"*REFUND*","*EXECUTED*"},DEALS!$O:$O,$B$2,DEALS!$E:$E,"&gt;="&amp;$C$4,DEALS!$E:$E,"&lt;="&amp;$U$4,DEALS!$S:$S,M$6,DEALS!$U:$U,$K23,DEALS!$V:$V,"&lt;&gt;*RECEIVED*",DEALS!$V:$V,"&lt;&gt;*EXECUTED*"))</f>
        <v>0</v>
      </c>
      <c r="N23" s="29" cm="1">
        <f t="array" ref="N23">SUMIFS(FLOWS!$C:$C,FLOWS!$A:$A,$B$2,FLOWS!$E:$E,$K23,FLOWS!$D:$D,N$6,FLOWS!$H:$H,"&gt;="&amp;$C$4,FLOWS!$H:$H,"&lt;="&amp;$U$4)+SUM(SUMIFS(DEALS!$J:$J,DEALS!$A:$A,{"*REFUND*","*EXECUTED*"},DEALS!$G:$G,$B$2,DEALS!$E:$E,"&gt;="&amp;$C$4,DEALS!$E:$E,"&lt;="&amp;$U$4,DEALS!$K:$K,N$6,DEALS!$M:$M,$K23,DEALS!$N:$N,"&lt;&gt;*RECEIVED*",DEALS!$N:$N,"&lt;&gt;*EXECUTED*"))+SUM(SUMIFS(DEALS!$R:$R,DEALS!$A:$A,{"*REFUND*","*EXECUTED*"},DEALS!$O:$O,$B$2,DEALS!$E:$E,"&gt;="&amp;$C$4,DEALS!$E:$E,"&lt;="&amp;$U$4,DEALS!$S:$S,N$6,DEALS!$U:$U,$K23,DEALS!$V:$V,"&lt;&gt;*RECEIVED*",DEALS!$V:$V,"&lt;&gt;*EXECUTED*"))</f>
        <v>0</v>
      </c>
      <c r="O23" s="29" cm="1">
        <f t="array" ref="O23">SUMIFS(FLOWS!$C:$C,FLOWS!$A:$A,$B$2,FLOWS!$E:$E,$K23,FLOWS!$D:$D,O$6,FLOWS!$H:$H,"&gt;="&amp;$C$4,FLOWS!$H:$H,"&lt;="&amp;$U$4)+SUM(SUMIFS(DEALS!$J:$J,DEALS!$A:$A,{"*REFUND*","*EXECUTED*"},DEALS!$G:$G,$B$2,DEALS!$E:$E,"&gt;="&amp;$C$4,DEALS!$E:$E,"&lt;="&amp;$U$4,DEALS!$K:$K,O$6,DEALS!$M:$M,$K23,DEALS!$N:$N,"&lt;&gt;*RECEIVED*",DEALS!$N:$N,"&lt;&gt;*EXECUTED*"))+SUM(SUMIFS(DEALS!$R:$R,DEALS!$A:$A,{"*REFUND*","*EXECUTED*"},DEALS!$O:$O,$B$2,DEALS!$E:$E,"&gt;="&amp;$C$4,DEALS!$E:$E,"&lt;="&amp;$U$4,DEALS!$S:$S,O$6,DEALS!$U:$U,$K23,DEALS!$V:$V,"&lt;&gt;*RECEIVED*",DEALS!$V:$V,"&lt;&gt;*EXECUTED*"))</f>
        <v>0</v>
      </c>
      <c r="P23" s="29" cm="1">
        <f t="array" ref="P23">SUMIFS(FLOWS!$C:$C,FLOWS!$A:$A,$B$2,FLOWS!$E:$E,$K23,FLOWS!$D:$D,P$6,FLOWS!$H:$H,"&gt;="&amp;$C$4,FLOWS!$H:$H,"&lt;="&amp;$U$4)+SUM(SUMIFS(DEALS!$J:$J,DEALS!$A:$A,{"*REFUND*","*EXECUTED*"},DEALS!$G:$G,$B$2,DEALS!$E:$E,"&gt;="&amp;$C$4,DEALS!$E:$E,"&lt;="&amp;$U$4,DEALS!$K:$K,P$6,DEALS!$M:$M,$K23,DEALS!$N:$N,"&lt;&gt;*RECEIVED*",DEALS!$N:$N,"&lt;&gt;*EXECUTED*"))+SUM(SUMIFS(DEALS!$R:$R,DEALS!$A:$A,{"*REFUND*","*EXECUTED*"},DEALS!$O:$O,$B$2,DEALS!$E:$E,"&gt;="&amp;$C$4,DEALS!$E:$E,"&lt;="&amp;$U$4,DEALS!$S:$S,P$6,DEALS!$U:$U,$K23,DEALS!$V:$V,"&lt;&gt;*RECEIVED*",DEALS!$V:$V,"&lt;&gt;*EXECUTED*"))</f>
        <v>0</v>
      </c>
      <c r="Q23" s="29" cm="1">
        <f t="array" ref="Q23">SUMIFS(FLOWS!$C:$C,FLOWS!$A:$A,$B$2,FLOWS!$E:$E,$K23,FLOWS!$D:$D,Q$6,FLOWS!$H:$H,"&gt;="&amp;$C$4,FLOWS!$H:$H,"&lt;="&amp;$U$4)+SUM(SUMIFS(DEALS!$J:$J,DEALS!$A:$A,{"*REFUND*","*EXECUTED*"},DEALS!$G:$G,$B$2,DEALS!$E:$E,"&gt;="&amp;$C$4,DEALS!$E:$E,"&lt;="&amp;$U$4,DEALS!$K:$K,Q$6,DEALS!$M:$M,$K23,DEALS!$N:$N,"&lt;&gt;*RECEIVED*",DEALS!$N:$N,"&lt;&gt;*EXECUTED*"))+SUM(SUMIFS(DEALS!$R:$R,DEALS!$A:$A,{"*REFUND*","*EXECUTED*"},DEALS!$O:$O,$B$2,DEALS!$E:$E,"&gt;="&amp;$C$4,DEALS!$E:$E,"&lt;="&amp;$U$4,DEALS!$S:$S,Q$6,DEALS!$U:$U,$K23,DEALS!$V:$V,"&lt;&gt;*RECEIVED*",DEALS!$V:$V,"&lt;&gt;*EXECUTED*"))</f>
        <v>0</v>
      </c>
      <c r="R23" s="30">
        <f ca="1">L23*VLOOKUP(L$6,'FX RATES'!$E$1:$F$50,2,FALSE)+M23*VLOOKUP(M$6,'FX RATES'!$E$1:$F$50,2,FALSE)+N23*VLOOKUP(N$6,'FX RATES'!$E$1:$F$50,2,FALSE)+O23*VLOOKUP(O$6,'FX RATES'!$E$1:$F$50,2,FALSE)+P23*VLOOKUP(P$6,'FX RATES'!$E$1:$F$50,2,FALSE)+Q23*VLOOKUP(Q$6,'FX RATES'!$E$1:$F$50,2,FALSE)</f>
        <v>0</v>
      </c>
      <c r="T23" s="28">
        <f t="shared" si="7"/>
        <v>0</v>
      </c>
      <c r="U23" s="29" cm="1">
        <f t="array" ref="U23">SUMIFS(BALANCES!$C:$C,BALANCES!$A:$A,$B$2,BALANCES!$B:$B,$T23,BALANCES!$D:$D,U$6)+SUMIFS(FLOWS!$C:$C,FLOWS!$A:$A,$B$2,FLOWS!$E:$E,$T23,FLOWS!$D:$D,U$6,FLOWS!$H:$H,"&lt;="&amp;$U$4)+SUM(SUMIFS(DEALS!$J:$J,DEALS!$A:$A,{"*REFUND*","*EXECUTED*"},DEALS!$G:$G,$B$2,DEALS!$E:$E,"&lt;="&amp;$U$4,DEALS!$K:$K,U$6,DEALS!$M:$M,$T23,DEALS!$N:$N,"&lt;&gt;*RECEIVED*",DEALS!$N:$N,"&lt;&gt;*EXECUTED*"))+SUM(SUMIFS(DEALS!$R:$R,DEALS!$A:$A,{"*REFUND*","*EXECUTED*"},DEALS!$O:$O,$B$2,DEALS!$E:$E,"&lt;="&amp;$U$4,DEALS!$S:$S,U$6,DEALS!$U:$U,$T23,DEALS!$V:$V,"&lt;&gt;*RECEIVED*",DEALS!$V:$V,"&lt;&gt;*EXECUTED*"))</f>
        <v>0</v>
      </c>
      <c r="V23" s="29" cm="1">
        <f t="array" ref="V23">SUMIFS(BALANCES!$C:$C,BALANCES!$A:$A,$B$2,BALANCES!$B:$B,$T23,BALANCES!$D:$D,V$6)+SUMIFS(FLOWS!$C:$C,FLOWS!$A:$A,$B$2,FLOWS!$E:$E,$T23,FLOWS!$D:$D,V$6,FLOWS!$H:$H,"&lt;="&amp;$U$4)+SUM(SUMIFS(DEALS!$J:$J,DEALS!$A:$A,{"*REFUND*","*EXECUTED*"},DEALS!$G:$G,$B$2,DEALS!$E:$E,"&lt;="&amp;$U$4,DEALS!$K:$K,V$6,DEALS!$M:$M,$T23,DEALS!$N:$N,"&lt;&gt;*RECEIVED*",DEALS!$N:$N,"&lt;&gt;*EXECUTED*"))+SUM(SUMIFS(DEALS!$R:$R,DEALS!$A:$A,{"*REFUND*","*EXECUTED*"},DEALS!$O:$O,$B$2,DEALS!$E:$E,"&lt;="&amp;$U$4,DEALS!$S:$S,V$6,DEALS!$U:$U,$T23,DEALS!$V:$V,"&lt;&gt;*RECEIVED*",DEALS!$V:$V,"&lt;&gt;*EXECUTED*"))</f>
        <v>0</v>
      </c>
      <c r="W23" s="29" cm="1">
        <f t="array" ref="W23">SUMIFS(BALANCES!$C:$C,BALANCES!$A:$A,$B$2,BALANCES!$B:$B,$T23,BALANCES!$D:$D,W$6)+SUMIFS(FLOWS!$C:$C,FLOWS!$A:$A,$B$2,FLOWS!$E:$E,$T23,FLOWS!$D:$D,W$6,FLOWS!$H:$H,"&lt;="&amp;$U$4)+SUM(SUMIFS(DEALS!$J:$J,DEALS!$A:$A,{"*REFUND*","*EXECUTED*"},DEALS!$G:$G,$B$2,DEALS!$E:$E,"&lt;="&amp;$U$4,DEALS!$K:$K,W$6,DEALS!$M:$M,$T23,DEALS!$N:$N,"&lt;&gt;*RECEIVED*",DEALS!$N:$N,"&lt;&gt;*EXECUTED*"))+SUM(SUMIFS(DEALS!$R:$R,DEALS!$A:$A,{"*REFUND*","*EXECUTED*"},DEALS!$O:$O,$B$2,DEALS!$E:$E,"&lt;="&amp;$U$4,DEALS!$S:$S,W$6,DEALS!$U:$U,$T23,DEALS!$V:$V,"&lt;&gt;*RECEIVED*",DEALS!$V:$V,"&lt;&gt;*EXECUTED*"))</f>
        <v>0</v>
      </c>
      <c r="X23" s="29" cm="1">
        <f t="array" ref="X23">SUMIFS(BALANCES!$C:$C,BALANCES!$A:$A,$B$2,BALANCES!$B:$B,$T23,BALANCES!$D:$D,X$6)+SUMIFS(FLOWS!$C:$C,FLOWS!$A:$A,$B$2,FLOWS!$E:$E,$T23,FLOWS!$D:$D,X$6,FLOWS!$H:$H,"&lt;="&amp;$U$4)+SUM(SUMIFS(DEALS!$J:$J,DEALS!$A:$A,{"*REFUND*","*EXECUTED*"},DEALS!$G:$G,$B$2,DEALS!$E:$E,"&lt;="&amp;$U$4,DEALS!$K:$K,X$6,DEALS!$M:$M,$T23,DEALS!$N:$N,"&lt;&gt;*RECEIVED*",DEALS!$N:$N,"&lt;&gt;*EXECUTED*"))+SUM(SUMIFS(DEALS!$R:$R,DEALS!$A:$A,{"*REFUND*","*EXECUTED*"},DEALS!$O:$O,$B$2,DEALS!$E:$E,"&lt;="&amp;$U$4,DEALS!$S:$S,X$6,DEALS!$U:$U,$T23,DEALS!$V:$V,"&lt;&gt;*RECEIVED*",DEALS!$V:$V,"&lt;&gt;*EXECUTED*"))</f>
        <v>0</v>
      </c>
      <c r="Y23" s="29" cm="1">
        <f t="array" ref="Y23">SUMIFS(BALANCES!$C:$C,BALANCES!$A:$A,$B$2,BALANCES!$B:$B,$T23,BALANCES!$D:$D,Y$6)+SUMIFS(FLOWS!$C:$C,FLOWS!$A:$A,$B$2,FLOWS!$E:$E,$T23,FLOWS!$D:$D,Y$6,FLOWS!$H:$H,"&lt;="&amp;$U$4)+SUM(SUMIFS(DEALS!$J:$J,DEALS!$A:$A,{"*REFUND*","*EXECUTED*"},DEALS!$G:$G,$B$2,DEALS!$E:$E,"&lt;="&amp;$U$4,DEALS!$K:$K,Y$6,DEALS!$M:$M,$T23,DEALS!$N:$N,"&lt;&gt;*RECEIVED*",DEALS!$N:$N,"&lt;&gt;*EXECUTED*"))+SUM(SUMIFS(DEALS!$R:$R,DEALS!$A:$A,{"*REFUND*","*EXECUTED*"},DEALS!$O:$O,$B$2,DEALS!$E:$E,"&lt;="&amp;$U$4,DEALS!$S:$S,Y$6,DEALS!$U:$U,$T23,DEALS!$V:$V,"&lt;&gt;*RECEIVED*",DEALS!$V:$V,"&lt;&gt;*EXECUTED*"))</f>
        <v>0</v>
      </c>
      <c r="Z23" s="29" cm="1">
        <f t="array" ref="Z23">SUMIFS(BALANCES!$C:$C,BALANCES!$A:$A,$B$2,BALANCES!$B:$B,$T23,BALANCES!$D:$D,Z$6)+SUMIFS(FLOWS!$C:$C,FLOWS!$A:$A,$B$2,FLOWS!$E:$E,$T23,FLOWS!$D:$D,Z$6,FLOWS!$H:$H,"&lt;="&amp;$U$4)+SUM(SUMIFS(DEALS!$J:$J,DEALS!$A:$A,{"*REFUND*","*EXECUTED*"},DEALS!$G:$G,$B$2,DEALS!$E:$E,"&lt;="&amp;$U$4,DEALS!$K:$K,Z$6,DEALS!$M:$M,$T23,DEALS!$N:$N,"&lt;&gt;*RECEIVED*",DEALS!$N:$N,"&lt;&gt;*EXECUTED*"))+SUM(SUMIFS(DEALS!$R:$R,DEALS!$A:$A,{"*REFUND*","*EXECUTED*"},DEALS!$O:$O,$B$2,DEALS!$E:$E,"&lt;="&amp;$U$4,DEALS!$S:$S,Z$6,DEALS!$U:$U,$T23,DEALS!$V:$V,"&lt;&gt;*RECEIVED*",DEALS!$V:$V,"&lt;&gt;*EXECUTED*"))</f>
        <v>0</v>
      </c>
      <c r="AA23" s="30">
        <f ca="1">U23*VLOOKUP(U$6,'FX RATES'!$E$1:$F$50,2,FALSE)+V23*VLOOKUP(V$6,'FX RATES'!$E$1:$F$50,2,FALSE)+W23*VLOOKUP(W$6,'FX RATES'!$E$1:$F$50,2,FALSE)+X23*VLOOKUP(X$6,'FX RATES'!$E$1:$F$50,2,FALSE)+Y23*VLOOKUP(Y$6,'FX RATES'!$E$1:$F$50,2,FALSE)+Z23*VLOOKUP(Z$6,'FX RATES'!$E$1:$F$50,2,FALSE)</f>
        <v>0</v>
      </c>
      <c r="AC23" s="139">
        <f t="shared" ca="1" si="4"/>
        <v>0</v>
      </c>
    </row>
    <row r="24" spans="2:29" ht="20" hidden="1" thickBot="1">
      <c r="B24" s="31"/>
      <c r="C24" s="32" cm="1">
        <f t="array" ref="C24">SUMIFS(BALANCES!$C:$C,BALANCES!$A:$A,$B$2,BALANCES!$B:$B,$B24,BALANCES!$D:$D,C$6)+SUMIFS(FLOWS!$C:$C,FLOWS!$A:$A,$B$2,FLOWS!$E:$E,$B24,FLOWS!$D:$D,C$6,FLOWS!$H:$H,"&lt;"&amp;$C$4)+SUM(SUMIFS(DEALS!$J:$J,DEALS!$A:$A,{"*REFUND*","*EXECUTED*"},DEALS!$G:$G,$B$2,DEALS!$E:$E,"&lt;"&amp;$C$4,DEALS!$K:$K,C$6,DEALS!$M:$M,$B24,DEALS!$N:$N,"&lt;&gt;*RECEIVED*",DEALS!$N:$N,"&lt;&gt;*EXECUTED*"))+SUM(SUMIFS(DEALS!$R:$R,DEALS!$A:$A,{"*REFUND*","*EXECUTED*"},DEALS!$O:$O,$B$2,DEALS!$E:$E,"&lt;"&amp;$C$4,DEALS!$S:$S,C$6,DEALS!$U:$U,$B24,DEALS!$V:$V,"&lt;&gt;*RECEIVED*",DEALS!$V:$V,"&lt;&gt;*EXECUTED*"))</f>
        <v>0</v>
      </c>
      <c r="D24" s="32" cm="1">
        <f t="array" ref="D24">SUMIFS(BALANCES!$C:$C,BALANCES!$A:$A,$B$2,BALANCES!$B:$B,$B24,BALANCES!$D:$D,D$6)+SUMIFS(FLOWS!$C:$C,FLOWS!$A:$A,$B$2,FLOWS!$E:$E,$B24,FLOWS!$D:$D,D$6,FLOWS!$H:$H,"&lt;"&amp;$C$4)+SUM(SUMIFS(DEALS!$J:$J,DEALS!$A:$A,{"*REFUND*","*EXECUTED*"},DEALS!$G:$G,$B$2,DEALS!$E:$E,"&lt;"&amp;$C$4,DEALS!$K:$K,D$6,DEALS!$M:$M,$B24,DEALS!$N:$N,"&lt;&gt;*RECEIVED*",DEALS!$N:$N,"&lt;&gt;*EXECUTED*"))+SUM(SUMIFS(DEALS!$R:$R,DEALS!$A:$A,{"*REFUND*","*EXECUTED*"},DEALS!$O:$O,$B$2,DEALS!$E:$E,"&lt;"&amp;$C$4,DEALS!$S:$S,D$6,DEALS!$U:$U,$B24,DEALS!$V:$V,"&lt;&gt;*RECEIVED*",DEALS!$V:$V,"&lt;&gt;*EXECUTED*"))</f>
        <v>0</v>
      </c>
      <c r="E24" s="32" cm="1">
        <f t="array" ref="E24">SUMIFS(BALANCES!$C:$C,BALANCES!$A:$A,$B$2,BALANCES!$B:$B,$B24,BALANCES!$D:$D,E$6)+SUMIFS(FLOWS!$C:$C,FLOWS!$A:$A,$B$2,FLOWS!$E:$E,$B24,FLOWS!$D:$D,E$6,FLOWS!$H:$H,"&lt;"&amp;$C$4)+SUM(SUMIFS(DEALS!$J:$J,DEALS!$A:$A,{"*REFUND*","*EXECUTED*"},DEALS!$G:$G,$B$2,DEALS!$E:$E,"&lt;"&amp;$C$4,DEALS!$K:$K,E$6,DEALS!$M:$M,$B24,DEALS!$N:$N,"&lt;&gt;*RECEIVED*",DEALS!$N:$N,"&lt;&gt;*EXECUTED*"))+SUM(SUMIFS(DEALS!$R:$R,DEALS!$A:$A,{"*REFUND*","*EXECUTED*"},DEALS!$O:$O,$B$2,DEALS!$E:$E,"&lt;"&amp;$C$4,DEALS!$S:$S,E$6,DEALS!$U:$U,$B24,DEALS!$V:$V,"&lt;&gt;*RECEIVED*",DEALS!$V:$V,"&lt;&gt;*EXECUTED*"))</f>
        <v>0</v>
      </c>
      <c r="F24" s="32" cm="1">
        <f t="array" ref="F24">SUMIFS(BALANCES!$C:$C,BALANCES!$A:$A,$B$2,BALANCES!$B:$B,$B24,BALANCES!$D:$D,F$6)+SUMIFS(FLOWS!$C:$C,FLOWS!$A:$A,$B$2,FLOWS!$E:$E,$B24,FLOWS!$D:$D,F$6,FLOWS!$H:$H,"&lt;"&amp;$C$4)+SUM(SUMIFS(DEALS!$J:$J,DEALS!$A:$A,{"*REFUND*","*EXECUTED*"},DEALS!$G:$G,$B$2,DEALS!$E:$E,"&lt;"&amp;$C$4,DEALS!$K:$K,F$6,DEALS!$M:$M,$B24,DEALS!$N:$N,"&lt;&gt;*RECEIVED*",DEALS!$N:$N,"&lt;&gt;*EXECUTED*"))+SUM(SUMIFS(DEALS!$R:$R,DEALS!$A:$A,{"*REFUND*","*EXECUTED*"},DEALS!$O:$O,$B$2,DEALS!$E:$E,"&lt;"&amp;$C$4,DEALS!$S:$S,F$6,DEALS!$U:$U,$B24,DEALS!$V:$V,"&lt;&gt;*RECEIVED*",DEALS!$V:$V,"&lt;&gt;*EXECUTED*"))</f>
        <v>0</v>
      </c>
      <c r="G24" s="32" cm="1">
        <f t="array" ref="G24">SUMIFS(BALANCES!$C:$C,BALANCES!$A:$A,$B$2,BALANCES!$B:$B,$B24,BALANCES!$D:$D,G$6)+SUMIFS(FLOWS!$C:$C,FLOWS!$A:$A,$B$2,FLOWS!$E:$E,$B24,FLOWS!$D:$D,G$6,FLOWS!$H:$H,"&lt;"&amp;$C$4)+SUM(SUMIFS(DEALS!$J:$J,DEALS!$A:$A,{"*REFUND*","*EXECUTED*"},DEALS!$G:$G,$B$2,DEALS!$E:$E,"&lt;"&amp;$C$4,DEALS!$K:$K,G$6,DEALS!$M:$M,$B24,DEALS!$N:$N,"&lt;&gt;*RECEIVED*",DEALS!$N:$N,"&lt;&gt;*EXECUTED*"))+SUM(SUMIFS(DEALS!$R:$R,DEALS!$A:$A,{"*REFUND*","*EXECUTED*"},DEALS!$O:$O,$B$2,DEALS!$E:$E,"&lt;"&amp;$C$4,DEALS!$S:$S,G$6,DEALS!$U:$U,$B24,DEALS!$V:$V,"&lt;&gt;*RECEIVED*",DEALS!$V:$V,"&lt;&gt;*EXECUTED*"))</f>
        <v>0</v>
      </c>
      <c r="H24" s="32" cm="1">
        <f t="array" ref="H24">SUMIFS(BALANCES!$C:$C,BALANCES!$A:$A,$B$2,BALANCES!$B:$B,$B24,BALANCES!$D:$D,H$6)+SUMIFS(FLOWS!$C:$C,FLOWS!$A:$A,$B$2,FLOWS!$E:$E,$B24,FLOWS!$D:$D,H$6,FLOWS!$H:$H,"&lt;"&amp;$C$4)+SUM(SUMIFS(DEALS!$J:$J,DEALS!$A:$A,{"*REFUND*","*EXECUTED*"},DEALS!$G:$G,$B$2,DEALS!$E:$E,"&lt;"&amp;$C$4,DEALS!$K:$K,H$6,DEALS!$M:$M,$B24,DEALS!$N:$N,"&lt;&gt;*RECEIVED*",DEALS!$N:$N,"&lt;&gt;*EXECUTED*"))+SUM(SUMIFS(DEALS!$R:$R,DEALS!$A:$A,{"*REFUND*","*EXECUTED*"},DEALS!$O:$O,$B$2,DEALS!$E:$E,"&lt;"&amp;$C$4,DEALS!$S:$S,H$6,DEALS!$U:$U,$B24,DEALS!$V:$V,"&lt;&gt;*RECEIVED*",DEALS!$V:$V,"&lt;&gt;*EXECUTED*"))</f>
        <v>0</v>
      </c>
      <c r="I24" s="33">
        <f ca="1">C24*VLOOKUP(C$6,'FX RATES'!$E$1:$F$50,2,FALSE)+D24*VLOOKUP(D$6,'FX RATES'!$E$1:$F$50,2,FALSE)+E24*VLOOKUP(E$6,'FX RATES'!$E$1:$F$50,2,FALSE)+F24*VLOOKUP(F$6,'FX RATES'!$E$1:$F$50,2,FALSE)+G24*VLOOKUP(G$6,'FX RATES'!$E$1:$F$50,2,FALSE)+H24*VLOOKUP(H$6,'FX RATES'!$E$1:$F$50,2,FALSE)</f>
        <v>0</v>
      </c>
      <c r="J24" s="138"/>
      <c r="K24" s="31">
        <f t="shared" si="6"/>
        <v>0</v>
      </c>
      <c r="L24" s="32" cm="1">
        <f t="array" ref="L24">SUMIFS(FLOWS!$C:$C,FLOWS!$A:$A,$B$2,FLOWS!$E:$E,$K24,FLOWS!$D:$D,L$6,FLOWS!$H:$H,"&gt;="&amp;$C$4,FLOWS!$H:$H,"&lt;="&amp;$U$4)+SUM(SUMIFS(DEALS!$J:$J,DEALS!$A:$A,{"*REFUND*","*EXECUTED*"},DEALS!$G:$G,$B$2,DEALS!$E:$E,"&gt;="&amp;$C$4,DEALS!$E:$E,"&lt;="&amp;$U$4,DEALS!$K:$K,L$6,DEALS!$M:$M,$K24,DEALS!$N:$N,"&lt;&gt;*RECEIVED*",DEALS!$N:$N,"&lt;&gt;*EXECUTED*"))+SUM(SUMIFS(DEALS!$R:$R,DEALS!$A:$A,{"*REFUND*","*EXECUTED*"},DEALS!$O:$O,$B$2,DEALS!$E:$E,"&gt;="&amp;$C$4,DEALS!$E:$E,"&lt;="&amp;$U$4,DEALS!$S:$S,L$6,DEALS!$U:$U,$K24,DEALS!$V:$V,"&lt;&gt;*RECEIVED*",DEALS!$V:$V,"&lt;&gt;*EXECUTED*"))</f>
        <v>0</v>
      </c>
      <c r="M24" s="32" cm="1">
        <f t="array" ref="M24">SUMIFS(FLOWS!$C:$C,FLOWS!$A:$A,$B$2,FLOWS!$E:$E,$K24,FLOWS!$D:$D,M$6,FLOWS!$H:$H,"&gt;="&amp;$C$4,FLOWS!$H:$H,"&lt;="&amp;$U$4)+SUM(SUMIFS(DEALS!$J:$J,DEALS!$A:$A,{"*REFUND*","*EXECUTED*"},DEALS!$G:$G,$B$2,DEALS!$E:$E,"&gt;="&amp;$C$4,DEALS!$E:$E,"&lt;="&amp;$U$4,DEALS!$K:$K,M$6,DEALS!$M:$M,$K24,DEALS!$N:$N,"&lt;&gt;*RECEIVED*",DEALS!$N:$N,"&lt;&gt;*EXECUTED*"))+SUM(SUMIFS(DEALS!$R:$R,DEALS!$A:$A,{"*REFUND*","*EXECUTED*"},DEALS!$O:$O,$B$2,DEALS!$E:$E,"&gt;="&amp;$C$4,DEALS!$E:$E,"&lt;="&amp;$U$4,DEALS!$S:$S,M$6,DEALS!$U:$U,$K24,DEALS!$V:$V,"&lt;&gt;*RECEIVED*",DEALS!$V:$V,"&lt;&gt;*EXECUTED*"))</f>
        <v>0</v>
      </c>
      <c r="N24" s="32" cm="1">
        <f t="array" ref="N24">SUMIFS(FLOWS!$C:$C,FLOWS!$A:$A,$B$2,FLOWS!$E:$E,$K24,FLOWS!$D:$D,N$6,FLOWS!$H:$H,"&gt;="&amp;$C$4,FLOWS!$H:$H,"&lt;="&amp;$U$4)+SUM(SUMIFS(DEALS!$J:$J,DEALS!$A:$A,{"*REFUND*","*EXECUTED*"},DEALS!$G:$G,$B$2,DEALS!$E:$E,"&gt;="&amp;$C$4,DEALS!$E:$E,"&lt;="&amp;$U$4,DEALS!$K:$K,N$6,DEALS!$M:$M,$K24,DEALS!$N:$N,"&lt;&gt;*RECEIVED*",DEALS!$N:$N,"&lt;&gt;*EXECUTED*"))+SUM(SUMIFS(DEALS!$R:$R,DEALS!$A:$A,{"*REFUND*","*EXECUTED*"},DEALS!$O:$O,$B$2,DEALS!$E:$E,"&gt;="&amp;$C$4,DEALS!$E:$E,"&lt;="&amp;$U$4,DEALS!$S:$S,N$6,DEALS!$U:$U,$K24,DEALS!$V:$V,"&lt;&gt;*RECEIVED*",DEALS!$V:$V,"&lt;&gt;*EXECUTED*"))</f>
        <v>0</v>
      </c>
      <c r="O24" s="32" cm="1">
        <f t="array" ref="O24">SUMIFS(FLOWS!$C:$C,FLOWS!$A:$A,$B$2,FLOWS!$E:$E,$K24,FLOWS!$D:$D,O$6,FLOWS!$H:$H,"&gt;="&amp;$C$4,FLOWS!$H:$H,"&lt;="&amp;$U$4)+SUM(SUMIFS(DEALS!$J:$J,DEALS!$A:$A,{"*REFUND*","*EXECUTED*"},DEALS!$G:$G,$B$2,DEALS!$E:$E,"&gt;="&amp;$C$4,DEALS!$E:$E,"&lt;="&amp;$U$4,DEALS!$K:$K,O$6,DEALS!$M:$M,$K24,DEALS!$N:$N,"&lt;&gt;*RECEIVED*",DEALS!$N:$N,"&lt;&gt;*EXECUTED*"))+SUM(SUMIFS(DEALS!$R:$R,DEALS!$A:$A,{"*REFUND*","*EXECUTED*"},DEALS!$O:$O,$B$2,DEALS!$E:$E,"&gt;="&amp;$C$4,DEALS!$E:$E,"&lt;="&amp;$U$4,DEALS!$S:$S,O$6,DEALS!$U:$U,$K24,DEALS!$V:$V,"&lt;&gt;*RECEIVED*",DEALS!$V:$V,"&lt;&gt;*EXECUTED*"))</f>
        <v>0</v>
      </c>
      <c r="P24" s="32" cm="1">
        <f t="array" ref="P24">SUMIFS(FLOWS!$C:$C,FLOWS!$A:$A,$B$2,FLOWS!$E:$E,$K24,FLOWS!$D:$D,P$6,FLOWS!$H:$H,"&gt;="&amp;$C$4,FLOWS!$H:$H,"&lt;="&amp;$U$4)+SUM(SUMIFS(DEALS!$J:$J,DEALS!$A:$A,{"*REFUND*","*EXECUTED*"},DEALS!$G:$G,$B$2,DEALS!$E:$E,"&gt;="&amp;$C$4,DEALS!$E:$E,"&lt;="&amp;$U$4,DEALS!$K:$K,P$6,DEALS!$M:$M,$K24,DEALS!$N:$N,"&lt;&gt;*RECEIVED*",DEALS!$N:$N,"&lt;&gt;*EXECUTED*"))+SUM(SUMIFS(DEALS!$R:$R,DEALS!$A:$A,{"*REFUND*","*EXECUTED*"},DEALS!$O:$O,$B$2,DEALS!$E:$E,"&gt;="&amp;$C$4,DEALS!$E:$E,"&lt;="&amp;$U$4,DEALS!$S:$S,P$6,DEALS!$U:$U,$K24,DEALS!$V:$V,"&lt;&gt;*RECEIVED*",DEALS!$V:$V,"&lt;&gt;*EXECUTED*"))</f>
        <v>0</v>
      </c>
      <c r="Q24" s="32" cm="1">
        <f t="array" ref="Q24">SUMIFS(FLOWS!$C:$C,FLOWS!$A:$A,$B$2,FLOWS!$E:$E,$K24,FLOWS!$D:$D,Q$6,FLOWS!$H:$H,"&gt;="&amp;$C$4,FLOWS!$H:$H,"&lt;="&amp;$U$4)+SUM(SUMIFS(DEALS!$J:$J,DEALS!$A:$A,{"*REFUND*","*EXECUTED*"},DEALS!$G:$G,$B$2,DEALS!$E:$E,"&gt;="&amp;$C$4,DEALS!$E:$E,"&lt;="&amp;$U$4,DEALS!$K:$K,Q$6,DEALS!$M:$M,$K24,DEALS!$N:$N,"&lt;&gt;*RECEIVED*",DEALS!$N:$N,"&lt;&gt;*EXECUTED*"))+SUM(SUMIFS(DEALS!$R:$R,DEALS!$A:$A,{"*REFUND*","*EXECUTED*"},DEALS!$O:$O,$B$2,DEALS!$E:$E,"&gt;="&amp;$C$4,DEALS!$E:$E,"&lt;="&amp;$U$4,DEALS!$S:$S,Q$6,DEALS!$U:$U,$K24,DEALS!$V:$V,"&lt;&gt;*RECEIVED*",DEALS!$V:$V,"&lt;&gt;*EXECUTED*"))</f>
        <v>0</v>
      </c>
      <c r="R24" s="33">
        <f ca="1">L24*VLOOKUP(L$6,'FX RATES'!$E$1:$F$50,2,FALSE)+M24*VLOOKUP(M$6,'FX RATES'!$E$1:$F$50,2,FALSE)+N24*VLOOKUP(N$6,'FX RATES'!$E$1:$F$50,2,FALSE)+O24*VLOOKUP(O$6,'FX RATES'!$E$1:$F$50,2,FALSE)+P24*VLOOKUP(P$6,'FX RATES'!$E$1:$F$50,2,FALSE)+Q24*VLOOKUP(Q$6,'FX RATES'!$E$1:$F$50,2,FALSE)</f>
        <v>0</v>
      </c>
      <c r="T24" s="31">
        <f t="shared" si="7"/>
        <v>0</v>
      </c>
      <c r="U24" s="32" cm="1">
        <f t="array" ref="U24">SUMIFS(BALANCES!$C:$C,BALANCES!$A:$A,$B$2,BALANCES!$B:$B,$T24,BALANCES!$D:$D,U$6)+SUMIFS(FLOWS!$C:$C,FLOWS!$A:$A,$B$2,FLOWS!$E:$E,$T24,FLOWS!$D:$D,U$6,FLOWS!$H:$H,"&lt;="&amp;$U$4)+SUM(SUMIFS(DEALS!$J:$J,DEALS!$A:$A,{"*REFUND*","*EXECUTED*"},DEALS!$G:$G,$B$2,DEALS!$E:$E,"&lt;="&amp;$U$4,DEALS!$K:$K,U$6,DEALS!$M:$M,$T24,DEALS!$N:$N,"&lt;&gt;*RECEIVED*",DEALS!$N:$N,"&lt;&gt;*EXECUTED*"))+SUM(SUMIFS(DEALS!$R:$R,DEALS!$A:$A,{"*REFUND*","*EXECUTED*"},DEALS!$O:$O,$B$2,DEALS!$E:$E,"&lt;="&amp;$U$4,DEALS!$S:$S,U$6,DEALS!$U:$U,$T24,DEALS!$V:$V,"&lt;&gt;*RECEIVED*",DEALS!$V:$V,"&lt;&gt;*EXECUTED*"))</f>
        <v>0</v>
      </c>
      <c r="V24" s="32" cm="1">
        <f t="array" ref="V24">SUMIFS(BALANCES!$C:$C,BALANCES!$A:$A,$B$2,BALANCES!$B:$B,$T24,BALANCES!$D:$D,V$6)+SUMIFS(FLOWS!$C:$C,FLOWS!$A:$A,$B$2,FLOWS!$E:$E,$T24,FLOWS!$D:$D,V$6,FLOWS!$H:$H,"&lt;="&amp;$U$4)+SUM(SUMIFS(DEALS!$J:$J,DEALS!$A:$A,{"*REFUND*","*EXECUTED*"},DEALS!$G:$G,$B$2,DEALS!$E:$E,"&lt;="&amp;$U$4,DEALS!$K:$K,V$6,DEALS!$M:$M,$T24,DEALS!$N:$N,"&lt;&gt;*RECEIVED*",DEALS!$N:$N,"&lt;&gt;*EXECUTED*"))+SUM(SUMIFS(DEALS!$R:$R,DEALS!$A:$A,{"*REFUND*","*EXECUTED*"},DEALS!$O:$O,$B$2,DEALS!$E:$E,"&lt;="&amp;$U$4,DEALS!$S:$S,V$6,DEALS!$U:$U,$T24,DEALS!$V:$V,"&lt;&gt;*RECEIVED*",DEALS!$V:$V,"&lt;&gt;*EXECUTED*"))</f>
        <v>0</v>
      </c>
      <c r="W24" s="32" cm="1">
        <f t="array" ref="W24">SUMIFS(BALANCES!$C:$C,BALANCES!$A:$A,$B$2,BALANCES!$B:$B,$T24,BALANCES!$D:$D,W$6)+SUMIFS(FLOWS!$C:$C,FLOWS!$A:$A,$B$2,FLOWS!$E:$E,$T24,FLOWS!$D:$D,W$6,FLOWS!$H:$H,"&lt;="&amp;$U$4)+SUM(SUMIFS(DEALS!$J:$J,DEALS!$A:$A,{"*REFUND*","*EXECUTED*"},DEALS!$G:$G,$B$2,DEALS!$E:$E,"&lt;="&amp;$U$4,DEALS!$K:$K,W$6,DEALS!$M:$M,$T24,DEALS!$N:$N,"&lt;&gt;*RECEIVED*",DEALS!$N:$N,"&lt;&gt;*EXECUTED*"))+SUM(SUMIFS(DEALS!$R:$R,DEALS!$A:$A,{"*REFUND*","*EXECUTED*"},DEALS!$O:$O,$B$2,DEALS!$E:$E,"&lt;="&amp;$U$4,DEALS!$S:$S,W$6,DEALS!$U:$U,$T24,DEALS!$V:$V,"&lt;&gt;*RECEIVED*",DEALS!$V:$V,"&lt;&gt;*EXECUTED*"))</f>
        <v>0</v>
      </c>
      <c r="X24" s="32" cm="1">
        <f t="array" ref="X24">SUMIFS(BALANCES!$C:$C,BALANCES!$A:$A,$B$2,BALANCES!$B:$B,$T24,BALANCES!$D:$D,X$6)+SUMIFS(FLOWS!$C:$C,FLOWS!$A:$A,$B$2,FLOWS!$E:$E,$T24,FLOWS!$D:$D,X$6,FLOWS!$H:$H,"&lt;="&amp;$U$4)+SUM(SUMIFS(DEALS!$J:$J,DEALS!$A:$A,{"*REFUND*","*EXECUTED*"},DEALS!$G:$G,$B$2,DEALS!$E:$E,"&lt;="&amp;$U$4,DEALS!$K:$K,X$6,DEALS!$M:$M,$T24,DEALS!$N:$N,"&lt;&gt;*RECEIVED*",DEALS!$N:$N,"&lt;&gt;*EXECUTED*"))+SUM(SUMIFS(DEALS!$R:$R,DEALS!$A:$A,{"*REFUND*","*EXECUTED*"},DEALS!$O:$O,$B$2,DEALS!$E:$E,"&lt;="&amp;$U$4,DEALS!$S:$S,X$6,DEALS!$U:$U,$T24,DEALS!$V:$V,"&lt;&gt;*RECEIVED*",DEALS!$V:$V,"&lt;&gt;*EXECUTED*"))</f>
        <v>0</v>
      </c>
      <c r="Y24" s="32" cm="1">
        <f t="array" ref="Y24">SUMIFS(BALANCES!$C:$C,BALANCES!$A:$A,$B$2,BALANCES!$B:$B,$T24,BALANCES!$D:$D,Y$6)+SUMIFS(FLOWS!$C:$C,FLOWS!$A:$A,$B$2,FLOWS!$E:$E,$T24,FLOWS!$D:$D,Y$6,FLOWS!$H:$H,"&lt;="&amp;$U$4)+SUM(SUMIFS(DEALS!$J:$J,DEALS!$A:$A,{"*REFUND*","*EXECUTED*"},DEALS!$G:$G,$B$2,DEALS!$E:$E,"&lt;="&amp;$U$4,DEALS!$K:$K,Y$6,DEALS!$M:$M,$T24,DEALS!$N:$N,"&lt;&gt;*RECEIVED*",DEALS!$N:$N,"&lt;&gt;*EXECUTED*"))+SUM(SUMIFS(DEALS!$R:$R,DEALS!$A:$A,{"*REFUND*","*EXECUTED*"},DEALS!$O:$O,$B$2,DEALS!$E:$E,"&lt;="&amp;$U$4,DEALS!$S:$S,Y$6,DEALS!$U:$U,$T24,DEALS!$V:$V,"&lt;&gt;*RECEIVED*",DEALS!$V:$V,"&lt;&gt;*EXECUTED*"))</f>
        <v>0</v>
      </c>
      <c r="Z24" s="32" cm="1">
        <f t="array" ref="Z24">SUMIFS(BALANCES!$C:$C,BALANCES!$A:$A,$B$2,BALANCES!$B:$B,$T24,BALANCES!$D:$D,Z$6)+SUMIFS(FLOWS!$C:$C,FLOWS!$A:$A,$B$2,FLOWS!$E:$E,$T24,FLOWS!$D:$D,Z$6,FLOWS!$H:$H,"&lt;="&amp;$U$4)+SUM(SUMIFS(DEALS!$J:$J,DEALS!$A:$A,{"*REFUND*","*EXECUTED*"},DEALS!$G:$G,$B$2,DEALS!$E:$E,"&lt;="&amp;$U$4,DEALS!$K:$K,Z$6,DEALS!$M:$M,$T24,DEALS!$N:$N,"&lt;&gt;*RECEIVED*",DEALS!$N:$N,"&lt;&gt;*EXECUTED*"))+SUM(SUMIFS(DEALS!$R:$R,DEALS!$A:$A,{"*REFUND*","*EXECUTED*"},DEALS!$O:$O,$B$2,DEALS!$E:$E,"&lt;="&amp;$U$4,DEALS!$S:$S,Z$6,DEALS!$U:$U,$T24,DEALS!$V:$V,"&lt;&gt;*RECEIVED*",DEALS!$V:$V,"&lt;&gt;*EXECUTED*"))</f>
        <v>0</v>
      </c>
      <c r="AA24" s="33">
        <f ca="1">U24*VLOOKUP(U$6,'FX RATES'!$E$1:$F$50,2,FALSE)+V24*VLOOKUP(V$6,'FX RATES'!$E$1:$F$50,2,FALSE)+W24*VLOOKUP(W$6,'FX RATES'!$E$1:$F$50,2,FALSE)+X24*VLOOKUP(X$6,'FX RATES'!$E$1:$F$50,2,FALSE)+Y24*VLOOKUP(Y$6,'FX RATES'!$E$1:$F$50,2,FALSE)+Z24*VLOOKUP(Z$6,'FX RATES'!$E$1:$F$50,2,FALSE)</f>
        <v>0</v>
      </c>
      <c r="AC24" s="139">
        <f t="shared" ca="1" si="4"/>
        <v>0</v>
      </c>
    </row>
    <row r="25" spans="2:29" ht="22" thickBot="1">
      <c r="B25" s="13" t="s">
        <v>26</v>
      </c>
      <c r="C25" s="16">
        <f>SUM(C7:C24)</f>
        <v>153025.48999999993</v>
      </c>
      <c r="D25" s="16">
        <f>SUM(D7:D24)</f>
        <v>11001.75</v>
      </c>
      <c r="E25" s="16">
        <f t="shared" ref="E25:I25" si="11">SUM(E7:E24)</f>
        <v>97021.1</v>
      </c>
      <c r="F25" s="16">
        <f t="shared" si="11"/>
        <v>-1016551.2099999997</v>
      </c>
      <c r="G25" s="16">
        <f>SUM(G7:G24)</f>
        <v>974455.31</v>
      </c>
      <c r="H25" s="16">
        <f>SUM(H7:H24)</f>
        <v>0</v>
      </c>
      <c r="I25" s="16">
        <f t="shared" ca="1" si="11"/>
        <v>-84061.672339570549</v>
      </c>
      <c r="K25" s="13" t="s">
        <v>26</v>
      </c>
      <c r="L25" s="16">
        <f>SUM(L7:L24)</f>
        <v>3012058.33</v>
      </c>
      <c r="M25" s="16">
        <f t="shared" ref="M25:R25" si="12">SUM(M7:M24)</f>
        <v>0</v>
      </c>
      <c r="N25" s="16">
        <f t="shared" si="12"/>
        <v>0</v>
      </c>
      <c r="O25" s="16">
        <f t="shared" si="12"/>
        <v>0</v>
      </c>
      <c r="P25" s="16">
        <f t="shared" si="12"/>
        <v>0</v>
      </c>
      <c r="Q25" s="16">
        <f t="shared" si="12"/>
        <v>0</v>
      </c>
      <c r="R25" s="16">
        <f t="shared" ca="1" si="12"/>
        <v>3012058.33</v>
      </c>
      <c r="T25" s="13" t="s">
        <v>26</v>
      </c>
      <c r="U25" s="16">
        <f>SUM(U7:U24)</f>
        <v>3165083.82</v>
      </c>
      <c r="V25" s="16">
        <f t="shared" ref="V25:Z25" si="13">SUM(V7:V24)</f>
        <v>11001.75</v>
      </c>
      <c r="W25" s="16">
        <f t="shared" si="13"/>
        <v>97021.1</v>
      </c>
      <c r="X25" s="16">
        <f t="shared" si="13"/>
        <v>-1016551.2099999997</v>
      </c>
      <c r="Y25" s="16">
        <f t="shared" si="13"/>
        <v>974455.31</v>
      </c>
      <c r="Z25" s="16">
        <f t="shared" si="13"/>
        <v>0</v>
      </c>
      <c r="AA25" s="16">
        <f ca="1">SUM(AA7:AA24)</f>
        <v>2927996.6576604308</v>
      </c>
      <c r="AC25" s="139">
        <f t="shared" ca="1" si="4"/>
        <v>0</v>
      </c>
    </row>
    <row r="26" spans="2:29" ht="22" thickBot="1">
      <c r="B26" s="10" t="s">
        <v>11</v>
      </c>
      <c r="C26" s="17">
        <f>VLOOKUP(C6,'FX RATES'!$E$1:$F$50,2,FALSE)*C25</f>
        <v>153025.48999999993</v>
      </c>
      <c r="D26" s="17">
        <f ca="1">VLOOKUP(D6,'FX RATES'!$E$1:$F$50,2,FALSE)*D25</f>
        <v>12960.0615</v>
      </c>
      <c r="E26" s="17">
        <f ca="1">VLOOKUP(E6,'FX RATES'!$E$1:$F$50,2,FALSE)*E25</f>
        <v>14044.745222929938</v>
      </c>
      <c r="F26" s="17">
        <f ca="1">VLOOKUP(F6,'FX RATES'!$E$1:$F$50,2,FALSE)*F25</f>
        <v>-276793.33714534651</v>
      </c>
      <c r="G26" s="17">
        <f ca="1">VLOOKUP(G6,'FX RATES'!$E$1:$F$50,2,FALSE)*G25</f>
        <v>12701.368082846177</v>
      </c>
      <c r="H26" s="17">
        <f ca="1">VLOOKUP(H6,'FX RATES'!$E$1:$F$50,2,FALSE)*H25</f>
        <v>0</v>
      </c>
      <c r="I26" s="16">
        <f ca="1">SUM(C26:H26)</f>
        <v>-84061.672339570461</v>
      </c>
      <c r="K26" s="10" t="s">
        <v>11</v>
      </c>
      <c r="L26" s="17">
        <f>VLOOKUP(L6,'FX RATES'!$E$1:$F$50,2,FALSE)*L25</f>
        <v>3012058.33</v>
      </c>
      <c r="M26" s="17">
        <f ca="1">VLOOKUP(M6,'FX RATES'!$E$1:$F$50,2,FALSE)*M25</f>
        <v>0</v>
      </c>
      <c r="N26" s="17">
        <f ca="1">VLOOKUP(N6,'FX RATES'!$E$1:$F$50,2,FALSE)*N25</f>
        <v>0</v>
      </c>
      <c r="O26" s="17">
        <f ca="1">VLOOKUP(O6,'FX RATES'!$E$1:$F$50,2,FALSE)*O25</f>
        <v>0</v>
      </c>
      <c r="P26" s="17">
        <f ca="1">VLOOKUP(P6,'FX RATES'!$E$1:$F$50,2,FALSE)*P25</f>
        <v>0</v>
      </c>
      <c r="Q26" s="17">
        <f ca="1">VLOOKUP(Q6,'FX RATES'!$E$1:$F$50,2,FALSE)*Q25</f>
        <v>0</v>
      </c>
      <c r="R26" s="16">
        <f ca="1">SUM(L26:Q26)</f>
        <v>3012058.33</v>
      </c>
      <c r="T26" s="10" t="s">
        <v>11</v>
      </c>
      <c r="U26" s="17">
        <f>VLOOKUP(U6,'FX RATES'!$E$1:$F$50,2,FALSE)*U25</f>
        <v>3165083.82</v>
      </c>
      <c r="V26" s="17">
        <f ca="1">VLOOKUP(V6,'FX RATES'!$E$1:$F$50,2,FALSE)*V25</f>
        <v>12960.0615</v>
      </c>
      <c r="W26" s="17">
        <f ca="1">VLOOKUP(W6,'FX RATES'!$E$1:$F$50,2,FALSE)*W25</f>
        <v>14044.745222929938</v>
      </c>
      <c r="X26" s="17">
        <f ca="1">VLOOKUP(X6,'FX RATES'!$E$1:$F$50,2,FALSE)*X25</f>
        <v>-276793.33714534651</v>
      </c>
      <c r="Y26" s="17">
        <f ca="1">VLOOKUP(Y6,'FX RATES'!$E$1:$F$50,2,FALSE)*Y25</f>
        <v>12701.368082846177</v>
      </c>
      <c r="Z26" s="17">
        <f ca="1">VLOOKUP(Z6,'FX RATES'!$E$1:$F$50,2,FALSE)*Z25</f>
        <v>0</v>
      </c>
      <c r="AA26" s="16">
        <f ca="1">SUM(U26:Z26)</f>
        <v>2927996.6576604289</v>
      </c>
      <c r="AC26" s="139">
        <f t="shared" ca="1" si="4"/>
        <v>0</v>
      </c>
    </row>
    <row r="27" spans="2:29" ht="21">
      <c r="B27" s="9"/>
      <c r="C27" s="19"/>
      <c r="D27" s="19"/>
      <c r="E27" s="19"/>
      <c r="F27" s="19"/>
      <c r="G27" s="19"/>
      <c r="H27" s="20"/>
      <c r="I27" s="20">
        <f ca="1">I8+I12+I11+I10</f>
        <v>-175526.12465064132</v>
      </c>
      <c r="T27" s="8"/>
    </row>
    <row r="28" spans="2:29" ht="21">
      <c r="B28" s="9"/>
      <c r="C28" s="19"/>
      <c r="D28" s="19"/>
      <c r="E28" s="19"/>
      <c r="F28" s="19"/>
      <c r="G28" s="19"/>
      <c r="H28" s="20"/>
      <c r="I28" s="20"/>
      <c r="T28" s="8"/>
    </row>
    <row r="29" spans="2:29" ht="21">
      <c r="B29" s="9"/>
      <c r="C29" s="19"/>
      <c r="D29" s="19"/>
      <c r="E29" s="19"/>
      <c r="F29" s="19"/>
      <c r="G29" s="19"/>
      <c r="H29" s="20"/>
      <c r="I29" s="20"/>
      <c r="T29" s="8"/>
    </row>
    <row r="30" spans="2:29" ht="25" thickBot="1">
      <c r="B30" s="593" t="s">
        <v>27</v>
      </c>
      <c r="C30" s="593"/>
      <c r="D30" s="593"/>
      <c r="E30" s="593"/>
      <c r="F30" s="593"/>
      <c r="G30" s="593"/>
      <c r="H30" s="593"/>
      <c r="I30" s="593"/>
      <c r="J30" s="137"/>
      <c r="K30" s="593" t="str">
        <f>B30</f>
        <v>VST</v>
      </c>
      <c r="L30" s="593"/>
      <c r="M30" s="593"/>
      <c r="N30" s="593"/>
      <c r="O30" s="593"/>
      <c r="P30" s="593"/>
      <c r="Q30" s="593"/>
      <c r="R30" s="593"/>
      <c r="S30" s="137"/>
      <c r="T30" s="593" t="str">
        <f>B30</f>
        <v>VST</v>
      </c>
      <c r="U30" s="593"/>
      <c r="V30" s="593"/>
      <c r="W30" s="593"/>
      <c r="X30" s="593"/>
      <c r="Y30" s="593"/>
      <c r="Z30" s="593"/>
      <c r="AA30" s="593"/>
    </row>
    <row r="31" spans="2:29" ht="19"/>
    <row r="32" spans="2:29" ht="21">
      <c r="B32" s="9" t="s">
        <v>1</v>
      </c>
      <c r="C32" s="91">
        <f>BALANCES!B1</f>
        <v>46073</v>
      </c>
      <c r="K32" s="56" t="s">
        <v>2</v>
      </c>
      <c r="L32" s="110">
        <f>C32</f>
        <v>46073</v>
      </c>
      <c r="M32" s="144" t="s">
        <v>3</v>
      </c>
      <c r="N32" s="110">
        <f>U32</f>
        <v>46081</v>
      </c>
      <c r="O32" s="140"/>
      <c r="P32" s="140"/>
      <c r="Q32" s="140"/>
      <c r="R32" s="20"/>
      <c r="T32" s="9" t="s">
        <v>1</v>
      </c>
      <c r="U32" s="90">
        <f>U4</f>
        <v>46081</v>
      </c>
    </row>
    <row r="34" spans="2:29" ht="22" thickBot="1">
      <c r="B34" s="10" t="s">
        <v>4</v>
      </c>
      <c r="C34" s="11" t="s">
        <v>5</v>
      </c>
      <c r="D34" s="11" t="s">
        <v>6</v>
      </c>
      <c r="E34" s="11" t="s">
        <v>7</v>
      </c>
      <c r="F34" s="11" t="s">
        <v>8</v>
      </c>
      <c r="G34" s="11" t="s">
        <v>9</v>
      </c>
      <c r="H34" s="11" t="s">
        <v>10</v>
      </c>
      <c r="I34" s="12" t="s">
        <v>11</v>
      </c>
      <c r="K34" s="10" t="s">
        <v>4</v>
      </c>
      <c r="L34" s="11" t="str">
        <f t="shared" ref="L34:Q34" si="14">C34</f>
        <v>USD</v>
      </c>
      <c r="M34" s="11" t="str">
        <f t="shared" si="14"/>
        <v>EUR</v>
      </c>
      <c r="N34" s="11" t="str">
        <f t="shared" si="14"/>
        <v>CNY</v>
      </c>
      <c r="O34" s="11" t="str">
        <f t="shared" si="14"/>
        <v>AED</v>
      </c>
      <c r="P34" s="11" t="str">
        <f t="shared" si="14"/>
        <v>RUB</v>
      </c>
      <c r="Q34" s="11" t="str">
        <f t="shared" si="14"/>
        <v>OMR</v>
      </c>
      <c r="R34" s="12" t="s">
        <v>11</v>
      </c>
      <c r="T34" s="10" t="s">
        <v>4</v>
      </c>
      <c r="U34" s="11" t="str">
        <f t="shared" ref="U34:Z34" si="15">C34</f>
        <v>USD</v>
      </c>
      <c r="V34" s="11" t="str">
        <f t="shared" si="15"/>
        <v>EUR</v>
      </c>
      <c r="W34" s="11" t="str">
        <f t="shared" si="15"/>
        <v>CNY</v>
      </c>
      <c r="X34" s="11" t="str">
        <f t="shared" si="15"/>
        <v>AED</v>
      </c>
      <c r="Y34" s="11" t="str">
        <f t="shared" si="15"/>
        <v>RUB</v>
      </c>
      <c r="Z34" s="11" t="str">
        <f t="shared" si="15"/>
        <v>OMR</v>
      </c>
      <c r="AA34" s="12" t="s">
        <v>11</v>
      </c>
      <c r="AC34" s="40" t="s">
        <v>12</v>
      </c>
    </row>
    <row r="35" spans="2:29" ht="19">
      <c r="B35" s="28" t="s">
        <v>28</v>
      </c>
      <c r="C35" s="29" cm="1">
        <f t="array" ref="C35">SUMIFS(BALANCES!$C:$C,BALANCES!$A:$A,$B$30,BALANCES!$B:$B,$B35,BALANCES!$D:$D,C$34)+SUMIFS(FLOWS!$C:$C,FLOWS!$A:$A,$B$30,FLOWS!$E:$E,$B35,FLOWS!$D:$D,C$34,FLOWS!$H:$H,"&lt;"&amp;$C$32)+SUM(SUMIFS(DEALS!$J:$J,DEALS!$A:$A,{"*REFUND*","*EXECUTED*"},DEALS!$G:$G,$B$30,DEALS!$E:$E,"&lt;"&amp;$C$32,DEALS!$K:$K,C$34,DEALS!$M:$M,$B35,DEALS!$N:$N,"&lt;&gt;*RECEIVED*",DEALS!$N:$N,"&lt;&gt;*EXECUTED*"))+SUM(SUMIFS(DEALS!$R:$R,DEALS!$A:$A,{"*REFUND*","*EXECUTED*"},DEALS!$O:$O,$B$30,DEALS!$E:$E,"&lt;"&amp;$C$32,DEALS!$S:$S,C$34,DEALS!$U:$U,$B35,DEALS!$V:$V,"&lt;&gt;*RECEIVED*",DEALS!$V:$V,"&lt;&gt;*EXECUTED*"))</f>
        <v>3412356.2549999999</v>
      </c>
      <c r="D35" s="29" cm="1">
        <f t="array" ref="D35">SUMIFS(BALANCES!$C:$C,BALANCES!$A:$A,$B$30,BALANCES!$B:$B,$B35,BALANCES!$D:$D,D$34)+SUMIFS(FLOWS!$C:$C,FLOWS!$A:$A,$B$30,FLOWS!$E:$E,$B35,FLOWS!$D:$D,D$34,FLOWS!$H:$H,"&lt;"&amp;$C$32)+SUM(SUMIFS(DEALS!$J:$J,DEALS!$A:$A,{"*REFUND*","*EXECUTED*"},DEALS!$G:$G,$B$30,DEALS!$E:$E,"&lt;"&amp;$C$32,DEALS!$K:$K,D$34,DEALS!$M:$M,$B35,DEALS!$N:$N,"&lt;&gt;*RECEIVED*",DEALS!$N:$N,"&lt;&gt;*EXECUTED*"))+SUM(SUMIFS(DEALS!$R:$R,DEALS!$A:$A,{"*REFUND*","*EXECUTED*"},DEALS!$O:$O,$B$30,DEALS!$E:$E,"&lt;"&amp;$C$32,DEALS!$S:$S,D$34,DEALS!$U:$U,$B35,DEALS!$V:$V,"&lt;&gt;*RECEIVED*",DEALS!$V:$V,"&lt;&gt;*EXECUTED*"))</f>
        <v>587.58000000000004</v>
      </c>
      <c r="E35" s="29" cm="1">
        <f t="array" ref="E35">SUMIFS(BALANCES!$C:$C,BALANCES!$A:$A,$B$30,BALANCES!$B:$B,$B35,BALANCES!$D:$D,E$34)+SUMIFS(FLOWS!$C:$C,FLOWS!$A:$A,$B$30,FLOWS!$E:$E,$B35,FLOWS!$D:$D,E$34,FLOWS!$H:$H,"&lt;"&amp;$C$32)+SUM(SUMIFS(DEALS!$J:$J,DEALS!$A:$A,{"*REFUND*","*EXECUTED*"},DEALS!$G:$G,$B$30,DEALS!$E:$E,"&lt;"&amp;$C$32,DEALS!$K:$K,E$34,DEALS!$M:$M,$B35,DEALS!$N:$N,"&lt;&gt;*RECEIVED*",DEALS!$N:$N,"&lt;&gt;*EXECUTED*"))+SUM(SUMIFS(DEALS!$R:$R,DEALS!$A:$A,{"*REFUND*","*EXECUTED*"},DEALS!$O:$O,$B$30,DEALS!$E:$E,"&lt;"&amp;$C$32,DEALS!$S:$S,E$34,DEALS!$U:$U,$B35,DEALS!$V:$V,"&lt;&gt;*RECEIVED*",DEALS!$V:$V,"&lt;&gt;*EXECUTED*"))</f>
        <v>0</v>
      </c>
      <c r="F35" s="29" cm="1">
        <f t="array" ref="F35">SUMIFS(BALANCES!$C:$C,BALANCES!$A:$A,$B$30,BALANCES!$B:$B,$B35,BALANCES!$D:$D,F$34)+SUMIFS(FLOWS!$C:$C,FLOWS!$A:$A,$B$30,FLOWS!$E:$E,$B35,FLOWS!$D:$D,F$34,FLOWS!$H:$H,"&lt;"&amp;$C$32)+SUM(SUMIFS(DEALS!$J:$J,DEALS!$A:$A,{"*REFUND*","*EXECUTED*"},DEALS!$G:$G,$B$30,DEALS!$E:$E,"&lt;"&amp;$C$32,DEALS!$K:$K,F$34,DEALS!$M:$M,$B35,DEALS!$N:$N,"&lt;&gt;*RECEIVED*",DEALS!$N:$N,"&lt;&gt;*EXECUTED*"))+SUM(SUMIFS(DEALS!$R:$R,DEALS!$A:$A,{"*REFUND*","*EXECUTED*"},DEALS!$O:$O,$B$30,DEALS!$E:$E,"&lt;"&amp;$C$32,DEALS!$S:$S,F$34,DEALS!$U:$U,$B35,DEALS!$V:$V,"&lt;&gt;*RECEIVED*",DEALS!$V:$V,"&lt;&gt;*EXECUTED*"))</f>
        <v>2458.27</v>
      </c>
      <c r="G35" s="29" cm="1">
        <f t="array" ref="G35">SUMIFS(BALANCES!$C:$C,BALANCES!$A:$A,$B$30,BALANCES!$B:$B,$B35,BALANCES!$D:$D,G$34)+SUMIFS(FLOWS!$C:$C,FLOWS!$A:$A,$B$30,FLOWS!$E:$E,$B35,FLOWS!$D:$D,G$34,FLOWS!$H:$H,"&lt;"&amp;$C$32)+SUM(SUMIFS(DEALS!$J:$J,DEALS!$A:$A,{"*REFUND*","*EXECUTED*"},DEALS!$G:$G,$B$30,DEALS!$E:$E,"&lt;"&amp;$C$32,DEALS!$K:$K,G$34,DEALS!$M:$M,$B35,DEALS!$N:$N,"&lt;&gt;*RECEIVED*",DEALS!$N:$N,"&lt;&gt;*EXECUTED*"))+SUM(SUMIFS(DEALS!$R:$R,DEALS!$A:$A,{"*REFUND*","*EXECUTED*"},DEALS!$O:$O,$B$30,DEALS!$E:$E,"&lt;"&amp;$C$32,DEALS!$S:$S,G$34,DEALS!$U:$U,$B35,DEALS!$V:$V,"&lt;&gt;*RECEIVED*",DEALS!$V:$V,"&lt;&gt;*EXECUTED*"))</f>
        <v>0</v>
      </c>
      <c r="H35" s="29" cm="1">
        <f t="array" ref="H35">SUMIFS(BALANCES!$C:$C,BALANCES!$A:$A,$B$30,BALANCES!$B:$B,$B35,BALANCES!$D:$D,H$34)+SUMIFS(FLOWS!$C:$C,FLOWS!$A:$A,$B$30,FLOWS!$E:$E,$B35,FLOWS!$D:$D,H$34,FLOWS!$H:$H,"&lt;"&amp;$C$32)+SUM(SUMIFS(DEALS!$J:$J,DEALS!$A:$A,{"*REFUND*","*EXECUTED*"},DEALS!$G:$G,$B$30,DEALS!$E:$E,"&lt;"&amp;$C$32,DEALS!$K:$K,H$34,DEALS!$M:$M,$B35,DEALS!$N:$N,"&lt;&gt;*RECEIVED*",DEALS!$N:$N,"&lt;&gt;*EXECUTED*"))+SUM(SUMIFS(DEALS!$R:$R,DEALS!$A:$A,{"*REFUND*","*EXECUTED*"},DEALS!$O:$O,$B$30,DEALS!$E:$E,"&lt;"&amp;$C$32,DEALS!$S:$S,H$34,DEALS!$U:$U,$B35,DEALS!$V:$V,"&lt;&gt;*RECEIVED*",DEALS!$V:$V,"&lt;&gt;*EXECUTED*"))</f>
        <v>851.46600000000001</v>
      </c>
      <c r="I35" s="30">
        <f ca="1">C35*VLOOKUP(C$34,'FX RATES'!$E$1:$F$50,2,FALSE)+D35*VLOOKUP(D$34,'FX RATES'!$E$1:$F$50,2,FALSE)+E35*VLOOKUP(E$34,'FX RATES'!$E$1:$F$50,2,FALSE)+F35*VLOOKUP(F$34,'FX RATES'!$E$1:$F$50,2,FALSE)+G35*VLOOKUP(G$34,'FX RATES'!$E$1:$F$50,2,FALSE)+H35*VLOOKUP(H$34,'FX RATES'!$E$1:$F$50,2,FALSE)</f>
        <v>3415929.9529668372</v>
      </c>
      <c r="K35" s="28" t="str">
        <f t="shared" ref="K35:K52" si="16">B35</f>
        <v>SOHAR</v>
      </c>
      <c r="L35" s="29" cm="1">
        <f t="array" ref="L35">SUMIFS(FLOWS!$C:$C,FLOWS!$A:$A,$B$30,FLOWS!$E:$E,$K35,FLOWS!$D:$D,L$34,FLOWS!$H:$H,"&gt;="&amp;$C$32,FLOWS!$H:$H,"&lt;="&amp;$U$32)+SUM(SUMIFS(DEALS!$J:$J,DEALS!$A:$A,{"*REFUND*","*EXECUTED*"},DEALS!$G:$G,$B$30,DEALS!$E:$E,"&gt;="&amp;$C$32,DEALS!$E:$E,"&lt;="&amp;$U$32,DEALS!$K:$K,L$34,DEALS!$M:$M,$K35,DEALS!$N:$N,"&lt;&gt;*RECEIVED*",DEALS!$N:$N,"&lt;&gt;*EXECUTED*"))+SUM(SUMIFS(DEALS!$R:$R,DEALS!$A:$A,{"*REFUND*","*EXECUTED*"},DEALS!$O:$O,$B$30,DEALS!$E:$E,"&gt;="&amp;$C$32,DEALS!$E:$E,"&lt;="&amp;$U$32,DEALS!$S:$S,L$34,DEALS!$U:$U,$K35,DEALS!$V:$V,"&lt;&gt;*RECEIVED*",DEALS!$V:$V,"&lt;&gt;*EXECUTED*"))</f>
        <v>0</v>
      </c>
      <c r="M35" s="29" cm="1">
        <f t="array" ref="M35">SUMIFS(FLOWS!$C:$C,FLOWS!$A:$A,$B$30,FLOWS!$E:$E,$K35,FLOWS!$D:$D,M$34,FLOWS!$H:$H,"&gt;="&amp;$C$32,FLOWS!$H:$H,"&lt;="&amp;$U$32)+SUM(SUMIFS(DEALS!$J:$J,DEALS!$A:$A,{"*REFUND*","*EXECUTED*"},DEALS!$G:$G,$B$30,DEALS!$E:$E,"&gt;="&amp;$C$32,DEALS!$E:$E,"&lt;="&amp;$U$32,DEALS!$K:$K,M$34,DEALS!$M:$M,$K35,DEALS!$N:$N,"&lt;&gt;*RECEIVED*",DEALS!$N:$N,"&lt;&gt;*EXECUTED*"))+SUM(SUMIFS(DEALS!$R:$R,DEALS!$A:$A,{"*REFUND*","*EXECUTED*"},DEALS!$O:$O,$B$30,DEALS!$E:$E,"&gt;="&amp;$C$32,DEALS!$E:$E,"&lt;="&amp;$U$32,DEALS!$S:$S,M$34,DEALS!$U:$U,$K35,DEALS!$V:$V,"&lt;&gt;*RECEIVED*",DEALS!$V:$V,"&lt;&gt;*EXECUTED*"))</f>
        <v>0</v>
      </c>
      <c r="N35" s="29" cm="1">
        <f t="array" ref="N35">SUMIFS(FLOWS!$C:$C,FLOWS!$A:$A,$B$30,FLOWS!$E:$E,$K35,FLOWS!$D:$D,N$34,FLOWS!$H:$H,"&gt;="&amp;$C$32,FLOWS!$H:$H,"&lt;="&amp;$U$32)+SUM(SUMIFS(DEALS!$J:$J,DEALS!$A:$A,{"*REFUND*","*EXECUTED*"},DEALS!$G:$G,$B$30,DEALS!$E:$E,"&gt;="&amp;$C$32,DEALS!$E:$E,"&lt;="&amp;$U$32,DEALS!$K:$K,N$34,DEALS!$M:$M,$K35,DEALS!$N:$N,"&lt;&gt;*RECEIVED*",DEALS!$N:$N,"&lt;&gt;*EXECUTED*"))+SUM(SUMIFS(DEALS!$R:$R,DEALS!$A:$A,{"*REFUND*","*EXECUTED*"},DEALS!$O:$O,$B$30,DEALS!$E:$E,"&gt;="&amp;$C$32,DEALS!$E:$E,"&lt;="&amp;$U$32,DEALS!$S:$S,N$34,DEALS!$U:$U,$K35,DEALS!$V:$V,"&lt;&gt;*RECEIVED*",DEALS!$V:$V,"&lt;&gt;*EXECUTED*"))</f>
        <v>0</v>
      </c>
      <c r="O35" s="29" cm="1">
        <f t="array" ref="O35">SUMIFS(FLOWS!$C:$C,FLOWS!$A:$A,$B$30,FLOWS!$E:$E,$K35,FLOWS!$D:$D,O$34,FLOWS!$H:$H,"&gt;="&amp;$C$32,FLOWS!$H:$H,"&lt;="&amp;$U$32)+SUM(SUMIFS(DEALS!$J:$J,DEALS!$A:$A,{"*REFUND*","*EXECUTED*"},DEALS!$G:$G,$B$30,DEALS!$E:$E,"&gt;="&amp;$C$32,DEALS!$E:$E,"&lt;="&amp;$U$32,DEALS!$K:$K,O$34,DEALS!$M:$M,$K35,DEALS!$N:$N,"&lt;&gt;*RECEIVED*",DEALS!$N:$N,"&lt;&gt;*EXECUTED*"))+SUM(SUMIFS(DEALS!$R:$R,DEALS!$A:$A,{"*REFUND*","*EXECUTED*"},DEALS!$O:$O,$B$30,DEALS!$E:$E,"&gt;="&amp;$C$32,DEALS!$E:$E,"&lt;="&amp;$U$32,DEALS!$S:$S,O$34,DEALS!$U:$U,$K35,DEALS!$V:$V,"&lt;&gt;*RECEIVED*",DEALS!$V:$V,"&lt;&gt;*EXECUTED*"))</f>
        <v>0</v>
      </c>
      <c r="P35" s="29" cm="1">
        <f t="array" ref="P35">SUMIFS(FLOWS!$C:$C,FLOWS!$A:$A,$B$30,FLOWS!$E:$E,$K35,FLOWS!$D:$D,P$34,FLOWS!$H:$H,"&gt;="&amp;$C$32,FLOWS!$H:$H,"&lt;="&amp;$U$32)+SUM(SUMIFS(DEALS!$J:$J,DEALS!$A:$A,{"*REFUND*","*EXECUTED*"},DEALS!$G:$G,$B$30,DEALS!$E:$E,"&gt;="&amp;$C$32,DEALS!$E:$E,"&lt;="&amp;$U$32,DEALS!$K:$K,P$34,DEALS!$M:$M,$K35,DEALS!$N:$N,"&lt;&gt;*RECEIVED*",DEALS!$N:$N,"&lt;&gt;*EXECUTED*"))+SUM(SUMIFS(DEALS!$R:$R,DEALS!$A:$A,{"*REFUND*","*EXECUTED*"},DEALS!$O:$O,$B$30,DEALS!$E:$E,"&gt;="&amp;$C$32,DEALS!$E:$E,"&lt;="&amp;$U$32,DEALS!$S:$S,P$34,DEALS!$U:$U,$K35,DEALS!$V:$V,"&lt;&gt;*RECEIVED*",DEALS!$V:$V,"&lt;&gt;*EXECUTED*"))</f>
        <v>0</v>
      </c>
      <c r="Q35" s="29" cm="1">
        <f t="array" ref="Q35">SUMIFS(FLOWS!$C:$C,FLOWS!$A:$A,$B$30,FLOWS!$E:$E,$K35,FLOWS!$D:$D,Q$34,FLOWS!$H:$H,"&gt;="&amp;$C$32,FLOWS!$H:$H,"&lt;="&amp;$U$32)+SUM(SUMIFS(DEALS!$J:$J,DEALS!$A:$A,{"*REFUND*","*EXECUTED*"},DEALS!$G:$G,$B$30,DEALS!$E:$E,"&gt;="&amp;$C$32,DEALS!$E:$E,"&lt;="&amp;$U$32,DEALS!$K:$K,Q$34,DEALS!$M:$M,$K35,DEALS!$N:$N,"&lt;&gt;*RECEIVED*",DEALS!$N:$N,"&lt;&gt;*EXECUTED*"))+SUM(SUMIFS(DEALS!$R:$R,DEALS!$A:$A,{"*REFUND*","*EXECUTED*"},DEALS!$O:$O,$B$30,DEALS!$E:$E,"&gt;="&amp;$C$32,DEALS!$E:$E,"&lt;="&amp;$U$32,DEALS!$S:$S,Q$34,DEALS!$U:$U,$K35,DEALS!$V:$V,"&lt;&gt;*RECEIVED*",DEALS!$V:$V,"&lt;&gt;*EXECUTED*"))</f>
        <v>0</v>
      </c>
      <c r="R35" s="30">
        <f ca="1">L35*VLOOKUP(L$34,'FX RATES'!$E$1:$F$50,2,FALSE)+M35*VLOOKUP(M$34,'FX RATES'!$E$1:$F$50,2,FALSE)+N35*VLOOKUP(N$34,'FX RATES'!$E$1:$F$50,2,FALSE)+O35*VLOOKUP(O$34,'FX RATES'!$E$1:$F$50,2,FALSE)+P35*VLOOKUP(P$34,'FX RATES'!$E$1:$F$50,2,FALSE)+Q35*VLOOKUP(Q$34,'FX RATES'!$E$1:$F$50,2,FALSE)</f>
        <v>0</v>
      </c>
      <c r="T35" s="28" t="str">
        <f t="shared" ref="T35:T52" si="17">B35</f>
        <v>SOHAR</v>
      </c>
      <c r="U35" s="29" cm="1">
        <f t="array" ref="U35">SUMIFS(BALANCES!$C:$C,BALANCES!$A:$A,$B$30,BALANCES!$B:$B,$T35,BALANCES!$D:$D,U$34)+SUMIFS(FLOWS!$C:$C,FLOWS!$A:$A,$B$30,FLOWS!$E:$E,$T35,FLOWS!$D:$D,U$34,FLOWS!$H:$H,"&lt;="&amp;$U$32)+SUM(SUMIFS(DEALS!$J:$J,DEALS!$A:$A,{"*REFUND*","*EXECUTED*"},DEALS!$G:$G,$B$30,DEALS!$E:$E,"&lt;="&amp;$U$32,DEALS!$K:$K,U$34,DEALS!$M:$M,$T35,DEALS!$N:$N,"&lt;&gt;*RECEIVED*",DEALS!$N:$N,"&lt;&gt;*EXECUTED*"))+SUM(SUMIFS(DEALS!$R:$R,DEALS!$A:$A,{"*REFUND*","*EXECUTED*"},DEALS!$O:$O,$B$30,DEALS!$E:$E,"&lt;="&amp;$U$32,DEALS!$S:$S,U$34,DEALS!$U:$U,$T35,DEALS!$V:$V,"&lt;&gt;*RECEIVED*",DEALS!$V:$V,"&lt;&gt;*EXECUTED*"))</f>
        <v>3412356.2549999999</v>
      </c>
      <c r="V35" s="29" cm="1">
        <f t="array" ref="V35">SUMIFS(BALANCES!$C:$C,BALANCES!$A:$A,$B$30,BALANCES!$B:$B,$T35,BALANCES!$D:$D,V$34)+SUMIFS(FLOWS!$C:$C,FLOWS!$A:$A,$B$30,FLOWS!$E:$E,$T35,FLOWS!$D:$D,V$34,FLOWS!$H:$H,"&lt;="&amp;$U$32)+SUM(SUMIFS(DEALS!$J:$J,DEALS!$A:$A,{"*REFUND*","*EXECUTED*"},DEALS!$G:$G,$B$30,DEALS!$E:$E,"&lt;="&amp;$U$32,DEALS!$K:$K,V$34,DEALS!$M:$M,$T35,DEALS!$N:$N,"&lt;&gt;*RECEIVED*",DEALS!$N:$N,"&lt;&gt;*EXECUTED*"))+SUM(SUMIFS(DEALS!$R:$R,DEALS!$A:$A,{"*REFUND*","*EXECUTED*"},DEALS!$O:$O,$B$30,DEALS!$E:$E,"&lt;="&amp;$U$32,DEALS!$S:$S,V$34,DEALS!$U:$U,$T35,DEALS!$V:$V,"&lt;&gt;*RECEIVED*",DEALS!$V:$V,"&lt;&gt;*EXECUTED*"))</f>
        <v>587.58000000000004</v>
      </c>
      <c r="W35" s="29" cm="1">
        <f t="array" ref="W35">SUMIFS(BALANCES!$C:$C,BALANCES!$A:$A,$B$30,BALANCES!$B:$B,$T35,BALANCES!$D:$D,W$34)+SUMIFS(FLOWS!$C:$C,FLOWS!$A:$A,$B$30,FLOWS!$E:$E,$T35,FLOWS!$D:$D,W$34,FLOWS!$H:$H,"&lt;="&amp;$U$32)+SUM(SUMIFS(DEALS!$J:$J,DEALS!$A:$A,{"*REFUND*","*EXECUTED*"},DEALS!$G:$G,$B$30,DEALS!$E:$E,"&lt;="&amp;$U$32,DEALS!$K:$K,W$34,DEALS!$M:$M,$T35,DEALS!$N:$N,"&lt;&gt;*RECEIVED*",DEALS!$N:$N,"&lt;&gt;*EXECUTED*"))+SUM(SUMIFS(DEALS!$R:$R,DEALS!$A:$A,{"*REFUND*","*EXECUTED*"},DEALS!$O:$O,$B$30,DEALS!$E:$E,"&lt;="&amp;$U$32,DEALS!$S:$S,W$34,DEALS!$U:$U,$T35,DEALS!$V:$V,"&lt;&gt;*RECEIVED*",DEALS!$V:$V,"&lt;&gt;*EXECUTED*"))</f>
        <v>0</v>
      </c>
      <c r="X35" s="29" cm="1">
        <f t="array" ref="X35">SUMIFS(BALANCES!$C:$C,BALANCES!$A:$A,$B$30,BALANCES!$B:$B,$T35,BALANCES!$D:$D,X$34)+SUMIFS(FLOWS!$C:$C,FLOWS!$A:$A,$B$30,FLOWS!$E:$E,$T35,FLOWS!$D:$D,X$34,FLOWS!$H:$H,"&lt;="&amp;$U$32)+SUM(SUMIFS(DEALS!$J:$J,DEALS!$A:$A,{"*REFUND*","*EXECUTED*"},DEALS!$G:$G,$B$30,DEALS!$E:$E,"&lt;="&amp;$U$32,DEALS!$K:$K,X$34,DEALS!$M:$M,$T35,DEALS!$N:$N,"&lt;&gt;*RECEIVED*",DEALS!$N:$N,"&lt;&gt;*EXECUTED*"))+SUM(SUMIFS(DEALS!$R:$R,DEALS!$A:$A,{"*REFUND*","*EXECUTED*"},DEALS!$O:$O,$B$30,DEALS!$E:$E,"&lt;="&amp;$U$32,DEALS!$S:$S,X$34,DEALS!$U:$U,$T35,DEALS!$V:$V,"&lt;&gt;*RECEIVED*",DEALS!$V:$V,"&lt;&gt;*EXECUTED*"))</f>
        <v>2458.27</v>
      </c>
      <c r="Y35" s="29" cm="1">
        <f t="array" ref="Y35">SUMIFS(BALANCES!$C:$C,BALANCES!$A:$A,$B$30,BALANCES!$B:$B,$T35,BALANCES!$D:$D,Y$34)+SUMIFS(FLOWS!$C:$C,FLOWS!$A:$A,$B$30,FLOWS!$E:$E,$T35,FLOWS!$D:$D,Y$34,FLOWS!$H:$H,"&lt;="&amp;$U$32)+SUM(SUMIFS(DEALS!$J:$J,DEALS!$A:$A,{"*REFUND*","*EXECUTED*"},DEALS!$G:$G,$B$30,DEALS!$E:$E,"&lt;="&amp;$U$32,DEALS!$K:$K,Y$34,DEALS!$M:$M,$T35,DEALS!$N:$N,"&lt;&gt;*RECEIVED*",DEALS!$N:$N,"&lt;&gt;*EXECUTED*"))+SUM(SUMIFS(DEALS!$R:$R,DEALS!$A:$A,{"*REFUND*","*EXECUTED*"},DEALS!$O:$O,$B$30,DEALS!$E:$E,"&lt;="&amp;$U$32,DEALS!$S:$S,Y$34,DEALS!$U:$U,$T35,DEALS!$V:$V,"&lt;&gt;*RECEIVED*",DEALS!$V:$V,"&lt;&gt;*EXECUTED*"))</f>
        <v>0</v>
      </c>
      <c r="Z35" s="29" cm="1">
        <f t="array" ref="Z35">SUMIFS(BALANCES!$C:$C,BALANCES!$A:$A,$B$30,BALANCES!$B:$B,$T35,BALANCES!$D:$D,Z$34)+SUMIFS(FLOWS!$C:$C,FLOWS!$A:$A,$B$30,FLOWS!$E:$E,$T35,FLOWS!$D:$D,Z$34,FLOWS!$H:$H,"&lt;="&amp;$U$32)+SUM(SUMIFS(DEALS!$J:$J,DEALS!$A:$A,{"*REFUND*","*EXECUTED*"},DEALS!$G:$G,$B$30,DEALS!$E:$E,"&lt;="&amp;$U$32,DEALS!$K:$K,Z$34,DEALS!$M:$M,$T35,DEALS!$N:$N,"&lt;&gt;*RECEIVED*",DEALS!$N:$N,"&lt;&gt;*EXECUTED*"))+SUM(SUMIFS(DEALS!$R:$R,DEALS!$A:$A,{"*REFUND*","*EXECUTED*"},DEALS!$O:$O,$B$30,DEALS!$E:$E,"&lt;="&amp;$U$32,DEALS!$S:$S,Z$34,DEALS!$U:$U,$T35,DEALS!$V:$V,"&lt;&gt;*RECEIVED*",DEALS!$V:$V,"&lt;&gt;*EXECUTED*"))</f>
        <v>851.46600000000001</v>
      </c>
      <c r="AA35" s="30">
        <f ca="1">U35*VLOOKUP(U$34,'FX RATES'!$E$1:$F$50,2,FALSE)+V35*VLOOKUP(V$34,'FX RATES'!$E$1:$F$50,2,FALSE)+W35*VLOOKUP(W$34,'FX RATES'!$E$1:$F$50,2,FALSE)+X35*VLOOKUP(X$34,'FX RATES'!$E$1:$F$50,2,FALSE)+Y35*VLOOKUP(Y$34,'FX RATES'!$E$1:$F$50,2,FALSE)+Z35*VLOOKUP(Z$34,'FX RATES'!$E$1:$F$50,2,FALSE)</f>
        <v>3415929.9529668372</v>
      </c>
      <c r="AC35" s="139">
        <f ca="1">I35+R35-AA35</f>
        <v>0</v>
      </c>
    </row>
    <row r="36" spans="2:29" ht="19">
      <c r="B36" s="31" t="s">
        <v>29</v>
      </c>
      <c r="C36" s="32" cm="1">
        <f t="array" ref="C36">SUMIFS(BALANCES!$C:$C,BALANCES!$A:$A,$B$30,BALANCES!$B:$B,$B36,BALANCES!$D:$D,C$34)+SUMIFS(FLOWS!$C:$C,FLOWS!$A:$A,$B$30,FLOWS!$E:$E,$B36,FLOWS!$D:$D,C$34,FLOWS!$H:$H,"&lt;"&amp;$C$32)+SUM(SUMIFS(DEALS!$J:$J,DEALS!$A:$A,{"*REFUND*","*EXECUTED*"},DEALS!$G:$G,$B$30,DEALS!$E:$E,"&lt;"&amp;$C$32,DEALS!$K:$K,C$34,DEALS!$M:$M,$B36,DEALS!$N:$N,"&lt;&gt;*RECEIVED*",DEALS!$N:$N,"&lt;&gt;*EXECUTED*"))+SUM(SUMIFS(DEALS!$R:$R,DEALS!$A:$A,{"*REFUND*","*EXECUTED*"},DEALS!$O:$O,$B$30,DEALS!$E:$E,"&lt;"&amp;$C$32,DEALS!$S:$S,C$34,DEALS!$U:$U,$B36,DEALS!$V:$V,"&lt;&gt;*RECEIVED*",DEALS!$V:$V,"&lt;&gt;*EXECUTED*"))</f>
        <v>1920.52</v>
      </c>
      <c r="D36" s="32" cm="1">
        <f t="array" ref="D36">SUMIFS(BALANCES!$C:$C,BALANCES!$A:$A,$B$30,BALANCES!$B:$B,$B36,BALANCES!$D:$D,D$34)+SUMIFS(FLOWS!$C:$C,FLOWS!$A:$A,$B$30,FLOWS!$E:$E,$B36,FLOWS!$D:$D,D$34,FLOWS!$H:$H,"&lt;"&amp;$C$32)+SUM(SUMIFS(DEALS!$J:$J,DEALS!$A:$A,{"*REFUND*","*EXECUTED*"},DEALS!$G:$G,$B$30,DEALS!$E:$E,"&lt;"&amp;$C$32,DEALS!$K:$K,D$34,DEALS!$M:$M,$B36,DEALS!$N:$N,"&lt;&gt;*RECEIVED*",DEALS!$N:$N,"&lt;&gt;*EXECUTED*"))+SUM(SUMIFS(DEALS!$R:$R,DEALS!$A:$A,{"*REFUND*","*EXECUTED*"},DEALS!$O:$O,$B$30,DEALS!$E:$E,"&lt;"&amp;$C$32,DEALS!$S:$S,D$34,DEALS!$U:$U,$B36,DEALS!$V:$V,"&lt;&gt;*RECEIVED*",DEALS!$V:$V,"&lt;&gt;*EXECUTED*"))</f>
        <v>994.75</v>
      </c>
      <c r="E36" s="32" cm="1">
        <f t="array" ref="E36">SUMIFS(BALANCES!$C:$C,BALANCES!$A:$A,$B$30,BALANCES!$B:$B,$B36,BALANCES!$D:$D,E$34)+SUMIFS(FLOWS!$C:$C,FLOWS!$A:$A,$B$30,FLOWS!$E:$E,$B36,FLOWS!$D:$D,E$34,FLOWS!$H:$H,"&lt;"&amp;$C$32)+SUM(SUMIFS(DEALS!$J:$J,DEALS!$A:$A,{"*REFUND*","*EXECUTED*"},DEALS!$G:$G,$B$30,DEALS!$E:$E,"&lt;"&amp;$C$32,DEALS!$K:$K,E$34,DEALS!$M:$M,$B36,DEALS!$N:$N,"&lt;&gt;*RECEIVED*",DEALS!$N:$N,"&lt;&gt;*EXECUTED*"))+SUM(SUMIFS(DEALS!$R:$R,DEALS!$A:$A,{"*REFUND*","*EXECUTED*"},DEALS!$O:$O,$B$30,DEALS!$E:$E,"&lt;"&amp;$C$32,DEALS!$S:$S,E$34,DEALS!$U:$U,$B36,DEALS!$V:$V,"&lt;&gt;*RECEIVED*",DEALS!$V:$V,"&lt;&gt;*EXECUTED*"))</f>
        <v>9379.1</v>
      </c>
      <c r="F36" s="32" cm="1">
        <f t="array" ref="F36">SUMIFS(BALANCES!$C:$C,BALANCES!$A:$A,$B$30,BALANCES!$B:$B,$B36,BALANCES!$D:$D,F$34)+SUMIFS(FLOWS!$C:$C,FLOWS!$A:$A,$B$30,FLOWS!$E:$E,$B36,FLOWS!$D:$D,F$34,FLOWS!$H:$H,"&lt;"&amp;$C$32)+SUM(SUMIFS(DEALS!$J:$J,DEALS!$A:$A,{"*REFUND*","*EXECUTED*"},DEALS!$G:$G,$B$30,DEALS!$E:$E,"&lt;"&amp;$C$32,DEALS!$K:$K,F$34,DEALS!$M:$M,$B36,DEALS!$N:$N,"&lt;&gt;*RECEIVED*",DEALS!$N:$N,"&lt;&gt;*EXECUTED*"))+SUM(SUMIFS(DEALS!$R:$R,DEALS!$A:$A,{"*REFUND*","*EXECUTED*"},DEALS!$O:$O,$B$30,DEALS!$E:$E,"&lt;"&amp;$C$32,DEALS!$S:$S,F$34,DEALS!$U:$U,$B36,DEALS!$V:$V,"&lt;&gt;*RECEIVED*",DEALS!$V:$V,"&lt;&gt;*EXECUTED*"))</f>
        <v>17139.11</v>
      </c>
      <c r="G36" s="32" cm="1">
        <f t="array" ref="G36">SUMIFS(BALANCES!$C:$C,BALANCES!$A:$A,$B$30,BALANCES!$B:$B,$B36,BALANCES!$D:$D,G$34)+SUMIFS(FLOWS!$C:$C,FLOWS!$A:$A,$B$30,FLOWS!$E:$E,$B36,FLOWS!$D:$D,G$34,FLOWS!$H:$H,"&lt;"&amp;$C$32)+SUM(SUMIFS(DEALS!$J:$J,DEALS!$A:$A,{"*REFUND*","*EXECUTED*"},DEALS!$G:$G,$B$30,DEALS!$E:$E,"&lt;"&amp;$C$32,DEALS!$K:$K,G$34,DEALS!$M:$M,$B36,DEALS!$N:$N,"&lt;&gt;*RECEIVED*",DEALS!$N:$N,"&lt;&gt;*EXECUTED*"))+SUM(SUMIFS(DEALS!$R:$R,DEALS!$A:$A,{"*REFUND*","*EXECUTED*"},DEALS!$O:$O,$B$30,DEALS!$E:$E,"&lt;"&amp;$C$32,DEALS!$S:$S,G$34,DEALS!$U:$U,$B36,DEALS!$V:$V,"&lt;&gt;*RECEIVED*",DEALS!$V:$V,"&lt;&gt;*EXECUTED*"))</f>
        <v>0</v>
      </c>
      <c r="H36" s="32" cm="1">
        <f t="array" ref="H36">SUMIFS(BALANCES!$C:$C,BALANCES!$A:$A,$B$30,BALANCES!$B:$B,$B36,BALANCES!$D:$D,H$34)+SUMIFS(FLOWS!$C:$C,FLOWS!$A:$A,$B$30,FLOWS!$E:$E,$B36,FLOWS!$D:$D,H$34,FLOWS!$H:$H,"&lt;"&amp;$C$32)+SUM(SUMIFS(DEALS!$J:$J,DEALS!$A:$A,{"*REFUND*","*EXECUTED*"},DEALS!$G:$G,$B$30,DEALS!$E:$E,"&lt;"&amp;$C$32,DEALS!$K:$K,H$34,DEALS!$M:$M,$B36,DEALS!$N:$N,"&lt;&gt;*RECEIVED*",DEALS!$N:$N,"&lt;&gt;*EXECUTED*"))+SUM(SUMIFS(DEALS!$R:$R,DEALS!$A:$A,{"*REFUND*","*EXECUTED*"},DEALS!$O:$O,$B$30,DEALS!$E:$E,"&lt;"&amp;$C$32,DEALS!$S:$S,H$34,DEALS!$U:$U,$B36,DEALS!$V:$V,"&lt;&gt;*RECEIVED*",DEALS!$V:$V,"&lt;&gt;*EXECUTED*"))</f>
        <v>1020.715</v>
      </c>
      <c r="I36" s="33">
        <f ca="1">C36*VLOOKUP(C$34,'FX RATES'!$E$1:$F$50,2,FALSE)+D36*VLOOKUP(D$34,'FX RATES'!$E$1:$F$50,2,FALSE)+E36*VLOOKUP(E$34,'FX RATES'!$E$1:$F$50,2,FALSE)+F36*VLOOKUP(F$34,'FX RATES'!$E$1:$F$50,2,FALSE)+G36*VLOOKUP(G$34,'FX RATES'!$E$1:$F$50,2,FALSE)+H36*VLOOKUP(H$34,'FX RATES'!$E$1:$F$50,2,FALSE)</f>
        <v>11768.698864002257</v>
      </c>
      <c r="K36" s="31" t="str">
        <f t="shared" si="16"/>
        <v>DOFAR</v>
      </c>
      <c r="L36" s="32" cm="1">
        <f t="array" ref="L36">SUMIFS(FLOWS!$C:$C,FLOWS!$A:$A,$B$30,FLOWS!$E:$E,$K36,FLOWS!$D:$D,L$34,FLOWS!$H:$H,"&gt;="&amp;$C$32,FLOWS!$H:$H,"&lt;="&amp;$U$32)+SUM(SUMIFS(DEALS!$J:$J,DEALS!$A:$A,{"*REFUND*","*EXECUTED*"},DEALS!$G:$G,$B$30,DEALS!$E:$E,"&gt;="&amp;$C$32,DEALS!$E:$E,"&lt;="&amp;$U$32,DEALS!$K:$K,L$34,DEALS!$M:$M,$K36,DEALS!$N:$N,"&lt;&gt;*RECEIVED*",DEALS!$N:$N,"&lt;&gt;*EXECUTED*"))+SUM(SUMIFS(DEALS!$R:$R,DEALS!$A:$A,{"*REFUND*","*EXECUTED*"},DEALS!$O:$O,$B$30,DEALS!$E:$E,"&gt;="&amp;$C$32,DEALS!$E:$E,"&lt;="&amp;$U$32,DEALS!$S:$S,L$34,DEALS!$U:$U,$K36,DEALS!$V:$V,"&lt;&gt;*RECEIVED*",DEALS!$V:$V,"&lt;&gt;*EXECUTED*"))</f>
        <v>0</v>
      </c>
      <c r="M36" s="32" cm="1">
        <f t="array" ref="M36">SUMIFS(FLOWS!$C:$C,FLOWS!$A:$A,$B$30,FLOWS!$E:$E,$K36,FLOWS!$D:$D,M$34,FLOWS!$H:$H,"&gt;="&amp;$C$32,FLOWS!$H:$H,"&lt;="&amp;$U$32)+SUM(SUMIFS(DEALS!$J:$J,DEALS!$A:$A,{"*REFUND*","*EXECUTED*"},DEALS!$G:$G,$B$30,DEALS!$E:$E,"&gt;="&amp;$C$32,DEALS!$E:$E,"&lt;="&amp;$U$32,DEALS!$K:$K,M$34,DEALS!$M:$M,$K36,DEALS!$N:$N,"&lt;&gt;*RECEIVED*",DEALS!$N:$N,"&lt;&gt;*EXECUTED*"))+SUM(SUMIFS(DEALS!$R:$R,DEALS!$A:$A,{"*REFUND*","*EXECUTED*"},DEALS!$O:$O,$B$30,DEALS!$E:$E,"&gt;="&amp;$C$32,DEALS!$E:$E,"&lt;="&amp;$U$32,DEALS!$S:$S,M$34,DEALS!$U:$U,$K36,DEALS!$V:$V,"&lt;&gt;*RECEIVED*",DEALS!$V:$V,"&lt;&gt;*EXECUTED*"))</f>
        <v>0</v>
      </c>
      <c r="N36" s="32" cm="1">
        <f t="array" ref="N36">SUMIFS(FLOWS!$C:$C,FLOWS!$A:$A,$B$30,FLOWS!$E:$E,$K36,FLOWS!$D:$D,N$34,FLOWS!$H:$H,"&gt;="&amp;$C$32,FLOWS!$H:$H,"&lt;="&amp;$U$32)+SUM(SUMIFS(DEALS!$J:$J,DEALS!$A:$A,{"*REFUND*","*EXECUTED*"},DEALS!$G:$G,$B$30,DEALS!$E:$E,"&gt;="&amp;$C$32,DEALS!$E:$E,"&lt;="&amp;$U$32,DEALS!$K:$K,N$34,DEALS!$M:$M,$K36,DEALS!$N:$N,"&lt;&gt;*RECEIVED*",DEALS!$N:$N,"&lt;&gt;*EXECUTED*"))+SUM(SUMIFS(DEALS!$R:$R,DEALS!$A:$A,{"*REFUND*","*EXECUTED*"},DEALS!$O:$O,$B$30,DEALS!$E:$E,"&gt;="&amp;$C$32,DEALS!$E:$E,"&lt;="&amp;$U$32,DEALS!$S:$S,N$34,DEALS!$U:$U,$K36,DEALS!$V:$V,"&lt;&gt;*RECEIVED*",DEALS!$V:$V,"&lt;&gt;*EXECUTED*"))</f>
        <v>0</v>
      </c>
      <c r="O36" s="32" cm="1">
        <f t="array" ref="O36">SUMIFS(FLOWS!$C:$C,FLOWS!$A:$A,$B$30,FLOWS!$E:$E,$K36,FLOWS!$D:$D,O$34,FLOWS!$H:$H,"&gt;="&amp;$C$32,FLOWS!$H:$H,"&lt;="&amp;$U$32)+SUM(SUMIFS(DEALS!$J:$J,DEALS!$A:$A,{"*REFUND*","*EXECUTED*"},DEALS!$G:$G,$B$30,DEALS!$E:$E,"&gt;="&amp;$C$32,DEALS!$E:$E,"&lt;="&amp;$U$32,DEALS!$K:$K,O$34,DEALS!$M:$M,$K36,DEALS!$N:$N,"&lt;&gt;*RECEIVED*",DEALS!$N:$N,"&lt;&gt;*EXECUTED*"))+SUM(SUMIFS(DEALS!$R:$R,DEALS!$A:$A,{"*REFUND*","*EXECUTED*"},DEALS!$O:$O,$B$30,DEALS!$E:$E,"&gt;="&amp;$C$32,DEALS!$E:$E,"&lt;="&amp;$U$32,DEALS!$S:$S,O$34,DEALS!$U:$U,$K36,DEALS!$V:$V,"&lt;&gt;*RECEIVED*",DEALS!$V:$V,"&lt;&gt;*EXECUTED*"))</f>
        <v>0</v>
      </c>
      <c r="P36" s="32" cm="1">
        <f t="array" ref="P36">SUMIFS(FLOWS!$C:$C,FLOWS!$A:$A,$B$30,FLOWS!$E:$E,$K36,FLOWS!$D:$D,P$34,FLOWS!$H:$H,"&gt;="&amp;$C$32,FLOWS!$H:$H,"&lt;="&amp;$U$32)+SUM(SUMIFS(DEALS!$J:$J,DEALS!$A:$A,{"*REFUND*","*EXECUTED*"},DEALS!$G:$G,$B$30,DEALS!$E:$E,"&gt;="&amp;$C$32,DEALS!$E:$E,"&lt;="&amp;$U$32,DEALS!$K:$K,P$34,DEALS!$M:$M,$K36,DEALS!$N:$N,"&lt;&gt;*RECEIVED*",DEALS!$N:$N,"&lt;&gt;*EXECUTED*"))+SUM(SUMIFS(DEALS!$R:$R,DEALS!$A:$A,{"*REFUND*","*EXECUTED*"},DEALS!$O:$O,$B$30,DEALS!$E:$E,"&gt;="&amp;$C$32,DEALS!$E:$E,"&lt;="&amp;$U$32,DEALS!$S:$S,P$34,DEALS!$U:$U,$K36,DEALS!$V:$V,"&lt;&gt;*RECEIVED*",DEALS!$V:$V,"&lt;&gt;*EXECUTED*"))</f>
        <v>0</v>
      </c>
      <c r="Q36" s="32" cm="1">
        <f t="array" ref="Q36">SUMIFS(FLOWS!$C:$C,FLOWS!$A:$A,$B$30,FLOWS!$E:$E,$K36,FLOWS!$D:$D,Q$34,FLOWS!$H:$H,"&gt;="&amp;$C$32,FLOWS!$H:$H,"&lt;="&amp;$U$32)+SUM(SUMIFS(DEALS!$J:$J,DEALS!$A:$A,{"*REFUND*","*EXECUTED*"},DEALS!$G:$G,$B$30,DEALS!$E:$E,"&gt;="&amp;$C$32,DEALS!$E:$E,"&lt;="&amp;$U$32,DEALS!$K:$K,Q$34,DEALS!$M:$M,$K36,DEALS!$N:$N,"&lt;&gt;*RECEIVED*",DEALS!$N:$N,"&lt;&gt;*EXECUTED*"))+SUM(SUMIFS(DEALS!$R:$R,DEALS!$A:$A,{"*REFUND*","*EXECUTED*"},DEALS!$O:$O,$B$30,DEALS!$E:$E,"&gt;="&amp;$C$32,DEALS!$E:$E,"&lt;="&amp;$U$32,DEALS!$S:$S,Q$34,DEALS!$U:$U,$K36,DEALS!$V:$V,"&lt;&gt;*RECEIVED*",DEALS!$V:$V,"&lt;&gt;*EXECUTED*"))</f>
        <v>0</v>
      </c>
      <c r="R36" s="33">
        <f ca="1">L36*VLOOKUP(L$34,'FX RATES'!$E$1:$F$50,2,FALSE)+M36*VLOOKUP(M$34,'FX RATES'!$E$1:$F$50,2,FALSE)+N36*VLOOKUP(N$34,'FX RATES'!$E$1:$F$50,2,FALSE)+O36*VLOOKUP(O$34,'FX RATES'!$E$1:$F$50,2,FALSE)+P36*VLOOKUP(P$34,'FX RATES'!$E$1:$F$50,2,FALSE)+Q36*VLOOKUP(Q$34,'FX RATES'!$E$1:$F$50,2,FALSE)</f>
        <v>0</v>
      </c>
      <c r="T36" s="31" t="str">
        <f t="shared" si="17"/>
        <v>DOFAR</v>
      </c>
      <c r="U36" s="32" cm="1">
        <f t="array" ref="U36">SUMIFS(BALANCES!$C:$C,BALANCES!$A:$A,$B$30,BALANCES!$B:$B,$T36,BALANCES!$D:$D,U$34)+SUMIFS(FLOWS!$C:$C,FLOWS!$A:$A,$B$30,FLOWS!$E:$E,$T36,FLOWS!$D:$D,U$34,FLOWS!$H:$H,"&lt;="&amp;$U$32)+SUM(SUMIFS(DEALS!$J:$J,DEALS!$A:$A,{"*REFUND*","*EXECUTED*"},DEALS!$G:$G,$B$30,DEALS!$E:$E,"&lt;="&amp;$U$32,DEALS!$K:$K,U$34,DEALS!$M:$M,$T36,DEALS!$N:$N,"&lt;&gt;*RECEIVED*",DEALS!$N:$N,"&lt;&gt;*EXECUTED*"))+SUM(SUMIFS(DEALS!$R:$R,DEALS!$A:$A,{"*REFUND*","*EXECUTED*"},DEALS!$O:$O,$B$30,DEALS!$E:$E,"&lt;="&amp;$U$32,DEALS!$S:$S,U$34,DEALS!$U:$U,$T36,DEALS!$V:$V,"&lt;&gt;*RECEIVED*",DEALS!$V:$V,"&lt;&gt;*EXECUTED*"))</f>
        <v>1920.52</v>
      </c>
      <c r="V36" s="32" cm="1">
        <f t="array" ref="V36">SUMIFS(BALANCES!$C:$C,BALANCES!$A:$A,$B$30,BALANCES!$B:$B,$T36,BALANCES!$D:$D,V$34)+SUMIFS(FLOWS!$C:$C,FLOWS!$A:$A,$B$30,FLOWS!$E:$E,$T36,FLOWS!$D:$D,V$34,FLOWS!$H:$H,"&lt;="&amp;$U$32)+SUM(SUMIFS(DEALS!$J:$J,DEALS!$A:$A,{"*REFUND*","*EXECUTED*"},DEALS!$G:$G,$B$30,DEALS!$E:$E,"&lt;="&amp;$U$32,DEALS!$K:$K,V$34,DEALS!$M:$M,$T36,DEALS!$N:$N,"&lt;&gt;*RECEIVED*",DEALS!$N:$N,"&lt;&gt;*EXECUTED*"))+SUM(SUMIFS(DEALS!$R:$R,DEALS!$A:$A,{"*REFUND*","*EXECUTED*"},DEALS!$O:$O,$B$30,DEALS!$E:$E,"&lt;="&amp;$U$32,DEALS!$S:$S,V$34,DEALS!$U:$U,$T36,DEALS!$V:$V,"&lt;&gt;*RECEIVED*",DEALS!$V:$V,"&lt;&gt;*EXECUTED*"))</f>
        <v>994.75</v>
      </c>
      <c r="W36" s="32" cm="1">
        <f t="array" ref="W36">SUMIFS(BALANCES!$C:$C,BALANCES!$A:$A,$B$30,BALANCES!$B:$B,$T36,BALANCES!$D:$D,W$34)+SUMIFS(FLOWS!$C:$C,FLOWS!$A:$A,$B$30,FLOWS!$E:$E,$T36,FLOWS!$D:$D,W$34,FLOWS!$H:$H,"&lt;="&amp;$U$32)+SUM(SUMIFS(DEALS!$J:$J,DEALS!$A:$A,{"*REFUND*","*EXECUTED*"},DEALS!$G:$G,$B$30,DEALS!$E:$E,"&lt;="&amp;$U$32,DEALS!$K:$K,W$34,DEALS!$M:$M,$T36,DEALS!$N:$N,"&lt;&gt;*RECEIVED*",DEALS!$N:$N,"&lt;&gt;*EXECUTED*"))+SUM(SUMIFS(DEALS!$R:$R,DEALS!$A:$A,{"*REFUND*","*EXECUTED*"},DEALS!$O:$O,$B$30,DEALS!$E:$E,"&lt;="&amp;$U$32,DEALS!$S:$S,W$34,DEALS!$U:$U,$T36,DEALS!$V:$V,"&lt;&gt;*RECEIVED*",DEALS!$V:$V,"&lt;&gt;*EXECUTED*"))</f>
        <v>9379.1</v>
      </c>
      <c r="X36" s="32" cm="1">
        <f t="array" ref="X36">SUMIFS(BALANCES!$C:$C,BALANCES!$A:$A,$B$30,BALANCES!$B:$B,$T36,BALANCES!$D:$D,X$34)+SUMIFS(FLOWS!$C:$C,FLOWS!$A:$A,$B$30,FLOWS!$E:$E,$T36,FLOWS!$D:$D,X$34,FLOWS!$H:$H,"&lt;="&amp;$U$32)+SUM(SUMIFS(DEALS!$J:$J,DEALS!$A:$A,{"*REFUND*","*EXECUTED*"},DEALS!$G:$G,$B$30,DEALS!$E:$E,"&lt;="&amp;$U$32,DEALS!$K:$K,X$34,DEALS!$M:$M,$T36,DEALS!$N:$N,"&lt;&gt;*RECEIVED*",DEALS!$N:$N,"&lt;&gt;*EXECUTED*"))+SUM(SUMIFS(DEALS!$R:$R,DEALS!$A:$A,{"*REFUND*","*EXECUTED*"},DEALS!$O:$O,$B$30,DEALS!$E:$E,"&lt;="&amp;$U$32,DEALS!$S:$S,X$34,DEALS!$U:$U,$T36,DEALS!$V:$V,"&lt;&gt;*RECEIVED*",DEALS!$V:$V,"&lt;&gt;*EXECUTED*"))</f>
        <v>17139.11</v>
      </c>
      <c r="Y36" s="32" cm="1">
        <f t="array" ref="Y36">SUMIFS(BALANCES!$C:$C,BALANCES!$A:$A,$B$30,BALANCES!$B:$B,$T36,BALANCES!$D:$D,Y$34)+SUMIFS(FLOWS!$C:$C,FLOWS!$A:$A,$B$30,FLOWS!$E:$E,$T36,FLOWS!$D:$D,Y$34,FLOWS!$H:$H,"&lt;="&amp;$U$32)+SUM(SUMIFS(DEALS!$J:$J,DEALS!$A:$A,{"*REFUND*","*EXECUTED*"},DEALS!$G:$G,$B$30,DEALS!$E:$E,"&lt;="&amp;$U$32,DEALS!$K:$K,Y$34,DEALS!$M:$M,$T36,DEALS!$N:$N,"&lt;&gt;*RECEIVED*",DEALS!$N:$N,"&lt;&gt;*EXECUTED*"))+SUM(SUMIFS(DEALS!$R:$R,DEALS!$A:$A,{"*REFUND*","*EXECUTED*"},DEALS!$O:$O,$B$30,DEALS!$E:$E,"&lt;="&amp;$U$32,DEALS!$S:$S,Y$34,DEALS!$U:$U,$T36,DEALS!$V:$V,"&lt;&gt;*RECEIVED*",DEALS!$V:$V,"&lt;&gt;*EXECUTED*"))</f>
        <v>0</v>
      </c>
      <c r="Z36" s="32" cm="1">
        <f t="array" ref="Z36">SUMIFS(BALANCES!$C:$C,BALANCES!$A:$A,$B$30,BALANCES!$B:$B,$T36,BALANCES!$D:$D,Z$34)+SUMIFS(FLOWS!$C:$C,FLOWS!$A:$A,$B$30,FLOWS!$E:$E,$T36,FLOWS!$D:$D,Z$34,FLOWS!$H:$H,"&lt;="&amp;$U$32)+SUM(SUMIFS(DEALS!$J:$J,DEALS!$A:$A,{"*REFUND*","*EXECUTED*"},DEALS!$G:$G,$B$30,DEALS!$E:$E,"&lt;="&amp;$U$32,DEALS!$K:$K,Z$34,DEALS!$M:$M,$T36,DEALS!$N:$N,"&lt;&gt;*RECEIVED*",DEALS!$N:$N,"&lt;&gt;*EXECUTED*"))+SUM(SUMIFS(DEALS!$R:$R,DEALS!$A:$A,{"*REFUND*","*EXECUTED*"},DEALS!$O:$O,$B$30,DEALS!$E:$E,"&lt;="&amp;$U$32,DEALS!$S:$S,Z$34,DEALS!$U:$U,$T36,DEALS!$V:$V,"&lt;&gt;*RECEIVED*",DEALS!$V:$V,"&lt;&gt;*EXECUTED*"))</f>
        <v>1020.715</v>
      </c>
      <c r="AA36" s="33">
        <f ca="1">U36*VLOOKUP(U$34,'FX RATES'!$E$1:$F$50,2,FALSE)+V36*VLOOKUP(V$34,'FX RATES'!$E$1:$F$50,2,FALSE)+W36*VLOOKUP(W$34,'FX RATES'!$E$1:$F$50,2,FALSE)+X36*VLOOKUP(X$34,'FX RATES'!$E$1:$F$50,2,FALSE)+Y36*VLOOKUP(Y$34,'FX RATES'!$E$1:$F$50,2,FALSE)+Z36*VLOOKUP(Z$34,'FX RATES'!$E$1:$F$50,2,FALSE)</f>
        <v>11768.698864002257</v>
      </c>
      <c r="AC36" s="139">
        <f t="shared" ref="AC36:AC54" ca="1" si="18">I36+R36-AA36</f>
        <v>0</v>
      </c>
    </row>
    <row r="37" spans="2:29" ht="20" thickBot="1">
      <c r="B37" s="28" t="s">
        <v>30</v>
      </c>
      <c r="C37" s="29" cm="1">
        <f t="array" ref="C37">SUMIFS(BALANCES!$C:$C,BALANCES!$A:$A,$B$30,BALANCES!$B:$B,$B37,BALANCES!$D:$D,C$34)+SUMIFS(FLOWS!$C:$C,FLOWS!$A:$A,$B$30,FLOWS!$E:$E,$B37,FLOWS!$D:$D,C$34,FLOWS!$H:$H,"&lt;"&amp;$C$32)+SUM(SUMIFS(DEALS!$J:$J,DEALS!$A:$A,{"*REFUND*","*EXECUTED*"},DEALS!$G:$G,$B$30,DEALS!$E:$E,"&lt;"&amp;$C$32,DEALS!$K:$K,C$34,DEALS!$M:$M,$B37,DEALS!$N:$N,"&lt;&gt;*RECEIVED*",DEALS!$N:$N,"&lt;&gt;*EXECUTED*"))+SUM(SUMIFS(DEALS!$R:$R,DEALS!$A:$A,{"*REFUND*","*EXECUTED*"},DEALS!$O:$O,$B$30,DEALS!$E:$E,"&lt;"&amp;$C$32,DEALS!$S:$S,C$34,DEALS!$U:$U,$B37,DEALS!$V:$V,"&lt;&gt;*RECEIVED*",DEALS!$V:$V,"&lt;&gt;*EXECUTED*"))</f>
        <v>2502.59</v>
      </c>
      <c r="D37" s="29" cm="1">
        <f t="array" ref="D37">SUMIFS(BALANCES!$C:$C,BALANCES!$A:$A,$B$30,BALANCES!$B:$B,$B37,BALANCES!$D:$D,D$34)+SUMIFS(FLOWS!$C:$C,FLOWS!$A:$A,$B$30,FLOWS!$E:$E,$B37,FLOWS!$D:$D,D$34,FLOWS!$H:$H,"&lt;"&amp;$C$32)+SUM(SUMIFS(DEALS!$J:$J,DEALS!$A:$A,{"*REFUND*","*EXECUTED*"},DEALS!$G:$G,$B$30,DEALS!$E:$E,"&lt;"&amp;$C$32,DEALS!$K:$K,D$34,DEALS!$M:$M,$B37,DEALS!$N:$N,"&lt;&gt;*RECEIVED*",DEALS!$N:$N,"&lt;&gt;*EXECUTED*"))+SUM(SUMIFS(DEALS!$R:$R,DEALS!$A:$A,{"*REFUND*","*EXECUTED*"},DEALS!$O:$O,$B$30,DEALS!$E:$E,"&lt;"&amp;$C$32,DEALS!$S:$S,D$34,DEALS!$U:$U,$B37,DEALS!$V:$V,"&lt;&gt;*RECEIVED*",DEALS!$V:$V,"&lt;&gt;*EXECUTED*"))</f>
        <v>1385.24</v>
      </c>
      <c r="E37" s="29" cm="1">
        <f t="array" ref="E37">SUMIFS(BALANCES!$C:$C,BALANCES!$A:$A,$B$30,BALANCES!$B:$B,$B37,BALANCES!$D:$D,E$34)+SUMIFS(FLOWS!$C:$C,FLOWS!$A:$A,$B$30,FLOWS!$E:$E,$B37,FLOWS!$D:$D,E$34,FLOWS!$H:$H,"&lt;"&amp;$C$32)+SUM(SUMIFS(DEALS!$J:$J,DEALS!$A:$A,{"*REFUND*","*EXECUTED*"},DEALS!$G:$G,$B$30,DEALS!$E:$E,"&lt;"&amp;$C$32,DEALS!$K:$K,E$34,DEALS!$M:$M,$B37,DEALS!$N:$N,"&lt;&gt;*RECEIVED*",DEALS!$N:$N,"&lt;&gt;*EXECUTED*"))+SUM(SUMIFS(DEALS!$R:$R,DEALS!$A:$A,{"*REFUND*","*EXECUTED*"},DEALS!$O:$O,$B$30,DEALS!$E:$E,"&lt;"&amp;$C$32,DEALS!$S:$S,E$34,DEALS!$U:$U,$B37,DEALS!$V:$V,"&lt;&gt;*RECEIVED*",DEALS!$V:$V,"&lt;&gt;*EXECUTED*"))</f>
        <v>0</v>
      </c>
      <c r="F37" s="29" cm="1">
        <f t="array" ref="F37">SUMIFS(BALANCES!$C:$C,BALANCES!$A:$A,$B$30,BALANCES!$B:$B,$B37,BALANCES!$D:$D,F$34)+SUMIFS(FLOWS!$C:$C,FLOWS!$A:$A,$B$30,FLOWS!$E:$E,$B37,FLOWS!$D:$D,F$34,FLOWS!$H:$H,"&lt;"&amp;$C$32)+SUM(SUMIFS(DEALS!$J:$J,DEALS!$A:$A,{"*REFUND*","*EXECUTED*"},DEALS!$G:$G,$B$30,DEALS!$E:$E,"&lt;"&amp;$C$32,DEALS!$K:$K,F$34,DEALS!$M:$M,$B37,DEALS!$N:$N,"&lt;&gt;*RECEIVED*",DEALS!$N:$N,"&lt;&gt;*EXECUTED*"))+SUM(SUMIFS(DEALS!$R:$R,DEALS!$A:$A,{"*REFUND*","*EXECUTED*"},DEALS!$O:$O,$B$30,DEALS!$E:$E,"&lt;"&amp;$C$32,DEALS!$S:$S,F$34,DEALS!$U:$U,$B37,DEALS!$V:$V,"&lt;&gt;*RECEIVED*",DEALS!$V:$V,"&lt;&gt;*EXECUTED*"))</f>
        <v>22930.880000000001</v>
      </c>
      <c r="G37" s="29" cm="1">
        <f t="array" ref="G37">SUMIFS(BALANCES!$C:$C,BALANCES!$A:$A,$B$30,BALANCES!$B:$B,$B37,BALANCES!$D:$D,G$34)+SUMIFS(FLOWS!$C:$C,FLOWS!$A:$A,$B$30,FLOWS!$E:$E,$B37,FLOWS!$D:$D,G$34,FLOWS!$H:$H,"&lt;"&amp;$C$32)+SUM(SUMIFS(DEALS!$J:$J,DEALS!$A:$A,{"*REFUND*","*EXECUTED*"},DEALS!$G:$G,$B$30,DEALS!$E:$E,"&lt;"&amp;$C$32,DEALS!$K:$K,G$34,DEALS!$M:$M,$B37,DEALS!$N:$N,"&lt;&gt;*RECEIVED*",DEALS!$N:$N,"&lt;&gt;*EXECUTED*"))+SUM(SUMIFS(DEALS!$R:$R,DEALS!$A:$A,{"*REFUND*","*EXECUTED*"},DEALS!$O:$O,$B$30,DEALS!$E:$E,"&lt;"&amp;$C$32,DEALS!$S:$S,G$34,DEALS!$U:$U,$B37,DEALS!$V:$V,"&lt;&gt;*RECEIVED*",DEALS!$V:$V,"&lt;&gt;*EXECUTED*"))</f>
        <v>0</v>
      </c>
      <c r="H37" s="29" cm="1">
        <f t="array" ref="H37">SUMIFS(BALANCES!$C:$C,BALANCES!$A:$A,$B$30,BALANCES!$B:$B,$B37,BALANCES!$D:$D,H$34)+SUMIFS(FLOWS!$C:$C,FLOWS!$A:$A,$B$30,FLOWS!$E:$E,$B37,FLOWS!$D:$D,H$34,FLOWS!$H:$H,"&lt;"&amp;$C$32)+SUM(SUMIFS(DEALS!$J:$J,DEALS!$A:$A,{"*REFUND*","*EXECUTED*"},DEALS!$G:$G,$B$30,DEALS!$E:$E,"&lt;"&amp;$C$32,DEALS!$K:$K,H$34,DEALS!$M:$M,$B37,DEALS!$N:$N,"&lt;&gt;*RECEIVED*",DEALS!$N:$N,"&lt;&gt;*EXECUTED*"))+SUM(SUMIFS(DEALS!$R:$R,DEALS!$A:$A,{"*REFUND*","*EXECUTED*"},DEALS!$O:$O,$B$30,DEALS!$E:$E,"&lt;"&amp;$C$32,DEALS!$S:$S,H$34,DEALS!$U:$U,$B37,DEALS!$V:$V,"&lt;&gt;*RECEIVED*",DEALS!$V:$V,"&lt;&gt;*EXECUTED*"))</f>
        <v>1300.77</v>
      </c>
      <c r="I37" s="30">
        <f ca="1">C37*VLOOKUP(C$34,'FX RATES'!$E$1:$F$50,2,FALSE)+D37*VLOOKUP(D$34,'FX RATES'!$E$1:$F$50,2,FALSE)+E37*VLOOKUP(E$34,'FX RATES'!$E$1:$F$50,2,FALSE)+F37*VLOOKUP(F$34,'FX RATES'!$E$1:$F$50,2,FALSE)+G37*VLOOKUP(G$34,'FX RATES'!$E$1:$F$50,2,FALSE)+H37*VLOOKUP(H$34,'FX RATES'!$E$1:$F$50,2,FALSE)</f>
        <v>13757.676693142899</v>
      </c>
      <c r="K37" s="28" t="str">
        <f t="shared" si="16"/>
        <v>FAB</v>
      </c>
      <c r="L37" s="29" cm="1">
        <f t="array" ref="L37">SUMIFS(FLOWS!$C:$C,FLOWS!$A:$A,$B$30,FLOWS!$E:$E,$K37,FLOWS!$D:$D,L$34,FLOWS!$H:$H,"&gt;="&amp;$C$32,FLOWS!$H:$H,"&lt;="&amp;$U$32)+SUM(SUMIFS(DEALS!$J:$J,DEALS!$A:$A,{"*REFUND*","*EXECUTED*"},DEALS!$G:$G,$B$30,DEALS!$E:$E,"&gt;="&amp;$C$32,DEALS!$E:$E,"&lt;="&amp;$U$32,DEALS!$K:$K,L$34,DEALS!$M:$M,$K37,DEALS!$N:$N,"&lt;&gt;*RECEIVED*",DEALS!$N:$N,"&lt;&gt;*EXECUTED*"))+SUM(SUMIFS(DEALS!$R:$R,DEALS!$A:$A,{"*REFUND*","*EXECUTED*"},DEALS!$O:$O,$B$30,DEALS!$E:$E,"&gt;="&amp;$C$32,DEALS!$E:$E,"&lt;="&amp;$U$32,DEALS!$S:$S,L$34,DEALS!$U:$U,$K37,DEALS!$V:$V,"&lt;&gt;*RECEIVED*",DEALS!$V:$V,"&lt;&gt;*EXECUTED*"))</f>
        <v>0</v>
      </c>
      <c r="M37" s="29" cm="1">
        <f t="array" ref="M37">SUMIFS(FLOWS!$C:$C,FLOWS!$A:$A,$B$30,FLOWS!$E:$E,$K37,FLOWS!$D:$D,M$34,FLOWS!$H:$H,"&gt;="&amp;$C$32,FLOWS!$H:$H,"&lt;="&amp;$U$32)+SUM(SUMIFS(DEALS!$J:$J,DEALS!$A:$A,{"*REFUND*","*EXECUTED*"},DEALS!$G:$G,$B$30,DEALS!$E:$E,"&gt;="&amp;$C$32,DEALS!$E:$E,"&lt;="&amp;$U$32,DEALS!$K:$K,M$34,DEALS!$M:$M,$K37,DEALS!$N:$N,"&lt;&gt;*RECEIVED*",DEALS!$N:$N,"&lt;&gt;*EXECUTED*"))+SUM(SUMIFS(DEALS!$R:$R,DEALS!$A:$A,{"*REFUND*","*EXECUTED*"},DEALS!$O:$O,$B$30,DEALS!$E:$E,"&gt;="&amp;$C$32,DEALS!$E:$E,"&lt;="&amp;$U$32,DEALS!$S:$S,M$34,DEALS!$U:$U,$K37,DEALS!$V:$V,"&lt;&gt;*RECEIVED*",DEALS!$V:$V,"&lt;&gt;*EXECUTED*"))</f>
        <v>0</v>
      </c>
      <c r="N37" s="29" cm="1">
        <f t="array" ref="N37">SUMIFS(FLOWS!$C:$C,FLOWS!$A:$A,$B$30,FLOWS!$E:$E,$K37,FLOWS!$D:$D,N$34,FLOWS!$H:$H,"&gt;="&amp;$C$32,FLOWS!$H:$H,"&lt;="&amp;$U$32)+SUM(SUMIFS(DEALS!$J:$J,DEALS!$A:$A,{"*REFUND*","*EXECUTED*"},DEALS!$G:$G,$B$30,DEALS!$E:$E,"&gt;="&amp;$C$32,DEALS!$E:$E,"&lt;="&amp;$U$32,DEALS!$K:$K,N$34,DEALS!$M:$M,$K37,DEALS!$N:$N,"&lt;&gt;*RECEIVED*",DEALS!$N:$N,"&lt;&gt;*EXECUTED*"))+SUM(SUMIFS(DEALS!$R:$R,DEALS!$A:$A,{"*REFUND*","*EXECUTED*"},DEALS!$O:$O,$B$30,DEALS!$E:$E,"&gt;="&amp;$C$32,DEALS!$E:$E,"&lt;="&amp;$U$32,DEALS!$S:$S,N$34,DEALS!$U:$U,$K37,DEALS!$V:$V,"&lt;&gt;*RECEIVED*",DEALS!$V:$V,"&lt;&gt;*EXECUTED*"))</f>
        <v>0</v>
      </c>
      <c r="O37" s="29" cm="1">
        <f t="array" ref="O37">SUMIFS(FLOWS!$C:$C,FLOWS!$A:$A,$B$30,FLOWS!$E:$E,$K37,FLOWS!$D:$D,O$34,FLOWS!$H:$H,"&gt;="&amp;$C$32,FLOWS!$H:$H,"&lt;="&amp;$U$32)+SUM(SUMIFS(DEALS!$J:$J,DEALS!$A:$A,{"*REFUND*","*EXECUTED*"},DEALS!$G:$G,$B$30,DEALS!$E:$E,"&gt;="&amp;$C$32,DEALS!$E:$E,"&lt;="&amp;$U$32,DEALS!$K:$K,O$34,DEALS!$M:$M,$K37,DEALS!$N:$N,"&lt;&gt;*RECEIVED*",DEALS!$N:$N,"&lt;&gt;*EXECUTED*"))+SUM(SUMIFS(DEALS!$R:$R,DEALS!$A:$A,{"*REFUND*","*EXECUTED*"},DEALS!$O:$O,$B$30,DEALS!$E:$E,"&gt;="&amp;$C$32,DEALS!$E:$E,"&lt;="&amp;$U$32,DEALS!$S:$S,O$34,DEALS!$U:$U,$K37,DEALS!$V:$V,"&lt;&gt;*RECEIVED*",DEALS!$V:$V,"&lt;&gt;*EXECUTED*"))</f>
        <v>0</v>
      </c>
      <c r="P37" s="29" cm="1">
        <f t="array" ref="P37">SUMIFS(FLOWS!$C:$C,FLOWS!$A:$A,$B$30,FLOWS!$E:$E,$K37,FLOWS!$D:$D,P$34,FLOWS!$H:$H,"&gt;="&amp;$C$32,FLOWS!$H:$H,"&lt;="&amp;$U$32)+SUM(SUMIFS(DEALS!$J:$J,DEALS!$A:$A,{"*REFUND*","*EXECUTED*"},DEALS!$G:$G,$B$30,DEALS!$E:$E,"&gt;="&amp;$C$32,DEALS!$E:$E,"&lt;="&amp;$U$32,DEALS!$K:$K,P$34,DEALS!$M:$M,$K37,DEALS!$N:$N,"&lt;&gt;*RECEIVED*",DEALS!$N:$N,"&lt;&gt;*EXECUTED*"))+SUM(SUMIFS(DEALS!$R:$R,DEALS!$A:$A,{"*REFUND*","*EXECUTED*"},DEALS!$O:$O,$B$30,DEALS!$E:$E,"&gt;="&amp;$C$32,DEALS!$E:$E,"&lt;="&amp;$U$32,DEALS!$S:$S,P$34,DEALS!$U:$U,$K37,DEALS!$V:$V,"&lt;&gt;*RECEIVED*",DEALS!$V:$V,"&lt;&gt;*EXECUTED*"))</f>
        <v>0</v>
      </c>
      <c r="Q37" s="29" cm="1">
        <f t="array" ref="Q37">SUMIFS(FLOWS!$C:$C,FLOWS!$A:$A,$B$30,FLOWS!$E:$E,$K37,FLOWS!$D:$D,Q$34,FLOWS!$H:$H,"&gt;="&amp;$C$32,FLOWS!$H:$H,"&lt;="&amp;$U$32)+SUM(SUMIFS(DEALS!$J:$J,DEALS!$A:$A,{"*REFUND*","*EXECUTED*"},DEALS!$G:$G,$B$30,DEALS!$E:$E,"&gt;="&amp;$C$32,DEALS!$E:$E,"&lt;="&amp;$U$32,DEALS!$K:$K,Q$34,DEALS!$M:$M,$K37,DEALS!$N:$N,"&lt;&gt;*RECEIVED*",DEALS!$N:$N,"&lt;&gt;*EXECUTED*"))+SUM(SUMIFS(DEALS!$R:$R,DEALS!$A:$A,{"*REFUND*","*EXECUTED*"},DEALS!$O:$O,$B$30,DEALS!$E:$E,"&gt;="&amp;$C$32,DEALS!$E:$E,"&lt;="&amp;$U$32,DEALS!$S:$S,Q$34,DEALS!$U:$U,$K37,DEALS!$V:$V,"&lt;&gt;*RECEIVED*",DEALS!$V:$V,"&lt;&gt;*EXECUTED*"))</f>
        <v>0</v>
      </c>
      <c r="R37" s="30">
        <f ca="1">L37*VLOOKUP(L$34,'FX RATES'!$E$1:$F$50,2,FALSE)+M37*VLOOKUP(M$34,'FX RATES'!$E$1:$F$50,2,FALSE)+N37*VLOOKUP(N$34,'FX RATES'!$E$1:$F$50,2,FALSE)+O37*VLOOKUP(O$34,'FX RATES'!$E$1:$F$50,2,FALSE)+P37*VLOOKUP(P$34,'FX RATES'!$E$1:$F$50,2,FALSE)+Q37*VLOOKUP(Q$34,'FX RATES'!$E$1:$F$50,2,FALSE)</f>
        <v>0</v>
      </c>
      <c r="T37" s="28" t="str">
        <f t="shared" si="17"/>
        <v>FAB</v>
      </c>
      <c r="U37" s="29" cm="1">
        <f t="array" ref="U37">SUMIFS(BALANCES!$C:$C,BALANCES!$A:$A,$B$30,BALANCES!$B:$B,$T37,BALANCES!$D:$D,U$34)+SUMIFS(FLOWS!$C:$C,FLOWS!$A:$A,$B$30,FLOWS!$E:$E,$T37,FLOWS!$D:$D,U$34,FLOWS!$H:$H,"&lt;="&amp;$U$32)+SUM(SUMIFS(DEALS!$J:$J,DEALS!$A:$A,{"*REFUND*","*EXECUTED*"},DEALS!$G:$G,$B$30,DEALS!$E:$E,"&lt;="&amp;$U$32,DEALS!$K:$K,U$34,DEALS!$M:$M,$T37,DEALS!$N:$N,"&lt;&gt;*RECEIVED*",DEALS!$N:$N,"&lt;&gt;*EXECUTED*"))+SUM(SUMIFS(DEALS!$R:$R,DEALS!$A:$A,{"*REFUND*","*EXECUTED*"},DEALS!$O:$O,$B$30,DEALS!$E:$E,"&lt;="&amp;$U$32,DEALS!$S:$S,U$34,DEALS!$U:$U,$T37,DEALS!$V:$V,"&lt;&gt;*RECEIVED*",DEALS!$V:$V,"&lt;&gt;*EXECUTED*"))</f>
        <v>2502.59</v>
      </c>
      <c r="V37" s="29" cm="1">
        <f t="array" ref="V37">SUMIFS(BALANCES!$C:$C,BALANCES!$A:$A,$B$30,BALANCES!$B:$B,$T37,BALANCES!$D:$D,V$34)+SUMIFS(FLOWS!$C:$C,FLOWS!$A:$A,$B$30,FLOWS!$E:$E,$T37,FLOWS!$D:$D,V$34,FLOWS!$H:$H,"&lt;="&amp;$U$32)+SUM(SUMIFS(DEALS!$J:$J,DEALS!$A:$A,{"*REFUND*","*EXECUTED*"},DEALS!$G:$G,$B$30,DEALS!$E:$E,"&lt;="&amp;$U$32,DEALS!$K:$K,V$34,DEALS!$M:$M,$T37,DEALS!$N:$N,"&lt;&gt;*RECEIVED*",DEALS!$N:$N,"&lt;&gt;*EXECUTED*"))+SUM(SUMIFS(DEALS!$R:$R,DEALS!$A:$A,{"*REFUND*","*EXECUTED*"},DEALS!$O:$O,$B$30,DEALS!$E:$E,"&lt;="&amp;$U$32,DEALS!$S:$S,V$34,DEALS!$U:$U,$T37,DEALS!$V:$V,"&lt;&gt;*RECEIVED*",DEALS!$V:$V,"&lt;&gt;*EXECUTED*"))</f>
        <v>1385.24</v>
      </c>
      <c r="W37" s="29" cm="1">
        <f t="array" ref="W37">SUMIFS(BALANCES!$C:$C,BALANCES!$A:$A,$B$30,BALANCES!$B:$B,$T37,BALANCES!$D:$D,W$34)+SUMIFS(FLOWS!$C:$C,FLOWS!$A:$A,$B$30,FLOWS!$E:$E,$T37,FLOWS!$D:$D,W$34,FLOWS!$H:$H,"&lt;="&amp;$U$32)+SUM(SUMIFS(DEALS!$J:$J,DEALS!$A:$A,{"*REFUND*","*EXECUTED*"},DEALS!$G:$G,$B$30,DEALS!$E:$E,"&lt;="&amp;$U$32,DEALS!$K:$K,W$34,DEALS!$M:$M,$T37,DEALS!$N:$N,"&lt;&gt;*RECEIVED*",DEALS!$N:$N,"&lt;&gt;*EXECUTED*"))+SUM(SUMIFS(DEALS!$R:$R,DEALS!$A:$A,{"*REFUND*","*EXECUTED*"},DEALS!$O:$O,$B$30,DEALS!$E:$E,"&lt;="&amp;$U$32,DEALS!$S:$S,W$34,DEALS!$U:$U,$T37,DEALS!$V:$V,"&lt;&gt;*RECEIVED*",DEALS!$V:$V,"&lt;&gt;*EXECUTED*"))</f>
        <v>0</v>
      </c>
      <c r="X37" s="29" cm="1">
        <f t="array" ref="X37">SUMIFS(BALANCES!$C:$C,BALANCES!$A:$A,$B$30,BALANCES!$B:$B,$T37,BALANCES!$D:$D,X$34)+SUMIFS(FLOWS!$C:$C,FLOWS!$A:$A,$B$30,FLOWS!$E:$E,$T37,FLOWS!$D:$D,X$34,FLOWS!$H:$H,"&lt;="&amp;$U$32)+SUM(SUMIFS(DEALS!$J:$J,DEALS!$A:$A,{"*REFUND*","*EXECUTED*"},DEALS!$G:$G,$B$30,DEALS!$E:$E,"&lt;="&amp;$U$32,DEALS!$K:$K,X$34,DEALS!$M:$M,$T37,DEALS!$N:$N,"&lt;&gt;*RECEIVED*",DEALS!$N:$N,"&lt;&gt;*EXECUTED*"))+SUM(SUMIFS(DEALS!$R:$R,DEALS!$A:$A,{"*REFUND*","*EXECUTED*"},DEALS!$O:$O,$B$30,DEALS!$E:$E,"&lt;="&amp;$U$32,DEALS!$S:$S,X$34,DEALS!$U:$U,$T37,DEALS!$V:$V,"&lt;&gt;*RECEIVED*",DEALS!$V:$V,"&lt;&gt;*EXECUTED*"))</f>
        <v>22930.880000000001</v>
      </c>
      <c r="Y37" s="29" cm="1">
        <f t="array" ref="Y37">SUMIFS(BALANCES!$C:$C,BALANCES!$A:$A,$B$30,BALANCES!$B:$B,$T37,BALANCES!$D:$D,Y$34)+SUMIFS(FLOWS!$C:$C,FLOWS!$A:$A,$B$30,FLOWS!$E:$E,$T37,FLOWS!$D:$D,Y$34,FLOWS!$H:$H,"&lt;="&amp;$U$32)+SUM(SUMIFS(DEALS!$J:$J,DEALS!$A:$A,{"*REFUND*","*EXECUTED*"},DEALS!$G:$G,$B$30,DEALS!$E:$E,"&lt;="&amp;$U$32,DEALS!$K:$K,Y$34,DEALS!$M:$M,$T37,DEALS!$N:$N,"&lt;&gt;*RECEIVED*",DEALS!$N:$N,"&lt;&gt;*EXECUTED*"))+SUM(SUMIFS(DEALS!$R:$R,DEALS!$A:$A,{"*REFUND*","*EXECUTED*"},DEALS!$O:$O,$B$30,DEALS!$E:$E,"&lt;="&amp;$U$32,DEALS!$S:$S,Y$34,DEALS!$U:$U,$T37,DEALS!$V:$V,"&lt;&gt;*RECEIVED*",DEALS!$V:$V,"&lt;&gt;*EXECUTED*"))</f>
        <v>0</v>
      </c>
      <c r="Z37" s="29" cm="1">
        <f t="array" ref="Z37">SUMIFS(BALANCES!$C:$C,BALANCES!$A:$A,$B$30,BALANCES!$B:$B,$T37,BALANCES!$D:$D,Z$34)+SUMIFS(FLOWS!$C:$C,FLOWS!$A:$A,$B$30,FLOWS!$E:$E,$T37,FLOWS!$D:$D,Z$34,FLOWS!$H:$H,"&lt;="&amp;$U$32)+SUM(SUMIFS(DEALS!$J:$J,DEALS!$A:$A,{"*REFUND*","*EXECUTED*"},DEALS!$G:$G,$B$30,DEALS!$E:$E,"&lt;="&amp;$U$32,DEALS!$K:$K,Z$34,DEALS!$M:$M,$T37,DEALS!$N:$N,"&lt;&gt;*RECEIVED*",DEALS!$N:$N,"&lt;&gt;*EXECUTED*"))+SUM(SUMIFS(DEALS!$R:$R,DEALS!$A:$A,{"*REFUND*","*EXECUTED*"},DEALS!$O:$O,$B$30,DEALS!$E:$E,"&lt;="&amp;$U$32,DEALS!$S:$S,Z$34,DEALS!$U:$U,$T37,DEALS!$V:$V,"&lt;&gt;*RECEIVED*",DEALS!$V:$V,"&lt;&gt;*EXECUTED*"))</f>
        <v>1300.77</v>
      </c>
      <c r="AA37" s="30">
        <f ca="1">U37*VLOOKUP(U$34,'FX RATES'!$E$1:$F$50,2,FALSE)+V37*VLOOKUP(V$34,'FX RATES'!$E$1:$F$50,2,FALSE)+W37*VLOOKUP(W$34,'FX RATES'!$E$1:$F$50,2,FALSE)+X37*VLOOKUP(X$34,'FX RATES'!$E$1:$F$50,2,FALSE)+Y37*VLOOKUP(Y$34,'FX RATES'!$E$1:$F$50,2,FALSE)+Z37*VLOOKUP(Z$34,'FX RATES'!$E$1:$F$50,2,FALSE)</f>
        <v>13757.676693142899</v>
      </c>
      <c r="AC37" s="139">
        <f t="shared" ca="1" si="18"/>
        <v>0</v>
      </c>
    </row>
    <row r="38" spans="2:29" ht="19" hidden="1">
      <c r="B38" s="31"/>
      <c r="C38" s="32" cm="1">
        <f t="array" ref="C38">SUMIFS(BALANCES!$C:$C,BALANCES!$A:$A,$B$30,BALANCES!$B:$B,$B38,BALANCES!$D:$D,C$34)+SUMIFS(FLOWS!$C:$C,FLOWS!$A:$A,$B$30,FLOWS!$E:$E,$B38,FLOWS!$D:$D,C$34,FLOWS!$H:$H,"&lt;"&amp;$C$32)+SUM(SUMIFS(DEALS!$J:$J,DEALS!$A:$A,{"*REFUND*","*EXECUTED*"},DEALS!$G:$G,$B$30,DEALS!$E:$E,"&lt;"&amp;$C$32,DEALS!$K:$K,C$34,DEALS!$M:$M,$B38,DEALS!$N:$N,"&lt;&gt;*RECEIVED*",DEALS!$N:$N,"&lt;&gt;*EXECUTED*"))+SUM(SUMIFS(DEALS!$R:$R,DEALS!$A:$A,{"*REFUND*","*EXECUTED*"},DEALS!$O:$O,$B$30,DEALS!$E:$E,"&lt;"&amp;$C$32,DEALS!$S:$S,C$34,DEALS!$U:$U,$B38,DEALS!$V:$V,"&lt;&gt;*RECEIVED*",DEALS!$V:$V,"&lt;&gt;*EXECUTED*"))</f>
        <v>0</v>
      </c>
      <c r="D38" s="32" cm="1">
        <f t="array" ref="D38">SUMIFS(BALANCES!$C:$C,BALANCES!$A:$A,$B$30,BALANCES!$B:$B,$B38,BALANCES!$D:$D,D$34)+SUMIFS(FLOWS!$C:$C,FLOWS!$A:$A,$B$30,FLOWS!$E:$E,$B38,FLOWS!$D:$D,D$34,FLOWS!$H:$H,"&lt;"&amp;$C$32)+SUM(SUMIFS(DEALS!$J:$J,DEALS!$A:$A,{"*REFUND*","*EXECUTED*"},DEALS!$G:$G,$B$30,DEALS!$E:$E,"&lt;"&amp;$C$32,DEALS!$K:$K,D$34,DEALS!$M:$M,$B38,DEALS!$N:$N,"&lt;&gt;*RECEIVED*",DEALS!$N:$N,"&lt;&gt;*EXECUTED*"))+SUM(SUMIFS(DEALS!$R:$R,DEALS!$A:$A,{"*REFUND*","*EXECUTED*"},DEALS!$O:$O,$B$30,DEALS!$E:$E,"&lt;"&amp;$C$32,DEALS!$S:$S,D$34,DEALS!$U:$U,$B38,DEALS!$V:$V,"&lt;&gt;*RECEIVED*",DEALS!$V:$V,"&lt;&gt;*EXECUTED*"))</f>
        <v>0</v>
      </c>
      <c r="E38" s="32" cm="1">
        <f t="array" ref="E38">SUMIFS(BALANCES!$C:$C,BALANCES!$A:$A,$B$30,BALANCES!$B:$B,$B38,BALANCES!$D:$D,E$34)+SUMIFS(FLOWS!$C:$C,FLOWS!$A:$A,$B$30,FLOWS!$E:$E,$B38,FLOWS!$D:$D,E$34,FLOWS!$H:$H,"&lt;"&amp;$C$32)+SUM(SUMIFS(DEALS!$J:$J,DEALS!$A:$A,{"*REFUND*","*EXECUTED*"},DEALS!$G:$G,$B$30,DEALS!$E:$E,"&lt;"&amp;$C$32,DEALS!$K:$K,E$34,DEALS!$M:$M,$B38,DEALS!$N:$N,"&lt;&gt;*RECEIVED*",DEALS!$N:$N,"&lt;&gt;*EXECUTED*"))+SUM(SUMIFS(DEALS!$R:$R,DEALS!$A:$A,{"*REFUND*","*EXECUTED*"},DEALS!$O:$O,$B$30,DEALS!$E:$E,"&lt;"&amp;$C$32,DEALS!$S:$S,E$34,DEALS!$U:$U,$B38,DEALS!$V:$V,"&lt;&gt;*RECEIVED*",DEALS!$V:$V,"&lt;&gt;*EXECUTED*"))</f>
        <v>0</v>
      </c>
      <c r="F38" s="32" cm="1">
        <f t="array" ref="F38">SUMIFS(BALANCES!$C:$C,BALANCES!$A:$A,$B$30,BALANCES!$B:$B,$B38,BALANCES!$D:$D,F$34)+SUMIFS(FLOWS!$C:$C,FLOWS!$A:$A,$B$30,FLOWS!$E:$E,$B38,FLOWS!$D:$D,F$34,FLOWS!$H:$H,"&lt;"&amp;$C$32)+SUM(SUMIFS(DEALS!$J:$J,DEALS!$A:$A,{"*REFUND*","*EXECUTED*"},DEALS!$G:$G,$B$30,DEALS!$E:$E,"&lt;"&amp;$C$32,DEALS!$K:$K,F$34,DEALS!$M:$M,$B38,DEALS!$N:$N,"&lt;&gt;*RECEIVED*",DEALS!$N:$N,"&lt;&gt;*EXECUTED*"))+SUM(SUMIFS(DEALS!$R:$R,DEALS!$A:$A,{"*REFUND*","*EXECUTED*"},DEALS!$O:$O,$B$30,DEALS!$E:$E,"&lt;"&amp;$C$32,DEALS!$S:$S,F$34,DEALS!$U:$U,$B38,DEALS!$V:$V,"&lt;&gt;*RECEIVED*",DEALS!$V:$V,"&lt;&gt;*EXECUTED*"))</f>
        <v>0</v>
      </c>
      <c r="G38" s="32" cm="1">
        <f t="array" ref="G38">SUMIFS(BALANCES!$C:$C,BALANCES!$A:$A,$B$30,BALANCES!$B:$B,$B38,BALANCES!$D:$D,G$34)+SUMIFS(FLOWS!$C:$C,FLOWS!$A:$A,$B$30,FLOWS!$E:$E,$B38,FLOWS!$D:$D,G$34,FLOWS!$H:$H,"&lt;"&amp;$C$32)+SUM(SUMIFS(DEALS!$J:$J,DEALS!$A:$A,{"*REFUND*","*EXECUTED*"},DEALS!$G:$G,$B$30,DEALS!$E:$E,"&lt;"&amp;$C$32,DEALS!$K:$K,G$34,DEALS!$M:$M,$B38,DEALS!$N:$N,"&lt;&gt;*RECEIVED*",DEALS!$N:$N,"&lt;&gt;*EXECUTED*"))+SUM(SUMIFS(DEALS!$R:$R,DEALS!$A:$A,{"*REFUND*","*EXECUTED*"},DEALS!$O:$O,$B$30,DEALS!$E:$E,"&lt;"&amp;$C$32,DEALS!$S:$S,G$34,DEALS!$U:$U,$B38,DEALS!$V:$V,"&lt;&gt;*RECEIVED*",DEALS!$V:$V,"&lt;&gt;*EXECUTED*"))</f>
        <v>0</v>
      </c>
      <c r="H38" s="32" cm="1">
        <f t="array" ref="H38">SUMIFS(BALANCES!$C:$C,BALANCES!$A:$A,$B$30,BALANCES!$B:$B,$B38,BALANCES!$D:$D,H$34)+SUMIFS(FLOWS!$C:$C,FLOWS!$A:$A,$B$30,FLOWS!$E:$E,$B38,FLOWS!$D:$D,H$34,FLOWS!$H:$H,"&lt;"&amp;$C$32)+SUM(SUMIFS(DEALS!$J:$J,DEALS!$A:$A,{"*REFUND*","*EXECUTED*"},DEALS!$G:$G,$B$30,DEALS!$E:$E,"&lt;"&amp;$C$32,DEALS!$K:$K,H$34,DEALS!$M:$M,$B38,DEALS!$N:$N,"&lt;&gt;*RECEIVED*",DEALS!$N:$N,"&lt;&gt;*EXECUTED*"))+SUM(SUMIFS(DEALS!$R:$R,DEALS!$A:$A,{"*REFUND*","*EXECUTED*"},DEALS!$O:$O,$B$30,DEALS!$E:$E,"&lt;"&amp;$C$32,DEALS!$S:$S,H$34,DEALS!$U:$U,$B38,DEALS!$V:$V,"&lt;&gt;*RECEIVED*",DEALS!$V:$V,"&lt;&gt;*EXECUTED*"))</f>
        <v>0</v>
      </c>
      <c r="I38" s="33">
        <f ca="1">C38*VLOOKUP(C$34,'FX RATES'!$E$1:$F$50,2,FALSE)+D38*VLOOKUP(D$34,'FX RATES'!$E$1:$F$50,2,FALSE)+E38*VLOOKUP(E$34,'FX RATES'!$E$1:$F$50,2,FALSE)+F38*VLOOKUP(F$34,'FX RATES'!$E$1:$F$50,2,FALSE)+G38*VLOOKUP(G$34,'FX RATES'!$E$1:$F$50,2,FALSE)+H38*VLOOKUP(H$34,'FX RATES'!$E$1:$F$50,2,FALSE)</f>
        <v>0</v>
      </c>
      <c r="K38" s="31">
        <f t="shared" si="16"/>
        <v>0</v>
      </c>
      <c r="L38" s="32" cm="1">
        <f t="array" ref="L38">SUMIFS(FLOWS!$C:$C,FLOWS!$A:$A,$B$30,FLOWS!$E:$E,$K38,FLOWS!$D:$D,L$34,FLOWS!$H:$H,"&gt;="&amp;$C$32,FLOWS!$H:$H,"&lt;="&amp;$U$32)+SUM(SUMIFS(DEALS!$J:$J,DEALS!$A:$A,{"*REFUND*","*EXECUTED*"},DEALS!$G:$G,$B$30,DEALS!$E:$E,"&gt;="&amp;$C$32,DEALS!$E:$E,"&lt;="&amp;$U$32,DEALS!$K:$K,L$34,DEALS!$M:$M,$K38,DEALS!$N:$N,"&lt;&gt;*RECEIVED*",DEALS!$N:$N,"&lt;&gt;*EXECUTED*"))+SUM(SUMIFS(DEALS!$R:$R,DEALS!$A:$A,{"*REFUND*","*EXECUTED*"},DEALS!$O:$O,$B$30,DEALS!$E:$E,"&gt;="&amp;$C$32,DEALS!$E:$E,"&lt;="&amp;$U$32,DEALS!$S:$S,L$34,DEALS!$U:$U,$K38,DEALS!$V:$V,"&lt;&gt;*RECEIVED*",DEALS!$V:$V,"&lt;&gt;*EXECUTED*"))</f>
        <v>0</v>
      </c>
      <c r="M38" s="32" cm="1">
        <f t="array" ref="M38">SUMIFS(FLOWS!$C:$C,FLOWS!$A:$A,$B$30,FLOWS!$E:$E,$K38,FLOWS!$D:$D,M$34,FLOWS!$H:$H,"&gt;="&amp;$C$32,FLOWS!$H:$H,"&lt;="&amp;$U$32)+SUM(SUMIFS(DEALS!$J:$J,DEALS!$A:$A,{"*REFUND*","*EXECUTED*"},DEALS!$G:$G,$B$30,DEALS!$E:$E,"&gt;="&amp;$C$32,DEALS!$E:$E,"&lt;="&amp;$U$32,DEALS!$K:$K,M$34,DEALS!$M:$M,$K38,DEALS!$N:$N,"&lt;&gt;*RECEIVED*",DEALS!$N:$N,"&lt;&gt;*EXECUTED*"))+SUM(SUMIFS(DEALS!$R:$R,DEALS!$A:$A,{"*REFUND*","*EXECUTED*"},DEALS!$O:$O,$B$30,DEALS!$E:$E,"&gt;="&amp;$C$32,DEALS!$E:$E,"&lt;="&amp;$U$32,DEALS!$S:$S,M$34,DEALS!$U:$U,$K38,DEALS!$V:$V,"&lt;&gt;*RECEIVED*",DEALS!$V:$V,"&lt;&gt;*EXECUTED*"))</f>
        <v>0</v>
      </c>
      <c r="N38" s="32" cm="1">
        <f t="array" ref="N38">SUMIFS(FLOWS!$C:$C,FLOWS!$A:$A,$B$30,FLOWS!$E:$E,$K38,FLOWS!$D:$D,N$34,FLOWS!$H:$H,"&gt;="&amp;$C$32,FLOWS!$H:$H,"&lt;="&amp;$U$32)+SUM(SUMIFS(DEALS!$J:$J,DEALS!$A:$A,{"*REFUND*","*EXECUTED*"},DEALS!$G:$G,$B$30,DEALS!$E:$E,"&gt;="&amp;$C$32,DEALS!$E:$E,"&lt;="&amp;$U$32,DEALS!$K:$K,N$34,DEALS!$M:$M,$K38,DEALS!$N:$N,"&lt;&gt;*RECEIVED*",DEALS!$N:$N,"&lt;&gt;*EXECUTED*"))+SUM(SUMIFS(DEALS!$R:$R,DEALS!$A:$A,{"*REFUND*","*EXECUTED*"},DEALS!$O:$O,$B$30,DEALS!$E:$E,"&gt;="&amp;$C$32,DEALS!$E:$E,"&lt;="&amp;$U$32,DEALS!$S:$S,N$34,DEALS!$U:$U,$K38,DEALS!$V:$V,"&lt;&gt;*RECEIVED*",DEALS!$V:$V,"&lt;&gt;*EXECUTED*"))</f>
        <v>0</v>
      </c>
      <c r="O38" s="32" cm="1">
        <f t="array" ref="O38">SUMIFS(FLOWS!$C:$C,FLOWS!$A:$A,$B$30,FLOWS!$E:$E,$K38,FLOWS!$D:$D,O$34,FLOWS!$H:$H,"&gt;="&amp;$C$32,FLOWS!$H:$H,"&lt;="&amp;$U$32)+SUM(SUMIFS(DEALS!$J:$J,DEALS!$A:$A,{"*REFUND*","*EXECUTED*"},DEALS!$G:$G,$B$30,DEALS!$E:$E,"&gt;="&amp;$C$32,DEALS!$E:$E,"&lt;="&amp;$U$32,DEALS!$K:$K,O$34,DEALS!$M:$M,$K38,DEALS!$N:$N,"&lt;&gt;*RECEIVED*",DEALS!$N:$N,"&lt;&gt;*EXECUTED*"))+SUM(SUMIFS(DEALS!$R:$R,DEALS!$A:$A,{"*REFUND*","*EXECUTED*"},DEALS!$O:$O,$B$30,DEALS!$E:$E,"&gt;="&amp;$C$32,DEALS!$E:$E,"&lt;="&amp;$U$32,DEALS!$S:$S,O$34,DEALS!$U:$U,$K38,DEALS!$V:$V,"&lt;&gt;*RECEIVED*",DEALS!$V:$V,"&lt;&gt;*EXECUTED*"))</f>
        <v>0</v>
      </c>
      <c r="P38" s="32" cm="1">
        <f t="array" ref="P38">SUMIFS(FLOWS!$C:$C,FLOWS!$A:$A,$B$30,FLOWS!$E:$E,$K38,FLOWS!$D:$D,P$34,FLOWS!$H:$H,"&gt;="&amp;$C$32,FLOWS!$H:$H,"&lt;="&amp;$U$32)+SUM(SUMIFS(DEALS!$J:$J,DEALS!$A:$A,{"*REFUND*","*EXECUTED*"},DEALS!$G:$G,$B$30,DEALS!$E:$E,"&gt;="&amp;$C$32,DEALS!$E:$E,"&lt;="&amp;$U$32,DEALS!$K:$K,P$34,DEALS!$M:$M,$K38,DEALS!$N:$N,"&lt;&gt;*RECEIVED*",DEALS!$N:$N,"&lt;&gt;*EXECUTED*"))+SUM(SUMIFS(DEALS!$R:$R,DEALS!$A:$A,{"*REFUND*","*EXECUTED*"},DEALS!$O:$O,$B$30,DEALS!$E:$E,"&gt;="&amp;$C$32,DEALS!$E:$E,"&lt;="&amp;$U$32,DEALS!$S:$S,P$34,DEALS!$U:$U,$K38,DEALS!$V:$V,"&lt;&gt;*RECEIVED*",DEALS!$V:$V,"&lt;&gt;*EXECUTED*"))</f>
        <v>0</v>
      </c>
      <c r="Q38" s="32" cm="1">
        <f t="array" ref="Q38">SUMIFS(FLOWS!$C:$C,FLOWS!$A:$A,$B$30,FLOWS!$E:$E,$K38,FLOWS!$D:$D,Q$34,FLOWS!$H:$H,"&gt;="&amp;$C$32,FLOWS!$H:$H,"&lt;="&amp;$U$32)+SUM(SUMIFS(DEALS!$J:$J,DEALS!$A:$A,{"*REFUND*","*EXECUTED*"},DEALS!$G:$G,$B$30,DEALS!$E:$E,"&gt;="&amp;$C$32,DEALS!$E:$E,"&lt;="&amp;$U$32,DEALS!$K:$K,Q$34,DEALS!$M:$M,$K38,DEALS!$N:$N,"&lt;&gt;*RECEIVED*",DEALS!$N:$N,"&lt;&gt;*EXECUTED*"))+SUM(SUMIFS(DEALS!$R:$R,DEALS!$A:$A,{"*REFUND*","*EXECUTED*"},DEALS!$O:$O,$B$30,DEALS!$E:$E,"&gt;="&amp;$C$32,DEALS!$E:$E,"&lt;="&amp;$U$32,DEALS!$S:$S,Q$34,DEALS!$U:$U,$K38,DEALS!$V:$V,"&lt;&gt;*RECEIVED*",DEALS!$V:$V,"&lt;&gt;*EXECUTED*"))</f>
        <v>0</v>
      </c>
      <c r="R38" s="33">
        <f ca="1">L38*VLOOKUP(L$34,'FX RATES'!$E$1:$F$50,2,FALSE)+M38*VLOOKUP(M$34,'FX RATES'!$E$1:$F$50,2,FALSE)+N38*VLOOKUP(N$34,'FX RATES'!$E$1:$F$50,2,FALSE)+O38*VLOOKUP(O$34,'FX RATES'!$E$1:$F$50,2,FALSE)+P38*VLOOKUP(P$34,'FX RATES'!$E$1:$F$50,2,FALSE)+Q38*VLOOKUP(Q$34,'FX RATES'!$E$1:$F$50,2,FALSE)</f>
        <v>0</v>
      </c>
      <c r="T38" s="31">
        <f t="shared" si="17"/>
        <v>0</v>
      </c>
      <c r="U38" s="32" cm="1">
        <f t="array" ref="U38">SUMIFS(BALANCES!$C:$C,BALANCES!$A:$A,$B$30,BALANCES!$B:$B,$T38,BALANCES!$D:$D,U$34)+SUMIFS(FLOWS!$C:$C,FLOWS!$A:$A,$B$30,FLOWS!$E:$E,$T38,FLOWS!$D:$D,U$34,FLOWS!$H:$H,"&lt;="&amp;$U$32)+SUM(SUMIFS(DEALS!$J:$J,DEALS!$A:$A,{"*REFUND*","*EXECUTED*"},DEALS!$G:$G,$B$30,DEALS!$E:$E,"&lt;="&amp;$U$32,DEALS!$K:$K,U$34,DEALS!$M:$M,$T38,DEALS!$N:$N,"&lt;&gt;*RECEIVED*",DEALS!$N:$N,"&lt;&gt;*EXECUTED*"))+SUM(SUMIFS(DEALS!$R:$R,DEALS!$A:$A,{"*REFUND*","*EXECUTED*"},DEALS!$O:$O,$B$30,DEALS!$E:$E,"&lt;="&amp;$U$32,DEALS!$S:$S,U$34,DEALS!$U:$U,$T38,DEALS!$V:$V,"&lt;&gt;*RECEIVED*",DEALS!$V:$V,"&lt;&gt;*EXECUTED*"))</f>
        <v>0</v>
      </c>
      <c r="V38" s="32" cm="1">
        <f t="array" ref="V38">SUMIFS(BALANCES!$C:$C,BALANCES!$A:$A,$B$30,BALANCES!$B:$B,$T38,BALANCES!$D:$D,V$34)+SUMIFS(FLOWS!$C:$C,FLOWS!$A:$A,$B$30,FLOWS!$E:$E,$T38,FLOWS!$D:$D,V$34,FLOWS!$H:$H,"&lt;="&amp;$U$32)+SUM(SUMIFS(DEALS!$J:$J,DEALS!$A:$A,{"*REFUND*","*EXECUTED*"},DEALS!$G:$G,$B$30,DEALS!$E:$E,"&lt;="&amp;$U$32,DEALS!$K:$K,V$34,DEALS!$M:$M,$T38,DEALS!$N:$N,"&lt;&gt;*RECEIVED*",DEALS!$N:$N,"&lt;&gt;*EXECUTED*"))+SUM(SUMIFS(DEALS!$R:$R,DEALS!$A:$A,{"*REFUND*","*EXECUTED*"},DEALS!$O:$O,$B$30,DEALS!$E:$E,"&lt;="&amp;$U$32,DEALS!$S:$S,V$34,DEALS!$U:$U,$T38,DEALS!$V:$V,"&lt;&gt;*RECEIVED*",DEALS!$V:$V,"&lt;&gt;*EXECUTED*"))</f>
        <v>0</v>
      </c>
      <c r="W38" s="32" cm="1">
        <f t="array" ref="W38">SUMIFS(BALANCES!$C:$C,BALANCES!$A:$A,$B$30,BALANCES!$B:$B,$T38,BALANCES!$D:$D,W$34)+SUMIFS(FLOWS!$C:$C,FLOWS!$A:$A,$B$30,FLOWS!$E:$E,$T38,FLOWS!$D:$D,W$34,FLOWS!$H:$H,"&lt;="&amp;$U$32)+SUM(SUMIFS(DEALS!$J:$J,DEALS!$A:$A,{"*REFUND*","*EXECUTED*"},DEALS!$G:$G,$B$30,DEALS!$E:$E,"&lt;="&amp;$U$32,DEALS!$K:$K,W$34,DEALS!$M:$M,$T38,DEALS!$N:$N,"&lt;&gt;*RECEIVED*",DEALS!$N:$N,"&lt;&gt;*EXECUTED*"))+SUM(SUMIFS(DEALS!$R:$R,DEALS!$A:$A,{"*REFUND*","*EXECUTED*"},DEALS!$O:$O,$B$30,DEALS!$E:$E,"&lt;="&amp;$U$32,DEALS!$S:$S,W$34,DEALS!$U:$U,$T38,DEALS!$V:$V,"&lt;&gt;*RECEIVED*",DEALS!$V:$V,"&lt;&gt;*EXECUTED*"))</f>
        <v>0</v>
      </c>
      <c r="X38" s="32" cm="1">
        <f t="array" ref="X38">SUMIFS(BALANCES!$C:$C,BALANCES!$A:$A,$B$30,BALANCES!$B:$B,$T38,BALANCES!$D:$D,X$34)+SUMIFS(FLOWS!$C:$C,FLOWS!$A:$A,$B$30,FLOWS!$E:$E,$T38,FLOWS!$D:$D,X$34,FLOWS!$H:$H,"&lt;="&amp;$U$32)+SUM(SUMIFS(DEALS!$J:$J,DEALS!$A:$A,{"*REFUND*","*EXECUTED*"},DEALS!$G:$G,$B$30,DEALS!$E:$E,"&lt;="&amp;$U$32,DEALS!$K:$K,X$34,DEALS!$M:$M,$T38,DEALS!$N:$N,"&lt;&gt;*RECEIVED*",DEALS!$N:$N,"&lt;&gt;*EXECUTED*"))+SUM(SUMIFS(DEALS!$R:$R,DEALS!$A:$A,{"*REFUND*","*EXECUTED*"},DEALS!$O:$O,$B$30,DEALS!$E:$E,"&lt;="&amp;$U$32,DEALS!$S:$S,X$34,DEALS!$U:$U,$T38,DEALS!$V:$V,"&lt;&gt;*RECEIVED*",DEALS!$V:$V,"&lt;&gt;*EXECUTED*"))</f>
        <v>0</v>
      </c>
      <c r="Y38" s="32" cm="1">
        <f t="array" ref="Y38">SUMIFS(BALANCES!$C:$C,BALANCES!$A:$A,$B$30,BALANCES!$B:$B,$T38,BALANCES!$D:$D,Y$34)+SUMIFS(FLOWS!$C:$C,FLOWS!$A:$A,$B$30,FLOWS!$E:$E,$T38,FLOWS!$D:$D,Y$34,FLOWS!$H:$H,"&lt;="&amp;$U$32)+SUM(SUMIFS(DEALS!$J:$J,DEALS!$A:$A,{"*REFUND*","*EXECUTED*"},DEALS!$G:$G,$B$30,DEALS!$E:$E,"&lt;="&amp;$U$32,DEALS!$K:$K,Y$34,DEALS!$M:$M,$T38,DEALS!$N:$N,"&lt;&gt;*RECEIVED*",DEALS!$N:$N,"&lt;&gt;*EXECUTED*"))+SUM(SUMIFS(DEALS!$R:$R,DEALS!$A:$A,{"*REFUND*","*EXECUTED*"},DEALS!$O:$O,$B$30,DEALS!$E:$E,"&lt;="&amp;$U$32,DEALS!$S:$S,Y$34,DEALS!$U:$U,$T38,DEALS!$V:$V,"&lt;&gt;*RECEIVED*",DEALS!$V:$V,"&lt;&gt;*EXECUTED*"))</f>
        <v>0</v>
      </c>
      <c r="Z38" s="32" cm="1">
        <f t="array" ref="Z38">SUMIFS(BALANCES!$C:$C,BALANCES!$A:$A,$B$30,BALANCES!$B:$B,$T38,BALANCES!$D:$D,Z$34)+SUMIFS(FLOWS!$C:$C,FLOWS!$A:$A,$B$30,FLOWS!$E:$E,$T38,FLOWS!$D:$D,Z$34,FLOWS!$H:$H,"&lt;="&amp;$U$32)+SUM(SUMIFS(DEALS!$J:$J,DEALS!$A:$A,{"*REFUND*","*EXECUTED*"},DEALS!$G:$G,$B$30,DEALS!$E:$E,"&lt;="&amp;$U$32,DEALS!$K:$K,Z$34,DEALS!$M:$M,$T38,DEALS!$N:$N,"&lt;&gt;*RECEIVED*",DEALS!$N:$N,"&lt;&gt;*EXECUTED*"))+SUM(SUMIFS(DEALS!$R:$R,DEALS!$A:$A,{"*REFUND*","*EXECUTED*"},DEALS!$O:$O,$B$30,DEALS!$E:$E,"&lt;="&amp;$U$32,DEALS!$S:$S,Z$34,DEALS!$U:$U,$T38,DEALS!$V:$V,"&lt;&gt;*RECEIVED*",DEALS!$V:$V,"&lt;&gt;*EXECUTED*"))</f>
        <v>0</v>
      </c>
      <c r="AA38" s="33">
        <f ca="1">U38*VLOOKUP(U$34,'FX RATES'!$E$1:$F$50,2,FALSE)+V38*VLOOKUP(V$34,'FX RATES'!$E$1:$F$50,2,FALSE)+W38*VLOOKUP(W$34,'FX RATES'!$E$1:$F$50,2,FALSE)+X38*VLOOKUP(X$34,'FX RATES'!$E$1:$F$50,2,FALSE)+Y38*VLOOKUP(Y$34,'FX RATES'!$E$1:$F$50,2,FALSE)+Z38*VLOOKUP(Z$34,'FX RATES'!$E$1:$F$50,2,FALSE)</f>
        <v>0</v>
      </c>
      <c r="AC38" s="139">
        <f t="shared" ca="1" si="18"/>
        <v>0</v>
      </c>
    </row>
    <row r="39" spans="2:29" ht="19" hidden="1">
      <c r="B39" s="28"/>
      <c r="C39" s="29" cm="1">
        <f t="array" ref="C39">SUMIFS(BALANCES!$C:$C,BALANCES!$A:$A,$B$30,BALANCES!$B:$B,$B39,BALANCES!$D:$D,C$34)+SUMIFS(FLOWS!$C:$C,FLOWS!$A:$A,$B$30,FLOWS!$E:$E,$B39,FLOWS!$D:$D,C$34,FLOWS!$H:$H,"&lt;"&amp;$C$32)+SUM(SUMIFS(DEALS!$J:$J,DEALS!$A:$A,{"*REFUND*","*EXECUTED*"},DEALS!$G:$G,$B$30,DEALS!$E:$E,"&lt;"&amp;$C$32,DEALS!$K:$K,C$34,DEALS!$M:$M,$B39,DEALS!$N:$N,"&lt;&gt;*RECEIVED*",DEALS!$N:$N,"&lt;&gt;*EXECUTED*"))+SUM(SUMIFS(DEALS!$R:$R,DEALS!$A:$A,{"*REFUND*","*EXECUTED*"},DEALS!$O:$O,$B$30,DEALS!$E:$E,"&lt;"&amp;$C$32,DEALS!$S:$S,C$34,DEALS!$U:$U,$B39,DEALS!$V:$V,"&lt;&gt;*RECEIVED*",DEALS!$V:$V,"&lt;&gt;*EXECUTED*"))</f>
        <v>0</v>
      </c>
      <c r="D39" s="29" cm="1">
        <f t="array" ref="D39">SUMIFS(BALANCES!$C:$C,BALANCES!$A:$A,$B$30,BALANCES!$B:$B,$B39,BALANCES!$D:$D,D$34)+SUMIFS(FLOWS!$C:$C,FLOWS!$A:$A,$B$30,FLOWS!$E:$E,$B39,FLOWS!$D:$D,D$34,FLOWS!$H:$H,"&lt;"&amp;$C$32)+SUM(SUMIFS(DEALS!$J:$J,DEALS!$A:$A,{"*REFUND*","*EXECUTED*"},DEALS!$G:$G,$B$30,DEALS!$E:$E,"&lt;"&amp;$C$32,DEALS!$K:$K,D$34,DEALS!$M:$M,$B39,DEALS!$N:$N,"&lt;&gt;*RECEIVED*",DEALS!$N:$N,"&lt;&gt;*EXECUTED*"))+SUM(SUMIFS(DEALS!$R:$R,DEALS!$A:$A,{"*REFUND*","*EXECUTED*"},DEALS!$O:$O,$B$30,DEALS!$E:$E,"&lt;"&amp;$C$32,DEALS!$S:$S,D$34,DEALS!$U:$U,$B39,DEALS!$V:$V,"&lt;&gt;*RECEIVED*",DEALS!$V:$V,"&lt;&gt;*EXECUTED*"))</f>
        <v>0</v>
      </c>
      <c r="E39" s="29" cm="1">
        <f t="array" ref="E39">SUMIFS(BALANCES!$C:$C,BALANCES!$A:$A,$B$30,BALANCES!$B:$B,$B39,BALANCES!$D:$D,E$34)+SUMIFS(FLOWS!$C:$C,FLOWS!$A:$A,$B$30,FLOWS!$E:$E,$B39,FLOWS!$D:$D,E$34,FLOWS!$H:$H,"&lt;"&amp;$C$32)+SUM(SUMIFS(DEALS!$J:$J,DEALS!$A:$A,{"*REFUND*","*EXECUTED*"},DEALS!$G:$G,$B$30,DEALS!$E:$E,"&lt;"&amp;$C$32,DEALS!$K:$K,E$34,DEALS!$M:$M,$B39,DEALS!$N:$N,"&lt;&gt;*RECEIVED*",DEALS!$N:$N,"&lt;&gt;*EXECUTED*"))+SUM(SUMIFS(DEALS!$R:$R,DEALS!$A:$A,{"*REFUND*","*EXECUTED*"},DEALS!$O:$O,$B$30,DEALS!$E:$E,"&lt;"&amp;$C$32,DEALS!$S:$S,E$34,DEALS!$U:$U,$B39,DEALS!$V:$V,"&lt;&gt;*RECEIVED*",DEALS!$V:$V,"&lt;&gt;*EXECUTED*"))</f>
        <v>0</v>
      </c>
      <c r="F39" s="29" cm="1">
        <f t="array" ref="F39">SUMIFS(BALANCES!$C:$C,BALANCES!$A:$A,$B$30,BALANCES!$B:$B,$B39,BALANCES!$D:$D,F$34)+SUMIFS(FLOWS!$C:$C,FLOWS!$A:$A,$B$30,FLOWS!$E:$E,$B39,FLOWS!$D:$D,F$34,FLOWS!$H:$H,"&lt;"&amp;$C$32)+SUM(SUMIFS(DEALS!$J:$J,DEALS!$A:$A,{"*REFUND*","*EXECUTED*"},DEALS!$G:$G,$B$30,DEALS!$E:$E,"&lt;"&amp;$C$32,DEALS!$K:$K,F$34,DEALS!$M:$M,$B39,DEALS!$N:$N,"&lt;&gt;*RECEIVED*",DEALS!$N:$N,"&lt;&gt;*EXECUTED*"))+SUM(SUMIFS(DEALS!$R:$R,DEALS!$A:$A,{"*REFUND*","*EXECUTED*"},DEALS!$O:$O,$B$30,DEALS!$E:$E,"&lt;"&amp;$C$32,DEALS!$S:$S,F$34,DEALS!$U:$U,$B39,DEALS!$V:$V,"&lt;&gt;*RECEIVED*",DEALS!$V:$V,"&lt;&gt;*EXECUTED*"))</f>
        <v>0</v>
      </c>
      <c r="G39" s="29" cm="1">
        <f t="array" ref="G39">SUMIFS(BALANCES!$C:$C,BALANCES!$A:$A,$B$30,BALANCES!$B:$B,$B39,BALANCES!$D:$D,G$34)+SUMIFS(FLOWS!$C:$C,FLOWS!$A:$A,$B$30,FLOWS!$E:$E,$B39,FLOWS!$D:$D,G$34,FLOWS!$H:$H,"&lt;"&amp;$C$32)+SUM(SUMIFS(DEALS!$J:$J,DEALS!$A:$A,{"*REFUND*","*EXECUTED*"},DEALS!$G:$G,$B$30,DEALS!$E:$E,"&lt;"&amp;$C$32,DEALS!$K:$K,G$34,DEALS!$M:$M,$B39,DEALS!$N:$N,"&lt;&gt;*RECEIVED*",DEALS!$N:$N,"&lt;&gt;*EXECUTED*"))+SUM(SUMIFS(DEALS!$R:$R,DEALS!$A:$A,{"*REFUND*","*EXECUTED*"},DEALS!$O:$O,$B$30,DEALS!$E:$E,"&lt;"&amp;$C$32,DEALS!$S:$S,G$34,DEALS!$U:$U,$B39,DEALS!$V:$V,"&lt;&gt;*RECEIVED*",DEALS!$V:$V,"&lt;&gt;*EXECUTED*"))</f>
        <v>0</v>
      </c>
      <c r="H39" s="29" cm="1">
        <f t="array" ref="H39">SUMIFS(BALANCES!$C:$C,BALANCES!$A:$A,$B$30,BALANCES!$B:$B,$B39,BALANCES!$D:$D,H$34)+SUMIFS(FLOWS!$C:$C,FLOWS!$A:$A,$B$30,FLOWS!$E:$E,$B39,FLOWS!$D:$D,H$34,FLOWS!$H:$H,"&lt;"&amp;$C$32)+SUM(SUMIFS(DEALS!$J:$J,DEALS!$A:$A,{"*REFUND*","*EXECUTED*"},DEALS!$G:$G,$B$30,DEALS!$E:$E,"&lt;"&amp;$C$32,DEALS!$K:$K,H$34,DEALS!$M:$M,$B39,DEALS!$N:$N,"&lt;&gt;*RECEIVED*",DEALS!$N:$N,"&lt;&gt;*EXECUTED*"))+SUM(SUMIFS(DEALS!$R:$R,DEALS!$A:$A,{"*REFUND*","*EXECUTED*"},DEALS!$O:$O,$B$30,DEALS!$E:$E,"&lt;"&amp;$C$32,DEALS!$S:$S,H$34,DEALS!$U:$U,$B39,DEALS!$V:$V,"&lt;&gt;*RECEIVED*",DEALS!$V:$V,"&lt;&gt;*EXECUTED*"))</f>
        <v>0</v>
      </c>
      <c r="I39" s="30">
        <f ca="1">C39*VLOOKUP(C$34,'FX RATES'!$E$1:$F$50,2,FALSE)+D39*VLOOKUP(D$34,'FX RATES'!$E$1:$F$50,2,FALSE)+E39*VLOOKUP(E$34,'FX RATES'!$E$1:$F$50,2,FALSE)+F39*VLOOKUP(F$34,'FX RATES'!$E$1:$F$50,2,FALSE)+G39*VLOOKUP(G$34,'FX RATES'!$E$1:$F$50,2,FALSE)+H39*VLOOKUP(H$34,'FX RATES'!$E$1:$F$50,2,FALSE)</f>
        <v>0</v>
      </c>
      <c r="K39" s="28">
        <f t="shared" si="16"/>
        <v>0</v>
      </c>
      <c r="L39" s="29" cm="1">
        <f t="array" ref="L39">SUMIFS(FLOWS!$C:$C,FLOWS!$A:$A,$B$30,FLOWS!$E:$E,$K39,FLOWS!$D:$D,L$34,FLOWS!$H:$H,"&gt;="&amp;$C$32,FLOWS!$H:$H,"&lt;="&amp;$U$32)+SUM(SUMIFS(DEALS!$J:$J,DEALS!$A:$A,{"*REFUND*","*EXECUTED*"},DEALS!$G:$G,$B$30,DEALS!$E:$E,"&gt;="&amp;$C$32,DEALS!$E:$E,"&lt;="&amp;$U$32,DEALS!$K:$K,L$34,DEALS!$M:$M,$K39,DEALS!$N:$N,"&lt;&gt;*RECEIVED*",DEALS!$N:$N,"&lt;&gt;*EXECUTED*"))+SUM(SUMIFS(DEALS!$R:$R,DEALS!$A:$A,{"*REFUND*","*EXECUTED*"},DEALS!$O:$O,$B$30,DEALS!$E:$E,"&gt;="&amp;$C$32,DEALS!$E:$E,"&lt;="&amp;$U$32,DEALS!$S:$S,L$34,DEALS!$U:$U,$K39,DEALS!$V:$V,"&lt;&gt;*RECEIVED*",DEALS!$V:$V,"&lt;&gt;*EXECUTED*"))</f>
        <v>0</v>
      </c>
      <c r="M39" s="29" cm="1">
        <f t="array" ref="M39">SUMIFS(FLOWS!$C:$C,FLOWS!$A:$A,$B$30,FLOWS!$E:$E,$K39,FLOWS!$D:$D,M$34,FLOWS!$H:$H,"&gt;="&amp;$C$32,FLOWS!$H:$H,"&lt;="&amp;$U$32)+SUM(SUMIFS(DEALS!$J:$J,DEALS!$A:$A,{"*REFUND*","*EXECUTED*"},DEALS!$G:$G,$B$30,DEALS!$E:$E,"&gt;="&amp;$C$32,DEALS!$E:$E,"&lt;="&amp;$U$32,DEALS!$K:$K,M$34,DEALS!$M:$M,$K39,DEALS!$N:$N,"&lt;&gt;*RECEIVED*",DEALS!$N:$N,"&lt;&gt;*EXECUTED*"))+SUM(SUMIFS(DEALS!$R:$R,DEALS!$A:$A,{"*REFUND*","*EXECUTED*"},DEALS!$O:$O,$B$30,DEALS!$E:$E,"&gt;="&amp;$C$32,DEALS!$E:$E,"&lt;="&amp;$U$32,DEALS!$S:$S,M$34,DEALS!$U:$U,$K39,DEALS!$V:$V,"&lt;&gt;*RECEIVED*",DEALS!$V:$V,"&lt;&gt;*EXECUTED*"))</f>
        <v>0</v>
      </c>
      <c r="N39" s="29" cm="1">
        <f t="array" ref="N39">SUMIFS(FLOWS!$C:$C,FLOWS!$A:$A,$B$30,FLOWS!$E:$E,$K39,FLOWS!$D:$D,N$34,FLOWS!$H:$H,"&gt;="&amp;$C$32,FLOWS!$H:$H,"&lt;="&amp;$U$32)+SUM(SUMIFS(DEALS!$J:$J,DEALS!$A:$A,{"*REFUND*","*EXECUTED*"},DEALS!$G:$G,$B$30,DEALS!$E:$E,"&gt;="&amp;$C$32,DEALS!$E:$E,"&lt;="&amp;$U$32,DEALS!$K:$K,N$34,DEALS!$M:$M,$K39,DEALS!$N:$N,"&lt;&gt;*RECEIVED*",DEALS!$N:$N,"&lt;&gt;*EXECUTED*"))+SUM(SUMIFS(DEALS!$R:$R,DEALS!$A:$A,{"*REFUND*","*EXECUTED*"},DEALS!$O:$O,$B$30,DEALS!$E:$E,"&gt;="&amp;$C$32,DEALS!$E:$E,"&lt;="&amp;$U$32,DEALS!$S:$S,N$34,DEALS!$U:$U,$K39,DEALS!$V:$V,"&lt;&gt;*RECEIVED*",DEALS!$V:$V,"&lt;&gt;*EXECUTED*"))</f>
        <v>0</v>
      </c>
      <c r="O39" s="29" cm="1">
        <f t="array" ref="O39">SUMIFS(FLOWS!$C:$C,FLOWS!$A:$A,$B$30,FLOWS!$E:$E,$K39,FLOWS!$D:$D,O$34,FLOWS!$H:$H,"&gt;="&amp;$C$32,FLOWS!$H:$H,"&lt;="&amp;$U$32)+SUM(SUMIFS(DEALS!$J:$J,DEALS!$A:$A,{"*REFUND*","*EXECUTED*"},DEALS!$G:$G,$B$30,DEALS!$E:$E,"&gt;="&amp;$C$32,DEALS!$E:$E,"&lt;="&amp;$U$32,DEALS!$K:$K,O$34,DEALS!$M:$M,$K39,DEALS!$N:$N,"&lt;&gt;*RECEIVED*",DEALS!$N:$N,"&lt;&gt;*EXECUTED*"))+SUM(SUMIFS(DEALS!$R:$R,DEALS!$A:$A,{"*REFUND*","*EXECUTED*"},DEALS!$O:$O,$B$30,DEALS!$E:$E,"&gt;="&amp;$C$32,DEALS!$E:$E,"&lt;="&amp;$U$32,DEALS!$S:$S,O$34,DEALS!$U:$U,$K39,DEALS!$V:$V,"&lt;&gt;*RECEIVED*",DEALS!$V:$V,"&lt;&gt;*EXECUTED*"))</f>
        <v>0</v>
      </c>
      <c r="P39" s="29" cm="1">
        <f t="array" ref="P39">SUMIFS(FLOWS!$C:$C,FLOWS!$A:$A,$B$30,FLOWS!$E:$E,$K39,FLOWS!$D:$D,P$34,FLOWS!$H:$H,"&gt;="&amp;$C$32,FLOWS!$H:$H,"&lt;="&amp;$U$32)+SUM(SUMIFS(DEALS!$J:$J,DEALS!$A:$A,{"*REFUND*","*EXECUTED*"},DEALS!$G:$G,$B$30,DEALS!$E:$E,"&gt;="&amp;$C$32,DEALS!$E:$E,"&lt;="&amp;$U$32,DEALS!$K:$K,P$34,DEALS!$M:$M,$K39,DEALS!$N:$N,"&lt;&gt;*RECEIVED*",DEALS!$N:$N,"&lt;&gt;*EXECUTED*"))+SUM(SUMIFS(DEALS!$R:$R,DEALS!$A:$A,{"*REFUND*","*EXECUTED*"},DEALS!$O:$O,$B$30,DEALS!$E:$E,"&gt;="&amp;$C$32,DEALS!$E:$E,"&lt;="&amp;$U$32,DEALS!$S:$S,P$34,DEALS!$U:$U,$K39,DEALS!$V:$V,"&lt;&gt;*RECEIVED*",DEALS!$V:$V,"&lt;&gt;*EXECUTED*"))</f>
        <v>0</v>
      </c>
      <c r="Q39" s="29" cm="1">
        <f t="array" ref="Q39">SUMIFS(FLOWS!$C:$C,FLOWS!$A:$A,$B$30,FLOWS!$E:$E,$K39,FLOWS!$D:$D,Q$34,FLOWS!$H:$H,"&gt;="&amp;$C$32,FLOWS!$H:$H,"&lt;="&amp;$U$32)+SUM(SUMIFS(DEALS!$J:$J,DEALS!$A:$A,{"*REFUND*","*EXECUTED*"},DEALS!$G:$G,$B$30,DEALS!$E:$E,"&gt;="&amp;$C$32,DEALS!$E:$E,"&lt;="&amp;$U$32,DEALS!$K:$K,Q$34,DEALS!$M:$M,$K39,DEALS!$N:$N,"&lt;&gt;*RECEIVED*",DEALS!$N:$N,"&lt;&gt;*EXECUTED*"))+SUM(SUMIFS(DEALS!$R:$R,DEALS!$A:$A,{"*REFUND*","*EXECUTED*"},DEALS!$O:$O,$B$30,DEALS!$E:$E,"&gt;="&amp;$C$32,DEALS!$E:$E,"&lt;="&amp;$U$32,DEALS!$S:$S,Q$34,DEALS!$U:$U,$K39,DEALS!$V:$V,"&lt;&gt;*RECEIVED*",DEALS!$V:$V,"&lt;&gt;*EXECUTED*"))</f>
        <v>0</v>
      </c>
      <c r="R39" s="30">
        <f ca="1">L39*VLOOKUP(L$34,'FX RATES'!$E$1:$F$50,2,FALSE)+M39*VLOOKUP(M$34,'FX RATES'!$E$1:$F$50,2,FALSE)+N39*VLOOKUP(N$34,'FX RATES'!$E$1:$F$50,2,FALSE)+O39*VLOOKUP(O$34,'FX RATES'!$E$1:$F$50,2,FALSE)+P39*VLOOKUP(P$34,'FX RATES'!$E$1:$F$50,2,FALSE)+Q39*VLOOKUP(Q$34,'FX RATES'!$E$1:$F$50,2,FALSE)</f>
        <v>0</v>
      </c>
      <c r="T39" s="28">
        <f t="shared" si="17"/>
        <v>0</v>
      </c>
      <c r="U39" s="29" cm="1">
        <f t="array" ref="U39">SUMIFS(BALANCES!$C:$C,BALANCES!$A:$A,$B$30,BALANCES!$B:$B,$T39,BALANCES!$D:$D,U$34)+SUMIFS(FLOWS!$C:$C,FLOWS!$A:$A,$B$30,FLOWS!$E:$E,$T39,FLOWS!$D:$D,U$34,FLOWS!$H:$H,"&lt;="&amp;$U$32)+SUM(SUMIFS(DEALS!$J:$J,DEALS!$A:$A,{"*REFUND*","*EXECUTED*"},DEALS!$G:$G,$B$30,DEALS!$E:$E,"&lt;="&amp;$U$32,DEALS!$K:$K,U$34,DEALS!$M:$M,$T39,DEALS!$N:$N,"&lt;&gt;*RECEIVED*",DEALS!$N:$N,"&lt;&gt;*EXECUTED*"))+SUM(SUMIFS(DEALS!$R:$R,DEALS!$A:$A,{"*REFUND*","*EXECUTED*"},DEALS!$O:$O,$B$30,DEALS!$E:$E,"&lt;="&amp;$U$32,DEALS!$S:$S,U$34,DEALS!$U:$U,$T39,DEALS!$V:$V,"&lt;&gt;*RECEIVED*",DEALS!$V:$V,"&lt;&gt;*EXECUTED*"))</f>
        <v>0</v>
      </c>
      <c r="V39" s="29" cm="1">
        <f t="array" ref="V39">SUMIFS(BALANCES!$C:$C,BALANCES!$A:$A,$B$30,BALANCES!$B:$B,$T39,BALANCES!$D:$D,V$34)+SUMIFS(FLOWS!$C:$C,FLOWS!$A:$A,$B$30,FLOWS!$E:$E,$T39,FLOWS!$D:$D,V$34,FLOWS!$H:$H,"&lt;="&amp;$U$32)+SUM(SUMIFS(DEALS!$J:$J,DEALS!$A:$A,{"*REFUND*","*EXECUTED*"},DEALS!$G:$G,$B$30,DEALS!$E:$E,"&lt;="&amp;$U$32,DEALS!$K:$K,V$34,DEALS!$M:$M,$T39,DEALS!$N:$N,"&lt;&gt;*RECEIVED*",DEALS!$N:$N,"&lt;&gt;*EXECUTED*"))+SUM(SUMIFS(DEALS!$R:$R,DEALS!$A:$A,{"*REFUND*","*EXECUTED*"},DEALS!$O:$O,$B$30,DEALS!$E:$E,"&lt;="&amp;$U$32,DEALS!$S:$S,V$34,DEALS!$U:$U,$T39,DEALS!$V:$V,"&lt;&gt;*RECEIVED*",DEALS!$V:$V,"&lt;&gt;*EXECUTED*"))</f>
        <v>0</v>
      </c>
      <c r="W39" s="29" cm="1">
        <f t="array" ref="W39">SUMIFS(BALANCES!$C:$C,BALANCES!$A:$A,$B$30,BALANCES!$B:$B,$T39,BALANCES!$D:$D,W$34)+SUMIFS(FLOWS!$C:$C,FLOWS!$A:$A,$B$30,FLOWS!$E:$E,$T39,FLOWS!$D:$D,W$34,FLOWS!$H:$H,"&lt;="&amp;$U$32)+SUM(SUMIFS(DEALS!$J:$J,DEALS!$A:$A,{"*REFUND*","*EXECUTED*"},DEALS!$G:$G,$B$30,DEALS!$E:$E,"&lt;="&amp;$U$32,DEALS!$K:$K,W$34,DEALS!$M:$M,$T39,DEALS!$N:$N,"&lt;&gt;*RECEIVED*",DEALS!$N:$N,"&lt;&gt;*EXECUTED*"))+SUM(SUMIFS(DEALS!$R:$R,DEALS!$A:$A,{"*REFUND*","*EXECUTED*"},DEALS!$O:$O,$B$30,DEALS!$E:$E,"&lt;="&amp;$U$32,DEALS!$S:$S,W$34,DEALS!$U:$U,$T39,DEALS!$V:$V,"&lt;&gt;*RECEIVED*",DEALS!$V:$V,"&lt;&gt;*EXECUTED*"))</f>
        <v>0</v>
      </c>
      <c r="X39" s="29" cm="1">
        <f t="array" ref="X39">SUMIFS(BALANCES!$C:$C,BALANCES!$A:$A,$B$30,BALANCES!$B:$B,$T39,BALANCES!$D:$D,X$34)+SUMIFS(FLOWS!$C:$C,FLOWS!$A:$A,$B$30,FLOWS!$E:$E,$T39,FLOWS!$D:$D,X$34,FLOWS!$H:$H,"&lt;="&amp;$U$32)+SUM(SUMIFS(DEALS!$J:$J,DEALS!$A:$A,{"*REFUND*","*EXECUTED*"},DEALS!$G:$G,$B$30,DEALS!$E:$E,"&lt;="&amp;$U$32,DEALS!$K:$K,X$34,DEALS!$M:$M,$T39,DEALS!$N:$N,"&lt;&gt;*RECEIVED*",DEALS!$N:$N,"&lt;&gt;*EXECUTED*"))+SUM(SUMIFS(DEALS!$R:$R,DEALS!$A:$A,{"*REFUND*","*EXECUTED*"},DEALS!$O:$O,$B$30,DEALS!$E:$E,"&lt;="&amp;$U$32,DEALS!$S:$S,X$34,DEALS!$U:$U,$T39,DEALS!$V:$V,"&lt;&gt;*RECEIVED*",DEALS!$V:$V,"&lt;&gt;*EXECUTED*"))</f>
        <v>0</v>
      </c>
      <c r="Y39" s="29" cm="1">
        <f t="array" ref="Y39">SUMIFS(BALANCES!$C:$C,BALANCES!$A:$A,$B$30,BALANCES!$B:$B,$T39,BALANCES!$D:$D,Y$34)+SUMIFS(FLOWS!$C:$C,FLOWS!$A:$A,$B$30,FLOWS!$E:$E,$T39,FLOWS!$D:$D,Y$34,FLOWS!$H:$H,"&lt;="&amp;$U$32)+SUM(SUMIFS(DEALS!$J:$J,DEALS!$A:$A,{"*REFUND*","*EXECUTED*"},DEALS!$G:$G,$B$30,DEALS!$E:$E,"&lt;="&amp;$U$32,DEALS!$K:$K,Y$34,DEALS!$M:$M,$T39,DEALS!$N:$N,"&lt;&gt;*RECEIVED*",DEALS!$N:$N,"&lt;&gt;*EXECUTED*"))+SUM(SUMIFS(DEALS!$R:$R,DEALS!$A:$A,{"*REFUND*","*EXECUTED*"},DEALS!$O:$O,$B$30,DEALS!$E:$E,"&lt;="&amp;$U$32,DEALS!$S:$S,Y$34,DEALS!$U:$U,$T39,DEALS!$V:$V,"&lt;&gt;*RECEIVED*",DEALS!$V:$V,"&lt;&gt;*EXECUTED*"))</f>
        <v>0</v>
      </c>
      <c r="Z39" s="29" cm="1">
        <f t="array" ref="Z39">SUMIFS(BALANCES!$C:$C,BALANCES!$A:$A,$B$30,BALANCES!$B:$B,$T39,BALANCES!$D:$D,Z$34)+SUMIFS(FLOWS!$C:$C,FLOWS!$A:$A,$B$30,FLOWS!$E:$E,$T39,FLOWS!$D:$D,Z$34,FLOWS!$H:$H,"&lt;="&amp;$U$32)+SUM(SUMIFS(DEALS!$J:$J,DEALS!$A:$A,{"*REFUND*","*EXECUTED*"},DEALS!$G:$G,$B$30,DEALS!$E:$E,"&lt;="&amp;$U$32,DEALS!$K:$K,Z$34,DEALS!$M:$M,$T39,DEALS!$N:$N,"&lt;&gt;*RECEIVED*",DEALS!$N:$N,"&lt;&gt;*EXECUTED*"))+SUM(SUMIFS(DEALS!$R:$R,DEALS!$A:$A,{"*REFUND*","*EXECUTED*"},DEALS!$O:$O,$B$30,DEALS!$E:$E,"&lt;="&amp;$U$32,DEALS!$S:$S,Z$34,DEALS!$U:$U,$T39,DEALS!$V:$V,"&lt;&gt;*RECEIVED*",DEALS!$V:$V,"&lt;&gt;*EXECUTED*"))</f>
        <v>0</v>
      </c>
      <c r="AA39" s="30">
        <f ca="1">U39*VLOOKUP(U$34,'FX RATES'!$E$1:$F$50,2,FALSE)+V39*VLOOKUP(V$34,'FX RATES'!$E$1:$F$50,2,FALSE)+W39*VLOOKUP(W$34,'FX RATES'!$E$1:$F$50,2,FALSE)+X39*VLOOKUP(X$34,'FX RATES'!$E$1:$F$50,2,FALSE)+Y39*VLOOKUP(Y$34,'FX RATES'!$E$1:$F$50,2,FALSE)+Z39*VLOOKUP(Z$34,'FX RATES'!$E$1:$F$50,2,FALSE)</f>
        <v>0</v>
      </c>
      <c r="AC39" s="139">
        <f t="shared" ca="1" si="18"/>
        <v>0</v>
      </c>
    </row>
    <row r="40" spans="2:29" ht="19" hidden="1">
      <c r="B40" s="31"/>
      <c r="C40" s="32" cm="1">
        <f t="array" ref="C40">SUMIFS(BALANCES!$C:$C,BALANCES!$A:$A,$B$30,BALANCES!$B:$B,$B40,BALANCES!$D:$D,C$34)+SUMIFS(FLOWS!$C:$C,FLOWS!$A:$A,$B$30,FLOWS!$E:$E,$B40,FLOWS!$D:$D,C$34,FLOWS!$H:$H,"&lt;"&amp;$C$32)+SUM(SUMIFS(DEALS!$J:$J,DEALS!$A:$A,{"*REFUND*","*EXECUTED*"},DEALS!$G:$G,$B$30,DEALS!$E:$E,"&lt;"&amp;$C$32,DEALS!$K:$K,C$34,DEALS!$M:$M,$B40,DEALS!$N:$N,"&lt;&gt;*RECEIVED*",DEALS!$N:$N,"&lt;&gt;*EXECUTED*"))+SUM(SUMIFS(DEALS!$R:$R,DEALS!$A:$A,{"*REFUND*","*EXECUTED*"},DEALS!$O:$O,$B$30,DEALS!$E:$E,"&lt;"&amp;$C$32,DEALS!$S:$S,C$34,DEALS!$U:$U,$B40,DEALS!$V:$V,"&lt;&gt;*RECEIVED*",DEALS!$V:$V,"&lt;&gt;*EXECUTED*"))</f>
        <v>0</v>
      </c>
      <c r="D40" s="32" cm="1">
        <f t="array" ref="D40">SUMIFS(BALANCES!$C:$C,BALANCES!$A:$A,$B$30,BALANCES!$B:$B,$B40,BALANCES!$D:$D,D$34)+SUMIFS(FLOWS!$C:$C,FLOWS!$A:$A,$B$30,FLOWS!$E:$E,$B40,FLOWS!$D:$D,D$34,FLOWS!$H:$H,"&lt;"&amp;$C$32)+SUM(SUMIFS(DEALS!$J:$J,DEALS!$A:$A,{"*REFUND*","*EXECUTED*"},DEALS!$G:$G,$B$30,DEALS!$E:$E,"&lt;"&amp;$C$32,DEALS!$K:$K,D$34,DEALS!$M:$M,$B40,DEALS!$N:$N,"&lt;&gt;*RECEIVED*",DEALS!$N:$N,"&lt;&gt;*EXECUTED*"))+SUM(SUMIFS(DEALS!$R:$R,DEALS!$A:$A,{"*REFUND*","*EXECUTED*"},DEALS!$O:$O,$B$30,DEALS!$E:$E,"&lt;"&amp;$C$32,DEALS!$S:$S,D$34,DEALS!$U:$U,$B40,DEALS!$V:$V,"&lt;&gt;*RECEIVED*",DEALS!$V:$V,"&lt;&gt;*EXECUTED*"))</f>
        <v>0</v>
      </c>
      <c r="E40" s="32" cm="1">
        <f t="array" ref="E40">SUMIFS(BALANCES!$C:$C,BALANCES!$A:$A,$B$30,BALANCES!$B:$B,$B40,BALANCES!$D:$D,E$34)+SUMIFS(FLOWS!$C:$C,FLOWS!$A:$A,$B$30,FLOWS!$E:$E,$B40,FLOWS!$D:$D,E$34,FLOWS!$H:$H,"&lt;"&amp;$C$32)+SUM(SUMIFS(DEALS!$J:$J,DEALS!$A:$A,{"*REFUND*","*EXECUTED*"},DEALS!$G:$G,$B$30,DEALS!$E:$E,"&lt;"&amp;$C$32,DEALS!$K:$K,E$34,DEALS!$M:$M,$B40,DEALS!$N:$N,"&lt;&gt;*RECEIVED*",DEALS!$N:$N,"&lt;&gt;*EXECUTED*"))+SUM(SUMIFS(DEALS!$R:$R,DEALS!$A:$A,{"*REFUND*","*EXECUTED*"},DEALS!$O:$O,$B$30,DEALS!$E:$E,"&lt;"&amp;$C$32,DEALS!$S:$S,E$34,DEALS!$U:$U,$B40,DEALS!$V:$V,"&lt;&gt;*RECEIVED*",DEALS!$V:$V,"&lt;&gt;*EXECUTED*"))</f>
        <v>0</v>
      </c>
      <c r="F40" s="32" cm="1">
        <f t="array" ref="F40">SUMIFS(BALANCES!$C:$C,BALANCES!$A:$A,$B$30,BALANCES!$B:$B,$B40,BALANCES!$D:$D,F$34)+SUMIFS(FLOWS!$C:$C,FLOWS!$A:$A,$B$30,FLOWS!$E:$E,$B40,FLOWS!$D:$D,F$34,FLOWS!$H:$H,"&lt;"&amp;$C$32)+SUM(SUMIFS(DEALS!$J:$J,DEALS!$A:$A,{"*REFUND*","*EXECUTED*"},DEALS!$G:$G,$B$30,DEALS!$E:$E,"&lt;"&amp;$C$32,DEALS!$K:$K,F$34,DEALS!$M:$M,$B40,DEALS!$N:$N,"&lt;&gt;*RECEIVED*",DEALS!$N:$N,"&lt;&gt;*EXECUTED*"))+SUM(SUMIFS(DEALS!$R:$R,DEALS!$A:$A,{"*REFUND*","*EXECUTED*"},DEALS!$O:$O,$B$30,DEALS!$E:$E,"&lt;"&amp;$C$32,DEALS!$S:$S,F$34,DEALS!$U:$U,$B40,DEALS!$V:$V,"&lt;&gt;*RECEIVED*",DEALS!$V:$V,"&lt;&gt;*EXECUTED*"))</f>
        <v>0</v>
      </c>
      <c r="G40" s="32" cm="1">
        <f t="array" ref="G40">SUMIFS(BALANCES!$C:$C,BALANCES!$A:$A,$B$30,BALANCES!$B:$B,$B40,BALANCES!$D:$D,G$34)+SUMIFS(FLOWS!$C:$C,FLOWS!$A:$A,$B$30,FLOWS!$E:$E,$B40,FLOWS!$D:$D,G$34,FLOWS!$H:$H,"&lt;"&amp;$C$32)+SUM(SUMIFS(DEALS!$J:$J,DEALS!$A:$A,{"*REFUND*","*EXECUTED*"},DEALS!$G:$G,$B$30,DEALS!$E:$E,"&lt;"&amp;$C$32,DEALS!$K:$K,G$34,DEALS!$M:$M,$B40,DEALS!$N:$N,"&lt;&gt;*RECEIVED*",DEALS!$N:$N,"&lt;&gt;*EXECUTED*"))+SUM(SUMIFS(DEALS!$R:$R,DEALS!$A:$A,{"*REFUND*","*EXECUTED*"},DEALS!$O:$O,$B$30,DEALS!$E:$E,"&lt;"&amp;$C$32,DEALS!$S:$S,G$34,DEALS!$U:$U,$B40,DEALS!$V:$V,"&lt;&gt;*RECEIVED*",DEALS!$V:$V,"&lt;&gt;*EXECUTED*"))</f>
        <v>0</v>
      </c>
      <c r="H40" s="32" cm="1">
        <f t="array" ref="H40">SUMIFS(BALANCES!$C:$C,BALANCES!$A:$A,$B$30,BALANCES!$B:$B,$B40,BALANCES!$D:$D,H$34)+SUMIFS(FLOWS!$C:$C,FLOWS!$A:$A,$B$30,FLOWS!$E:$E,$B40,FLOWS!$D:$D,H$34,FLOWS!$H:$H,"&lt;"&amp;$C$32)+SUM(SUMIFS(DEALS!$J:$J,DEALS!$A:$A,{"*REFUND*","*EXECUTED*"},DEALS!$G:$G,$B$30,DEALS!$E:$E,"&lt;"&amp;$C$32,DEALS!$K:$K,H$34,DEALS!$M:$M,$B40,DEALS!$N:$N,"&lt;&gt;*RECEIVED*",DEALS!$N:$N,"&lt;&gt;*EXECUTED*"))+SUM(SUMIFS(DEALS!$R:$R,DEALS!$A:$A,{"*REFUND*","*EXECUTED*"},DEALS!$O:$O,$B$30,DEALS!$E:$E,"&lt;"&amp;$C$32,DEALS!$S:$S,H$34,DEALS!$U:$U,$B40,DEALS!$V:$V,"&lt;&gt;*RECEIVED*",DEALS!$V:$V,"&lt;&gt;*EXECUTED*"))</f>
        <v>0</v>
      </c>
      <c r="I40" s="33">
        <f ca="1">C40*VLOOKUP(C$34,'FX RATES'!$E$1:$F$50,2,FALSE)+D40*VLOOKUP(D$34,'FX RATES'!$E$1:$F$50,2,FALSE)+E40*VLOOKUP(E$34,'FX RATES'!$E$1:$F$50,2,FALSE)+F40*VLOOKUP(F$34,'FX RATES'!$E$1:$F$50,2,FALSE)+G40*VLOOKUP(G$34,'FX RATES'!$E$1:$F$50,2,FALSE)+H40*VLOOKUP(H$34,'FX RATES'!$E$1:$F$50,2,FALSE)</f>
        <v>0</v>
      </c>
      <c r="K40" s="31">
        <f t="shared" si="16"/>
        <v>0</v>
      </c>
      <c r="L40" s="32" cm="1">
        <f t="array" ref="L40">SUMIFS(FLOWS!$C:$C,FLOWS!$A:$A,$B$30,FLOWS!$E:$E,$K40,FLOWS!$D:$D,L$34,FLOWS!$H:$H,"&gt;="&amp;$C$32,FLOWS!$H:$H,"&lt;="&amp;$U$32)+SUM(SUMIFS(DEALS!$J:$J,DEALS!$A:$A,{"*REFUND*","*EXECUTED*"},DEALS!$G:$G,$B$30,DEALS!$E:$E,"&gt;="&amp;$C$32,DEALS!$E:$E,"&lt;="&amp;$U$32,DEALS!$K:$K,L$34,DEALS!$M:$M,$K40,DEALS!$N:$N,"&lt;&gt;*RECEIVED*",DEALS!$N:$N,"&lt;&gt;*EXECUTED*"))+SUM(SUMIFS(DEALS!$R:$R,DEALS!$A:$A,{"*REFUND*","*EXECUTED*"},DEALS!$O:$O,$B$30,DEALS!$E:$E,"&gt;="&amp;$C$32,DEALS!$E:$E,"&lt;="&amp;$U$32,DEALS!$S:$S,L$34,DEALS!$U:$U,$K40,DEALS!$V:$V,"&lt;&gt;*RECEIVED*",DEALS!$V:$V,"&lt;&gt;*EXECUTED*"))</f>
        <v>0</v>
      </c>
      <c r="M40" s="32" cm="1">
        <f t="array" ref="M40">SUMIFS(FLOWS!$C:$C,FLOWS!$A:$A,$B$30,FLOWS!$E:$E,$K40,FLOWS!$D:$D,M$34,FLOWS!$H:$H,"&gt;="&amp;$C$32,FLOWS!$H:$H,"&lt;="&amp;$U$32)+SUM(SUMIFS(DEALS!$J:$J,DEALS!$A:$A,{"*REFUND*","*EXECUTED*"},DEALS!$G:$G,$B$30,DEALS!$E:$E,"&gt;="&amp;$C$32,DEALS!$E:$E,"&lt;="&amp;$U$32,DEALS!$K:$K,M$34,DEALS!$M:$M,$K40,DEALS!$N:$N,"&lt;&gt;*RECEIVED*",DEALS!$N:$N,"&lt;&gt;*EXECUTED*"))+SUM(SUMIFS(DEALS!$R:$R,DEALS!$A:$A,{"*REFUND*","*EXECUTED*"},DEALS!$O:$O,$B$30,DEALS!$E:$E,"&gt;="&amp;$C$32,DEALS!$E:$E,"&lt;="&amp;$U$32,DEALS!$S:$S,M$34,DEALS!$U:$U,$K40,DEALS!$V:$V,"&lt;&gt;*RECEIVED*",DEALS!$V:$V,"&lt;&gt;*EXECUTED*"))</f>
        <v>0</v>
      </c>
      <c r="N40" s="32" cm="1">
        <f t="array" ref="N40">SUMIFS(FLOWS!$C:$C,FLOWS!$A:$A,$B$30,FLOWS!$E:$E,$K40,FLOWS!$D:$D,N$34,FLOWS!$H:$H,"&gt;="&amp;$C$32,FLOWS!$H:$H,"&lt;="&amp;$U$32)+SUM(SUMIFS(DEALS!$J:$J,DEALS!$A:$A,{"*REFUND*","*EXECUTED*"},DEALS!$G:$G,$B$30,DEALS!$E:$E,"&gt;="&amp;$C$32,DEALS!$E:$E,"&lt;="&amp;$U$32,DEALS!$K:$K,N$34,DEALS!$M:$M,$K40,DEALS!$N:$N,"&lt;&gt;*RECEIVED*",DEALS!$N:$N,"&lt;&gt;*EXECUTED*"))+SUM(SUMIFS(DEALS!$R:$R,DEALS!$A:$A,{"*REFUND*","*EXECUTED*"},DEALS!$O:$O,$B$30,DEALS!$E:$E,"&gt;="&amp;$C$32,DEALS!$E:$E,"&lt;="&amp;$U$32,DEALS!$S:$S,N$34,DEALS!$U:$U,$K40,DEALS!$V:$V,"&lt;&gt;*RECEIVED*",DEALS!$V:$V,"&lt;&gt;*EXECUTED*"))</f>
        <v>0</v>
      </c>
      <c r="O40" s="32" cm="1">
        <f t="array" ref="O40">SUMIFS(FLOWS!$C:$C,FLOWS!$A:$A,$B$30,FLOWS!$E:$E,$K40,FLOWS!$D:$D,O$34,FLOWS!$H:$H,"&gt;="&amp;$C$32,FLOWS!$H:$H,"&lt;="&amp;$U$32)+SUM(SUMIFS(DEALS!$J:$J,DEALS!$A:$A,{"*REFUND*","*EXECUTED*"},DEALS!$G:$G,$B$30,DEALS!$E:$E,"&gt;="&amp;$C$32,DEALS!$E:$E,"&lt;="&amp;$U$32,DEALS!$K:$K,O$34,DEALS!$M:$M,$K40,DEALS!$N:$N,"&lt;&gt;*RECEIVED*",DEALS!$N:$N,"&lt;&gt;*EXECUTED*"))+SUM(SUMIFS(DEALS!$R:$R,DEALS!$A:$A,{"*REFUND*","*EXECUTED*"},DEALS!$O:$O,$B$30,DEALS!$E:$E,"&gt;="&amp;$C$32,DEALS!$E:$E,"&lt;="&amp;$U$32,DEALS!$S:$S,O$34,DEALS!$U:$U,$K40,DEALS!$V:$V,"&lt;&gt;*RECEIVED*",DEALS!$V:$V,"&lt;&gt;*EXECUTED*"))</f>
        <v>0</v>
      </c>
      <c r="P40" s="32" cm="1">
        <f t="array" ref="P40">SUMIFS(FLOWS!$C:$C,FLOWS!$A:$A,$B$30,FLOWS!$E:$E,$K40,FLOWS!$D:$D,P$34,FLOWS!$H:$H,"&gt;="&amp;$C$32,FLOWS!$H:$H,"&lt;="&amp;$U$32)+SUM(SUMIFS(DEALS!$J:$J,DEALS!$A:$A,{"*REFUND*","*EXECUTED*"},DEALS!$G:$G,$B$30,DEALS!$E:$E,"&gt;="&amp;$C$32,DEALS!$E:$E,"&lt;="&amp;$U$32,DEALS!$K:$K,P$34,DEALS!$M:$M,$K40,DEALS!$N:$N,"&lt;&gt;*RECEIVED*",DEALS!$N:$N,"&lt;&gt;*EXECUTED*"))+SUM(SUMIFS(DEALS!$R:$R,DEALS!$A:$A,{"*REFUND*","*EXECUTED*"},DEALS!$O:$O,$B$30,DEALS!$E:$E,"&gt;="&amp;$C$32,DEALS!$E:$E,"&lt;="&amp;$U$32,DEALS!$S:$S,P$34,DEALS!$U:$U,$K40,DEALS!$V:$V,"&lt;&gt;*RECEIVED*",DEALS!$V:$V,"&lt;&gt;*EXECUTED*"))</f>
        <v>0</v>
      </c>
      <c r="Q40" s="32" cm="1">
        <f t="array" ref="Q40">SUMIFS(FLOWS!$C:$C,FLOWS!$A:$A,$B$30,FLOWS!$E:$E,$K40,FLOWS!$D:$D,Q$34,FLOWS!$H:$H,"&gt;="&amp;$C$32,FLOWS!$H:$H,"&lt;="&amp;$U$32)+SUM(SUMIFS(DEALS!$J:$J,DEALS!$A:$A,{"*REFUND*","*EXECUTED*"},DEALS!$G:$G,$B$30,DEALS!$E:$E,"&gt;="&amp;$C$32,DEALS!$E:$E,"&lt;="&amp;$U$32,DEALS!$K:$K,Q$34,DEALS!$M:$M,$K40,DEALS!$N:$N,"&lt;&gt;*RECEIVED*",DEALS!$N:$N,"&lt;&gt;*EXECUTED*"))+SUM(SUMIFS(DEALS!$R:$R,DEALS!$A:$A,{"*REFUND*","*EXECUTED*"},DEALS!$O:$O,$B$30,DEALS!$E:$E,"&gt;="&amp;$C$32,DEALS!$E:$E,"&lt;="&amp;$U$32,DEALS!$S:$S,Q$34,DEALS!$U:$U,$K40,DEALS!$V:$V,"&lt;&gt;*RECEIVED*",DEALS!$V:$V,"&lt;&gt;*EXECUTED*"))</f>
        <v>0</v>
      </c>
      <c r="R40" s="33">
        <f ca="1">L40*VLOOKUP(L$34,'FX RATES'!$E$1:$F$50,2,FALSE)+M40*VLOOKUP(M$34,'FX RATES'!$E$1:$F$50,2,FALSE)+N40*VLOOKUP(N$34,'FX RATES'!$E$1:$F$50,2,FALSE)+O40*VLOOKUP(O$34,'FX RATES'!$E$1:$F$50,2,FALSE)+P40*VLOOKUP(P$34,'FX RATES'!$E$1:$F$50,2,FALSE)+Q40*VLOOKUP(Q$34,'FX RATES'!$E$1:$F$50,2,FALSE)</f>
        <v>0</v>
      </c>
      <c r="T40" s="31">
        <f t="shared" si="17"/>
        <v>0</v>
      </c>
      <c r="U40" s="32" cm="1">
        <f t="array" ref="U40">SUMIFS(BALANCES!$C:$C,BALANCES!$A:$A,$B$30,BALANCES!$B:$B,$T40,BALANCES!$D:$D,U$34)+SUMIFS(FLOWS!$C:$C,FLOWS!$A:$A,$B$30,FLOWS!$E:$E,$T40,FLOWS!$D:$D,U$34,FLOWS!$H:$H,"&lt;="&amp;$U$32)+SUM(SUMIFS(DEALS!$J:$J,DEALS!$A:$A,{"*REFUND*","*EXECUTED*"},DEALS!$G:$G,$B$30,DEALS!$E:$E,"&lt;="&amp;$U$32,DEALS!$K:$K,U$34,DEALS!$M:$M,$T40,DEALS!$N:$N,"&lt;&gt;*RECEIVED*",DEALS!$N:$N,"&lt;&gt;*EXECUTED*"))+SUM(SUMIFS(DEALS!$R:$R,DEALS!$A:$A,{"*REFUND*","*EXECUTED*"},DEALS!$O:$O,$B$30,DEALS!$E:$E,"&lt;="&amp;$U$32,DEALS!$S:$S,U$34,DEALS!$U:$U,$T40,DEALS!$V:$V,"&lt;&gt;*RECEIVED*",DEALS!$V:$V,"&lt;&gt;*EXECUTED*"))</f>
        <v>0</v>
      </c>
      <c r="V40" s="32" cm="1">
        <f t="array" ref="V40">SUMIFS(BALANCES!$C:$C,BALANCES!$A:$A,$B$30,BALANCES!$B:$B,$T40,BALANCES!$D:$D,V$34)+SUMIFS(FLOWS!$C:$C,FLOWS!$A:$A,$B$30,FLOWS!$E:$E,$T40,FLOWS!$D:$D,V$34,FLOWS!$H:$H,"&lt;="&amp;$U$32)+SUM(SUMIFS(DEALS!$J:$J,DEALS!$A:$A,{"*REFUND*","*EXECUTED*"},DEALS!$G:$G,$B$30,DEALS!$E:$E,"&lt;="&amp;$U$32,DEALS!$K:$K,V$34,DEALS!$M:$M,$T40,DEALS!$N:$N,"&lt;&gt;*RECEIVED*",DEALS!$N:$N,"&lt;&gt;*EXECUTED*"))+SUM(SUMIFS(DEALS!$R:$R,DEALS!$A:$A,{"*REFUND*","*EXECUTED*"},DEALS!$O:$O,$B$30,DEALS!$E:$E,"&lt;="&amp;$U$32,DEALS!$S:$S,V$34,DEALS!$U:$U,$T40,DEALS!$V:$V,"&lt;&gt;*RECEIVED*",DEALS!$V:$V,"&lt;&gt;*EXECUTED*"))</f>
        <v>0</v>
      </c>
      <c r="W40" s="32" cm="1">
        <f t="array" ref="W40">SUMIFS(BALANCES!$C:$C,BALANCES!$A:$A,$B$30,BALANCES!$B:$B,$T40,BALANCES!$D:$D,W$34)+SUMIFS(FLOWS!$C:$C,FLOWS!$A:$A,$B$30,FLOWS!$E:$E,$T40,FLOWS!$D:$D,W$34,FLOWS!$H:$H,"&lt;="&amp;$U$32)+SUM(SUMIFS(DEALS!$J:$J,DEALS!$A:$A,{"*REFUND*","*EXECUTED*"},DEALS!$G:$G,$B$30,DEALS!$E:$E,"&lt;="&amp;$U$32,DEALS!$K:$K,W$34,DEALS!$M:$M,$T40,DEALS!$N:$N,"&lt;&gt;*RECEIVED*",DEALS!$N:$N,"&lt;&gt;*EXECUTED*"))+SUM(SUMIFS(DEALS!$R:$R,DEALS!$A:$A,{"*REFUND*","*EXECUTED*"},DEALS!$O:$O,$B$30,DEALS!$E:$E,"&lt;="&amp;$U$32,DEALS!$S:$S,W$34,DEALS!$U:$U,$T40,DEALS!$V:$V,"&lt;&gt;*RECEIVED*",DEALS!$V:$V,"&lt;&gt;*EXECUTED*"))</f>
        <v>0</v>
      </c>
      <c r="X40" s="32" cm="1">
        <f t="array" ref="X40">SUMIFS(BALANCES!$C:$C,BALANCES!$A:$A,$B$30,BALANCES!$B:$B,$T40,BALANCES!$D:$D,X$34)+SUMIFS(FLOWS!$C:$C,FLOWS!$A:$A,$B$30,FLOWS!$E:$E,$T40,FLOWS!$D:$D,X$34,FLOWS!$H:$H,"&lt;="&amp;$U$32)+SUM(SUMIFS(DEALS!$J:$J,DEALS!$A:$A,{"*REFUND*","*EXECUTED*"},DEALS!$G:$G,$B$30,DEALS!$E:$E,"&lt;="&amp;$U$32,DEALS!$K:$K,X$34,DEALS!$M:$M,$T40,DEALS!$N:$N,"&lt;&gt;*RECEIVED*",DEALS!$N:$N,"&lt;&gt;*EXECUTED*"))+SUM(SUMIFS(DEALS!$R:$R,DEALS!$A:$A,{"*REFUND*","*EXECUTED*"},DEALS!$O:$O,$B$30,DEALS!$E:$E,"&lt;="&amp;$U$32,DEALS!$S:$S,X$34,DEALS!$U:$U,$T40,DEALS!$V:$V,"&lt;&gt;*RECEIVED*",DEALS!$V:$V,"&lt;&gt;*EXECUTED*"))</f>
        <v>0</v>
      </c>
      <c r="Y40" s="32" cm="1">
        <f t="array" ref="Y40">SUMIFS(BALANCES!$C:$C,BALANCES!$A:$A,$B$30,BALANCES!$B:$B,$T40,BALANCES!$D:$D,Y$34)+SUMIFS(FLOWS!$C:$C,FLOWS!$A:$A,$B$30,FLOWS!$E:$E,$T40,FLOWS!$D:$D,Y$34,FLOWS!$H:$H,"&lt;="&amp;$U$32)+SUM(SUMIFS(DEALS!$J:$J,DEALS!$A:$A,{"*REFUND*","*EXECUTED*"},DEALS!$G:$G,$B$30,DEALS!$E:$E,"&lt;="&amp;$U$32,DEALS!$K:$K,Y$34,DEALS!$M:$M,$T40,DEALS!$N:$N,"&lt;&gt;*RECEIVED*",DEALS!$N:$N,"&lt;&gt;*EXECUTED*"))+SUM(SUMIFS(DEALS!$R:$R,DEALS!$A:$A,{"*REFUND*","*EXECUTED*"},DEALS!$O:$O,$B$30,DEALS!$E:$E,"&lt;="&amp;$U$32,DEALS!$S:$S,Y$34,DEALS!$U:$U,$T40,DEALS!$V:$V,"&lt;&gt;*RECEIVED*",DEALS!$V:$V,"&lt;&gt;*EXECUTED*"))</f>
        <v>0</v>
      </c>
      <c r="Z40" s="32" cm="1">
        <f t="array" ref="Z40">SUMIFS(BALANCES!$C:$C,BALANCES!$A:$A,$B$30,BALANCES!$B:$B,$T40,BALANCES!$D:$D,Z$34)+SUMIFS(FLOWS!$C:$C,FLOWS!$A:$A,$B$30,FLOWS!$E:$E,$T40,FLOWS!$D:$D,Z$34,FLOWS!$H:$H,"&lt;="&amp;$U$32)+SUM(SUMIFS(DEALS!$J:$J,DEALS!$A:$A,{"*REFUND*","*EXECUTED*"},DEALS!$G:$G,$B$30,DEALS!$E:$E,"&lt;="&amp;$U$32,DEALS!$K:$K,Z$34,DEALS!$M:$M,$T40,DEALS!$N:$N,"&lt;&gt;*RECEIVED*",DEALS!$N:$N,"&lt;&gt;*EXECUTED*"))+SUM(SUMIFS(DEALS!$R:$R,DEALS!$A:$A,{"*REFUND*","*EXECUTED*"},DEALS!$O:$O,$B$30,DEALS!$E:$E,"&lt;="&amp;$U$32,DEALS!$S:$S,Z$34,DEALS!$U:$U,$T40,DEALS!$V:$V,"&lt;&gt;*RECEIVED*",DEALS!$V:$V,"&lt;&gt;*EXECUTED*"))</f>
        <v>0</v>
      </c>
      <c r="AA40" s="33">
        <f ca="1">U40*VLOOKUP(U$34,'FX RATES'!$E$1:$F$50,2,FALSE)+V40*VLOOKUP(V$34,'FX RATES'!$E$1:$F$50,2,FALSE)+W40*VLOOKUP(W$34,'FX RATES'!$E$1:$F$50,2,FALSE)+X40*VLOOKUP(X$34,'FX RATES'!$E$1:$F$50,2,FALSE)+Y40*VLOOKUP(Y$34,'FX RATES'!$E$1:$F$50,2,FALSE)+Z40*VLOOKUP(Z$34,'FX RATES'!$E$1:$F$50,2,FALSE)</f>
        <v>0</v>
      </c>
      <c r="AC40" s="139">
        <f t="shared" ca="1" si="18"/>
        <v>0</v>
      </c>
    </row>
    <row r="41" spans="2:29" ht="19" hidden="1">
      <c r="B41" s="28"/>
      <c r="C41" s="29" cm="1">
        <f t="array" ref="C41">SUMIFS(BALANCES!$C:$C,BALANCES!$A:$A,$B$30,BALANCES!$B:$B,$B41,BALANCES!$D:$D,C$34)+SUMIFS(FLOWS!$C:$C,FLOWS!$A:$A,$B$30,FLOWS!$E:$E,$B41,FLOWS!$D:$D,C$34,FLOWS!$H:$H,"&lt;"&amp;$C$32)+SUM(SUMIFS(DEALS!$J:$J,DEALS!$A:$A,{"*REFUND*","*EXECUTED*"},DEALS!$G:$G,$B$30,DEALS!$E:$E,"&lt;"&amp;$C$32,DEALS!$K:$K,C$34,DEALS!$M:$M,$B41,DEALS!$N:$N,"&lt;&gt;*RECEIVED*",DEALS!$N:$N,"&lt;&gt;*EXECUTED*"))+SUM(SUMIFS(DEALS!$R:$R,DEALS!$A:$A,{"*REFUND*","*EXECUTED*"},DEALS!$O:$O,$B$30,DEALS!$E:$E,"&lt;"&amp;$C$32,DEALS!$S:$S,C$34,DEALS!$U:$U,$B41,DEALS!$V:$V,"&lt;&gt;*RECEIVED*",DEALS!$V:$V,"&lt;&gt;*EXECUTED*"))</f>
        <v>0</v>
      </c>
      <c r="D41" s="29" cm="1">
        <f t="array" ref="D41">SUMIFS(BALANCES!$C:$C,BALANCES!$A:$A,$B$30,BALANCES!$B:$B,$B41,BALANCES!$D:$D,D$34)+SUMIFS(FLOWS!$C:$C,FLOWS!$A:$A,$B$30,FLOWS!$E:$E,$B41,FLOWS!$D:$D,D$34,FLOWS!$H:$H,"&lt;"&amp;$C$32)+SUM(SUMIFS(DEALS!$J:$J,DEALS!$A:$A,{"*REFUND*","*EXECUTED*"},DEALS!$G:$G,$B$30,DEALS!$E:$E,"&lt;"&amp;$C$32,DEALS!$K:$K,D$34,DEALS!$M:$M,$B41,DEALS!$N:$N,"&lt;&gt;*RECEIVED*",DEALS!$N:$N,"&lt;&gt;*EXECUTED*"))+SUM(SUMIFS(DEALS!$R:$R,DEALS!$A:$A,{"*REFUND*","*EXECUTED*"},DEALS!$O:$O,$B$30,DEALS!$E:$E,"&lt;"&amp;$C$32,DEALS!$S:$S,D$34,DEALS!$U:$U,$B41,DEALS!$V:$V,"&lt;&gt;*RECEIVED*",DEALS!$V:$V,"&lt;&gt;*EXECUTED*"))</f>
        <v>0</v>
      </c>
      <c r="E41" s="29" cm="1">
        <f t="array" ref="E41">SUMIFS(BALANCES!$C:$C,BALANCES!$A:$A,$B$30,BALANCES!$B:$B,$B41,BALANCES!$D:$D,E$34)+SUMIFS(FLOWS!$C:$C,FLOWS!$A:$A,$B$30,FLOWS!$E:$E,$B41,FLOWS!$D:$D,E$34,FLOWS!$H:$H,"&lt;"&amp;$C$32)+SUM(SUMIFS(DEALS!$J:$J,DEALS!$A:$A,{"*REFUND*","*EXECUTED*"},DEALS!$G:$G,$B$30,DEALS!$E:$E,"&lt;"&amp;$C$32,DEALS!$K:$K,E$34,DEALS!$M:$M,$B41,DEALS!$N:$N,"&lt;&gt;*RECEIVED*",DEALS!$N:$N,"&lt;&gt;*EXECUTED*"))+SUM(SUMIFS(DEALS!$R:$R,DEALS!$A:$A,{"*REFUND*","*EXECUTED*"},DEALS!$O:$O,$B$30,DEALS!$E:$E,"&lt;"&amp;$C$32,DEALS!$S:$S,E$34,DEALS!$U:$U,$B41,DEALS!$V:$V,"&lt;&gt;*RECEIVED*",DEALS!$V:$V,"&lt;&gt;*EXECUTED*"))</f>
        <v>0</v>
      </c>
      <c r="F41" s="29" cm="1">
        <f t="array" ref="F41">SUMIFS(BALANCES!$C:$C,BALANCES!$A:$A,$B$30,BALANCES!$B:$B,$B41,BALANCES!$D:$D,F$34)+SUMIFS(FLOWS!$C:$C,FLOWS!$A:$A,$B$30,FLOWS!$E:$E,$B41,FLOWS!$D:$D,F$34,FLOWS!$H:$H,"&lt;"&amp;$C$32)+SUM(SUMIFS(DEALS!$J:$J,DEALS!$A:$A,{"*REFUND*","*EXECUTED*"},DEALS!$G:$G,$B$30,DEALS!$E:$E,"&lt;"&amp;$C$32,DEALS!$K:$K,F$34,DEALS!$M:$M,$B41,DEALS!$N:$N,"&lt;&gt;*RECEIVED*",DEALS!$N:$N,"&lt;&gt;*EXECUTED*"))+SUM(SUMIFS(DEALS!$R:$R,DEALS!$A:$A,{"*REFUND*","*EXECUTED*"},DEALS!$O:$O,$B$30,DEALS!$E:$E,"&lt;"&amp;$C$32,DEALS!$S:$S,F$34,DEALS!$U:$U,$B41,DEALS!$V:$V,"&lt;&gt;*RECEIVED*",DEALS!$V:$V,"&lt;&gt;*EXECUTED*"))</f>
        <v>0</v>
      </c>
      <c r="G41" s="29" cm="1">
        <f t="array" ref="G41">SUMIFS(BALANCES!$C:$C,BALANCES!$A:$A,$B$30,BALANCES!$B:$B,$B41,BALANCES!$D:$D,G$34)+SUMIFS(FLOWS!$C:$C,FLOWS!$A:$A,$B$30,FLOWS!$E:$E,$B41,FLOWS!$D:$D,G$34,FLOWS!$H:$H,"&lt;"&amp;$C$32)+SUM(SUMIFS(DEALS!$J:$J,DEALS!$A:$A,{"*REFUND*","*EXECUTED*"},DEALS!$G:$G,$B$30,DEALS!$E:$E,"&lt;"&amp;$C$32,DEALS!$K:$K,G$34,DEALS!$M:$M,$B41,DEALS!$N:$N,"&lt;&gt;*RECEIVED*",DEALS!$N:$N,"&lt;&gt;*EXECUTED*"))+SUM(SUMIFS(DEALS!$R:$R,DEALS!$A:$A,{"*REFUND*","*EXECUTED*"},DEALS!$O:$O,$B$30,DEALS!$E:$E,"&lt;"&amp;$C$32,DEALS!$S:$S,G$34,DEALS!$U:$U,$B41,DEALS!$V:$V,"&lt;&gt;*RECEIVED*",DEALS!$V:$V,"&lt;&gt;*EXECUTED*"))</f>
        <v>0</v>
      </c>
      <c r="H41" s="29" cm="1">
        <f t="array" ref="H41">SUMIFS(BALANCES!$C:$C,BALANCES!$A:$A,$B$30,BALANCES!$B:$B,$B41,BALANCES!$D:$D,H$34)+SUMIFS(FLOWS!$C:$C,FLOWS!$A:$A,$B$30,FLOWS!$E:$E,$B41,FLOWS!$D:$D,H$34,FLOWS!$H:$H,"&lt;"&amp;$C$32)+SUM(SUMIFS(DEALS!$J:$J,DEALS!$A:$A,{"*REFUND*","*EXECUTED*"},DEALS!$G:$G,$B$30,DEALS!$E:$E,"&lt;"&amp;$C$32,DEALS!$K:$K,H$34,DEALS!$M:$M,$B41,DEALS!$N:$N,"&lt;&gt;*RECEIVED*",DEALS!$N:$N,"&lt;&gt;*EXECUTED*"))+SUM(SUMIFS(DEALS!$R:$R,DEALS!$A:$A,{"*REFUND*","*EXECUTED*"},DEALS!$O:$O,$B$30,DEALS!$E:$E,"&lt;"&amp;$C$32,DEALS!$S:$S,H$34,DEALS!$U:$U,$B41,DEALS!$V:$V,"&lt;&gt;*RECEIVED*",DEALS!$V:$V,"&lt;&gt;*EXECUTED*"))</f>
        <v>0</v>
      </c>
      <c r="I41" s="30">
        <f ca="1">C41*VLOOKUP(C$34,'FX RATES'!$E$1:$F$50,2,FALSE)+D41*VLOOKUP(D$34,'FX RATES'!$E$1:$F$50,2,FALSE)+E41*VLOOKUP(E$34,'FX RATES'!$E$1:$F$50,2,FALSE)+F41*VLOOKUP(F$34,'FX RATES'!$E$1:$F$50,2,FALSE)+G41*VLOOKUP(G$34,'FX RATES'!$E$1:$F$50,2,FALSE)+H41*VLOOKUP(H$34,'FX RATES'!$E$1:$F$50,2,FALSE)</f>
        <v>0</v>
      </c>
      <c r="K41" s="28">
        <f t="shared" si="16"/>
        <v>0</v>
      </c>
      <c r="L41" s="29" cm="1">
        <f t="array" ref="L41">SUMIFS(FLOWS!$C:$C,FLOWS!$A:$A,$B$30,FLOWS!$E:$E,$K41,FLOWS!$D:$D,L$34,FLOWS!$H:$H,"&gt;="&amp;$C$32,FLOWS!$H:$H,"&lt;="&amp;$U$32)+SUM(SUMIFS(DEALS!$J:$J,DEALS!$A:$A,{"*REFUND*","*EXECUTED*"},DEALS!$G:$G,$B$30,DEALS!$E:$E,"&gt;="&amp;$C$32,DEALS!$E:$E,"&lt;="&amp;$U$32,DEALS!$K:$K,L$34,DEALS!$M:$M,$K41,DEALS!$N:$N,"&lt;&gt;*RECEIVED*",DEALS!$N:$N,"&lt;&gt;*EXECUTED*"))+SUM(SUMIFS(DEALS!$R:$R,DEALS!$A:$A,{"*REFUND*","*EXECUTED*"},DEALS!$O:$O,$B$30,DEALS!$E:$E,"&gt;="&amp;$C$32,DEALS!$E:$E,"&lt;="&amp;$U$32,DEALS!$S:$S,L$34,DEALS!$U:$U,$K41,DEALS!$V:$V,"&lt;&gt;*RECEIVED*",DEALS!$V:$V,"&lt;&gt;*EXECUTED*"))</f>
        <v>0</v>
      </c>
      <c r="M41" s="29" cm="1">
        <f t="array" ref="M41">SUMIFS(FLOWS!$C:$C,FLOWS!$A:$A,$B$30,FLOWS!$E:$E,$K41,FLOWS!$D:$D,M$34,FLOWS!$H:$H,"&gt;="&amp;$C$32,FLOWS!$H:$H,"&lt;="&amp;$U$32)+SUM(SUMIFS(DEALS!$J:$J,DEALS!$A:$A,{"*REFUND*","*EXECUTED*"},DEALS!$G:$G,$B$30,DEALS!$E:$E,"&gt;="&amp;$C$32,DEALS!$E:$E,"&lt;="&amp;$U$32,DEALS!$K:$K,M$34,DEALS!$M:$M,$K41,DEALS!$N:$N,"&lt;&gt;*RECEIVED*",DEALS!$N:$N,"&lt;&gt;*EXECUTED*"))+SUM(SUMIFS(DEALS!$R:$R,DEALS!$A:$A,{"*REFUND*","*EXECUTED*"},DEALS!$O:$O,$B$30,DEALS!$E:$E,"&gt;="&amp;$C$32,DEALS!$E:$E,"&lt;="&amp;$U$32,DEALS!$S:$S,M$34,DEALS!$U:$U,$K41,DEALS!$V:$V,"&lt;&gt;*RECEIVED*",DEALS!$V:$V,"&lt;&gt;*EXECUTED*"))</f>
        <v>0</v>
      </c>
      <c r="N41" s="29" cm="1">
        <f t="array" ref="N41">SUMIFS(FLOWS!$C:$C,FLOWS!$A:$A,$B$30,FLOWS!$E:$E,$K41,FLOWS!$D:$D,N$34,FLOWS!$H:$H,"&gt;="&amp;$C$32,FLOWS!$H:$H,"&lt;="&amp;$U$32)+SUM(SUMIFS(DEALS!$J:$J,DEALS!$A:$A,{"*REFUND*","*EXECUTED*"},DEALS!$G:$G,$B$30,DEALS!$E:$E,"&gt;="&amp;$C$32,DEALS!$E:$E,"&lt;="&amp;$U$32,DEALS!$K:$K,N$34,DEALS!$M:$M,$K41,DEALS!$N:$N,"&lt;&gt;*RECEIVED*",DEALS!$N:$N,"&lt;&gt;*EXECUTED*"))+SUM(SUMIFS(DEALS!$R:$R,DEALS!$A:$A,{"*REFUND*","*EXECUTED*"},DEALS!$O:$O,$B$30,DEALS!$E:$E,"&gt;="&amp;$C$32,DEALS!$E:$E,"&lt;="&amp;$U$32,DEALS!$S:$S,N$34,DEALS!$U:$U,$K41,DEALS!$V:$V,"&lt;&gt;*RECEIVED*",DEALS!$V:$V,"&lt;&gt;*EXECUTED*"))</f>
        <v>0</v>
      </c>
      <c r="O41" s="29" cm="1">
        <f t="array" ref="O41">SUMIFS(FLOWS!$C:$C,FLOWS!$A:$A,$B$30,FLOWS!$E:$E,$K41,FLOWS!$D:$D,O$34,FLOWS!$H:$H,"&gt;="&amp;$C$32,FLOWS!$H:$H,"&lt;="&amp;$U$32)+SUM(SUMIFS(DEALS!$J:$J,DEALS!$A:$A,{"*REFUND*","*EXECUTED*"},DEALS!$G:$G,$B$30,DEALS!$E:$E,"&gt;="&amp;$C$32,DEALS!$E:$E,"&lt;="&amp;$U$32,DEALS!$K:$K,O$34,DEALS!$M:$M,$K41,DEALS!$N:$N,"&lt;&gt;*RECEIVED*",DEALS!$N:$N,"&lt;&gt;*EXECUTED*"))+SUM(SUMIFS(DEALS!$R:$R,DEALS!$A:$A,{"*REFUND*","*EXECUTED*"},DEALS!$O:$O,$B$30,DEALS!$E:$E,"&gt;="&amp;$C$32,DEALS!$E:$E,"&lt;="&amp;$U$32,DEALS!$S:$S,O$34,DEALS!$U:$U,$K41,DEALS!$V:$V,"&lt;&gt;*RECEIVED*",DEALS!$V:$V,"&lt;&gt;*EXECUTED*"))</f>
        <v>0</v>
      </c>
      <c r="P41" s="29" cm="1">
        <f t="array" ref="P41">SUMIFS(FLOWS!$C:$C,FLOWS!$A:$A,$B$30,FLOWS!$E:$E,$K41,FLOWS!$D:$D,P$34,FLOWS!$H:$H,"&gt;="&amp;$C$32,FLOWS!$H:$H,"&lt;="&amp;$U$32)+SUM(SUMIFS(DEALS!$J:$J,DEALS!$A:$A,{"*REFUND*","*EXECUTED*"},DEALS!$G:$G,$B$30,DEALS!$E:$E,"&gt;="&amp;$C$32,DEALS!$E:$E,"&lt;="&amp;$U$32,DEALS!$K:$K,P$34,DEALS!$M:$M,$K41,DEALS!$N:$N,"&lt;&gt;*RECEIVED*",DEALS!$N:$N,"&lt;&gt;*EXECUTED*"))+SUM(SUMIFS(DEALS!$R:$R,DEALS!$A:$A,{"*REFUND*","*EXECUTED*"},DEALS!$O:$O,$B$30,DEALS!$E:$E,"&gt;="&amp;$C$32,DEALS!$E:$E,"&lt;="&amp;$U$32,DEALS!$S:$S,P$34,DEALS!$U:$U,$K41,DEALS!$V:$V,"&lt;&gt;*RECEIVED*",DEALS!$V:$V,"&lt;&gt;*EXECUTED*"))</f>
        <v>0</v>
      </c>
      <c r="Q41" s="29" cm="1">
        <f t="array" ref="Q41">SUMIFS(FLOWS!$C:$C,FLOWS!$A:$A,$B$30,FLOWS!$E:$E,$K41,FLOWS!$D:$D,Q$34,FLOWS!$H:$H,"&gt;="&amp;$C$32,FLOWS!$H:$H,"&lt;="&amp;$U$32)+SUM(SUMIFS(DEALS!$J:$J,DEALS!$A:$A,{"*REFUND*","*EXECUTED*"},DEALS!$G:$G,$B$30,DEALS!$E:$E,"&gt;="&amp;$C$32,DEALS!$E:$E,"&lt;="&amp;$U$32,DEALS!$K:$K,Q$34,DEALS!$M:$M,$K41,DEALS!$N:$N,"&lt;&gt;*RECEIVED*",DEALS!$N:$N,"&lt;&gt;*EXECUTED*"))+SUM(SUMIFS(DEALS!$R:$R,DEALS!$A:$A,{"*REFUND*","*EXECUTED*"},DEALS!$O:$O,$B$30,DEALS!$E:$E,"&gt;="&amp;$C$32,DEALS!$E:$E,"&lt;="&amp;$U$32,DEALS!$S:$S,Q$34,DEALS!$U:$U,$K41,DEALS!$V:$V,"&lt;&gt;*RECEIVED*",DEALS!$V:$V,"&lt;&gt;*EXECUTED*"))</f>
        <v>0</v>
      </c>
      <c r="R41" s="30">
        <f ca="1">L41*VLOOKUP(L$34,'FX RATES'!$E$1:$F$50,2,FALSE)+M41*VLOOKUP(M$34,'FX RATES'!$E$1:$F$50,2,FALSE)+N41*VLOOKUP(N$34,'FX RATES'!$E$1:$F$50,2,FALSE)+O41*VLOOKUP(O$34,'FX RATES'!$E$1:$F$50,2,FALSE)+P41*VLOOKUP(P$34,'FX RATES'!$E$1:$F$50,2,FALSE)+Q41*VLOOKUP(Q$34,'FX RATES'!$E$1:$F$50,2,FALSE)</f>
        <v>0</v>
      </c>
      <c r="T41" s="28">
        <f t="shared" si="17"/>
        <v>0</v>
      </c>
      <c r="U41" s="29" cm="1">
        <f t="array" ref="U41">SUMIFS(BALANCES!$C:$C,BALANCES!$A:$A,$B$30,BALANCES!$B:$B,$T41,BALANCES!$D:$D,U$34)+SUMIFS(FLOWS!$C:$C,FLOWS!$A:$A,$B$30,FLOWS!$E:$E,$T41,FLOWS!$D:$D,U$34,FLOWS!$H:$H,"&lt;="&amp;$U$32)+SUM(SUMIFS(DEALS!$J:$J,DEALS!$A:$A,{"*REFUND*","*EXECUTED*"},DEALS!$G:$G,$B$30,DEALS!$E:$E,"&lt;="&amp;$U$32,DEALS!$K:$K,U$34,DEALS!$M:$M,$T41,DEALS!$N:$N,"&lt;&gt;*RECEIVED*",DEALS!$N:$N,"&lt;&gt;*EXECUTED*"))+SUM(SUMIFS(DEALS!$R:$R,DEALS!$A:$A,{"*REFUND*","*EXECUTED*"},DEALS!$O:$O,$B$30,DEALS!$E:$E,"&lt;="&amp;$U$32,DEALS!$S:$S,U$34,DEALS!$U:$U,$T41,DEALS!$V:$V,"&lt;&gt;*RECEIVED*",DEALS!$V:$V,"&lt;&gt;*EXECUTED*"))</f>
        <v>0</v>
      </c>
      <c r="V41" s="29" cm="1">
        <f t="array" ref="V41">SUMIFS(BALANCES!$C:$C,BALANCES!$A:$A,$B$30,BALANCES!$B:$B,$T41,BALANCES!$D:$D,V$34)+SUMIFS(FLOWS!$C:$C,FLOWS!$A:$A,$B$30,FLOWS!$E:$E,$T41,FLOWS!$D:$D,V$34,FLOWS!$H:$H,"&lt;="&amp;$U$32)+SUM(SUMIFS(DEALS!$J:$J,DEALS!$A:$A,{"*REFUND*","*EXECUTED*"},DEALS!$G:$G,$B$30,DEALS!$E:$E,"&lt;="&amp;$U$32,DEALS!$K:$K,V$34,DEALS!$M:$M,$T41,DEALS!$N:$N,"&lt;&gt;*RECEIVED*",DEALS!$N:$N,"&lt;&gt;*EXECUTED*"))+SUM(SUMIFS(DEALS!$R:$R,DEALS!$A:$A,{"*REFUND*","*EXECUTED*"},DEALS!$O:$O,$B$30,DEALS!$E:$E,"&lt;="&amp;$U$32,DEALS!$S:$S,V$34,DEALS!$U:$U,$T41,DEALS!$V:$V,"&lt;&gt;*RECEIVED*",DEALS!$V:$V,"&lt;&gt;*EXECUTED*"))</f>
        <v>0</v>
      </c>
      <c r="W41" s="29" cm="1">
        <f t="array" ref="W41">SUMIFS(BALANCES!$C:$C,BALANCES!$A:$A,$B$30,BALANCES!$B:$B,$T41,BALANCES!$D:$D,W$34)+SUMIFS(FLOWS!$C:$C,FLOWS!$A:$A,$B$30,FLOWS!$E:$E,$T41,FLOWS!$D:$D,W$34,FLOWS!$H:$H,"&lt;="&amp;$U$32)+SUM(SUMIFS(DEALS!$J:$J,DEALS!$A:$A,{"*REFUND*","*EXECUTED*"},DEALS!$G:$G,$B$30,DEALS!$E:$E,"&lt;="&amp;$U$32,DEALS!$K:$K,W$34,DEALS!$M:$M,$T41,DEALS!$N:$N,"&lt;&gt;*RECEIVED*",DEALS!$N:$N,"&lt;&gt;*EXECUTED*"))+SUM(SUMIFS(DEALS!$R:$R,DEALS!$A:$A,{"*REFUND*","*EXECUTED*"},DEALS!$O:$O,$B$30,DEALS!$E:$E,"&lt;="&amp;$U$32,DEALS!$S:$S,W$34,DEALS!$U:$U,$T41,DEALS!$V:$V,"&lt;&gt;*RECEIVED*",DEALS!$V:$V,"&lt;&gt;*EXECUTED*"))</f>
        <v>0</v>
      </c>
      <c r="X41" s="29" cm="1">
        <f t="array" ref="X41">SUMIFS(BALANCES!$C:$C,BALANCES!$A:$A,$B$30,BALANCES!$B:$B,$T41,BALANCES!$D:$D,X$34)+SUMIFS(FLOWS!$C:$C,FLOWS!$A:$A,$B$30,FLOWS!$E:$E,$T41,FLOWS!$D:$D,X$34,FLOWS!$H:$H,"&lt;="&amp;$U$32)+SUM(SUMIFS(DEALS!$J:$J,DEALS!$A:$A,{"*REFUND*","*EXECUTED*"},DEALS!$G:$G,$B$30,DEALS!$E:$E,"&lt;="&amp;$U$32,DEALS!$K:$K,X$34,DEALS!$M:$M,$T41,DEALS!$N:$N,"&lt;&gt;*RECEIVED*",DEALS!$N:$N,"&lt;&gt;*EXECUTED*"))+SUM(SUMIFS(DEALS!$R:$R,DEALS!$A:$A,{"*REFUND*","*EXECUTED*"},DEALS!$O:$O,$B$30,DEALS!$E:$E,"&lt;="&amp;$U$32,DEALS!$S:$S,X$34,DEALS!$U:$U,$T41,DEALS!$V:$V,"&lt;&gt;*RECEIVED*",DEALS!$V:$V,"&lt;&gt;*EXECUTED*"))</f>
        <v>0</v>
      </c>
      <c r="Y41" s="29" cm="1">
        <f t="array" ref="Y41">SUMIFS(BALANCES!$C:$C,BALANCES!$A:$A,$B$30,BALANCES!$B:$B,$T41,BALANCES!$D:$D,Y$34)+SUMIFS(FLOWS!$C:$C,FLOWS!$A:$A,$B$30,FLOWS!$E:$E,$T41,FLOWS!$D:$D,Y$34,FLOWS!$H:$H,"&lt;="&amp;$U$32)+SUM(SUMIFS(DEALS!$J:$J,DEALS!$A:$A,{"*REFUND*","*EXECUTED*"},DEALS!$G:$G,$B$30,DEALS!$E:$E,"&lt;="&amp;$U$32,DEALS!$K:$K,Y$34,DEALS!$M:$M,$T41,DEALS!$N:$N,"&lt;&gt;*RECEIVED*",DEALS!$N:$N,"&lt;&gt;*EXECUTED*"))+SUM(SUMIFS(DEALS!$R:$R,DEALS!$A:$A,{"*REFUND*","*EXECUTED*"},DEALS!$O:$O,$B$30,DEALS!$E:$E,"&lt;="&amp;$U$32,DEALS!$S:$S,Y$34,DEALS!$U:$U,$T41,DEALS!$V:$V,"&lt;&gt;*RECEIVED*",DEALS!$V:$V,"&lt;&gt;*EXECUTED*"))</f>
        <v>0</v>
      </c>
      <c r="Z41" s="29" cm="1">
        <f t="array" ref="Z41">SUMIFS(BALANCES!$C:$C,BALANCES!$A:$A,$B$30,BALANCES!$B:$B,$T41,BALANCES!$D:$D,Z$34)+SUMIFS(FLOWS!$C:$C,FLOWS!$A:$A,$B$30,FLOWS!$E:$E,$T41,FLOWS!$D:$D,Z$34,FLOWS!$H:$H,"&lt;="&amp;$U$32)+SUM(SUMIFS(DEALS!$J:$J,DEALS!$A:$A,{"*REFUND*","*EXECUTED*"},DEALS!$G:$G,$B$30,DEALS!$E:$E,"&lt;="&amp;$U$32,DEALS!$K:$K,Z$34,DEALS!$M:$M,$T41,DEALS!$N:$N,"&lt;&gt;*RECEIVED*",DEALS!$N:$N,"&lt;&gt;*EXECUTED*"))+SUM(SUMIFS(DEALS!$R:$R,DEALS!$A:$A,{"*REFUND*","*EXECUTED*"},DEALS!$O:$O,$B$30,DEALS!$E:$E,"&lt;="&amp;$U$32,DEALS!$S:$S,Z$34,DEALS!$U:$U,$T41,DEALS!$V:$V,"&lt;&gt;*RECEIVED*",DEALS!$V:$V,"&lt;&gt;*EXECUTED*"))</f>
        <v>0</v>
      </c>
      <c r="AA41" s="30">
        <f ca="1">U41*VLOOKUP(U$34,'FX RATES'!$E$1:$F$50,2,FALSE)+V41*VLOOKUP(V$34,'FX RATES'!$E$1:$F$50,2,FALSE)+W41*VLOOKUP(W$34,'FX RATES'!$E$1:$F$50,2,FALSE)+X41*VLOOKUP(X$34,'FX RATES'!$E$1:$F$50,2,FALSE)+Y41*VLOOKUP(Y$34,'FX RATES'!$E$1:$F$50,2,FALSE)+Z41*VLOOKUP(Z$34,'FX RATES'!$E$1:$F$50,2,FALSE)</f>
        <v>0</v>
      </c>
      <c r="AC41" s="139">
        <f t="shared" ca="1" si="18"/>
        <v>0</v>
      </c>
    </row>
    <row r="42" spans="2:29" ht="19" hidden="1">
      <c r="B42" s="31"/>
      <c r="C42" s="32" cm="1">
        <f t="array" ref="C42">SUMIFS(BALANCES!$C:$C,BALANCES!$A:$A,$B$30,BALANCES!$B:$B,$B42,BALANCES!$D:$D,C$34)+SUMIFS(FLOWS!$C:$C,FLOWS!$A:$A,$B$30,FLOWS!$E:$E,$B42,FLOWS!$D:$D,C$34,FLOWS!$H:$H,"&lt;"&amp;$C$32)+SUM(SUMIFS(DEALS!$J:$J,DEALS!$A:$A,{"*REFUND*","*EXECUTED*"},DEALS!$G:$G,$B$30,DEALS!$E:$E,"&lt;"&amp;$C$32,DEALS!$K:$K,C$34,DEALS!$M:$M,$B42,DEALS!$N:$N,"&lt;&gt;*RECEIVED*",DEALS!$N:$N,"&lt;&gt;*EXECUTED*"))+SUM(SUMIFS(DEALS!$R:$R,DEALS!$A:$A,{"*REFUND*","*EXECUTED*"},DEALS!$O:$O,$B$30,DEALS!$E:$E,"&lt;"&amp;$C$32,DEALS!$S:$S,C$34,DEALS!$U:$U,$B42,DEALS!$V:$V,"&lt;&gt;*RECEIVED*",DEALS!$V:$V,"&lt;&gt;*EXECUTED*"))</f>
        <v>0</v>
      </c>
      <c r="D42" s="32" cm="1">
        <f t="array" ref="D42">SUMIFS(BALANCES!$C:$C,BALANCES!$A:$A,$B$30,BALANCES!$B:$B,$B42,BALANCES!$D:$D,D$34)+SUMIFS(FLOWS!$C:$C,FLOWS!$A:$A,$B$30,FLOWS!$E:$E,$B42,FLOWS!$D:$D,D$34,FLOWS!$H:$H,"&lt;"&amp;$C$32)+SUM(SUMIFS(DEALS!$J:$J,DEALS!$A:$A,{"*REFUND*","*EXECUTED*"},DEALS!$G:$G,$B$30,DEALS!$E:$E,"&lt;"&amp;$C$32,DEALS!$K:$K,D$34,DEALS!$M:$M,$B42,DEALS!$N:$N,"&lt;&gt;*RECEIVED*",DEALS!$N:$N,"&lt;&gt;*EXECUTED*"))+SUM(SUMIFS(DEALS!$R:$R,DEALS!$A:$A,{"*REFUND*","*EXECUTED*"},DEALS!$O:$O,$B$30,DEALS!$E:$E,"&lt;"&amp;$C$32,DEALS!$S:$S,D$34,DEALS!$U:$U,$B42,DEALS!$V:$V,"&lt;&gt;*RECEIVED*",DEALS!$V:$V,"&lt;&gt;*EXECUTED*"))</f>
        <v>0</v>
      </c>
      <c r="E42" s="32" cm="1">
        <f t="array" ref="E42">SUMIFS(BALANCES!$C:$C,BALANCES!$A:$A,$B$30,BALANCES!$B:$B,$B42,BALANCES!$D:$D,E$34)+SUMIFS(FLOWS!$C:$C,FLOWS!$A:$A,$B$30,FLOWS!$E:$E,$B42,FLOWS!$D:$D,E$34,FLOWS!$H:$H,"&lt;"&amp;$C$32)+SUM(SUMIFS(DEALS!$J:$J,DEALS!$A:$A,{"*REFUND*","*EXECUTED*"},DEALS!$G:$G,$B$30,DEALS!$E:$E,"&lt;"&amp;$C$32,DEALS!$K:$K,E$34,DEALS!$M:$M,$B42,DEALS!$N:$N,"&lt;&gt;*RECEIVED*",DEALS!$N:$N,"&lt;&gt;*EXECUTED*"))+SUM(SUMIFS(DEALS!$R:$R,DEALS!$A:$A,{"*REFUND*","*EXECUTED*"},DEALS!$O:$O,$B$30,DEALS!$E:$E,"&lt;"&amp;$C$32,DEALS!$S:$S,E$34,DEALS!$U:$U,$B42,DEALS!$V:$V,"&lt;&gt;*RECEIVED*",DEALS!$V:$V,"&lt;&gt;*EXECUTED*"))</f>
        <v>0</v>
      </c>
      <c r="F42" s="32" cm="1">
        <f t="array" ref="F42">SUMIFS(BALANCES!$C:$C,BALANCES!$A:$A,$B$30,BALANCES!$B:$B,$B42,BALANCES!$D:$D,F$34)+SUMIFS(FLOWS!$C:$C,FLOWS!$A:$A,$B$30,FLOWS!$E:$E,$B42,FLOWS!$D:$D,F$34,FLOWS!$H:$H,"&lt;"&amp;$C$32)+SUM(SUMIFS(DEALS!$J:$J,DEALS!$A:$A,{"*REFUND*","*EXECUTED*"},DEALS!$G:$G,$B$30,DEALS!$E:$E,"&lt;"&amp;$C$32,DEALS!$K:$K,F$34,DEALS!$M:$M,$B42,DEALS!$N:$N,"&lt;&gt;*RECEIVED*",DEALS!$N:$N,"&lt;&gt;*EXECUTED*"))+SUM(SUMIFS(DEALS!$R:$R,DEALS!$A:$A,{"*REFUND*","*EXECUTED*"},DEALS!$O:$O,$B$30,DEALS!$E:$E,"&lt;"&amp;$C$32,DEALS!$S:$S,F$34,DEALS!$U:$U,$B42,DEALS!$V:$V,"&lt;&gt;*RECEIVED*",DEALS!$V:$V,"&lt;&gt;*EXECUTED*"))</f>
        <v>0</v>
      </c>
      <c r="G42" s="32" cm="1">
        <f t="array" ref="G42">SUMIFS(BALANCES!$C:$C,BALANCES!$A:$A,$B$30,BALANCES!$B:$B,$B42,BALANCES!$D:$D,G$34)+SUMIFS(FLOWS!$C:$C,FLOWS!$A:$A,$B$30,FLOWS!$E:$E,$B42,FLOWS!$D:$D,G$34,FLOWS!$H:$H,"&lt;"&amp;$C$32)+SUM(SUMIFS(DEALS!$J:$J,DEALS!$A:$A,{"*REFUND*","*EXECUTED*"},DEALS!$G:$G,$B$30,DEALS!$E:$E,"&lt;"&amp;$C$32,DEALS!$K:$K,G$34,DEALS!$M:$M,$B42,DEALS!$N:$N,"&lt;&gt;*RECEIVED*",DEALS!$N:$N,"&lt;&gt;*EXECUTED*"))+SUM(SUMIFS(DEALS!$R:$R,DEALS!$A:$A,{"*REFUND*","*EXECUTED*"},DEALS!$O:$O,$B$30,DEALS!$E:$E,"&lt;"&amp;$C$32,DEALS!$S:$S,G$34,DEALS!$U:$U,$B42,DEALS!$V:$V,"&lt;&gt;*RECEIVED*",DEALS!$V:$V,"&lt;&gt;*EXECUTED*"))</f>
        <v>0</v>
      </c>
      <c r="H42" s="32" cm="1">
        <f t="array" ref="H42">SUMIFS(BALANCES!$C:$C,BALANCES!$A:$A,$B$30,BALANCES!$B:$B,$B42,BALANCES!$D:$D,H$34)+SUMIFS(FLOWS!$C:$C,FLOWS!$A:$A,$B$30,FLOWS!$E:$E,$B42,FLOWS!$D:$D,H$34,FLOWS!$H:$H,"&lt;"&amp;$C$32)+SUM(SUMIFS(DEALS!$J:$J,DEALS!$A:$A,{"*REFUND*","*EXECUTED*"},DEALS!$G:$G,$B$30,DEALS!$E:$E,"&lt;"&amp;$C$32,DEALS!$K:$K,H$34,DEALS!$M:$M,$B42,DEALS!$N:$N,"&lt;&gt;*RECEIVED*",DEALS!$N:$N,"&lt;&gt;*EXECUTED*"))+SUM(SUMIFS(DEALS!$R:$R,DEALS!$A:$A,{"*REFUND*","*EXECUTED*"},DEALS!$O:$O,$B$30,DEALS!$E:$E,"&lt;"&amp;$C$32,DEALS!$S:$S,H$34,DEALS!$U:$U,$B42,DEALS!$V:$V,"&lt;&gt;*RECEIVED*",DEALS!$V:$V,"&lt;&gt;*EXECUTED*"))</f>
        <v>0</v>
      </c>
      <c r="I42" s="33">
        <f ca="1">C42*VLOOKUP(C$34,'FX RATES'!$E$1:$F$50,2,FALSE)+D42*VLOOKUP(D$34,'FX RATES'!$E$1:$F$50,2,FALSE)+E42*VLOOKUP(E$34,'FX RATES'!$E$1:$F$50,2,FALSE)+F42*VLOOKUP(F$34,'FX RATES'!$E$1:$F$50,2,FALSE)+G42*VLOOKUP(G$34,'FX RATES'!$E$1:$F$50,2,FALSE)+H42*VLOOKUP(H$34,'FX RATES'!$E$1:$F$50,2,FALSE)</f>
        <v>0</v>
      </c>
      <c r="J42" s="145"/>
      <c r="K42" s="31">
        <f t="shared" si="16"/>
        <v>0</v>
      </c>
      <c r="L42" s="32" cm="1">
        <f t="array" ref="L42">SUMIFS(FLOWS!$C:$C,FLOWS!$A:$A,$B$30,FLOWS!$E:$E,$K42,FLOWS!$D:$D,L$34,FLOWS!$H:$H,"&gt;="&amp;$C$32,FLOWS!$H:$H,"&lt;="&amp;$U$32)+SUM(SUMIFS(DEALS!$J:$J,DEALS!$A:$A,{"*REFUND*","*EXECUTED*"},DEALS!$G:$G,$B$30,DEALS!$E:$E,"&gt;="&amp;$C$32,DEALS!$E:$E,"&lt;="&amp;$U$32,DEALS!$K:$K,L$34,DEALS!$M:$M,$K42,DEALS!$N:$N,"&lt;&gt;*RECEIVED*",DEALS!$N:$N,"&lt;&gt;*EXECUTED*"))+SUM(SUMIFS(DEALS!$R:$R,DEALS!$A:$A,{"*REFUND*","*EXECUTED*"},DEALS!$O:$O,$B$30,DEALS!$E:$E,"&gt;="&amp;$C$32,DEALS!$E:$E,"&lt;="&amp;$U$32,DEALS!$S:$S,L$34,DEALS!$U:$U,$K42,DEALS!$V:$V,"&lt;&gt;*RECEIVED*",DEALS!$V:$V,"&lt;&gt;*EXECUTED*"))</f>
        <v>0</v>
      </c>
      <c r="M42" s="32" cm="1">
        <f t="array" ref="M42">SUMIFS(FLOWS!$C:$C,FLOWS!$A:$A,$B$30,FLOWS!$E:$E,$K42,FLOWS!$D:$D,M$34,FLOWS!$H:$H,"&gt;="&amp;$C$32,FLOWS!$H:$H,"&lt;="&amp;$U$32)+SUM(SUMIFS(DEALS!$J:$J,DEALS!$A:$A,{"*REFUND*","*EXECUTED*"},DEALS!$G:$G,$B$30,DEALS!$E:$E,"&gt;="&amp;$C$32,DEALS!$E:$E,"&lt;="&amp;$U$32,DEALS!$K:$K,M$34,DEALS!$M:$M,$K42,DEALS!$N:$N,"&lt;&gt;*RECEIVED*",DEALS!$N:$N,"&lt;&gt;*EXECUTED*"))+SUM(SUMIFS(DEALS!$R:$R,DEALS!$A:$A,{"*REFUND*","*EXECUTED*"},DEALS!$O:$O,$B$30,DEALS!$E:$E,"&gt;="&amp;$C$32,DEALS!$E:$E,"&lt;="&amp;$U$32,DEALS!$S:$S,M$34,DEALS!$U:$U,$K42,DEALS!$V:$V,"&lt;&gt;*RECEIVED*",DEALS!$V:$V,"&lt;&gt;*EXECUTED*"))</f>
        <v>0</v>
      </c>
      <c r="N42" s="32" cm="1">
        <f t="array" ref="N42">SUMIFS(FLOWS!$C:$C,FLOWS!$A:$A,$B$30,FLOWS!$E:$E,$K42,FLOWS!$D:$D,N$34,FLOWS!$H:$H,"&gt;="&amp;$C$32,FLOWS!$H:$H,"&lt;="&amp;$U$32)+SUM(SUMIFS(DEALS!$J:$J,DEALS!$A:$A,{"*REFUND*","*EXECUTED*"},DEALS!$G:$G,$B$30,DEALS!$E:$E,"&gt;="&amp;$C$32,DEALS!$E:$E,"&lt;="&amp;$U$32,DEALS!$K:$K,N$34,DEALS!$M:$M,$K42,DEALS!$N:$N,"&lt;&gt;*RECEIVED*",DEALS!$N:$N,"&lt;&gt;*EXECUTED*"))+SUM(SUMIFS(DEALS!$R:$R,DEALS!$A:$A,{"*REFUND*","*EXECUTED*"},DEALS!$O:$O,$B$30,DEALS!$E:$E,"&gt;="&amp;$C$32,DEALS!$E:$E,"&lt;="&amp;$U$32,DEALS!$S:$S,N$34,DEALS!$U:$U,$K42,DEALS!$V:$V,"&lt;&gt;*RECEIVED*",DEALS!$V:$V,"&lt;&gt;*EXECUTED*"))</f>
        <v>0</v>
      </c>
      <c r="O42" s="32" cm="1">
        <f t="array" ref="O42">SUMIFS(FLOWS!$C:$C,FLOWS!$A:$A,$B$30,FLOWS!$E:$E,$K42,FLOWS!$D:$D,O$34,FLOWS!$H:$H,"&gt;="&amp;$C$32,FLOWS!$H:$H,"&lt;="&amp;$U$32)+SUM(SUMIFS(DEALS!$J:$J,DEALS!$A:$A,{"*REFUND*","*EXECUTED*"},DEALS!$G:$G,$B$30,DEALS!$E:$E,"&gt;="&amp;$C$32,DEALS!$E:$E,"&lt;="&amp;$U$32,DEALS!$K:$K,O$34,DEALS!$M:$M,$K42,DEALS!$N:$N,"&lt;&gt;*RECEIVED*",DEALS!$N:$N,"&lt;&gt;*EXECUTED*"))+SUM(SUMIFS(DEALS!$R:$R,DEALS!$A:$A,{"*REFUND*","*EXECUTED*"},DEALS!$O:$O,$B$30,DEALS!$E:$E,"&gt;="&amp;$C$32,DEALS!$E:$E,"&lt;="&amp;$U$32,DEALS!$S:$S,O$34,DEALS!$U:$U,$K42,DEALS!$V:$V,"&lt;&gt;*RECEIVED*",DEALS!$V:$V,"&lt;&gt;*EXECUTED*"))</f>
        <v>0</v>
      </c>
      <c r="P42" s="32" cm="1">
        <f t="array" ref="P42">SUMIFS(FLOWS!$C:$C,FLOWS!$A:$A,$B$30,FLOWS!$E:$E,$K42,FLOWS!$D:$D,P$34,FLOWS!$H:$H,"&gt;="&amp;$C$32,FLOWS!$H:$H,"&lt;="&amp;$U$32)+SUM(SUMIFS(DEALS!$J:$J,DEALS!$A:$A,{"*REFUND*","*EXECUTED*"},DEALS!$G:$G,$B$30,DEALS!$E:$E,"&gt;="&amp;$C$32,DEALS!$E:$E,"&lt;="&amp;$U$32,DEALS!$K:$K,P$34,DEALS!$M:$M,$K42,DEALS!$N:$N,"&lt;&gt;*RECEIVED*",DEALS!$N:$N,"&lt;&gt;*EXECUTED*"))+SUM(SUMIFS(DEALS!$R:$R,DEALS!$A:$A,{"*REFUND*","*EXECUTED*"},DEALS!$O:$O,$B$30,DEALS!$E:$E,"&gt;="&amp;$C$32,DEALS!$E:$E,"&lt;="&amp;$U$32,DEALS!$S:$S,P$34,DEALS!$U:$U,$K42,DEALS!$V:$V,"&lt;&gt;*RECEIVED*",DEALS!$V:$V,"&lt;&gt;*EXECUTED*"))</f>
        <v>0</v>
      </c>
      <c r="Q42" s="32" cm="1">
        <f t="array" ref="Q42">SUMIFS(FLOWS!$C:$C,FLOWS!$A:$A,$B$30,FLOWS!$E:$E,$K42,FLOWS!$D:$D,Q$34,FLOWS!$H:$H,"&gt;="&amp;$C$32,FLOWS!$H:$H,"&lt;="&amp;$U$32)+SUM(SUMIFS(DEALS!$J:$J,DEALS!$A:$A,{"*REFUND*","*EXECUTED*"},DEALS!$G:$G,$B$30,DEALS!$E:$E,"&gt;="&amp;$C$32,DEALS!$E:$E,"&lt;="&amp;$U$32,DEALS!$K:$K,Q$34,DEALS!$M:$M,$K42,DEALS!$N:$N,"&lt;&gt;*RECEIVED*",DEALS!$N:$N,"&lt;&gt;*EXECUTED*"))+SUM(SUMIFS(DEALS!$R:$R,DEALS!$A:$A,{"*REFUND*","*EXECUTED*"},DEALS!$O:$O,$B$30,DEALS!$E:$E,"&gt;="&amp;$C$32,DEALS!$E:$E,"&lt;="&amp;$U$32,DEALS!$S:$S,Q$34,DEALS!$U:$U,$K42,DEALS!$V:$V,"&lt;&gt;*RECEIVED*",DEALS!$V:$V,"&lt;&gt;*EXECUTED*"))</f>
        <v>0</v>
      </c>
      <c r="R42" s="33">
        <f ca="1">L42*VLOOKUP(L$34,'FX RATES'!$E$1:$F$50,2,FALSE)+M42*VLOOKUP(M$34,'FX RATES'!$E$1:$F$50,2,FALSE)+N42*VLOOKUP(N$34,'FX RATES'!$E$1:$F$50,2,FALSE)+O42*VLOOKUP(O$34,'FX RATES'!$E$1:$F$50,2,FALSE)+P42*VLOOKUP(P$34,'FX RATES'!$E$1:$F$50,2,FALSE)+Q42*VLOOKUP(Q$34,'FX RATES'!$E$1:$F$50,2,FALSE)</f>
        <v>0</v>
      </c>
      <c r="T42" s="31">
        <f t="shared" si="17"/>
        <v>0</v>
      </c>
      <c r="U42" s="32" cm="1">
        <f t="array" ref="U42">SUMIFS(BALANCES!$C:$C,BALANCES!$A:$A,$B$30,BALANCES!$B:$B,$T42,BALANCES!$D:$D,U$34)+SUMIFS(FLOWS!$C:$C,FLOWS!$A:$A,$B$30,FLOWS!$E:$E,$T42,FLOWS!$D:$D,U$34,FLOWS!$H:$H,"&lt;="&amp;$U$32)+SUM(SUMIFS(DEALS!$J:$J,DEALS!$A:$A,{"*REFUND*","*EXECUTED*"},DEALS!$G:$G,$B$30,DEALS!$E:$E,"&lt;="&amp;$U$32,DEALS!$K:$K,U$34,DEALS!$M:$M,$T42,DEALS!$N:$N,"&lt;&gt;*RECEIVED*",DEALS!$N:$N,"&lt;&gt;*EXECUTED*"))+SUM(SUMIFS(DEALS!$R:$R,DEALS!$A:$A,{"*REFUND*","*EXECUTED*"},DEALS!$O:$O,$B$30,DEALS!$E:$E,"&lt;="&amp;$U$32,DEALS!$S:$S,U$34,DEALS!$U:$U,$T42,DEALS!$V:$V,"&lt;&gt;*RECEIVED*",DEALS!$V:$V,"&lt;&gt;*EXECUTED*"))</f>
        <v>0</v>
      </c>
      <c r="V42" s="32" cm="1">
        <f t="array" ref="V42">SUMIFS(BALANCES!$C:$C,BALANCES!$A:$A,$B$30,BALANCES!$B:$B,$T42,BALANCES!$D:$D,V$34)+SUMIFS(FLOWS!$C:$C,FLOWS!$A:$A,$B$30,FLOWS!$E:$E,$T42,FLOWS!$D:$D,V$34,FLOWS!$H:$H,"&lt;="&amp;$U$32)+SUM(SUMIFS(DEALS!$J:$J,DEALS!$A:$A,{"*REFUND*","*EXECUTED*"},DEALS!$G:$G,$B$30,DEALS!$E:$E,"&lt;="&amp;$U$32,DEALS!$K:$K,V$34,DEALS!$M:$M,$T42,DEALS!$N:$N,"&lt;&gt;*RECEIVED*",DEALS!$N:$N,"&lt;&gt;*EXECUTED*"))+SUM(SUMIFS(DEALS!$R:$R,DEALS!$A:$A,{"*REFUND*","*EXECUTED*"},DEALS!$O:$O,$B$30,DEALS!$E:$E,"&lt;="&amp;$U$32,DEALS!$S:$S,V$34,DEALS!$U:$U,$T42,DEALS!$V:$V,"&lt;&gt;*RECEIVED*",DEALS!$V:$V,"&lt;&gt;*EXECUTED*"))</f>
        <v>0</v>
      </c>
      <c r="W42" s="32" cm="1">
        <f t="array" ref="W42">SUMIFS(BALANCES!$C:$C,BALANCES!$A:$A,$B$30,BALANCES!$B:$B,$T42,BALANCES!$D:$D,W$34)+SUMIFS(FLOWS!$C:$C,FLOWS!$A:$A,$B$30,FLOWS!$E:$E,$T42,FLOWS!$D:$D,W$34,FLOWS!$H:$H,"&lt;="&amp;$U$32)+SUM(SUMIFS(DEALS!$J:$J,DEALS!$A:$A,{"*REFUND*","*EXECUTED*"},DEALS!$G:$G,$B$30,DEALS!$E:$E,"&lt;="&amp;$U$32,DEALS!$K:$K,W$34,DEALS!$M:$M,$T42,DEALS!$N:$N,"&lt;&gt;*RECEIVED*",DEALS!$N:$N,"&lt;&gt;*EXECUTED*"))+SUM(SUMIFS(DEALS!$R:$R,DEALS!$A:$A,{"*REFUND*","*EXECUTED*"},DEALS!$O:$O,$B$30,DEALS!$E:$E,"&lt;="&amp;$U$32,DEALS!$S:$S,W$34,DEALS!$U:$U,$T42,DEALS!$V:$V,"&lt;&gt;*RECEIVED*",DEALS!$V:$V,"&lt;&gt;*EXECUTED*"))</f>
        <v>0</v>
      </c>
      <c r="X42" s="32" cm="1">
        <f t="array" ref="X42">SUMIFS(BALANCES!$C:$C,BALANCES!$A:$A,$B$30,BALANCES!$B:$B,$T42,BALANCES!$D:$D,X$34)+SUMIFS(FLOWS!$C:$C,FLOWS!$A:$A,$B$30,FLOWS!$E:$E,$T42,FLOWS!$D:$D,X$34,FLOWS!$H:$H,"&lt;="&amp;$U$32)+SUM(SUMIFS(DEALS!$J:$J,DEALS!$A:$A,{"*REFUND*","*EXECUTED*"},DEALS!$G:$G,$B$30,DEALS!$E:$E,"&lt;="&amp;$U$32,DEALS!$K:$K,X$34,DEALS!$M:$M,$T42,DEALS!$N:$N,"&lt;&gt;*RECEIVED*",DEALS!$N:$N,"&lt;&gt;*EXECUTED*"))+SUM(SUMIFS(DEALS!$R:$R,DEALS!$A:$A,{"*REFUND*","*EXECUTED*"},DEALS!$O:$O,$B$30,DEALS!$E:$E,"&lt;="&amp;$U$32,DEALS!$S:$S,X$34,DEALS!$U:$U,$T42,DEALS!$V:$V,"&lt;&gt;*RECEIVED*",DEALS!$V:$V,"&lt;&gt;*EXECUTED*"))</f>
        <v>0</v>
      </c>
      <c r="Y42" s="32" cm="1">
        <f t="array" ref="Y42">SUMIFS(BALANCES!$C:$C,BALANCES!$A:$A,$B$30,BALANCES!$B:$B,$T42,BALANCES!$D:$D,Y$34)+SUMIFS(FLOWS!$C:$C,FLOWS!$A:$A,$B$30,FLOWS!$E:$E,$T42,FLOWS!$D:$D,Y$34,FLOWS!$H:$H,"&lt;="&amp;$U$32)+SUM(SUMIFS(DEALS!$J:$J,DEALS!$A:$A,{"*REFUND*","*EXECUTED*"},DEALS!$G:$G,$B$30,DEALS!$E:$E,"&lt;="&amp;$U$32,DEALS!$K:$K,Y$34,DEALS!$M:$M,$T42,DEALS!$N:$N,"&lt;&gt;*RECEIVED*",DEALS!$N:$N,"&lt;&gt;*EXECUTED*"))+SUM(SUMIFS(DEALS!$R:$R,DEALS!$A:$A,{"*REFUND*","*EXECUTED*"},DEALS!$O:$O,$B$30,DEALS!$E:$E,"&lt;="&amp;$U$32,DEALS!$S:$S,Y$34,DEALS!$U:$U,$T42,DEALS!$V:$V,"&lt;&gt;*RECEIVED*",DEALS!$V:$V,"&lt;&gt;*EXECUTED*"))</f>
        <v>0</v>
      </c>
      <c r="Z42" s="32" cm="1">
        <f t="array" ref="Z42">SUMIFS(BALANCES!$C:$C,BALANCES!$A:$A,$B$30,BALANCES!$B:$B,$T42,BALANCES!$D:$D,Z$34)+SUMIFS(FLOWS!$C:$C,FLOWS!$A:$A,$B$30,FLOWS!$E:$E,$T42,FLOWS!$D:$D,Z$34,FLOWS!$H:$H,"&lt;="&amp;$U$32)+SUM(SUMIFS(DEALS!$J:$J,DEALS!$A:$A,{"*REFUND*","*EXECUTED*"},DEALS!$G:$G,$B$30,DEALS!$E:$E,"&lt;="&amp;$U$32,DEALS!$K:$K,Z$34,DEALS!$M:$M,$T42,DEALS!$N:$N,"&lt;&gt;*RECEIVED*",DEALS!$N:$N,"&lt;&gt;*EXECUTED*"))+SUM(SUMIFS(DEALS!$R:$R,DEALS!$A:$A,{"*REFUND*","*EXECUTED*"},DEALS!$O:$O,$B$30,DEALS!$E:$E,"&lt;="&amp;$U$32,DEALS!$S:$S,Z$34,DEALS!$U:$U,$T42,DEALS!$V:$V,"&lt;&gt;*RECEIVED*",DEALS!$V:$V,"&lt;&gt;*EXECUTED*"))</f>
        <v>0</v>
      </c>
      <c r="AA42" s="33">
        <f ca="1">U42*VLOOKUP(U$34,'FX RATES'!$E$1:$F$50,2,FALSE)+V42*VLOOKUP(V$34,'FX RATES'!$E$1:$F$50,2,FALSE)+W42*VLOOKUP(W$34,'FX RATES'!$E$1:$F$50,2,FALSE)+X42*VLOOKUP(X$34,'FX RATES'!$E$1:$F$50,2,FALSE)+Y42*VLOOKUP(Y$34,'FX RATES'!$E$1:$F$50,2,FALSE)+Z42*VLOOKUP(Z$34,'FX RATES'!$E$1:$F$50,2,FALSE)</f>
        <v>0</v>
      </c>
      <c r="AC42" s="139">
        <f t="shared" ca="1" si="18"/>
        <v>0</v>
      </c>
    </row>
    <row r="43" spans="2:29" ht="19" hidden="1">
      <c r="B43" s="28"/>
      <c r="C43" s="29" cm="1">
        <f t="array" ref="C43">SUMIFS(BALANCES!$C:$C,BALANCES!$A:$A,$B$30,BALANCES!$B:$B,$B43,BALANCES!$D:$D,C$34)+SUMIFS(FLOWS!$C:$C,FLOWS!$A:$A,$B$30,FLOWS!$E:$E,$B43,FLOWS!$D:$D,C$34,FLOWS!$H:$H,"&lt;"&amp;$C$32)+SUM(SUMIFS(DEALS!$J:$J,DEALS!$A:$A,{"*REFUND*","*EXECUTED*"},DEALS!$G:$G,$B$30,DEALS!$E:$E,"&lt;"&amp;$C$32,DEALS!$K:$K,C$34,DEALS!$M:$M,$B43,DEALS!$N:$N,"&lt;&gt;*RECEIVED*",DEALS!$N:$N,"&lt;&gt;*EXECUTED*"))+SUM(SUMIFS(DEALS!$R:$R,DEALS!$A:$A,{"*REFUND*","*EXECUTED*"},DEALS!$O:$O,$B$30,DEALS!$E:$E,"&lt;"&amp;$C$32,DEALS!$S:$S,C$34,DEALS!$U:$U,$B43,DEALS!$V:$V,"&lt;&gt;*RECEIVED*",DEALS!$V:$V,"&lt;&gt;*EXECUTED*"))</f>
        <v>0</v>
      </c>
      <c r="D43" s="29" cm="1">
        <f t="array" ref="D43">SUMIFS(BALANCES!$C:$C,BALANCES!$A:$A,$B$30,BALANCES!$B:$B,$B43,BALANCES!$D:$D,D$34)+SUMIFS(FLOWS!$C:$C,FLOWS!$A:$A,$B$30,FLOWS!$E:$E,$B43,FLOWS!$D:$D,D$34,FLOWS!$H:$H,"&lt;"&amp;$C$32)+SUM(SUMIFS(DEALS!$J:$J,DEALS!$A:$A,{"*REFUND*","*EXECUTED*"},DEALS!$G:$G,$B$30,DEALS!$E:$E,"&lt;"&amp;$C$32,DEALS!$K:$K,D$34,DEALS!$M:$M,$B43,DEALS!$N:$N,"&lt;&gt;*RECEIVED*",DEALS!$N:$N,"&lt;&gt;*EXECUTED*"))+SUM(SUMIFS(DEALS!$R:$R,DEALS!$A:$A,{"*REFUND*","*EXECUTED*"},DEALS!$O:$O,$B$30,DEALS!$E:$E,"&lt;"&amp;$C$32,DEALS!$S:$S,D$34,DEALS!$U:$U,$B43,DEALS!$V:$V,"&lt;&gt;*RECEIVED*",DEALS!$V:$V,"&lt;&gt;*EXECUTED*"))</f>
        <v>0</v>
      </c>
      <c r="E43" s="29" cm="1">
        <f t="array" ref="E43">SUMIFS(BALANCES!$C:$C,BALANCES!$A:$A,$B$30,BALANCES!$B:$B,$B43,BALANCES!$D:$D,E$34)+SUMIFS(FLOWS!$C:$C,FLOWS!$A:$A,$B$30,FLOWS!$E:$E,$B43,FLOWS!$D:$D,E$34,FLOWS!$H:$H,"&lt;"&amp;$C$32)+SUM(SUMIFS(DEALS!$J:$J,DEALS!$A:$A,{"*REFUND*","*EXECUTED*"},DEALS!$G:$G,$B$30,DEALS!$E:$E,"&lt;"&amp;$C$32,DEALS!$K:$K,E$34,DEALS!$M:$M,$B43,DEALS!$N:$N,"&lt;&gt;*RECEIVED*",DEALS!$N:$N,"&lt;&gt;*EXECUTED*"))+SUM(SUMIFS(DEALS!$R:$R,DEALS!$A:$A,{"*REFUND*","*EXECUTED*"},DEALS!$O:$O,$B$30,DEALS!$E:$E,"&lt;"&amp;$C$32,DEALS!$S:$S,E$34,DEALS!$U:$U,$B43,DEALS!$V:$V,"&lt;&gt;*RECEIVED*",DEALS!$V:$V,"&lt;&gt;*EXECUTED*"))</f>
        <v>0</v>
      </c>
      <c r="F43" s="29" cm="1">
        <f t="array" ref="F43">SUMIFS(BALANCES!$C:$C,BALANCES!$A:$A,$B$30,BALANCES!$B:$B,$B43,BALANCES!$D:$D,F$34)+SUMIFS(FLOWS!$C:$C,FLOWS!$A:$A,$B$30,FLOWS!$E:$E,$B43,FLOWS!$D:$D,F$34,FLOWS!$H:$H,"&lt;"&amp;$C$32)+SUM(SUMIFS(DEALS!$J:$J,DEALS!$A:$A,{"*REFUND*","*EXECUTED*"},DEALS!$G:$G,$B$30,DEALS!$E:$E,"&lt;"&amp;$C$32,DEALS!$K:$K,F$34,DEALS!$M:$M,$B43,DEALS!$N:$N,"&lt;&gt;*RECEIVED*",DEALS!$N:$N,"&lt;&gt;*EXECUTED*"))+SUM(SUMIFS(DEALS!$R:$R,DEALS!$A:$A,{"*REFUND*","*EXECUTED*"},DEALS!$O:$O,$B$30,DEALS!$E:$E,"&lt;"&amp;$C$32,DEALS!$S:$S,F$34,DEALS!$U:$U,$B43,DEALS!$V:$V,"&lt;&gt;*RECEIVED*",DEALS!$V:$V,"&lt;&gt;*EXECUTED*"))</f>
        <v>0</v>
      </c>
      <c r="G43" s="29" cm="1">
        <f t="array" ref="G43">SUMIFS(BALANCES!$C:$C,BALANCES!$A:$A,$B$30,BALANCES!$B:$B,$B43,BALANCES!$D:$D,G$34)+SUMIFS(FLOWS!$C:$C,FLOWS!$A:$A,$B$30,FLOWS!$E:$E,$B43,FLOWS!$D:$D,G$34,FLOWS!$H:$H,"&lt;"&amp;$C$32)+SUM(SUMIFS(DEALS!$J:$J,DEALS!$A:$A,{"*REFUND*","*EXECUTED*"},DEALS!$G:$G,$B$30,DEALS!$E:$E,"&lt;"&amp;$C$32,DEALS!$K:$K,G$34,DEALS!$M:$M,$B43,DEALS!$N:$N,"&lt;&gt;*RECEIVED*",DEALS!$N:$N,"&lt;&gt;*EXECUTED*"))+SUM(SUMIFS(DEALS!$R:$R,DEALS!$A:$A,{"*REFUND*","*EXECUTED*"},DEALS!$O:$O,$B$30,DEALS!$E:$E,"&lt;"&amp;$C$32,DEALS!$S:$S,G$34,DEALS!$U:$U,$B43,DEALS!$V:$V,"&lt;&gt;*RECEIVED*",DEALS!$V:$V,"&lt;&gt;*EXECUTED*"))</f>
        <v>0</v>
      </c>
      <c r="H43" s="29" cm="1">
        <f t="array" ref="H43">SUMIFS(BALANCES!$C:$C,BALANCES!$A:$A,$B$30,BALANCES!$B:$B,$B43,BALANCES!$D:$D,H$34)+SUMIFS(FLOWS!$C:$C,FLOWS!$A:$A,$B$30,FLOWS!$E:$E,$B43,FLOWS!$D:$D,H$34,FLOWS!$H:$H,"&lt;"&amp;$C$32)+SUM(SUMIFS(DEALS!$J:$J,DEALS!$A:$A,{"*REFUND*","*EXECUTED*"},DEALS!$G:$G,$B$30,DEALS!$E:$E,"&lt;"&amp;$C$32,DEALS!$K:$K,H$34,DEALS!$M:$M,$B43,DEALS!$N:$N,"&lt;&gt;*RECEIVED*",DEALS!$N:$N,"&lt;&gt;*EXECUTED*"))+SUM(SUMIFS(DEALS!$R:$R,DEALS!$A:$A,{"*REFUND*","*EXECUTED*"},DEALS!$O:$O,$B$30,DEALS!$E:$E,"&lt;"&amp;$C$32,DEALS!$S:$S,H$34,DEALS!$U:$U,$B43,DEALS!$V:$V,"&lt;&gt;*RECEIVED*",DEALS!$V:$V,"&lt;&gt;*EXECUTED*"))</f>
        <v>0</v>
      </c>
      <c r="I43" s="30">
        <f ca="1">C43*VLOOKUP(C$34,'FX RATES'!$E$1:$F$50,2,FALSE)+D43*VLOOKUP(D$34,'FX RATES'!$E$1:$F$50,2,FALSE)+E43*VLOOKUP(E$34,'FX RATES'!$E$1:$F$50,2,FALSE)+F43*VLOOKUP(F$34,'FX RATES'!$E$1:$F$50,2,FALSE)+G43*VLOOKUP(G$34,'FX RATES'!$E$1:$F$50,2,FALSE)+H43*VLOOKUP(H$34,'FX RATES'!$E$1:$F$50,2,FALSE)</f>
        <v>0</v>
      </c>
      <c r="K43" s="28">
        <f t="shared" si="16"/>
        <v>0</v>
      </c>
      <c r="L43" s="29" cm="1">
        <f t="array" ref="L43">SUMIFS(FLOWS!$C:$C,FLOWS!$A:$A,$B$30,FLOWS!$E:$E,$K43,FLOWS!$D:$D,L$34,FLOWS!$H:$H,"&gt;="&amp;$C$32,FLOWS!$H:$H,"&lt;="&amp;$U$32)+SUM(SUMIFS(DEALS!$J:$J,DEALS!$A:$A,{"*REFUND*","*EXECUTED*"},DEALS!$G:$G,$B$30,DEALS!$E:$E,"&gt;="&amp;$C$32,DEALS!$E:$E,"&lt;="&amp;$U$32,DEALS!$K:$K,L$34,DEALS!$M:$M,$K43,DEALS!$N:$N,"&lt;&gt;*RECEIVED*",DEALS!$N:$N,"&lt;&gt;*EXECUTED*"))+SUM(SUMIFS(DEALS!$R:$R,DEALS!$A:$A,{"*REFUND*","*EXECUTED*"},DEALS!$O:$O,$B$30,DEALS!$E:$E,"&gt;="&amp;$C$32,DEALS!$E:$E,"&lt;="&amp;$U$32,DEALS!$S:$S,L$34,DEALS!$U:$U,$K43,DEALS!$V:$V,"&lt;&gt;*RECEIVED*",DEALS!$V:$V,"&lt;&gt;*EXECUTED*"))</f>
        <v>0</v>
      </c>
      <c r="M43" s="29" cm="1">
        <f t="array" ref="M43">SUMIFS(FLOWS!$C:$C,FLOWS!$A:$A,$B$30,FLOWS!$E:$E,$K43,FLOWS!$D:$D,M$34,FLOWS!$H:$H,"&gt;="&amp;$C$32,FLOWS!$H:$H,"&lt;="&amp;$U$32)+SUM(SUMIFS(DEALS!$J:$J,DEALS!$A:$A,{"*REFUND*","*EXECUTED*"},DEALS!$G:$G,$B$30,DEALS!$E:$E,"&gt;="&amp;$C$32,DEALS!$E:$E,"&lt;="&amp;$U$32,DEALS!$K:$K,M$34,DEALS!$M:$M,$K43,DEALS!$N:$N,"&lt;&gt;*RECEIVED*",DEALS!$N:$N,"&lt;&gt;*EXECUTED*"))+SUM(SUMIFS(DEALS!$R:$R,DEALS!$A:$A,{"*REFUND*","*EXECUTED*"},DEALS!$O:$O,$B$30,DEALS!$E:$E,"&gt;="&amp;$C$32,DEALS!$E:$E,"&lt;="&amp;$U$32,DEALS!$S:$S,M$34,DEALS!$U:$U,$K43,DEALS!$V:$V,"&lt;&gt;*RECEIVED*",DEALS!$V:$V,"&lt;&gt;*EXECUTED*"))</f>
        <v>0</v>
      </c>
      <c r="N43" s="29" cm="1">
        <f t="array" ref="N43">SUMIFS(FLOWS!$C:$C,FLOWS!$A:$A,$B$30,FLOWS!$E:$E,$K43,FLOWS!$D:$D,N$34,FLOWS!$H:$H,"&gt;="&amp;$C$32,FLOWS!$H:$H,"&lt;="&amp;$U$32)+SUM(SUMIFS(DEALS!$J:$J,DEALS!$A:$A,{"*REFUND*","*EXECUTED*"},DEALS!$G:$G,$B$30,DEALS!$E:$E,"&gt;="&amp;$C$32,DEALS!$E:$E,"&lt;="&amp;$U$32,DEALS!$K:$K,N$34,DEALS!$M:$M,$K43,DEALS!$N:$N,"&lt;&gt;*RECEIVED*",DEALS!$N:$N,"&lt;&gt;*EXECUTED*"))+SUM(SUMIFS(DEALS!$R:$R,DEALS!$A:$A,{"*REFUND*","*EXECUTED*"},DEALS!$O:$O,$B$30,DEALS!$E:$E,"&gt;="&amp;$C$32,DEALS!$E:$E,"&lt;="&amp;$U$32,DEALS!$S:$S,N$34,DEALS!$U:$U,$K43,DEALS!$V:$V,"&lt;&gt;*RECEIVED*",DEALS!$V:$V,"&lt;&gt;*EXECUTED*"))</f>
        <v>0</v>
      </c>
      <c r="O43" s="29" cm="1">
        <f t="array" ref="O43">SUMIFS(FLOWS!$C:$C,FLOWS!$A:$A,$B$30,FLOWS!$E:$E,$K43,FLOWS!$D:$D,O$34,FLOWS!$H:$H,"&gt;="&amp;$C$32,FLOWS!$H:$H,"&lt;="&amp;$U$32)+SUM(SUMIFS(DEALS!$J:$J,DEALS!$A:$A,{"*REFUND*","*EXECUTED*"},DEALS!$G:$G,$B$30,DEALS!$E:$E,"&gt;="&amp;$C$32,DEALS!$E:$E,"&lt;="&amp;$U$32,DEALS!$K:$K,O$34,DEALS!$M:$M,$K43,DEALS!$N:$N,"&lt;&gt;*RECEIVED*",DEALS!$N:$N,"&lt;&gt;*EXECUTED*"))+SUM(SUMIFS(DEALS!$R:$R,DEALS!$A:$A,{"*REFUND*","*EXECUTED*"},DEALS!$O:$O,$B$30,DEALS!$E:$E,"&gt;="&amp;$C$32,DEALS!$E:$E,"&lt;="&amp;$U$32,DEALS!$S:$S,O$34,DEALS!$U:$U,$K43,DEALS!$V:$V,"&lt;&gt;*RECEIVED*",DEALS!$V:$V,"&lt;&gt;*EXECUTED*"))</f>
        <v>0</v>
      </c>
      <c r="P43" s="29" cm="1">
        <f t="array" ref="P43">SUMIFS(FLOWS!$C:$C,FLOWS!$A:$A,$B$30,FLOWS!$E:$E,$K43,FLOWS!$D:$D,P$34,FLOWS!$H:$H,"&gt;="&amp;$C$32,FLOWS!$H:$H,"&lt;="&amp;$U$32)+SUM(SUMIFS(DEALS!$J:$J,DEALS!$A:$A,{"*REFUND*","*EXECUTED*"},DEALS!$G:$G,$B$30,DEALS!$E:$E,"&gt;="&amp;$C$32,DEALS!$E:$E,"&lt;="&amp;$U$32,DEALS!$K:$K,P$34,DEALS!$M:$M,$K43,DEALS!$N:$N,"&lt;&gt;*RECEIVED*",DEALS!$N:$N,"&lt;&gt;*EXECUTED*"))+SUM(SUMIFS(DEALS!$R:$R,DEALS!$A:$A,{"*REFUND*","*EXECUTED*"},DEALS!$O:$O,$B$30,DEALS!$E:$E,"&gt;="&amp;$C$32,DEALS!$E:$E,"&lt;="&amp;$U$32,DEALS!$S:$S,P$34,DEALS!$U:$U,$K43,DEALS!$V:$V,"&lt;&gt;*RECEIVED*",DEALS!$V:$V,"&lt;&gt;*EXECUTED*"))</f>
        <v>0</v>
      </c>
      <c r="Q43" s="29" cm="1">
        <f t="array" ref="Q43">SUMIFS(FLOWS!$C:$C,FLOWS!$A:$A,$B$30,FLOWS!$E:$E,$K43,FLOWS!$D:$D,Q$34,FLOWS!$H:$H,"&gt;="&amp;$C$32,FLOWS!$H:$H,"&lt;="&amp;$U$32)+SUM(SUMIFS(DEALS!$J:$J,DEALS!$A:$A,{"*REFUND*","*EXECUTED*"},DEALS!$G:$G,$B$30,DEALS!$E:$E,"&gt;="&amp;$C$32,DEALS!$E:$E,"&lt;="&amp;$U$32,DEALS!$K:$K,Q$34,DEALS!$M:$M,$K43,DEALS!$N:$N,"&lt;&gt;*RECEIVED*",DEALS!$N:$N,"&lt;&gt;*EXECUTED*"))+SUM(SUMIFS(DEALS!$R:$R,DEALS!$A:$A,{"*REFUND*","*EXECUTED*"},DEALS!$O:$O,$B$30,DEALS!$E:$E,"&gt;="&amp;$C$32,DEALS!$E:$E,"&lt;="&amp;$U$32,DEALS!$S:$S,Q$34,DEALS!$U:$U,$K43,DEALS!$V:$V,"&lt;&gt;*RECEIVED*",DEALS!$V:$V,"&lt;&gt;*EXECUTED*"))</f>
        <v>0</v>
      </c>
      <c r="R43" s="30">
        <f ca="1">L43*VLOOKUP(L$34,'FX RATES'!$E$1:$F$50,2,FALSE)+M43*VLOOKUP(M$34,'FX RATES'!$E$1:$F$50,2,FALSE)+N43*VLOOKUP(N$34,'FX RATES'!$E$1:$F$50,2,FALSE)+O43*VLOOKUP(O$34,'FX RATES'!$E$1:$F$50,2,FALSE)+P43*VLOOKUP(P$34,'FX RATES'!$E$1:$F$50,2,FALSE)+Q43*VLOOKUP(Q$34,'FX RATES'!$E$1:$F$50,2,FALSE)</f>
        <v>0</v>
      </c>
      <c r="T43" s="28">
        <f t="shared" si="17"/>
        <v>0</v>
      </c>
      <c r="U43" s="29" cm="1">
        <f t="array" ref="U43">SUMIFS(BALANCES!$C:$C,BALANCES!$A:$A,$B$30,BALANCES!$B:$B,$T43,BALANCES!$D:$D,U$34)+SUMIFS(FLOWS!$C:$C,FLOWS!$A:$A,$B$30,FLOWS!$E:$E,$T43,FLOWS!$D:$D,U$34,FLOWS!$H:$H,"&lt;="&amp;$U$32)+SUM(SUMIFS(DEALS!$J:$J,DEALS!$A:$A,{"*REFUND*","*EXECUTED*"},DEALS!$G:$G,$B$30,DEALS!$E:$E,"&lt;="&amp;$U$32,DEALS!$K:$K,U$34,DEALS!$M:$M,$T43,DEALS!$N:$N,"&lt;&gt;*RECEIVED*",DEALS!$N:$N,"&lt;&gt;*EXECUTED*"))+SUM(SUMIFS(DEALS!$R:$R,DEALS!$A:$A,{"*REFUND*","*EXECUTED*"},DEALS!$O:$O,$B$30,DEALS!$E:$E,"&lt;="&amp;$U$32,DEALS!$S:$S,U$34,DEALS!$U:$U,$T43,DEALS!$V:$V,"&lt;&gt;*RECEIVED*",DEALS!$V:$V,"&lt;&gt;*EXECUTED*"))</f>
        <v>0</v>
      </c>
      <c r="V43" s="29" cm="1">
        <f t="array" ref="V43">SUMIFS(BALANCES!$C:$C,BALANCES!$A:$A,$B$30,BALANCES!$B:$B,$T43,BALANCES!$D:$D,V$34)+SUMIFS(FLOWS!$C:$C,FLOWS!$A:$A,$B$30,FLOWS!$E:$E,$T43,FLOWS!$D:$D,V$34,FLOWS!$H:$H,"&lt;="&amp;$U$32)+SUM(SUMIFS(DEALS!$J:$J,DEALS!$A:$A,{"*REFUND*","*EXECUTED*"},DEALS!$G:$G,$B$30,DEALS!$E:$E,"&lt;="&amp;$U$32,DEALS!$K:$K,V$34,DEALS!$M:$M,$T43,DEALS!$N:$N,"&lt;&gt;*RECEIVED*",DEALS!$N:$N,"&lt;&gt;*EXECUTED*"))+SUM(SUMIFS(DEALS!$R:$R,DEALS!$A:$A,{"*REFUND*","*EXECUTED*"},DEALS!$O:$O,$B$30,DEALS!$E:$E,"&lt;="&amp;$U$32,DEALS!$S:$S,V$34,DEALS!$U:$U,$T43,DEALS!$V:$V,"&lt;&gt;*RECEIVED*",DEALS!$V:$V,"&lt;&gt;*EXECUTED*"))</f>
        <v>0</v>
      </c>
      <c r="W43" s="29" cm="1">
        <f t="array" ref="W43">SUMIFS(BALANCES!$C:$C,BALANCES!$A:$A,$B$30,BALANCES!$B:$B,$T43,BALANCES!$D:$D,W$34)+SUMIFS(FLOWS!$C:$C,FLOWS!$A:$A,$B$30,FLOWS!$E:$E,$T43,FLOWS!$D:$D,W$34,FLOWS!$H:$H,"&lt;="&amp;$U$32)+SUM(SUMIFS(DEALS!$J:$J,DEALS!$A:$A,{"*REFUND*","*EXECUTED*"},DEALS!$G:$G,$B$30,DEALS!$E:$E,"&lt;="&amp;$U$32,DEALS!$K:$K,W$34,DEALS!$M:$M,$T43,DEALS!$N:$N,"&lt;&gt;*RECEIVED*",DEALS!$N:$N,"&lt;&gt;*EXECUTED*"))+SUM(SUMIFS(DEALS!$R:$R,DEALS!$A:$A,{"*REFUND*","*EXECUTED*"},DEALS!$O:$O,$B$30,DEALS!$E:$E,"&lt;="&amp;$U$32,DEALS!$S:$S,W$34,DEALS!$U:$U,$T43,DEALS!$V:$V,"&lt;&gt;*RECEIVED*",DEALS!$V:$V,"&lt;&gt;*EXECUTED*"))</f>
        <v>0</v>
      </c>
      <c r="X43" s="29" cm="1">
        <f t="array" ref="X43">SUMIFS(BALANCES!$C:$C,BALANCES!$A:$A,$B$30,BALANCES!$B:$B,$T43,BALANCES!$D:$D,X$34)+SUMIFS(FLOWS!$C:$C,FLOWS!$A:$A,$B$30,FLOWS!$E:$E,$T43,FLOWS!$D:$D,X$34,FLOWS!$H:$H,"&lt;="&amp;$U$32)+SUM(SUMIFS(DEALS!$J:$J,DEALS!$A:$A,{"*REFUND*","*EXECUTED*"},DEALS!$G:$G,$B$30,DEALS!$E:$E,"&lt;="&amp;$U$32,DEALS!$K:$K,X$34,DEALS!$M:$M,$T43,DEALS!$N:$N,"&lt;&gt;*RECEIVED*",DEALS!$N:$N,"&lt;&gt;*EXECUTED*"))+SUM(SUMIFS(DEALS!$R:$R,DEALS!$A:$A,{"*REFUND*","*EXECUTED*"},DEALS!$O:$O,$B$30,DEALS!$E:$E,"&lt;="&amp;$U$32,DEALS!$S:$S,X$34,DEALS!$U:$U,$T43,DEALS!$V:$V,"&lt;&gt;*RECEIVED*",DEALS!$V:$V,"&lt;&gt;*EXECUTED*"))</f>
        <v>0</v>
      </c>
      <c r="Y43" s="29" cm="1">
        <f t="array" ref="Y43">SUMIFS(BALANCES!$C:$C,BALANCES!$A:$A,$B$30,BALANCES!$B:$B,$T43,BALANCES!$D:$D,Y$34)+SUMIFS(FLOWS!$C:$C,FLOWS!$A:$A,$B$30,FLOWS!$E:$E,$T43,FLOWS!$D:$D,Y$34,FLOWS!$H:$H,"&lt;="&amp;$U$32)+SUM(SUMIFS(DEALS!$J:$J,DEALS!$A:$A,{"*REFUND*","*EXECUTED*"},DEALS!$G:$G,$B$30,DEALS!$E:$E,"&lt;="&amp;$U$32,DEALS!$K:$K,Y$34,DEALS!$M:$M,$T43,DEALS!$N:$N,"&lt;&gt;*RECEIVED*",DEALS!$N:$N,"&lt;&gt;*EXECUTED*"))+SUM(SUMIFS(DEALS!$R:$R,DEALS!$A:$A,{"*REFUND*","*EXECUTED*"},DEALS!$O:$O,$B$30,DEALS!$E:$E,"&lt;="&amp;$U$32,DEALS!$S:$S,Y$34,DEALS!$U:$U,$T43,DEALS!$V:$V,"&lt;&gt;*RECEIVED*",DEALS!$V:$V,"&lt;&gt;*EXECUTED*"))</f>
        <v>0</v>
      </c>
      <c r="Z43" s="29" cm="1">
        <f t="array" ref="Z43">SUMIFS(BALANCES!$C:$C,BALANCES!$A:$A,$B$30,BALANCES!$B:$B,$T43,BALANCES!$D:$D,Z$34)+SUMIFS(FLOWS!$C:$C,FLOWS!$A:$A,$B$30,FLOWS!$E:$E,$T43,FLOWS!$D:$D,Z$34,FLOWS!$H:$H,"&lt;="&amp;$U$32)+SUM(SUMIFS(DEALS!$J:$J,DEALS!$A:$A,{"*REFUND*","*EXECUTED*"},DEALS!$G:$G,$B$30,DEALS!$E:$E,"&lt;="&amp;$U$32,DEALS!$K:$K,Z$34,DEALS!$M:$M,$T43,DEALS!$N:$N,"&lt;&gt;*RECEIVED*",DEALS!$N:$N,"&lt;&gt;*EXECUTED*"))+SUM(SUMIFS(DEALS!$R:$R,DEALS!$A:$A,{"*REFUND*","*EXECUTED*"},DEALS!$O:$O,$B$30,DEALS!$E:$E,"&lt;="&amp;$U$32,DEALS!$S:$S,Z$34,DEALS!$U:$U,$T43,DEALS!$V:$V,"&lt;&gt;*RECEIVED*",DEALS!$V:$V,"&lt;&gt;*EXECUTED*"))</f>
        <v>0</v>
      </c>
      <c r="AA43" s="30">
        <f ca="1">U43*VLOOKUP(U$34,'FX RATES'!$E$1:$F$50,2,FALSE)+V43*VLOOKUP(V$34,'FX RATES'!$E$1:$F$50,2,FALSE)+W43*VLOOKUP(W$34,'FX RATES'!$E$1:$F$50,2,FALSE)+X43*VLOOKUP(X$34,'FX RATES'!$E$1:$F$50,2,FALSE)+Y43*VLOOKUP(Y$34,'FX RATES'!$E$1:$F$50,2,FALSE)+Z43*VLOOKUP(Z$34,'FX RATES'!$E$1:$F$50,2,FALSE)</f>
        <v>0</v>
      </c>
      <c r="AC43" s="139">
        <f t="shared" ca="1" si="18"/>
        <v>0</v>
      </c>
    </row>
    <row r="44" spans="2:29" ht="19" hidden="1">
      <c r="B44" s="31"/>
      <c r="C44" s="32" cm="1">
        <f t="array" ref="C44">SUMIFS(BALANCES!$C:$C,BALANCES!$A:$A,$B$30,BALANCES!$B:$B,$B44,BALANCES!$D:$D,C$34)+SUMIFS(FLOWS!$C:$C,FLOWS!$A:$A,$B$30,FLOWS!$E:$E,$B44,FLOWS!$D:$D,C$34,FLOWS!$H:$H,"&lt;"&amp;$C$32)+SUM(SUMIFS(DEALS!$J:$J,DEALS!$A:$A,{"*REFUND*","*EXECUTED*"},DEALS!$G:$G,$B$30,DEALS!$E:$E,"&lt;"&amp;$C$32,DEALS!$K:$K,C$34,DEALS!$M:$M,$B44,DEALS!$N:$N,"&lt;&gt;*RECEIVED*",DEALS!$N:$N,"&lt;&gt;*EXECUTED*"))+SUM(SUMIFS(DEALS!$R:$R,DEALS!$A:$A,{"*REFUND*","*EXECUTED*"},DEALS!$O:$O,$B$30,DEALS!$E:$E,"&lt;"&amp;$C$32,DEALS!$S:$S,C$34,DEALS!$U:$U,$B44,DEALS!$V:$V,"&lt;&gt;*RECEIVED*",DEALS!$V:$V,"&lt;&gt;*EXECUTED*"))</f>
        <v>0</v>
      </c>
      <c r="D44" s="32" cm="1">
        <f t="array" ref="D44">SUMIFS(BALANCES!$C:$C,BALANCES!$A:$A,$B$30,BALANCES!$B:$B,$B44,BALANCES!$D:$D,D$34)+SUMIFS(FLOWS!$C:$C,FLOWS!$A:$A,$B$30,FLOWS!$E:$E,$B44,FLOWS!$D:$D,D$34,FLOWS!$H:$H,"&lt;"&amp;$C$32)+SUM(SUMIFS(DEALS!$J:$J,DEALS!$A:$A,{"*REFUND*","*EXECUTED*"},DEALS!$G:$G,$B$30,DEALS!$E:$E,"&lt;"&amp;$C$32,DEALS!$K:$K,D$34,DEALS!$M:$M,$B44,DEALS!$N:$N,"&lt;&gt;*RECEIVED*",DEALS!$N:$N,"&lt;&gt;*EXECUTED*"))+SUM(SUMIFS(DEALS!$R:$R,DEALS!$A:$A,{"*REFUND*","*EXECUTED*"},DEALS!$O:$O,$B$30,DEALS!$E:$E,"&lt;"&amp;$C$32,DEALS!$S:$S,D$34,DEALS!$U:$U,$B44,DEALS!$V:$V,"&lt;&gt;*RECEIVED*",DEALS!$V:$V,"&lt;&gt;*EXECUTED*"))</f>
        <v>0</v>
      </c>
      <c r="E44" s="32" cm="1">
        <f t="array" ref="E44">SUMIFS(BALANCES!$C:$C,BALANCES!$A:$A,$B$30,BALANCES!$B:$B,$B44,BALANCES!$D:$D,E$34)+SUMIFS(FLOWS!$C:$C,FLOWS!$A:$A,$B$30,FLOWS!$E:$E,$B44,FLOWS!$D:$D,E$34,FLOWS!$H:$H,"&lt;"&amp;$C$32)+SUM(SUMIFS(DEALS!$J:$J,DEALS!$A:$A,{"*REFUND*","*EXECUTED*"},DEALS!$G:$G,$B$30,DEALS!$E:$E,"&lt;"&amp;$C$32,DEALS!$K:$K,E$34,DEALS!$M:$M,$B44,DEALS!$N:$N,"&lt;&gt;*RECEIVED*",DEALS!$N:$N,"&lt;&gt;*EXECUTED*"))+SUM(SUMIFS(DEALS!$R:$R,DEALS!$A:$A,{"*REFUND*","*EXECUTED*"},DEALS!$O:$O,$B$30,DEALS!$E:$E,"&lt;"&amp;$C$32,DEALS!$S:$S,E$34,DEALS!$U:$U,$B44,DEALS!$V:$V,"&lt;&gt;*RECEIVED*",DEALS!$V:$V,"&lt;&gt;*EXECUTED*"))</f>
        <v>0</v>
      </c>
      <c r="F44" s="32" cm="1">
        <f t="array" ref="F44">SUMIFS(BALANCES!$C:$C,BALANCES!$A:$A,$B$30,BALANCES!$B:$B,$B44,BALANCES!$D:$D,F$34)+SUMIFS(FLOWS!$C:$C,FLOWS!$A:$A,$B$30,FLOWS!$E:$E,$B44,FLOWS!$D:$D,F$34,FLOWS!$H:$H,"&lt;"&amp;$C$32)+SUM(SUMIFS(DEALS!$J:$J,DEALS!$A:$A,{"*REFUND*","*EXECUTED*"},DEALS!$G:$G,$B$30,DEALS!$E:$E,"&lt;"&amp;$C$32,DEALS!$K:$K,F$34,DEALS!$M:$M,$B44,DEALS!$N:$N,"&lt;&gt;*RECEIVED*",DEALS!$N:$N,"&lt;&gt;*EXECUTED*"))+SUM(SUMIFS(DEALS!$R:$R,DEALS!$A:$A,{"*REFUND*","*EXECUTED*"},DEALS!$O:$O,$B$30,DEALS!$E:$E,"&lt;"&amp;$C$32,DEALS!$S:$S,F$34,DEALS!$U:$U,$B44,DEALS!$V:$V,"&lt;&gt;*RECEIVED*",DEALS!$V:$V,"&lt;&gt;*EXECUTED*"))</f>
        <v>0</v>
      </c>
      <c r="G44" s="32" cm="1">
        <f t="array" ref="G44">SUMIFS(BALANCES!$C:$C,BALANCES!$A:$A,$B$30,BALANCES!$B:$B,$B44,BALANCES!$D:$D,G$34)+SUMIFS(FLOWS!$C:$C,FLOWS!$A:$A,$B$30,FLOWS!$E:$E,$B44,FLOWS!$D:$D,G$34,FLOWS!$H:$H,"&lt;"&amp;$C$32)+SUM(SUMIFS(DEALS!$J:$J,DEALS!$A:$A,{"*REFUND*","*EXECUTED*"},DEALS!$G:$G,$B$30,DEALS!$E:$E,"&lt;"&amp;$C$32,DEALS!$K:$K,G$34,DEALS!$M:$M,$B44,DEALS!$N:$N,"&lt;&gt;*RECEIVED*",DEALS!$N:$N,"&lt;&gt;*EXECUTED*"))+SUM(SUMIFS(DEALS!$R:$R,DEALS!$A:$A,{"*REFUND*","*EXECUTED*"},DEALS!$O:$O,$B$30,DEALS!$E:$E,"&lt;"&amp;$C$32,DEALS!$S:$S,G$34,DEALS!$U:$U,$B44,DEALS!$V:$V,"&lt;&gt;*RECEIVED*",DEALS!$V:$V,"&lt;&gt;*EXECUTED*"))</f>
        <v>0</v>
      </c>
      <c r="H44" s="32" cm="1">
        <f t="array" ref="H44">SUMIFS(BALANCES!$C:$C,BALANCES!$A:$A,$B$30,BALANCES!$B:$B,$B44,BALANCES!$D:$D,H$34)+SUMIFS(FLOWS!$C:$C,FLOWS!$A:$A,$B$30,FLOWS!$E:$E,$B44,FLOWS!$D:$D,H$34,FLOWS!$H:$H,"&lt;"&amp;$C$32)+SUM(SUMIFS(DEALS!$J:$J,DEALS!$A:$A,{"*REFUND*","*EXECUTED*"},DEALS!$G:$G,$B$30,DEALS!$E:$E,"&lt;"&amp;$C$32,DEALS!$K:$K,H$34,DEALS!$M:$M,$B44,DEALS!$N:$N,"&lt;&gt;*RECEIVED*",DEALS!$N:$N,"&lt;&gt;*EXECUTED*"))+SUM(SUMIFS(DEALS!$R:$R,DEALS!$A:$A,{"*REFUND*","*EXECUTED*"},DEALS!$O:$O,$B$30,DEALS!$E:$E,"&lt;"&amp;$C$32,DEALS!$S:$S,H$34,DEALS!$U:$U,$B44,DEALS!$V:$V,"&lt;&gt;*RECEIVED*",DEALS!$V:$V,"&lt;&gt;*EXECUTED*"))</f>
        <v>0</v>
      </c>
      <c r="I44" s="33">
        <f ca="1">C44*VLOOKUP(C$34,'FX RATES'!$E$1:$F$50,2,FALSE)+D44*VLOOKUP(D$34,'FX RATES'!$E$1:$F$50,2,FALSE)+E44*VLOOKUP(E$34,'FX RATES'!$E$1:$F$50,2,FALSE)+F44*VLOOKUP(F$34,'FX RATES'!$E$1:$F$50,2,FALSE)+G44*VLOOKUP(G$34,'FX RATES'!$E$1:$F$50,2,FALSE)+H44*VLOOKUP(H$34,'FX RATES'!$E$1:$F$50,2,FALSE)</f>
        <v>0</v>
      </c>
      <c r="K44" s="31">
        <f t="shared" si="16"/>
        <v>0</v>
      </c>
      <c r="L44" s="32" cm="1">
        <f t="array" ref="L44">SUMIFS(FLOWS!$C:$C,FLOWS!$A:$A,$B$30,FLOWS!$E:$E,$K44,FLOWS!$D:$D,L$34,FLOWS!$H:$H,"&gt;="&amp;$C$32,FLOWS!$H:$H,"&lt;="&amp;$U$32)+SUM(SUMIFS(DEALS!$J:$J,DEALS!$A:$A,{"*REFUND*","*EXECUTED*"},DEALS!$G:$G,$B$30,DEALS!$E:$E,"&gt;="&amp;$C$32,DEALS!$E:$E,"&lt;="&amp;$U$32,DEALS!$K:$K,L$34,DEALS!$M:$M,$K44,DEALS!$N:$N,"&lt;&gt;*RECEIVED*",DEALS!$N:$N,"&lt;&gt;*EXECUTED*"))+SUM(SUMIFS(DEALS!$R:$R,DEALS!$A:$A,{"*REFUND*","*EXECUTED*"},DEALS!$O:$O,$B$30,DEALS!$E:$E,"&gt;="&amp;$C$32,DEALS!$E:$E,"&lt;="&amp;$U$32,DEALS!$S:$S,L$34,DEALS!$U:$U,$K44,DEALS!$V:$V,"&lt;&gt;*RECEIVED*",DEALS!$V:$V,"&lt;&gt;*EXECUTED*"))</f>
        <v>0</v>
      </c>
      <c r="M44" s="32" cm="1">
        <f t="array" ref="M44">SUMIFS(FLOWS!$C:$C,FLOWS!$A:$A,$B$30,FLOWS!$E:$E,$K44,FLOWS!$D:$D,M$34,FLOWS!$H:$H,"&gt;="&amp;$C$32,FLOWS!$H:$H,"&lt;="&amp;$U$32)+SUM(SUMIFS(DEALS!$J:$J,DEALS!$A:$A,{"*REFUND*","*EXECUTED*"},DEALS!$G:$G,$B$30,DEALS!$E:$E,"&gt;="&amp;$C$32,DEALS!$E:$E,"&lt;="&amp;$U$32,DEALS!$K:$K,M$34,DEALS!$M:$M,$K44,DEALS!$N:$N,"&lt;&gt;*RECEIVED*",DEALS!$N:$N,"&lt;&gt;*EXECUTED*"))+SUM(SUMIFS(DEALS!$R:$R,DEALS!$A:$A,{"*REFUND*","*EXECUTED*"},DEALS!$O:$O,$B$30,DEALS!$E:$E,"&gt;="&amp;$C$32,DEALS!$E:$E,"&lt;="&amp;$U$32,DEALS!$S:$S,M$34,DEALS!$U:$U,$K44,DEALS!$V:$V,"&lt;&gt;*RECEIVED*",DEALS!$V:$V,"&lt;&gt;*EXECUTED*"))</f>
        <v>0</v>
      </c>
      <c r="N44" s="32" cm="1">
        <f t="array" ref="N44">SUMIFS(FLOWS!$C:$C,FLOWS!$A:$A,$B$30,FLOWS!$E:$E,$K44,FLOWS!$D:$D,N$34,FLOWS!$H:$H,"&gt;="&amp;$C$32,FLOWS!$H:$H,"&lt;="&amp;$U$32)+SUM(SUMIFS(DEALS!$J:$J,DEALS!$A:$A,{"*REFUND*","*EXECUTED*"},DEALS!$G:$G,$B$30,DEALS!$E:$E,"&gt;="&amp;$C$32,DEALS!$E:$E,"&lt;="&amp;$U$32,DEALS!$K:$K,N$34,DEALS!$M:$M,$K44,DEALS!$N:$N,"&lt;&gt;*RECEIVED*",DEALS!$N:$N,"&lt;&gt;*EXECUTED*"))+SUM(SUMIFS(DEALS!$R:$R,DEALS!$A:$A,{"*REFUND*","*EXECUTED*"},DEALS!$O:$O,$B$30,DEALS!$E:$E,"&gt;="&amp;$C$32,DEALS!$E:$E,"&lt;="&amp;$U$32,DEALS!$S:$S,N$34,DEALS!$U:$U,$K44,DEALS!$V:$V,"&lt;&gt;*RECEIVED*",DEALS!$V:$V,"&lt;&gt;*EXECUTED*"))</f>
        <v>0</v>
      </c>
      <c r="O44" s="32" cm="1">
        <f t="array" ref="O44">SUMIFS(FLOWS!$C:$C,FLOWS!$A:$A,$B$30,FLOWS!$E:$E,$K44,FLOWS!$D:$D,O$34,FLOWS!$H:$H,"&gt;="&amp;$C$32,FLOWS!$H:$H,"&lt;="&amp;$U$32)+SUM(SUMIFS(DEALS!$J:$J,DEALS!$A:$A,{"*REFUND*","*EXECUTED*"},DEALS!$G:$G,$B$30,DEALS!$E:$E,"&gt;="&amp;$C$32,DEALS!$E:$E,"&lt;="&amp;$U$32,DEALS!$K:$K,O$34,DEALS!$M:$M,$K44,DEALS!$N:$N,"&lt;&gt;*RECEIVED*",DEALS!$N:$N,"&lt;&gt;*EXECUTED*"))+SUM(SUMIFS(DEALS!$R:$R,DEALS!$A:$A,{"*REFUND*","*EXECUTED*"},DEALS!$O:$O,$B$30,DEALS!$E:$E,"&gt;="&amp;$C$32,DEALS!$E:$E,"&lt;="&amp;$U$32,DEALS!$S:$S,O$34,DEALS!$U:$U,$K44,DEALS!$V:$V,"&lt;&gt;*RECEIVED*",DEALS!$V:$V,"&lt;&gt;*EXECUTED*"))</f>
        <v>0</v>
      </c>
      <c r="P44" s="32" cm="1">
        <f t="array" ref="P44">SUMIFS(FLOWS!$C:$C,FLOWS!$A:$A,$B$30,FLOWS!$E:$E,$K44,FLOWS!$D:$D,P$34,FLOWS!$H:$H,"&gt;="&amp;$C$32,FLOWS!$H:$H,"&lt;="&amp;$U$32)+SUM(SUMIFS(DEALS!$J:$J,DEALS!$A:$A,{"*REFUND*","*EXECUTED*"},DEALS!$G:$G,$B$30,DEALS!$E:$E,"&gt;="&amp;$C$32,DEALS!$E:$E,"&lt;="&amp;$U$32,DEALS!$K:$K,P$34,DEALS!$M:$M,$K44,DEALS!$N:$N,"&lt;&gt;*RECEIVED*",DEALS!$N:$N,"&lt;&gt;*EXECUTED*"))+SUM(SUMIFS(DEALS!$R:$R,DEALS!$A:$A,{"*REFUND*","*EXECUTED*"},DEALS!$O:$O,$B$30,DEALS!$E:$E,"&gt;="&amp;$C$32,DEALS!$E:$E,"&lt;="&amp;$U$32,DEALS!$S:$S,P$34,DEALS!$U:$U,$K44,DEALS!$V:$V,"&lt;&gt;*RECEIVED*",DEALS!$V:$V,"&lt;&gt;*EXECUTED*"))</f>
        <v>0</v>
      </c>
      <c r="Q44" s="32" cm="1">
        <f t="array" ref="Q44">SUMIFS(FLOWS!$C:$C,FLOWS!$A:$A,$B$30,FLOWS!$E:$E,$K44,FLOWS!$D:$D,Q$34,FLOWS!$H:$H,"&gt;="&amp;$C$32,FLOWS!$H:$H,"&lt;="&amp;$U$32)+SUM(SUMIFS(DEALS!$J:$J,DEALS!$A:$A,{"*REFUND*","*EXECUTED*"},DEALS!$G:$G,$B$30,DEALS!$E:$E,"&gt;="&amp;$C$32,DEALS!$E:$E,"&lt;="&amp;$U$32,DEALS!$K:$K,Q$34,DEALS!$M:$M,$K44,DEALS!$N:$N,"&lt;&gt;*RECEIVED*",DEALS!$N:$N,"&lt;&gt;*EXECUTED*"))+SUM(SUMIFS(DEALS!$R:$R,DEALS!$A:$A,{"*REFUND*","*EXECUTED*"},DEALS!$O:$O,$B$30,DEALS!$E:$E,"&gt;="&amp;$C$32,DEALS!$E:$E,"&lt;="&amp;$U$32,DEALS!$S:$S,Q$34,DEALS!$U:$U,$K44,DEALS!$V:$V,"&lt;&gt;*RECEIVED*",DEALS!$V:$V,"&lt;&gt;*EXECUTED*"))</f>
        <v>0</v>
      </c>
      <c r="R44" s="33">
        <f ca="1">L44*VLOOKUP(L$34,'FX RATES'!$E$1:$F$50,2,FALSE)+M44*VLOOKUP(M$34,'FX RATES'!$E$1:$F$50,2,FALSE)+N44*VLOOKUP(N$34,'FX RATES'!$E$1:$F$50,2,FALSE)+O44*VLOOKUP(O$34,'FX RATES'!$E$1:$F$50,2,FALSE)+P44*VLOOKUP(P$34,'FX RATES'!$E$1:$F$50,2,FALSE)+Q44*VLOOKUP(Q$34,'FX RATES'!$E$1:$F$50,2,FALSE)</f>
        <v>0</v>
      </c>
      <c r="T44" s="31">
        <f t="shared" si="17"/>
        <v>0</v>
      </c>
      <c r="U44" s="32" cm="1">
        <f t="array" ref="U44">SUMIFS(BALANCES!$C:$C,BALANCES!$A:$A,$B$30,BALANCES!$B:$B,$T44,BALANCES!$D:$D,U$34)+SUMIFS(FLOWS!$C:$C,FLOWS!$A:$A,$B$30,FLOWS!$E:$E,$T44,FLOWS!$D:$D,U$34,FLOWS!$H:$H,"&lt;="&amp;$U$32)+SUM(SUMIFS(DEALS!$J:$J,DEALS!$A:$A,{"*REFUND*","*EXECUTED*"},DEALS!$G:$G,$B$30,DEALS!$E:$E,"&lt;="&amp;$U$32,DEALS!$K:$K,U$34,DEALS!$M:$M,$T44,DEALS!$N:$N,"&lt;&gt;*RECEIVED*",DEALS!$N:$N,"&lt;&gt;*EXECUTED*"))+SUM(SUMIFS(DEALS!$R:$R,DEALS!$A:$A,{"*REFUND*","*EXECUTED*"},DEALS!$O:$O,$B$30,DEALS!$E:$E,"&lt;="&amp;$U$32,DEALS!$S:$S,U$34,DEALS!$U:$U,$T44,DEALS!$V:$V,"&lt;&gt;*RECEIVED*",DEALS!$V:$V,"&lt;&gt;*EXECUTED*"))</f>
        <v>0</v>
      </c>
      <c r="V44" s="32" cm="1">
        <f t="array" ref="V44">SUMIFS(BALANCES!$C:$C,BALANCES!$A:$A,$B$30,BALANCES!$B:$B,$T44,BALANCES!$D:$D,V$34)+SUMIFS(FLOWS!$C:$C,FLOWS!$A:$A,$B$30,FLOWS!$E:$E,$T44,FLOWS!$D:$D,V$34,FLOWS!$H:$H,"&lt;="&amp;$U$32)+SUM(SUMIFS(DEALS!$J:$J,DEALS!$A:$A,{"*REFUND*","*EXECUTED*"},DEALS!$G:$G,$B$30,DEALS!$E:$E,"&lt;="&amp;$U$32,DEALS!$K:$K,V$34,DEALS!$M:$M,$T44,DEALS!$N:$N,"&lt;&gt;*RECEIVED*",DEALS!$N:$N,"&lt;&gt;*EXECUTED*"))+SUM(SUMIFS(DEALS!$R:$R,DEALS!$A:$A,{"*REFUND*","*EXECUTED*"},DEALS!$O:$O,$B$30,DEALS!$E:$E,"&lt;="&amp;$U$32,DEALS!$S:$S,V$34,DEALS!$U:$U,$T44,DEALS!$V:$V,"&lt;&gt;*RECEIVED*",DEALS!$V:$V,"&lt;&gt;*EXECUTED*"))</f>
        <v>0</v>
      </c>
      <c r="W44" s="32" cm="1">
        <f t="array" ref="W44">SUMIFS(BALANCES!$C:$C,BALANCES!$A:$A,$B$30,BALANCES!$B:$B,$T44,BALANCES!$D:$D,W$34)+SUMIFS(FLOWS!$C:$C,FLOWS!$A:$A,$B$30,FLOWS!$E:$E,$T44,FLOWS!$D:$D,W$34,FLOWS!$H:$H,"&lt;="&amp;$U$32)+SUM(SUMIFS(DEALS!$J:$J,DEALS!$A:$A,{"*REFUND*","*EXECUTED*"},DEALS!$G:$G,$B$30,DEALS!$E:$E,"&lt;="&amp;$U$32,DEALS!$K:$K,W$34,DEALS!$M:$M,$T44,DEALS!$N:$N,"&lt;&gt;*RECEIVED*",DEALS!$N:$N,"&lt;&gt;*EXECUTED*"))+SUM(SUMIFS(DEALS!$R:$R,DEALS!$A:$A,{"*REFUND*","*EXECUTED*"},DEALS!$O:$O,$B$30,DEALS!$E:$E,"&lt;="&amp;$U$32,DEALS!$S:$S,W$34,DEALS!$U:$U,$T44,DEALS!$V:$V,"&lt;&gt;*RECEIVED*",DEALS!$V:$V,"&lt;&gt;*EXECUTED*"))</f>
        <v>0</v>
      </c>
      <c r="X44" s="32" cm="1">
        <f t="array" ref="X44">SUMIFS(BALANCES!$C:$C,BALANCES!$A:$A,$B$30,BALANCES!$B:$B,$T44,BALANCES!$D:$D,X$34)+SUMIFS(FLOWS!$C:$C,FLOWS!$A:$A,$B$30,FLOWS!$E:$E,$T44,FLOWS!$D:$D,X$34,FLOWS!$H:$H,"&lt;="&amp;$U$32)+SUM(SUMIFS(DEALS!$J:$J,DEALS!$A:$A,{"*REFUND*","*EXECUTED*"},DEALS!$G:$G,$B$30,DEALS!$E:$E,"&lt;="&amp;$U$32,DEALS!$K:$K,X$34,DEALS!$M:$M,$T44,DEALS!$N:$N,"&lt;&gt;*RECEIVED*",DEALS!$N:$N,"&lt;&gt;*EXECUTED*"))+SUM(SUMIFS(DEALS!$R:$R,DEALS!$A:$A,{"*REFUND*","*EXECUTED*"},DEALS!$O:$O,$B$30,DEALS!$E:$E,"&lt;="&amp;$U$32,DEALS!$S:$S,X$34,DEALS!$U:$U,$T44,DEALS!$V:$V,"&lt;&gt;*RECEIVED*",DEALS!$V:$V,"&lt;&gt;*EXECUTED*"))</f>
        <v>0</v>
      </c>
      <c r="Y44" s="32" cm="1">
        <f t="array" ref="Y44">SUMIFS(BALANCES!$C:$C,BALANCES!$A:$A,$B$30,BALANCES!$B:$B,$T44,BALANCES!$D:$D,Y$34)+SUMIFS(FLOWS!$C:$C,FLOWS!$A:$A,$B$30,FLOWS!$E:$E,$T44,FLOWS!$D:$D,Y$34,FLOWS!$H:$H,"&lt;="&amp;$U$32)+SUM(SUMIFS(DEALS!$J:$J,DEALS!$A:$A,{"*REFUND*","*EXECUTED*"},DEALS!$G:$G,$B$30,DEALS!$E:$E,"&lt;="&amp;$U$32,DEALS!$K:$K,Y$34,DEALS!$M:$M,$T44,DEALS!$N:$N,"&lt;&gt;*RECEIVED*",DEALS!$N:$N,"&lt;&gt;*EXECUTED*"))+SUM(SUMIFS(DEALS!$R:$R,DEALS!$A:$A,{"*REFUND*","*EXECUTED*"},DEALS!$O:$O,$B$30,DEALS!$E:$E,"&lt;="&amp;$U$32,DEALS!$S:$S,Y$34,DEALS!$U:$U,$T44,DEALS!$V:$V,"&lt;&gt;*RECEIVED*",DEALS!$V:$V,"&lt;&gt;*EXECUTED*"))</f>
        <v>0</v>
      </c>
      <c r="Z44" s="32" cm="1">
        <f t="array" ref="Z44">SUMIFS(BALANCES!$C:$C,BALANCES!$A:$A,$B$30,BALANCES!$B:$B,$T44,BALANCES!$D:$D,Z$34)+SUMIFS(FLOWS!$C:$C,FLOWS!$A:$A,$B$30,FLOWS!$E:$E,$T44,FLOWS!$D:$D,Z$34,FLOWS!$H:$H,"&lt;="&amp;$U$32)+SUM(SUMIFS(DEALS!$J:$J,DEALS!$A:$A,{"*REFUND*","*EXECUTED*"},DEALS!$G:$G,$B$30,DEALS!$E:$E,"&lt;="&amp;$U$32,DEALS!$K:$K,Z$34,DEALS!$M:$M,$T44,DEALS!$N:$N,"&lt;&gt;*RECEIVED*",DEALS!$N:$N,"&lt;&gt;*EXECUTED*"))+SUM(SUMIFS(DEALS!$R:$R,DEALS!$A:$A,{"*REFUND*","*EXECUTED*"},DEALS!$O:$O,$B$30,DEALS!$E:$E,"&lt;="&amp;$U$32,DEALS!$S:$S,Z$34,DEALS!$U:$U,$T44,DEALS!$V:$V,"&lt;&gt;*RECEIVED*",DEALS!$V:$V,"&lt;&gt;*EXECUTED*"))</f>
        <v>0</v>
      </c>
      <c r="AA44" s="33">
        <f ca="1">U44*VLOOKUP(U$34,'FX RATES'!$E$1:$F$50,2,FALSE)+V44*VLOOKUP(V$34,'FX RATES'!$E$1:$F$50,2,FALSE)+W44*VLOOKUP(W$34,'FX RATES'!$E$1:$F$50,2,FALSE)+X44*VLOOKUP(X$34,'FX RATES'!$E$1:$F$50,2,FALSE)+Y44*VLOOKUP(Y$34,'FX RATES'!$E$1:$F$50,2,FALSE)+Z44*VLOOKUP(Z$34,'FX RATES'!$E$1:$F$50,2,FALSE)</f>
        <v>0</v>
      </c>
      <c r="AC44" s="139">
        <f t="shared" ca="1" si="18"/>
        <v>0</v>
      </c>
    </row>
    <row r="45" spans="2:29" ht="19" hidden="1">
      <c r="B45" s="28"/>
      <c r="C45" s="29" cm="1">
        <f t="array" ref="C45">SUMIFS(BALANCES!$C:$C,BALANCES!$A:$A,$B$30,BALANCES!$B:$B,$B45,BALANCES!$D:$D,C$34)+SUMIFS(FLOWS!$C:$C,FLOWS!$A:$A,$B$30,FLOWS!$E:$E,$B45,FLOWS!$D:$D,C$34,FLOWS!$H:$H,"&lt;"&amp;$C$32)+SUM(SUMIFS(DEALS!$J:$J,DEALS!$A:$A,{"*REFUND*","*EXECUTED*"},DEALS!$G:$G,$B$30,DEALS!$E:$E,"&lt;"&amp;$C$32,DEALS!$K:$K,C$34,DEALS!$M:$M,$B45,DEALS!$N:$N,"&lt;&gt;*RECEIVED*",DEALS!$N:$N,"&lt;&gt;*EXECUTED*"))+SUM(SUMIFS(DEALS!$R:$R,DEALS!$A:$A,{"*REFUND*","*EXECUTED*"},DEALS!$O:$O,$B$30,DEALS!$E:$E,"&lt;"&amp;$C$32,DEALS!$S:$S,C$34,DEALS!$U:$U,$B45,DEALS!$V:$V,"&lt;&gt;*RECEIVED*",DEALS!$V:$V,"&lt;&gt;*EXECUTED*"))</f>
        <v>0</v>
      </c>
      <c r="D45" s="29" cm="1">
        <f t="array" ref="D45">SUMIFS(BALANCES!$C:$C,BALANCES!$A:$A,$B$30,BALANCES!$B:$B,$B45,BALANCES!$D:$D,D$34)+SUMIFS(FLOWS!$C:$C,FLOWS!$A:$A,$B$30,FLOWS!$E:$E,$B45,FLOWS!$D:$D,D$34,FLOWS!$H:$H,"&lt;"&amp;$C$32)+SUM(SUMIFS(DEALS!$J:$J,DEALS!$A:$A,{"*REFUND*","*EXECUTED*"},DEALS!$G:$G,$B$30,DEALS!$E:$E,"&lt;"&amp;$C$32,DEALS!$K:$K,D$34,DEALS!$M:$M,$B45,DEALS!$N:$N,"&lt;&gt;*RECEIVED*",DEALS!$N:$N,"&lt;&gt;*EXECUTED*"))+SUM(SUMIFS(DEALS!$R:$R,DEALS!$A:$A,{"*REFUND*","*EXECUTED*"},DEALS!$O:$O,$B$30,DEALS!$E:$E,"&lt;"&amp;$C$32,DEALS!$S:$S,D$34,DEALS!$U:$U,$B45,DEALS!$V:$V,"&lt;&gt;*RECEIVED*",DEALS!$V:$V,"&lt;&gt;*EXECUTED*"))</f>
        <v>0</v>
      </c>
      <c r="E45" s="29" cm="1">
        <f t="array" ref="E45">SUMIFS(BALANCES!$C:$C,BALANCES!$A:$A,$B$30,BALANCES!$B:$B,$B45,BALANCES!$D:$D,E$34)+SUMIFS(FLOWS!$C:$C,FLOWS!$A:$A,$B$30,FLOWS!$E:$E,$B45,FLOWS!$D:$D,E$34,FLOWS!$H:$H,"&lt;"&amp;$C$32)+SUM(SUMIFS(DEALS!$J:$J,DEALS!$A:$A,{"*REFUND*","*EXECUTED*"},DEALS!$G:$G,$B$30,DEALS!$E:$E,"&lt;"&amp;$C$32,DEALS!$K:$K,E$34,DEALS!$M:$M,$B45,DEALS!$N:$N,"&lt;&gt;*RECEIVED*",DEALS!$N:$N,"&lt;&gt;*EXECUTED*"))+SUM(SUMIFS(DEALS!$R:$R,DEALS!$A:$A,{"*REFUND*","*EXECUTED*"},DEALS!$O:$O,$B$30,DEALS!$E:$E,"&lt;"&amp;$C$32,DEALS!$S:$S,E$34,DEALS!$U:$U,$B45,DEALS!$V:$V,"&lt;&gt;*RECEIVED*",DEALS!$V:$V,"&lt;&gt;*EXECUTED*"))</f>
        <v>0</v>
      </c>
      <c r="F45" s="29" cm="1">
        <f t="array" ref="F45">SUMIFS(BALANCES!$C:$C,BALANCES!$A:$A,$B$30,BALANCES!$B:$B,$B45,BALANCES!$D:$D,F$34)+SUMIFS(FLOWS!$C:$C,FLOWS!$A:$A,$B$30,FLOWS!$E:$E,$B45,FLOWS!$D:$D,F$34,FLOWS!$H:$H,"&lt;"&amp;$C$32)+SUM(SUMIFS(DEALS!$J:$J,DEALS!$A:$A,{"*REFUND*","*EXECUTED*"},DEALS!$G:$G,$B$30,DEALS!$E:$E,"&lt;"&amp;$C$32,DEALS!$K:$K,F$34,DEALS!$M:$M,$B45,DEALS!$N:$N,"&lt;&gt;*RECEIVED*",DEALS!$N:$N,"&lt;&gt;*EXECUTED*"))+SUM(SUMIFS(DEALS!$R:$R,DEALS!$A:$A,{"*REFUND*","*EXECUTED*"},DEALS!$O:$O,$B$30,DEALS!$E:$E,"&lt;"&amp;$C$32,DEALS!$S:$S,F$34,DEALS!$U:$U,$B45,DEALS!$V:$V,"&lt;&gt;*RECEIVED*",DEALS!$V:$V,"&lt;&gt;*EXECUTED*"))</f>
        <v>0</v>
      </c>
      <c r="G45" s="29" cm="1">
        <f t="array" ref="G45">SUMIFS(BALANCES!$C:$C,BALANCES!$A:$A,$B$30,BALANCES!$B:$B,$B45,BALANCES!$D:$D,G$34)+SUMIFS(FLOWS!$C:$C,FLOWS!$A:$A,$B$30,FLOWS!$E:$E,$B45,FLOWS!$D:$D,G$34,FLOWS!$H:$H,"&lt;"&amp;$C$32)+SUM(SUMIFS(DEALS!$J:$J,DEALS!$A:$A,{"*REFUND*","*EXECUTED*"},DEALS!$G:$G,$B$30,DEALS!$E:$E,"&lt;"&amp;$C$32,DEALS!$K:$K,G$34,DEALS!$M:$M,$B45,DEALS!$N:$N,"&lt;&gt;*RECEIVED*",DEALS!$N:$N,"&lt;&gt;*EXECUTED*"))+SUM(SUMIFS(DEALS!$R:$R,DEALS!$A:$A,{"*REFUND*","*EXECUTED*"},DEALS!$O:$O,$B$30,DEALS!$E:$E,"&lt;"&amp;$C$32,DEALS!$S:$S,G$34,DEALS!$U:$U,$B45,DEALS!$V:$V,"&lt;&gt;*RECEIVED*",DEALS!$V:$V,"&lt;&gt;*EXECUTED*"))</f>
        <v>0</v>
      </c>
      <c r="H45" s="29" cm="1">
        <f t="array" ref="H45">SUMIFS(BALANCES!$C:$C,BALANCES!$A:$A,$B$30,BALANCES!$B:$B,$B45,BALANCES!$D:$D,H$34)+SUMIFS(FLOWS!$C:$C,FLOWS!$A:$A,$B$30,FLOWS!$E:$E,$B45,FLOWS!$D:$D,H$34,FLOWS!$H:$H,"&lt;"&amp;$C$32)+SUM(SUMIFS(DEALS!$J:$J,DEALS!$A:$A,{"*REFUND*","*EXECUTED*"},DEALS!$G:$G,$B$30,DEALS!$E:$E,"&lt;"&amp;$C$32,DEALS!$K:$K,H$34,DEALS!$M:$M,$B45,DEALS!$N:$N,"&lt;&gt;*RECEIVED*",DEALS!$N:$N,"&lt;&gt;*EXECUTED*"))+SUM(SUMIFS(DEALS!$R:$R,DEALS!$A:$A,{"*REFUND*","*EXECUTED*"},DEALS!$O:$O,$B$30,DEALS!$E:$E,"&lt;"&amp;$C$32,DEALS!$S:$S,H$34,DEALS!$U:$U,$B45,DEALS!$V:$V,"&lt;&gt;*RECEIVED*",DEALS!$V:$V,"&lt;&gt;*EXECUTED*"))</f>
        <v>0</v>
      </c>
      <c r="I45" s="30">
        <f ca="1">C45*VLOOKUP(C$34,'FX RATES'!$E$1:$F$50,2,FALSE)+D45*VLOOKUP(D$34,'FX RATES'!$E$1:$F$50,2,FALSE)+E45*VLOOKUP(E$34,'FX RATES'!$E$1:$F$50,2,FALSE)+F45*VLOOKUP(F$34,'FX RATES'!$E$1:$F$50,2,FALSE)+G45*VLOOKUP(G$34,'FX RATES'!$E$1:$F$50,2,FALSE)+H45*VLOOKUP(H$34,'FX RATES'!$E$1:$F$50,2,FALSE)</f>
        <v>0</v>
      </c>
      <c r="K45" s="28">
        <f t="shared" si="16"/>
        <v>0</v>
      </c>
      <c r="L45" s="29" cm="1">
        <f t="array" ref="L45">SUMIFS(FLOWS!$C:$C,FLOWS!$A:$A,$B$30,FLOWS!$E:$E,$K45,FLOWS!$D:$D,L$34,FLOWS!$H:$H,"&gt;="&amp;$C$32,FLOWS!$H:$H,"&lt;="&amp;$U$32)+SUM(SUMIFS(DEALS!$J:$J,DEALS!$A:$A,{"*REFUND*","*EXECUTED*"},DEALS!$G:$G,$B$30,DEALS!$E:$E,"&gt;="&amp;$C$32,DEALS!$E:$E,"&lt;="&amp;$U$32,DEALS!$K:$K,L$34,DEALS!$M:$M,$K45,DEALS!$N:$N,"&lt;&gt;*RECEIVED*",DEALS!$N:$N,"&lt;&gt;*EXECUTED*"))+SUM(SUMIFS(DEALS!$R:$R,DEALS!$A:$A,{"*REFUND*","*EXECUTED*"},DEALS!$O:$O,$B$30,DEALS!$E:$E,"&gt;="&amp;$C$32,DEALS!$E:$E,"&lt;="&amp;$U$32,DEALS!$S:$S,L$34,DEALS!$U:$U,$K45,DEALS!$V:$V,"&lt;&gt;*RECEIVED*",DEALS!$V:$V,"&lt;&gt;*EXECUTED*"))</f>
        <v>0</v>
      </c>
      <c r="M45" s="29" cm="1">
        <f t="array" ref="M45">SUMIFS(FLOWS!$C:$C,FLOWS!$A:$A,$B$30,FLOWS!$E:$E,$K45,FLOWS!$D:$D,M$34,FLOWS!$H:$H,"&gt;="&amp;$C$32,FLOWS!$H:$H,"&lt;="&amp;$U$32)+SUM(SUMIFS(DEALS!$J:$J,DEALS!$A:$A,{"*REFUND*","*EXECUTED*"},DEALS!$G:$G,$B$30,DEALS!$E:$E,"&gt;="&amp;$C$32,DEALS!$E:$E,"&lt;="&amp;$U$32,DEALS!$K:$K,M$34,DEALS!$M:$M,$K45,DEALS!$N:$N,"&lt;&gt;*RECEIVED*",DEALS!$N:$N,"&lt;&gt;*EXECUTED*"))+SUM(SUMIFS(DEALS!$R:$R,DEALS!$A:$A,{"*REFUND*","*EXECUTED*"},DEALS!$O:$O,$B$30,DEALS!$E:$E,"&gt;="&amp;$C$32,DEALS!$E:$E,"&lt;="&amp;$U$32,DEALS!$S:$S,M$34,DEALS!$U:$U,$K45,DEALS!$V:$V,"&lt;&gt;*RECEIVED*",DEALS!$V:$V,"&lt;&gt;*EXECUTED*"))</f>
        <v>0</v>
      </c>
      <c r="N45" s="29" cm="1">
        <f t="array" ref="N45">SUMIFS(FLOWS!$C:$C,FLOWS!$A:$A,$B$30,FLOWS!$E:$E,$K45,FLOWS!$D:$D,N$34,FLOWS!$H:$H,"&gt;="&amp;$C$32,FLOWS!$H:$H,"&lt;="&amp;$U$32)+SUM(SUMIFS(DEALS!$J:$J,DEALS!$A:$A,{"*REFUND*","*EXECUTED*"},DEALS!$G:$G,$B$30,DEALS!$E:$E,"&gt;="&amp;$C$32,DEALS!$E:$E,"&lt;="&amp;$U$32,DEALS!$K:$K,N$34,DEALS!$M:$M,$K45,DEALS!$N:$N,"&lt;&gt;*RECEIVED*",DEALS!$N:$N,"&lt;&gt;*EXECUTED*"))+SUM(SUMIFS(DEALS!$R:$R,DEALS!$A:$A,{"*REFUND*","*EXECUTED*"},DEALS!$O:$O,$B$30,DEALS!$E:$E,"&gt;="&amp;$C$32,DEALS!$E:$E,"&lt;="&amp;$U$32,DEALS!$S:$S,N$34,DEALS!$U:$U,$K45,DEALS!$V:$V,"&lt;&gt;*RECEIVED*",DEALS!$V:$V,"&lt;&gt;*EXECUTED*"))</f>
        <v>0</v>
      </c>
      <c r="O45" s="29" cm="1">
        <f t="array" ref="O45">SUMIFS(FLOWS!$C:$C,FLOWS!$A:$A,$B$30,FLOWS!$E:$E,$K45,FLOWS!$D:$D,O$34,FLOWS!$H:$H,"&gt;="&amp;$C$32,FLOWS!$H:$H,"&lt;="&amp;$U$32)+SUM(SUMIFS(DEALS!$J:$J,DEALS!$A:$A,{"*REFUND*","*EXECUTED*"},DEALS!$G:$G,$B$30,DEALS!$E:$E,"&gt;="&amp;$C$32,DEALS!$E:$E,"&lt;="&amp;$U$32,DEALS!$K:$K,O$34,DEALS!$M:$M,$K45,DEALS!$N:$N,"&lt;&gt;*RECEIVED*",DEALS!$N:$N,"&lt;&gt;*EXECUTED*"))+SUM(SUMIFS(DEALS!$R:$R,DEALS!$A:$A,{"*REFUND*","*EXECUTED*"},DEALS!$O:$O,$B$30,DEALS!$E:$E,"&gt;="&amp;$C$32,DEALS!$E:$E,"&lt;="&amp;$U$32,DEALS!$S:$S,O$34,DEALS!$U:$U,$K45,DEALS!$V:$V,"&lt;&gt;*RECEIVED*",DEALS!$V:$V,"&lt;&gt;*EXECUTED*"))</f>
        <v>0</v>
      </c>
      <c r="P45" s="29" cm="1">
        <f t="array" ref="P45">SUMIFS(FLOWS!$C:$C,FLOWS!$A:$A,$B$30,FLOWS!$E:$E,$K45,FLOWS!$D:$D,P$34,FLOWS!$H:$H,"&gt;="&amp;$C$32,FLOWS!$H:$H,"&lt;="&amp;$U$32)+SUM(SUMIFS(DEALS!$J:$J,DEALS!$A:$A,{"*REFUND*","*EXECUTED*"},DEALS!$G:$G,$B$30,DEALS!$E:$E,"&gt;="&amp;$C$32,DEALS!$E:$E,"&lt;="&amp;$U$32,DEALS!$K:$K,P$34,DEALS!$M:$M,$K45,DEALS!$N:$N,"&lt;&gt;*RECEIVED*",DEALS!$N:$N,"&lt;&gt;*EXECUTED*"))+SUM(SUMIFS(DEALS!$R:$R,DEALS!$A:$A,{"*REFUND*","*EXECUTED*"},DEALS!$O:$O,$B$30,DEALS!$E:$E,"&gt;="&amp;$C$32,DEALS!$E:$E,"&lt;="&amp;$U$32,DEALS!$S:$S,P$34,DEALS!$U:$U,$K45,DEALS!$V:$V,"&lt;&gt;*RECEIVED*",DEALS!$V:$V,"&lt;&gt;*EXECUTED*"))</f>
        <v>0</v>
      </c>
      <c r="Q45" s="29" cm="1">
        <f t="array" ref="Q45">SUMIFS(FLOWS!$C:$C,FLOWS!$A:$A,$B$30,FLOWS!$E:$E,$K45,FLOWS!$D:$D,Q$34,FLOWS!$H:$H,"&gt;="&amp;$C$32,FLOWS!$H:$H,"&lt;="&amp;$U$32)+SUM(SUMIFS(DEALS!$J:$J,DEALS!$A:$A,{"*REFUND*","*EXECUTED*"},DEALS!$G:$G,$B$30,DEALS!$E:$E,"&gt;="&amp;$C$32,DEALS!$E:$E,"&lt;="&amp;$U$32,DEALS!$K:$K,Q$34,DEALS!$M:$M,$K45,DEALS!$N:$N,"&lt;&gt;*RECEIVED*",DEALS!$N:$N,"&lt;&gt;*EXECUTED*"))+SUM(SUMIFS(DEALS!$R:$R,DEALS!$A:$A,{"*REFUND*","*EXECUTED*"},DEALS!$O:$O,$B$30,DEALS!$E:$E,"&gt;="&amp;$C$32,DEALS!$E:$E,"&lt;="&amp;$U$32,DEALS!$S:$S,Q$34,DEALS!$U:$U,$K45,DEALS!$V:$V,"&lt;&gt;*RECEIVED*",DEALS!$V:$V,"&lt;&gt;*EXECUTED*"))</f>
        <v>0</v>
      </c>
      <c r="R45" s="30">
        <f ca="1">L45*VLOOKUP(L$34,'FX RATES'!$E$1:$F$50,2,FALSE)+M45*VLOOKUP(M$34,'FX RATES'!$E$1:$F$50,2,FALSE)+N45*VLOOKUP(N$34,'FX RATES'!$E$1:$F$50,2,FALSE)+O45*VLOOKUP(O$34,'FX RATES'!$E$1:$F$50,2,FALSE)+P45*VLOOKUP(P$34,'FX RATES'!$E$1:$F$50,2,FALSE)+Q45*VLOOKUP(Q$34,'FX RATES'!$E$1:$F$50,2,FALSE)</f>
        <v>0</v>
      </c>
      <c r="T45" s="28">
        <f t="shared" si="17"/>
        <v>0</v>
      </c>
      <c r="U45" s="29" cm="1">
        <f t="array" ref="U45">SUMIFS(BALANCES!$C:$C,BALANCES!$A:$A,$B$30,BALANCES!$B:$B,$T45,BALANCES!$D:$D,U$34)+SUMIFS(FLOWS!$C:$C,FLOWS!$A:$A,$B$30,FLOWS!$E:$E,$T45,FLOWS!$D:$D,U$34,FLOWS!$H:$H,"&lt;="&amp;$U$32)+SUM(SUMIFS(DEALS!$J:$J,DEALS!$A:$A,{"*REFUND*","*EXECUTED*"},DEALS!$G:$G,$B$30,DEALS!$E:$E,"&lt;="&amp;$U$32,DEALS!$K:$K,U$34,DEALS!$M:$M,$T45,DEALS!$N:$N,"&lt;&gt;*RECEIVED*",DEALS!$N:$N,"&lt;&gt;*EXECUTED*"))+SUM(SUMIFS(DEALS!$R:$R,DEALS!$A:$A,{"*REFUND*","*EXECUTED*"},DEALS!$O:$O,$B$30,DEALS!$E:$E,"&lt;="&amp;$U$32,DEALS!$S:$S,U$34,DEALS!$U:$U,$T45,DEALS!$V:$V,"&lt;&gt;*RECEIVED*",DEALS!$V:$V,"&lt;&gt;*EXECUTED*"))</f>
        <v>0</v>
      </c>
      <c r="V45" s="29" cm="1">
        <f t="array" ref="V45">SUMIFS(BALANCES!$C:$C,BALANCES!$A:$A,$B$30,BALANCES!$B:$B,$T45,BALANCES!$D:$D,V$34)+SUMIFS(FLOWS!$C:$C,FLOWS!$A:$A,$B$30,FLOWS!$E:$E,$T45,FLOWS!$D:$D,V$34,FLOWS!$H:$H,"&lt;="&amp;$U$32)+SUM(SUMIFS(DEALS!$J:$J,DEALS!$A:$A,{"*REFUND*","*EXECUTED*"},DEALS!$G:$G,$B$30,DEALS!$E:$E,"&lt;="&amp;$U$32,DEALS!$K:$K,V$34,DEALS!$M:$M,$T45,DEALS!$N:$N,"&lt;&gt;*RECEIVED*",DEALS!$N:$N,"&lt;&gt;*EXECUTED*"))+SUM(SUMIFS(DEALS!$R:$R,DEALS!$A:$A,{"*REFUND*","*EXECUTED*"},DEALS!$O:$O,$B$30,DEALS!$E:$E,"&lt;="&amp;$U$32,DEALS!$S:$S,V$34,DEALS!$U:$U,$T45,DEALS!$V:$V,"&lt;&gt;*RECEIVED*",DEALS!$V:$V,"&lt;&gt;*EXECUTED*"))</f>
        <v>0</v>
      </c>
      <c r="W45" s="29" cm="1">
        <f t="array" ref="W45">SUMIFS(BALANCES!$C:$C,BALANCES!$A:$A,$B$30,BALANCES!$B:$B,$T45,BALANCES!$D:$D,W$34)+SUMIFS(FLOWS!$C:$C,FLOWS!$A:$A,$B$30,FLOWS!$E:$E,$T45,FLOWS!$D:$D,W$34,FLOWS!$H:$H,"&lt;="&amp;$U$32)+SUM(SUMIFS(DEALS!$J:$J,DEALS!$A:$A,{"*REFUND*","*EXECUTED*"},DEALS!$G:$G,$B$30,DEALS!$E:$E,"&lt;="&amp;$U$32,DEALS!$K:$K,W$34,DEALS!$M:$M,$T45,DEALS!$N:$N,"&lt;&gt;*RECEIVED*",DEALS!$N:$N,"&lt;&gt;*EXECUTED*"))+SUM(SUMIFS(DEALS!$R:$R,DEALS!$A:$A,{"*REFUND*","*EXECUTED*"},DEALS!$O:$O,$B$30,DEALS!$E:$E,"&lt;="&amp;$U$32,DEALS!$S:$S,W$34,DEALS!$U:$U,$T45,DEALS!$V:$V,"&lt;&gt;*RECEIVED*",DEALS!$V:$V,"&lt;&gt;*EXECUTED*"))</f>
        <v>0</v>
      </c>
      <c r="X45" s="29" cm="1">
        <f t="array" ref="X45">SUMIFS(BALANCES!$C:$C,BALANCES!$A:$A,$B$30,BALANCES!$B:$B,$T45,BALANCES!$D:$D,X$34)+SUMIFS(FLOWS!$C:$C,FLOWS!$A:$A,$B$30,FLOWS!$E:$E,$T45,FLOWS!$D:$D,X$34,FLOWS!$H:$H,"&lt;="&amp;$U$32)+SUM(SUMIFS(DEALS!$J:$J,DEALS!$A:$A,{"*REFUND*","*EXECUTED*"},DEALS!$G:$G,$B$30,DEALS!$E:$E,"&lt;="&amp;$U$32,DEALS!$K:$K,X$34,DEALS!$M:$M,$T45,DEALS!$N:$N,"&lt;&gt;*RECEIVED*",DEALS!$N:$N,"&lt;&gt;*EXECUTED*"))+SUM(SUMIFS(DEALS!$R:$R,DEALS!$A:$A,{"*REFUND*","*EXECUTED*"},DEALS!$O:$O,$B$30,DEALS!$E:$E,"&lt;="&amp;$U$32,DEALS!$S:$S,X$34,DEALS!$U:$U,$T45,DEALS!$V:$V,"&lt;&gt;*RECEIVED*",DEALS!$V:$V,"&lt;&gt;*EXECUTED*"))</f>
        <v>0</v>
      </c>
      <c r="Y45" s="29" cm="1">
        <f t="array" ref="Y45">SUMIFS(BALANCES!$C:$C,BALANCES!$A:$A,$B$30,BALANCES!$B:$B,$T45,BALANCES!$D:$D,Y$34)+SUMIFS(FLOWS!$C:$C,FLOWS!$A:$A,$B$30,FLOWS!$E:$E,$T45,FLOWS!$D:$D,Y$34,FLOWS!$H:$H,"&lt;="&amp;$U$32)+SUM(SUMIFS(DEALS!$J:$J,DEALS!$A:$A,{"*REFUND*","*EXECUTED*"},DEALS!$G:$G,$B$30,DEALS!$E:$E,"&lt;="&amp;$U$32,DEALS!$K:$K,Y$34,DEALS!$M:$M,$T45,DEALS!$N:$N,"&lt;&gt;*RECEIVED*",DEALS!$N:$N,"&lt;&gt;*EXECUTED*"))+SUM(SUMIFS(DEALS!$R:$R,DEALS!$A:$A,{"*REFUND*","*EXECUTED*"},DEALS!$O:$O,$B$30,DEALS!$E:$E,"&lt;="&amp;$U$32,DEALS!$S:$S,Y$34,DEALS!$U:$U,$T45,DEALS!$V:$V,"&lt;&gt;*RECEIVED*",DEALS!$V:$V,"&lt;&gt;*EXECUTED*"))</f>
        <v>0</v>
      </c>
      <c r="Z45" s="29" cm="1">
        <f t="array" ref="Z45">SUMIFS(BALANCES!$C:$C,BALANCES!$A:$A,$B$30,BALANCES!$B:$B,$T45,BALANCES!$D:$D,Z$34)+SUMIFS(FLOWS!$C:$C,FLOWS!$A:$A,$B$30,FLOWS!$E:$E,$T45,FLOWS!$D:$D,Z$34,FLOWS!$H:$H,"&lt;="&amp;$U$32)+SUM(SUMIFS(DEALS!$J:$J,DEALS!$A:$A,{"*REFUND*","*EXECUTED*"},DEALS!$G:$G,$B$30,DEALS!$E:$E,"&lt;="&amp;$U$32,DEALS!$K:$K,Z$34,DEALS!$M:$M,$T45,DEALS!$N:$N,"&lt;&gt;*RECEIVED*",DEALS!$N:$N,"&lt;&gt;*EXECUTED*"))+SUM(SUMIFS(DEALS!$R:$R,DEALS!$A:$A,{"*REFUND*","*EXECUTED*"},DEALS!$O:$O,$B$30,DEALS!$E:$E,"&lt;="&amp;$U$32,DEALS!$S:$S,Z$34,DEALS!$U:$U,$T45,DEALS!$V:$V,"&lt;&gt;*RECEIVED*",DEALS!$V:$V,"&lt;&gt;*EXECUTED*"))</f>
        <v>0</v>
      </c>
      <c r="AA45" s="30">
        <f ca="1">U45*VLOOKUP(U$34,'FX RATES'!$E$1:$F$50,2,FALSE)+V45*VLOOKUP(V$34,'FX RATES'!$E$1:$F$50,2,FALSE)+W45*VLOOKUP(W$34,'FX RATES'!$E$1:$F$50,2,FALSE)+X45*VLOOKUP(X$34,'FX RATES'!$E$1:$F$50,2,FALSE)+Y45*VLOOKUP(Y$34,'FX RATES'!$E$1:$F$50,2,FALSE)+Z45*VLOOKUP(Z$34,'FX RATES'!$E$1:$F$50,2,FALSE)</f>
        <v>0</v>
      </c>
      <c r="AC45" s="139">
        <f t="shared" ca="1" si="18"/>
        <v>0</v>
      </c>
    </row>
    <row r="46" spans="2:29" ht="19" hidden="1">
      <c r="B46" s="31"/>
      <c r="C46" s="32" cm="1">
        <f t="array" ref="C46">SUMIFS(BALANCES!$C:$C,BALANCES!$A:$A,$B$30,BALANCES!$B:$B,$B46,BALANCES!$D:$D,C$34)+SUMIFS(FLOWS!$C:$C,FLOWS!$A:$A,$B$30,FLOWS!$E:$E,$B46,FLOWS!$D:$D,C$34,FLOWS!$H:$H,"&lt;"&amp;$C$32)+SUM(SUMIFS(DEALS!$J:$J,DEALS!$A:$A,{"*REFUND*","*EXECUTED*"},DEALS!$G:$G,$B$30,DEALS!$E:$E,"&lt;"&amp;$C$32,DEALS!$K:$K,C$34,DEALS!$M:$M,$B46,DEALS!$N:$N,"&lt;&gt;*RECEIVED*",DEALS!$N:$N,"&lt;&gt;*EXECUTED*"))+SUM(SUMIFS(DEALS!$R:$R,DEALS!$A:$A,{"*REFUND*","*EXECUTED*"},DEALS!$O:$O,$B$30,DEALS!$E:$E,"&lt;"&amp;$C$32,DEALS!$S:$S,C$34,DEALS!$U:$U,$B46,DEALS!$V:$V,"&lt;&gt;*RECEIVED*",DEALS!$V:$V,"&lt;&gt;*EXECUTED*"))</f>
        <v>0</v>
      </c>
      <c r="D46" s="32" cm="1">
        <f t="array" ref="D46">SUMIFS(BALANCES!$C:$C,BALANCES!$A:$A,$B$30,BALANCES!$B:$B,$B46,BALANCES!$D:$D,D$34)+SUMIFS(FLOWS!$C:$C,FLOWS!$A:$A,$B$30,FLOWS!$E:$E,$B46,FLOWS!$D:$D,D$34,FLOWS!$H:$H,"&lt;"&amp;$C$32)+SUM(SUMIFS(DEALS!$J:$J,DEALS!$A:$A,{"*REFUND*","*EXECUTED*"},DEALS!$G:$G,$B$30,DEALS!$E:$E,"&lt;"&amp;$C$32,DEALS!$K:$K,D$34,DEALS!$M:$M,$B46,DEALS!$N:$N,"&lt;&gt;*RECEIVED*",DEALS!$N:$N,"&lt;&gt;*EXECUTED*"))+SUM(SUMIFS(DEALS!$R:$R,DEALS!$A:$A,{"*REFUND*","*EXECUTED*"},DEALS!$O:$O,$B$30,DEALS!$E:$E,"&lt;"&amp;$C$32,DEALS!$S:$S,D$34,DEALS!$U:$U,$B46,DEALS!$V:$V,"&lt;&gt;*RECEIVED*",DEALS!$V:$V,"&lt;&gt;*EXECUTED*"))</f>
        <v>0</v>
      </c>
      <c r="E46" s="32" cm="1">
        <f t="array" ref="E46">SUMIFS(BALANCES!$C:$C,BALANCES!$A:$A,$B$30,BALANCES!$B:$B,$B46,BALANCES!$D:$D,E$34)+SUMIFS(FLOWS!$C:$C,FLOWS!$A:$A,$B$30,FLOWS!$E:$E,$B46,FLOWS!$D:$D,E$34,FLOWS!$H:$H,"&lt;"&amp;$C$32)+SUM(SUMIFS(DEALS!$J:$J,DEALS!$A:$A,{"*REFUND*","*EXECUTED*"},DEALS!$G:$G,$B$30,DEALS!$E:$E,"&lt;"&amp;$C$32,DEALS!$K:$K,E$34,DEALS!$M:$M,$B46,DEALS!$N:$N,"&lt;&gt;*RECEIVED*",DEALS!$N:$N,"&lt;&gt;*EXECUTED*"))+SUM(SUMIFS(DEALS!$R:$R,DEALS!$A:$A,{"*REFUND*","*EXECUTED*"},DEALS!$O:$O,$B$30,DEALS!$E:$E,"&lt;"&amp;$C$32,DEALS!$S:$S,E$34,DEALS!$U:$U,$B46,DEALS!$V:$V,"&lt;&gt;*RECEIVED*",DEALS!$V:$V,"&lt;&gt;*EXECUTED*"))</f>
        <v>0</v>
      </c>
      <c r="F46" s="32" cm="1">
        <f t="array" ref="F46">SUMIFS(BALANCES!$C:$C,BALANCES!$A:$A,$B$30,BALANCES!$B:$B,$B46,BALANCES!$D:$D,F$34)+SUMIFS(FLOWS!$C:$C,FLOWS!$A:$A,$B$30,FLOWS!$E:$E,$B46,FLOWS!$D:$D,F$34,FLOWS!$H:$H,"&lt;"&amp;$C$32)+SUM(SUMIFS(DEALS!$J:$J,DEALS!$A:$A,{"*REFUND*","*EXECUTED*"},DEALS!$G:$G,$B$30,DEALS!$E:$E,"&lt;"&amp;$C$32,DEALS!$K:$K,F$34,DEALS!$M:$M,$B46,DEALS!$N:$N,"&lt;&gt;*RECEIVED*",DEALS!$N:$N,"&lt;&gt;*EXECUTED*"))+SUM(SUMIFS(DEALS!$R:$R,DEALS!$A:$A,{"*REFUND*","*EXECUTED*"},DEALS!$O:$O,$B$30,DEALS!$E:$E,"&lt;"&amp;$C$32,DEALS!$S:$S,F$34,DEALS!$U:$U,$B46,DEALS!$V:$V,"&lt;&gt;*RECEIVED*",DEALS!$V:$V,"&lt;&gt;*EXECUTED*"))</f>
        <v>0</v>
      </c>
      <c r="G46" s="32" cm="1">
        <f t="array" ref="G46">SUMIFS(BALANCES!$C:$C,BALANCES!$A:$A,$B$30,BALANCES!$B:$B,$B46,BALANCES!$D:$D,G$34)+SUMIFS(FLOWS!$C:$C,FLOWS!$A:$A,$B$30,FLOWS!$E:$E,$B46,FLOWS!$D:$D,G$34,FLOWS!$H:$H,"&lt;"&amp;$C$32)+SUM(SUMIFS(DEALS!$J:$J,DEALS!$A:$A,{"*REFUND*","*EXECUTED*"},DEALS!$G:$G,$B$30,DEALS!$E:$E,"&lt;"&amp;$C$32,DEALS!$K:$K,G$34,DEALS!$M:$M,$B46,DEALS!$N:$N,"&lt;&gt;*RECEIVED*",DEALS!$N:$N,"&lt;&gt;*EXECUTED*"))+SUM(SUMIFS(DEALS!$R:$R,DEALS!$A:$A,{"*REFUND*","*EXECUTED*"},DEALS!$O:$O,$B$30,DEALS!$E:$E,"&lt;"&amp;$C$32,DEALS!$S:$S,G$34,DEALS!$U:$U,$B46,DEALS!$V:$V,"&lt;&gt;*RECEIVED*",DEALS!$V:$V,"&lt;&gt;*EXECUTED*"))</f>
        <v>0</v>
      </c>
      <c r="H46" s="32" cm="1">
        <f t="array" ref="H46">SUMIFS(BALANCES!$C:$C,BALANCES!$A:$A,$B$30,BALANCES!$B:$B,$B46,BALANCES!$D:$D,H$34)+SUMIFS(FLOWS!$C:$C,FLOWS!$A:$A,$B$30,FLOWS!$E:$E,$B46,FLOWS!$D:$D,H$34,FLOWS!$H:$H,"&lt;"&amp;$C$32)+SUM(SUMIFS(DEALS!$J:$J,DEALS!$A:$A,{"*REFUND*","*EXECUTED*"},DEALS!$G:$G,$B$30,DEALS!$E:$E,"&lt;"&amp;$C$32,DEALS!$K:$K,H$34,DEALS!$M:$M,$B46,DEALS!$N:$N,"&lt;&gt;*RECEIVED*",DEALS!$N:$N,"&lt;&gt;*EXECUTED*"))+SUM(SUMIFS(DEALS!$R:$R,DEALS!$A:$A,{"*REFUND*","*EXECUTED*"},DEALS!$O:$O,$B$30,DEALS!$E:$E,"&lt;"&amp;$C$32,DEALS!$S:$S,H$34,DEALS!$U:$U,$B46,DEALS!$V:$V,"&lt;&gt;*RECEIVED*",DEALS!$V:$V,"&lt;&gt;*EXECUTED*"))</f>
        <v>0</v>
      </c>
      <c r="I46" s="33">
        <f ca="1">C46*VLOOKUP(C$34,'FX RATES'!$E$1:$F$50,2,FALSE)+D46*VLOOKUP(D$34,'FX RATES'!$E$1:$F$50,2,FALSE)+E46*VLOOKUP(E$34,'FX RATES'!$E$1:$F$50,2,FALSE)+F46*VLOOKUP(F$34,'FX RATES'!$E$1:$F$50,2,FALSE)+G46*VLOOKUP(G$34,'FX RATES'!$E$1:$F$50,2,FALSE)+H46*VLOOKUP(H$34,'FX RATES'!$E$1:$F$50,2,FALSE)</f>
        <v>0</v>
      </c>
      <c r="K46" s="31">
        <f t="shared" si="16"/>
        <v>0</v>
      </c>
      <c r="L46" s="32" cm="1">
        <f t="array" ref="L46">SUMIFS(FLOWS!$C:$C,FLOWS!$A:$A,$B$30,FLOWS!$E:$E,$K46,FLOWS!$D:$D,L$34,FLOWS!$H:$H,"&gt;="&amp;$C$32,FLOWS!$H:$H,"&lt;="&amp;$U$32)+SUM(SUMIFS(DEALS!$J:$J,DEALS!$A:$A,{"*REFUND*","*EXECUTED*"},DEALS!$G:$G,$B$30,DEALS!$E:$E,"&gt;="&amp;$C$32,DEALS!$E:$E,"&lt;="&amp;$U$32,DEALS!$K:$K,L$34,DEALS!$M:$M,$K46,DEALS!$N:$N,"&lt;&gt;*RECEIVED*",DEALS!$N:$N,"&lt;&gt;*EXECUTED*"))+SUM(SUMIFS(DEALS!$R:$R,DEALS!$A:$A,{"*REFUND*","*EXECUTED*"},DEALS!$O:$O,$B$30,DEALS!$E:$E,"&gt;="&amp;$C$32,DEALS!$E:$E,"&lt;="&amp;$U$32,DEALS!$S:$S,L$34,DEALS!$U:$U,$K46,DEALS!$V:$V,"&lt;&gt;*RECEIVED*",DEALS!$V:$V,"&lt;&gt;*EXECUTED*"))</f>
        <v>0</v>
      </c>
      <c r="M46" s="32" cm="1">
        <f t="array" ref="M46">SUMIFS(FLOWS!$C:$C,FLOWS!$A:$A,$B$30,FLOWS!$E:$E,$K46,FLOWS!$D:$D,M$34,FLOWS!$H:$H,"&gt;="&amp;$C$32,FLOWS!$H:$H,"&lt;="&amp;$U$32)+SUM(SUMIFS(DEALS!$J:$J,DEALS!$A:$A,{"*REFUND*","*EXECUTED*"},DEALS!$G:$G,$B$30,DEALS!$E:$E,"&gt;="&amp;$C$32,DEALS!$E:$E,"&lt;="&amp;$U$32,DEALS!$K:$K,M$34,DEALS!$M:$M,$K46,DEALS!$N:$N,"&lt;&gt;*RECEIVED*",DEALS!$N:$N,"&lt;&gt;*EXECUTED*"))+SUM(SUMIFS(DEALS!$R:$R,DEALS!$A:$A,{"*REFUND*","*EXECUTED*"},DEALS!$O:$O,$B$30,DEALS!$E:$E,"&gt;="&amp;$C$32,DEALS!$E:$E,"&lt;="&amp;$U$32,DEALS!$S:$S,M$34,DEALS!$U:$U,$K46,DEALS!$V:$V,"&lt;&gt;*RECEIVED*",DEALS!$V:$V,"&lt;&gt;*EXECUTED*"))</f>
        <v>0</v>
      </c>
      <c r="N46" s="32" cm="1">
        <f t="array" ref="N46">SUMIFS(FLOWS!$C:$C,FLOWS!$A:$A,$B$30,FLOWS!$E:$E,$K46,FLOWS!$D:$D,N$34,FLOWS!$H:$H,"&gt;="&amp;$C$32,FLOWS!$H:$H,"&lt;="&amp;$U$32)+SUM(SUMIFS(DEALS!$J:$J,DEALS!$A:$A,{"*REFUND*","*EXECUTED*"},DEALS!$G:$G,$B$30,DEALS!$E:$E,"&gt;="&amp;$C$32,DEALS!$E:$E,"&lt;="&amp;$U$32,DEALS!$K:$K,N$34,DEALS!$M:$M,$K46,DEALS!$N:$N,"&lt;&gt;*RECEIVED*",DEALS!$N:$N,"&lt;&gt;*EXECUTED*"))+SUM(SUMIFS(DEALS!$R:$R,DEALS!$A:$A,{"*REFUND*","*EXECUTED*"},DEALS!$O:$O,$B$30,DEALS!$E:$E,"&gt;="&amp;$C$32,DEALS!$E:$E,"&lt;="&amp;$U$32,DEALS!$S:$S,N$34,DEALS!$U:$U,$K46,DEALS!$V:$V,"&lt;&gt;*RECEIVED*",DEALS!$V:$V,"&lt;&gt;*EXECUTED*"))</f>
        <v>0</v>
      </c>
      <c r="O46" s="32" cm="1">
        <f t="array" ref="O46">SUMIFS(FLOWS!$C:$C,FLOWS!$A:$A,$B$30,FLOWS!$E:$E,$K46,FLOWS!$D:$D,O$34,FLOWS!$H:$H,"&gt;="&amp;$C$32,FLOWS!$H:$H,"&lt;="&amp;$U$32)+SUM(SUMIFS(DEALS!$J:$J,DEALS!$A:$A,{"*REFUND*","*EXECUTED*"},DEALS!$G:$G,$B$30,DEALS!$E:$E,"&gt;="&amp;$C$32,DEALS!$E:$E,"&lt;="&amp;$U$32,DEALS!$K:$K,O$34,DEALS!$M:$M,$K46,DEALS!$N:$N,"&lt;&gt;*RECEIVED*",DEALS!$N:$N,"&lt;&gt;*EXECUTED*"))+SUM(SUMIFS(DEALS!$R:$R,DEALS!$A:$A,{"*REFUND*","*EXECUTED*"},DEALS!$O:$O,$B$30,DEALS!$E:$E,"&gt;="&amp;$C$32,DEALS!$E:$E,"&lt;="&amp;$U$32,DEALS!$S:$S,O$34,DEALS!$U:$U,$K46,DEALS!$V:$V,"&lt;&gt;*RECEIVED*",DEALS!$V:$V,"&lt;&gt;*EXECUTED*"))</f>
        <v>0</v>
      </c>
      <c r="P46" s="32" cm="1">
        <f t="array" ref="P46">SUMIFS(FLOWS!$C:$C,FLOWS!$A:$A,$B$30,FLOWS!$E:$E,$K46,FLOWS!$D:$D,P$34,FLOWS!$H:$H,"&gt;="&amp;$C$32,FLOWS!$H:$H,"&lt;="&amp;$U$32)+SUM(SUMIFS(DEALS!$J:$J,DEALS!$A:$A,{"*REFUND*","*EXECUTED*"},DEALS!$G:$G,$B$30,DEALS!$E:$E,"&gt;="&amp;$C$32,DEALS!$E:$E,"&lt;="&amp;$U$32,DEALS!$K:$K,P$34,DEALS!$M:$M,$K46,DEALS!$N:$N,"&lt;&gt;*RECEIVED*",DEALS!$N:$N,"&lt;&gt;*EXECUTED*"))+SUM(SUMIFS(DEALS!$R:$R,DEALS!$A:$A,{"*REFUND*","*EXECUTED*"},DEALS!$O:$O,$B$30,DEALS!$E:$E,"&gt;="&amp;$C$32,DEALS!$E:$E,"&lt;="&amp;$U$32,DEALS!$S:$S,P$34,DEALS!$U:$U,$K46,DEALS!$V:$V,"&lt;&gt;*RECEIVED*",DEALS!$V:$V,"&lt;&gt;*EXECUTED*"))</f>
        <v>0</v>
      </c>
      <c r="Q46" s="32" cm="1">
        <f t="array" ref="Q46">SUMIFS(FLOWS!$C:$C,FLOWS!$A:$A,$B$30,FLOWS!$E:$E,$K46,FLOWS!$D:$D,Q$34,FLOWS!$H:$H,"&gt;="&amp;$C$32,FLOWS!$H:$H,"&lt;="&amp;$U$32)+SUM(SUMIFS(DEALS!$J:$J,DEALS!$A:$A,{"*REFUND*","*EXECUTED*"},DEALS!$G:$G,$B$30,DEALS!$E:$E,"&gt;="&amp;$C$32,DEALS!$E:$E,"&lt;="&amp;$U$32,DEALS!$K:$K,Q$34,DEALS!$M:$M,$K46,DEALS!$N:$N,"&lt;&gt;*RECEIVED*",DEALS!$N:$N,"&lt;&gt;*EXECUTED*"))+SUM(SUMIFS(DEALS!$R:$R,DEALS!$A:$A,{"*REFUND*","*EXECUTED*"},DEALS!$O:$O,$B$30,DEALS!$E:$E,"&gt;="&amp;$C$32,DEALS!$E:$E,"&lt;="&amp;$U$32,DEALS!$S:$S,Q$34,DEALS!$U:$U,$K46,DEALS!$V:$V,"&lt;&gt;*RECEIVED*",DEALS!$V:$V,"&lt;&gt;*EXECUTED*"))</f>
        <v>0</v>
      </c>
      <c r="R46" s="33">
        <f ca="1">L46*VLOOKUP(L$34,'FX RATES'!$E$1:$F$50,2,FALSE)+M46*VLOOKUP(M$34,'FX RATES'!$E$1:$F$50,2,FALSE)+N46*VLOOKUP(N$34,'FX RATES'!$E$1:$F$50,2,FALSE)+O46*VLOOKUP(O$34,'FX RATES'!$E$1:$F$50,2,FALSE)+P46*VLOOKUP(P$34,'FX RATES'!$E$1:$F$50,2,FALSE)+Q46*VLOOKUP(Q$34,'FX RATES'!$E$1:$F$50,2,FALSE)</f>
        <v>0</v>
      </c>
      <c r="T46" s="31">
        <f t="shared" si="17"/>
        <v>0</v>
      </c>
      <c r="U46" s="32" cm="1">
        <f t="array" ref="U46">SUMIFS(BALANCES!$C:$C,BALANCES!$A:$A,$B$30,BALANCES!$B:$B,$T46,BALANCES!$D:$D,U$34)+SUMIFS(FLOWS!$C:$C,FLOWS!$A:$A,$B$30,FLOWS!$E:$E,$T46,FLOWS!$D:$D,U$34,FLOWS!$H:$H,"&lt;="&amp;$U$32)+SUM(SUMIFS(DEALS!$J:$J,DEALS!$A:$A,{"*REFUND*","*EXECUTED*"},DEALS!$G:$G,$B$30,DEALS!$E:$E,"&lt;="&amp;$U$32,DEALS!$K:$K,U$34,DEALS!$M:$M,$T46,DEALS!$N:$N,"&lt;&gt;*RECEIVED*",DEALS!$N:$N,"&lt;&gt;*EXECUTED*"))+SUM(SUMIFS(DEALS!$R:$R,DEALS!$A:$A,{"*REFUND*","*EXECUTED*"},DEALS!$O:$O,$B$30,DEALS!$E:$E,"&lt;="&amp;$U$32,DEALS!$S:$S,U$34,DEALS!$U:$U,$T46,DEALS!$V:$V,"&lt;&gt;*RECEIVED*",DEALS!$V:$V,"&lt;&gt;*EXECUTED*"))</f>
        <v>0</v>
      </c>
      <c r="V46" s="32" cm="1">
        <f t="array" ref="V46">SUMIFS(BALANCES!$C:$C,BALANCES!$A:$A,$B$30,BALANCES!$B:$B,$T46,BALANCES!$D:$D,V$34)+SUMIFS(FLOWS!$C:$C,FLOWS!$A:$A,$B$30,FLOWS!$E:$E,$T46,FLOWS!$D:$D,V$34,FLOWS!$H:$H,"&lt;="&amp;$U$32)+SUM(SUMIFS(DEALS!$J:$J,DEALS!$A:$A,{"*REFUND*","*EXECUTED*"},DEALS!$G:$G,$B$30,DEALS!$E:$E,"&lt;="&amp;$U$32,DEALS!$K:$K,V$34,DEALS!$M:$M,$T46,DEALS!$N:$N,"&lt;&gt;*RECEIVED*",DEALS!$N:$N,"&lt;&gt;*EXECUTED*"))+SUM(SUMIFS(DEALS!$R:$R,DEALS!$A:$A,{"*REFUND*","*EXECUTED*"},DEALS!$O:$O,$B$30,DEALS!$E:$E,"&lt;="&amp;$U$32,DEALS!$S:$S,V$34,DEALS!$U:$U,$T46,DEALS!$V:$V,"&lt;&gt;*RECEIVED*",DEALS!$V:$V,"&lt;&gt;*EXECUTED*"))</f>
        <v>0</v>
      </c>
      <c r="W46" s="32" cm="1">
        <f t="array" ref="W46">SUMIFS(BALANCES!$C:$C,BALANCES!$A:$A,$B$30,BALANCES!$B:$B,$T46,BALANCES!$D:$D,W$34)+SUMIFS(FLOWS!$C:$C,FLOWS!$A:$A,$B$30,FLOWS!$E:$E,$T46,FLOWS!$D:$D,W$34,FLOWS!$H:$H,"&lt;="&amp;$U$32)+SUM(SUMIFS(DEALS!$J:$J,DEALS!$A:$A,{"*REFUND*","*EXECUTED*"},DEALS!$G:$G,$B$30,DEALS!$E:$E,"&lt;="&amp;$U$32,DEALS!$K:$K,W$34,DEALS!$M:$M,$T46,DEALS!$N:$N,"&lt;&gt;*RECEIVED*",DEALS!$N:$N,"&lt;&gt;*EXECUTED*"))+SUM(SUMIFS(DEALS!$R:$R,DEALS!$A:$A,{"*REFUND*","*EXECUTED*"},DEALS!$O:$O,$B$30,DEALS!$E:$E,"&lt;="&amp;$U$32,DEALS!$S:$S,W$34,DEALS!$U:$U,$T46,DEALS!$V:$V,"&lt;&gt;*RECEIVED*",DEALS!$V:$V,"&lt;&gt;*EXECUTED*"))</f>
        <v>0</v>
      </c>
      <c r="X46" s="32" cm="1">
        <f t="array" ref="X46">SUMIFS(BALANCES!$C:$C,BALANCES!$A:$A,$B$30,BALANCES!$B:$B,$T46,BALANCES!$D:$D,X$34)+SUMIFS(FLOWS!$C:$C,FLOWS!$A:$A,$B$30,FLOWS!$E:$E,$T46,FLOWS!$D:$D,X$34,FLOWS!$H:$H,"&lt;="&amp;$U$32)+SUM(SUMIFS(DEALS!$J:$J,DEALS!$A:$A,{"*REFUND*","*EXECUTED*"},DEALS!$G:$G,$B$30,DEALS!$E:$E,"&lt;="&amp;$U$32,DEALS!$K:$K,X$34,DEALS!$M:$M,$T46,DEALS!$N:$N,"&lt;&gt;*RECEIVED*",DEALS!$N:$N,"&lt;&gt;*EXECUTED*"))+SUM(SUMIFS(DEALS!$R:$R,DEALS!$A:$A,{"*REFUND*","*EXECUTED*"},DEALS!$O:$O,$B$30,DEALS!$E:$E,"&lt;="&amp;$U$32,DEALS!$S:$S,X$34,DEALS!$U:$U,$T46,DEALS!$V:$V,"&lt;&gt;*RECEIVED*",DEALS!$V:$V,"&lt;&gt;*EXECUTED*"))</f>
        <v>0</v>
      </c>
      <c r="Y46" s="32" cm="1">
        <f t="array" ref="Y46">SUMIFS(BALANCES!$C:$C,BALANCES!$A:$A,$B$30,BALANCES!$B:$B,$T46,BALANCES!$D:$D,Y$34)+SUMIFS(FLOWS!$C:$C,FLOWS!$A:$A,$B$30,FLOWS!$E:$E,$T46,FLOWS!$D:$D,Y$34,FLOWS!$H:$H,"&lt;="&amp;$U$32)+SUM(SUMIFS(DEALS!$J:$J,DEALS!$A:$A,{"*REFUND*","*EXECUTED*"},DEALS!$G:$G,$B$30,DEALS!$E:$E,"&lt;="&amp;$U$32,DEALS!$K:$K,Y$34,DEALS!$M:$M,$T46,DEALS!$N:$N,"&lt;&gt;*RECEIVED*",DEALS!$N:$N,"&lt;&gt;*EXECUTED*"))+SUM(SUMIFS(DEALS!$R:$R,DEALS!$A:$A,{"*REFUND*","*EXECUTED*"},DEALS!$O:$O,$B$30,DEALS!$E:$E,"&lt;="&amp;$U$32,DEALS!$S:$S,Y$34,DEALS!$U:$U,$T46,DEALS!$V:$V,"&lt;&gt;*RECEIVED*",DEALS!$V:$V,"&lt;&gt;*EXECUTED*"))</f>
        <v>0</v>
      </c>
      <c r="Z46" s="32" cm="1">
        <f t="array" ref="Z46">SUMIFS(BALANCES!$C:$C,BALANCES!$A:$A,$B$30,BALANCES!$B:$B,$T46,BALANCES!$D:$D,Z$34)+SUMIFS(FLOWS!$C:$C,FLOWS!$A:$A,$B$30,FLOWS!$E:$E,$T46,FLOWS!$D:$D,Z$34,FLOWS!$H:$H,"&lt;="&amp;$U$32)+SUM(SUMIFS(DEALS!$J:$J,DEALS!$A:$A,{"*REFUND*","*EXECUTED*"},DEALS!$G:$G,$B$30,DEALS!$E:$E,"&lt;="&amp;$U$32,DEALS!$K:$K,Z$34,DEALS!$M:$M,$T46,DEALS!$N:$N,"&lt;&gt;*RECEIVED*",DEALS!$N:$N,"&lt;&gt;*EXECUTED*"))+SUM(SUMIFS(DEALS!$R:$R,DEALS!$A:$A,{"*REFUND*","*EXECUTED*"},DEALS!$O:$O,$B$30,DEALS!$E:$E,"&lt;="&amp;$U$32,DEALS!$S:$S,Z$34,DEALS!$U:$U,$T46,DEALS!$V:$V,"&lt;&gt;*RECEIVED*",DEALS!$V:$V,"&lt;&gt;*EXECUTED*"))</f>
        <v>0</v>
      </c>
      <c r="AA46" s="33">
        <f ca="1">U46*VLOOKUP(U$34,'FX RATES'!$E$1:$F$50,2,FALSE)+V46*VLOOKUP(V$34,'FX RATES'!$E$1:$F$50,2,FALSE)+W46*VLOOKUP(W$34,'FX RATES'!$E$1:$F$50,2,FALSE)+X46*VLOOKUP(X$34,'FX RATES'!$E$1:$F$50,2,FALSE)+Y46*VLOOKUP(Y$34,'FX RATES'!$E$1:$F$50,2,FALSE)+Z46*VLOOKUP(Z$34,'FX RATES'!$E$1:$F$50,2,FALSE)</f>
        <v>0</v>
      </c>
      <c r="AC46" s="139">
        <f t="shared" ca="1" si="18"/>
        <v>0</v>
      </c>
    </row>
    <row r="47" spans="2:29" ht="19" hidden="1">
      <c r="B47" s="28"/>
      <c r="C47" s="29" cm="1">
        <f t="array" ref="C47">SUMIFS(BALANCES!$C:$C,BALANCES!$A:$A,$B$30,BALANCES!$B:$B,$B47,BALANCES!$D:$D,C$34)+SUMIFS(FLOWS!$C:$C,FLOWS!$A:$A,$B$30,FLOWS!$E:$E,$B47,FLOWS!$D:$D,C$34,FLOWS!$H:$H,"&lt;"&amp;$C$32)+SUM(SUMIFS(DEALS!$J:$J,DEALS!$A:$A,{"*REFUND*","*EXECUTED*"},DEALS!$G:$G,$B$30,DEALS!$E:$E,"&lt;"&amp;$C$32,DEALS!$K:$K,C$34,DEALS!$M:$M,$B47,DEALS!$N:$N,"&lt;&gt;*RECEIVED*",DEALS!$N:$N,"&lt;&gt;*EXECUTED*"))+SUM(SUMIFS(DEALS!$R:$R,DEALS!$A:$A,{"*REFUND*","*EXECUTED*"},DEALS!$O:$O,$B$30,DEALS!$E:$E,"&lt;"&amp;$C$32,DEALS!$S:$S,C$34,DEALS!$U:$U,$B47,DEALS!$V:$V,"&lt;&gt;*RECEIVED*",DEALS!$V:$V,"&lt;&gt;*EXECUTED*"))</f>
        <v>0</v>
      </c>
      <c r="D47" s="29" cm="1">
        <f t="array" ref="D47">SUMIFS(BALANCES!$C:$C,BALANCES!$A:$A,$B$30,BALANCES!$B:$B,$B47,BALANCES!$D:$D,D$34)+SUMIFS(FLOWS!$C:$C,FLOWS!$A:$A,$B$30,FLOWS!$E:$E,$B47,FLOWS!$D:$D,D$34,FLOWS!$H:$H,"&lt;"&amp;$C$32)+SUM(SUMIFS(DEALS!$J:$J,DEALS!$A:$A,{"*REFUND*","*EXECUTED*"},DEALS!$G:$G,$B$30,DEALS!$E:$E,"&lt;"&amp;$C$32,DEALS!$K:$K,D$34,DEALS!$M:$M,$B47,DEALS!$N:$N,"&lt;&gt;*RECEIVED*",DEALS!$N:$N,"&lt;&gt;*EXECUTED*"))+SUM(SUMIFS(DEALS!$R:$R,DEALS!$A:$A,{"*REFUND*","*EXECUTED*"},DEALS!$O:$O,$B$30,DEALS!$E:$E,"&lt;"&amp;$C$32,DEALS!$S:$S,D$34,DEALS!$U:$U,$B47,DEALS!$V:$V,"&lt;&gt;*RECEIVED*",DEALS!$V:$V,"&lt;&gt;*EXECUTED*"))</f>
        <v>0</v>
      </c>
      <c r="E47" s="29" cm="1">
        <f t="array" ref="E47">SUMIFS(BALANCES!$C:$C,BALANCES!$A:$A,$B$30,BALANCES!$B:$B,$B47,BALANCES!$D:$D,E$34)+SUMIFS(FLOWS!$C:$C,FLOWS!$A:$A,$B$30,FLOWS!$E:$E,$B47,FLOWS!$D:$D,E$34,FLOWS!$H:$H,"&lt;"&amp;$C$32)+SUM(SUMIFS(DEALS!$J:$J,DEALS!$A:$A,{"*REFUND*","*EXECUTED*"},DEALS!$G:$G,$B$30,DEALS!$E:$E,"&lt;"&amp;$C$32,DEALS!$K:$K,E$34,DEALS!$M:$M,$B47,DEALS!$N:$N,"&lt;&gt;*RECEIVED*",DEALS!$N:$N,"&lt;&gt;*EXECUTED*"))+SUM(SUMIFS(DEALS!$R:$R,DEALS!$A:$A,{"*REFUND*","*EXECUTED*"},DEALS!$O:$O,$B$30,DEALS!$E:$E,"&lt;"&amp;$C$32,DEALS!$S:$S,E$34,DEALS!$U:$U,$B47,DEALS!$V:$V,"&lt;&gt;*RECEIVED*",DEALS!$V:$V,"&lt;&gt;*EXECUTED*"))</f>
        <v>0</v>
      </c>
      <c r="F47" s="29" cm="1">
        <f t="array" ref="F47">SUMIFS(BALANCES!$C:$C,BALANCES!$A:$A,$B$30,BALANCES!$B:$B,$B47,BALANCES!$D:$D,F$34)+SUMIFS(FLOWS!$C:$C,FLOWS!$A:$A,$B$30,FLOWS!$E:$E,$B47,FLOWS!$D:$D,F$34,FLOWS!$H:$H,"&lt;"&amp;$C$32)+SUM(SUMIFS(DEALS!$J:$J,DEALS!$A:$A,{"*REFUND*","*EXECUTED*"},DEALS!$G:$G,$B$30,DEALS!$E:$E,"&lt;"&amp;$C$32,DEALS!$K:$K,F$34,DEALS!$M:$M,$B47,DEALS!$N:$N,"&lt;&gt;*RECEIVED*",DEALS!$N:$N,"&lt;&gt;*EXECUTED*"))+SUM(SUMIFS(DEALS!$R:$R,DEALS!$A:$A,{"*REFUND*","*EXECUTED*"},DEALS!$O:$O,$B$30,DEALS!$E:$E,"&lt;"&amp;$C$32,DEALS!$S:$S,F$34,DEALS!$U:$U,$B47,DEALS!$V:$V,"&lt;&gt;*RECEIVED*",DEALS!$V:$V,"&lt;&gt;*EXECUTED*"))</f>
        <v>0</v>
      </c>
      <c r="G47" s="29" cm="1">
        <f t="array" ref="G47">SUMIFS(BALANCES!$C:$C,BALANCES!$A:$A,$B$30,BALANCES!$B:$B,$B47,BALANCES!$D:$D,G$34)+SUMIFS(FLOWS!$C:$C,FLOWS!$A:$A,$B$30,FLOWS!$E:$E,$B47,FLOWS!$D:$D,G$34,FLOWS!$H:$H,"&lt;"&amp;$C$32)+SUM(SUMIFS(DEALS!$J:$J,DEALS!$A:$A,{"*REFUND*","*EXECUTED*"},DEALS!$G:$G,$B$30,DEALS!$E:$E,"&lt;"&amp;$C$32,DEALS!$K:$K,G$34,DEALS!$M:$M,$B47,DEALS!$N:$N,"&lt;&gt;*RECEIVED*",DEALS!$N:$N,"&lt;&gt;*EXECUTED*"))+SUM(SUMIFS(DEALS!$R:$R,DEALS!$A:$A,{"*REFUND*","*EXECUTED*"},DEALS!$O:$O,$B$30,DEALS!$E:$E,"&lt;"&amp;$C$32,DEALS!$S:$S,G$34,DEALS!$U:$U,$B47,DEALS!$V:$V,"&lt;&gt;*RECEIVED*",DEALS!$V:$V,"&lt;&gt;*EXECUTED*"))</f>
        <v>0</v>
      </c>
      <c r="H47" s="29" cm="1">
        <f t="array" ref="H47">SUMIFS(BALANCES!$C:$C,BALANCES!$A:$A,$B$30,BALANCES!$B:$B,$B47,BALANCES!$D:$D,H$34)+SUMIFS(FLOWS!$C:$C,FLOWS!$A:$A,$B$30,FLOWS!$E:$E,$B47,FLOWS!$D:$D,H$34,FLOWS!$H:$H,"&lt;"&amp;$C$32)+SUM(SUMIFS(DEALS!$J:$J,DEALS!$A:$A,{"*REFUND*","*EXECUTED*"},DEALS!$G:$G,$B$30,DEALS!$E:$E,"&lt;"&amp;$C$32,DEALS!$K:$K,H$34,DEALS!$M:$M,$B47,DEALS!$N:$N,"&lt;&gt;*RECEIVED*",DEALS!$N:$N,"&lt;&gt;*EXECUTED*"))+SUM(SUMIFS(DEALS!$R:$R,DEALS!$A:$A,{"*REFUND*","*EXECUTED*"},DEALS!$O:$O,$B$30,DEALS!$E:$E,"&lt;"&amp;$C$32,DEALS!$S:$S,H$34,DEALS!$U:$U,$B47,DEALS!$V:$V,"&lt;&gt;*RECEIVED*",DEALS!$V:$V,"&lt;&gt;*EXECUTED*"))</f>
        <v>0</v>
      </c>
      <c r="I47" s="30">
        <f ca="1">C47*VLOOKUP(C$34,'FX RATES'!$E$1:$F$50,2,FALSE)+D47*VLOOKUP(D$34,'FX RATES'!$E$1:$F$50,2,FALSE)+E47*VLOOKUP(E$34,'FX RATES'!$E$1:$F$50,2,FALSE)+F47*VLOOKUP(F$34,'FX RATES'!$E$1:$F$50,2,FALSE)+G47*VLOOKUP(G$34,'FX RATES'!$E$1:$F$50,2,FALSE)+H47*VLOOKUP(H$34,'FX RATES'!$E$1:$F$50,2,FALSE)</f>
        <v>0</v>
      </c>
      <c r="K47" s="28">
        <f t="shared" si="16"/>
        <v>0</v>
      </c>
      <c r="L47" s="29" cm="1">
        <f t="array" ref="L47">SUMIFS(FLOWS!$C:$C,FLOWS!$A:$A,$B$30,FLOWS!$E:$E,$K47,FLOWS!$D:$D,L$34,FLOWS!$H:$H,"&gt;="&amp;$C$32,FLOWS!$H:$H,"&lt;="&amp;$U$32)+SUM(SUMIFS(DEALS!$J:$J,DEALS!$A:$A,{"*REFUND*","*EXECUTED*"},DEALS!$G:$G,$B$30,DEALS!$E:$E,"&gt;="&amp;$C$32,DEALS!$E:$E,"&lt;="&amp;$U$32,DEALS!$K:$K,L$34,DEALS!$M:$M,$K47,DEALS!$N:$N,"&lt;&gt;*RECEIVED*",DEALS!$N:$N,"&lt;&gt;*EXECUTED*"))+SUM(SUMIFS(DEALS!$R:$R,DEALS!$A:$A,{"*REFUND*","*EXECUTED*"},DEALS!$O:$O,$B$30,DEALS!$E:$E,"&gt;="&amp;$C$32,DEALS!$E:$E,"&lt;="&amp;$U$32,DEALS!$S:$S,L$34,DEALS!$U:$U,$K47,DEALS!$V:$V,"&lt;&gt;*RECEIVED*",DEALS!$V:$V,"&lt;&gt;*EXECUTED*"))</f>
        <v>0</v>
      </c>
      <c r="M47" s="29" cm="1">
        <f t="array" ref="M47">SUMIFS(FLOWS!$C:$C,FLOWS!$A:$A,$B$30,FLOWS!$E:$E,$K47,FLOWS!$D:$D,M$34,FLOWS!$H:$H,"&gt;="&amp;$C$32,FLOWS!$H:$H,"&lt;="&amp;$U$32)+SUM(SUMIFS(DEALS!$J:$J,DEALS!$A:$A,{"*REFUND*","*EXECUTED*"},DEALS!$G:$G,$B$30,DEALS!$E:$E,"&gt;="&amp;$C$32,DEALS!$E:$E,"&lt;="&amp;$U$32,DEALS!$K:$K,M$34,DEALS!$M:$M,$K47,DEALS!$N:$N,"&lt;&gt;*RECEIVED*",DEALS!$N:$N,"&lt;&gt;*EXECUTED*"))+SUM(SUMIFS(DEALS!$R:$R,DEALS!$A:$A,{"*REFUND*","*EXECUTED*"},DEALS!$O:$O,$B$30,DEALS!$E:$E,"&gt;="&amp;$C$32,DEALS!$E:$E,"&lt;="&amp;$U$32,DEALS!$S:$S,M$34,DEALS!$U:$U,$K47,DEALS!$V:$V,"&lt;&gt;*RECEIVED*",DEALS!$V:$V,"&lt;&gt;*EXECUTED*"))</f>
        <v>0</v>
      </c>
      <c r="N47" s="29" cm="1">
        <f t="array" ref="N47">SUMIFS(FLOWS!$C:$C,FLOWS!$A:$A,$B$30,FLOWS!$E:$E,$K47,FLOWS!$D:$D,N$34,FLOWS!$H:$H,"&gt;="&amp;$C$32,FLOWS!$H:$H,"&lt;="&amp;$U$32)+SUM(SUMIFS(DEALS!$J:$J,DEALS!$A:$A,{"*REFUND*","*EXECUTED*"},DEALS!$G:$G,$B$30,DEALS!$E:$E,"&gt;="&amp;$C$32,DEALS!$E:$E,"&lt;="&amp;$U$32,DEALS!$K:$K,N$34,DEALS!$M:$M,$K47,DEALS!$N:$N,"&lt;&gt;*RECEIVED*",DEALS!$N:$N,"&lt;&gt;*EXECUTED*"))+SUM(SUMIFS(DEALS!$R:$R,DEALS!$A:$A,{"*REFUND*","*EXECUTED*"},DEALS!$O:$O,$B$30,DEALS!$E:$E,"&gt;="&amp;$C$32,DEALS!$E:$E,"&lt;="&amp;$U$32,DEALS!$S:$S,N$34,DEALS!$U:$U,$K47,DEALS!$V:$V,"&lt;&gt;*RECEIVED*",DEALS!$V:$V,"&lt;&gt;*EXECUTED*"))</f>
        <v>0</v>
      </c>
      <c r="O47" s="29" cm="1">
        <f t="array" ref="O47">SUMIFS(FLOWS!$C:$C,FLOWS!$A:$A,$B$30,FLOWS!$E:$E,$K47,FLOWS!$D:$D,O$34,FLOWS!$H:$H,"&gt;="&amp;$C$32,FLOWS!$H:$H,"&lt;="&amp;$U$32)+SUM(SUMIFS(DEALS!$J:$J,DEALS!$A:$A,{"*REFUND*","*EXECUTED*"},DEALS!$G:$G,$B$30,DEALS!$E:$E,"&gt;="&amp;$C$32,DEALS!$E:$E,"&lt;="&amp;$U$32,DEALS!$K:$K,O$34,DEALS!$M:$M,$K47,DEALS!$N:$N,"&lt;&gt;*RECEIVED*",DEALS!$N:$N,"&lt;&gt;*EXECUTED*"))+SUM(SUMIFS(DEALS!$R:$R,DEALS!$A:$A,{"*REFUND*","*EXECUTED*"},DEALS!$O:$O,$B$30,DEALS!$E:$E,"&gt;="&amp;$C$32,DEALS!$E:$E,"&lt;="&amp;$U$32,DEALS!$S:$S,O$34,DEALS!$U:$U,$K47,DEALS!$V:$V,"&lt;&gt;*RECEIVED*",DEALS!$V:$V,"&lt;&gt;*EXECUTED*"))</f>
        <v>0</v>
      </c>
      <c r="P47" s="29" cm="1">
        <f t="array" ref="P47">SUMIFS(FLOWS!$C:$C,FLOWS!$A:$A,$B$30,FLOWS!$E:$E,$K47,FLOWS!$D:$D,P$34,FLOWS!$H:$H,"&gt;="&amp;$C$32,FLOWS!$H:$H,"&lt;="&amp;$U$32)+SUM(SUMIFS(DEALS!$J:$J,DEALS!$A:$A,{"*REFUND*","*EXECUTED*"},DEALS!$G:$G,$B$30,DEALS!$E:$E,"&gt;="&amp;$C$32,DEALS!$E:$E,"&lt;="&amp;$U$32,DEALS!$K:$K,P$34,DEALS!$M:$M,$K47,DEALS!$N:$N,"&lt;&gt;*RECEIVED*",DEALS!$N:$N,"&lt;&gt;*EXECUTED*"))+SUM(SUMIFS(DEALS!$R:$R,DEALS!$A:$A,{"*REFUND*","*EXECUTED*"},DEALS!$O:$O,$B$30,DEALS!$E:$E,"&gt;="&amp;$C$32,DEALS!$E:$E,"&lt;="&amp;$U$32,DEALS!$S:$S,P$34,DEALS!$U:$U,$K47,DEALS!$V:$V,"&lt;&gt;*RECEIVED*",DEALS!$V:$V,"&lt;&gt;*EXECUTED*"))</f>
        <v>0</v>
      </c>
      <c r="Q47" s="29" cm="1">
        <f t="array" ref="Q47">SUMIFS(FLOWS!$C:$C,FLOWS!$A:$A,$B$30,FLOWS!$E:$E,$K47,FLOWS!$D:$D,Q$34,FLOWS!$H:$H,"&gt;="&amp;$C$32,FLOWS!$H:$H,"&lt;="&amp;$U$32)+SUM(SUMIFS(DEALS!$J:$J,DEALS!$A:$A,{"*REFUND*","*EXECUTED*"},DEALS!$G:$G,$B$30,DEALS!$E:$E,"&gt;="&amp;$C$32,DEALS!$E:$E,"&lt;="&amp;$U$32,DEALS!$K:$K,Q$34,DEALS!$M:$M,$K47,DEALS!$N:$N,"&lt;&gt;*RECEIVED*",DEALS!$N:$N,"&lt;&gt;*EXECUTED*"))+SUM(SUMIFS(DEALS!$R:$R,DEALS!$A:$A,{"*REFUND*","*EXECUTED*"},DEALS!$O:$O,$B$30,DEALS!$E:$E,"&gt;="&amp;$C$32,DEALS!$E:$E,"&lt;="&amp;$U$32,DEALS!$S:$S,Q$34,DEALS!$U:$U,$K47,DEALS!$V:$V,"&lt;&gt;*RECEIVED*",DEALS!$V:$V,"&lt;&gt;*EXECUTED*"))</f>
        <v>0</v>
      </c>
      <c r="R47" s="30">
        <f ca="1">L47*VLOOKUP(L$34,'FX RATES'!$E$1:$F$50,2,FALSE)+M47*VLOOKUP(M$34,'FX RATES'!$E$1:$F$50,2,FALSE)+N47*VLOOKUP(N$34,'FX RATES'!$E$1:$F$50,2,FALSE)+O47*VLOOKUP(O$34,'FX RATES'!$E$1:$F$50,2,FALSE)+P47*VLOOKUP(P$34,'FX RATES'!$E$1:$F$50,2,FALSE)+Q47*VLOOKUP(Q$34,'FX RATES'!$E$1:$F$50,2,FALSE)</f>
        <v>0</v>
      </c>
      <c r="T47" s="28">
        <f t="shared" si="17"/>
        <v>0</v>
      </c>
      <c r="U47" s="29" cm="1">
        <f t="array" ref="U47">SUMIFS(BALANCES!$C:$C,BALANCES!$A:$A,$B$30,BALANCES!$B:$B,$T47,BALANCES!$D:$D,U$34)+SUMIFS(FLOWS!$C:$C,FLOWS!$A:$A,$B$30,FLOWS!$E:$E,$T47,FLOWS!$D:$D,U$34,FLOWS!$H:$H,"&lt;="&amp;$U$32)+SUM(SUMIFS(DEALS!$J:$J,DEALS!$A:$A,{"*REFUND*","*EXECUTED*"},DEALS!$G:$G,$B$30,DEALS!$E:$E,"&lt;="&amp;$U$32,DEALS!$K:$K,U$34,DEALS!$M:$M,$T47,DEALS!$N:$N,"&lt;&gt;*RECEIVED*",DEALS!$N:$N,"&lt;&gt;*EXECUTED*"))+SUM(SUMIFS(DEALS!$R:$R,DEALS!$A:$A,{"*REFUND*","*EXECUTED*"},DEALS!$O:$O,$B$30,DEALS!$E:$E,"&lt;="&amp;$U$32,DEALS!$S:$S,U$34,DEALS!$U:$U,$T47,DEALS!$V:$V,"&lt;&gt;*RECEIVED*",DEALS!$V:$V,"&lt;&gt;*EXECUTED*"))</f>
        <v>0</v>
      </c>
      <c r="V47" s="29" cm="1">
        <f t="array" ref="V47">SUMIFS(BALANCES!$C:$C,BALANCES!$A:$A,$B$30,BALANCES!$B:$B,$T47,BALANCES!$D:$D,V$34)+SUMIFS(FLOWS!$C:$C,FLOWS!$A:$A,$B$30,FLOWS!$E:$E,$T47,FLOWS!$D:$D,V$34,FLOWS!$H:$H,"&lt;="&amp;$U$32)+SUM(SUMIFS(DEALS!$J:$J,DEALS!$A:$A,{"*REFUND*","*EXECUTED*"},DEALS!$G:$G,$B$30,DEALS!$E:$E,"&lt;="&amp;$U$32,DEALS!$K:$K,V$34,DEALS!$M:$M,$T47,DEALS!$N:$N,"&lt;&gt;*RECEIVED*",DEALS!$N:$N,"&lt;&gt;*EXECUTED*"))+SUM(SUMIFS(DEALS!$R:$R,DEALS!$A:$A,{"*REFUND*","*EXECUTED*"},DEALS!$O:$O,$B$30,DEALS!$E:$E,"&lt;="&amp;$U$32,DEALS!$S:$S,V$34,DEALS!$U:$U,$T47,DEALS!$V:$V,"&lt;&gt;*RECEIVED*",DEALS!$V:$V,"&lt;&gt;*EXECUTED*"))</f>
        <v>0</v>
      </c>
      <c r="W47" s="29" cm="1">
        <f t="array" ref="W47">SUMIFS(BALANCES!$C:$C,BALANCES!$A:$A,$B$30,BALANCES!$B:$B,$T47,BALANCES!$D:$D,W$34)+SUMIFS(FLOWS!$C:$C,FLOWS!$A:$A,$B$30,FLOWS!$E:$E,$T47,FLOWS!$D:$D,W$34,FLOWS!$H:$H,"&lt;="&amp;$U$32)+SUM(SUMIFS(DEALS!$J:$J,DEALS!$A:$A,{"*REFUND*","*EXECUTED*"},DEALS!$G:$G,$B$30,DEALS!$E:$E,"&lt;="&amp;$U$32,DEALS!$K:$K,W$34,DEALS!$M:$M,$T47,DEALS!$N:$N,"&lt;&gt;*RECEIVED*",DEALS!$N:$N,"&lt;&gt;*EXECUTED*"))+SUM(SUMIFS(DEALS!$R:$R,DEALS!$A:$A,{"*REFUND*","*EXECUTED*"},DEALS!$O:$O,$B$30,DEALS!$E:$E,"&lt;="&amp;$U$32,DEALS!$S:$S,W$34,DEALS!$U:$U,$T47,DEALS!$V:$V,"&lt;&gt;*RECEIVED*",DEALS!$V:$V,"&lt;&gt;*EXECUTED*"))</f>
        <v>0</v>
      </c>
      <c r="X47" s="29" cm="1">
        <f t="array" ref="X47">SUMIFS(BALANCES!$C:$C,BALANCES!$A:$A,$B$30,BALANCES!$B:$B,$T47,BALANCES!$D:$D,X$34)+SUMIFS(FLOWS!$C:$C,FLOWS!$A:$A,$B$30,FLOWS!$E:$E,$T47,FLOWS!$D:$D,X$34,FLOWS!$H:$H,"&lt;="&amp;$U$32)+SUM(SUMIFS(DEALS!$J:$J,DEALS!$A:$A,{"*REFUND*","*EXECUTED*"},DEALS!$G:$G,$B$30,DEALS!$E:$E,"&lt;="&amp;$U$32,DEALS!$K:$K,X$34,DEALS!$M:$M,$T47,DEALS!$N:$N,"&lt;&gt;*RECEIVED*",DEALS!$N:$N,"&lt;&gt;*EXECUTED*"))+SUM(SUMIFS(DEALS!$R:$R,DEALS!$A:$A,{"*REFUND*","*EXECUTED*"},DEALS!$O:$O,$B$30,DEALS!$E:$E,"&lt;="&amp;$U$32,DEALS!$S:$S,X$34,DEALS!$U:$U,$T47,DEALS!$V:$V,"&lt;&gt;*RECEIVED*",DEALS!$V:$V,"&lt;&gt;*EXECUTED*"))</f>
        <v>0</v>
      </c>
      <c r="Y47" s="29" cm="1">
        <f t="array" ref="Y47">SUMIFS(BALANCES!$C:$C,BALANCES!$A:$A,$B$30,BALANCES!$B:$B,$T47,BALANCES!$D:$D,Y$34)+SUMIFS(FLOWS!$C:$C,FLOWS!$A:$A,$B$30,FLOWS!$E:$E,$T47,FLOWS!$D:$D,Y$34,FLOWS!$H:$H,"&lt;="&amp;$U$32)+SUM(SUMIFS(DEALS!$J:$J,DEALS!$A:$A,{"*REFUND*","*EXECUTED*"},DEALS!$G:$G,$B$30,DEALS!$E:$E,"&lt;="&amp;$U$32,DEALS!$K:$K,Y$34,DEALS!$M:$M,$T47,DEALS!$N:$N,"&lt;&gt;*RECEIVED*",DEALS!$N:$N,"&lt;&gt;*EXECUTED*"))+SUM(SUMIFS(DEALS!$R:$R,DEALS!$A:$A,{"*REFUND*","*EXECUTED*"},DEALS!$O:$O,$B$30,DEALS!$E:$E,"&lt;="&amp;$U$32,DEALS!$S:$S,Y$34,DEALS!$U:$U,$T47,DEALS!$V:$V,"&lt;&gt;*RECEIVED*",DEALS!$V:$V,"&lt;&gt;*EXECUTED*"))</f>
        <v>0</v>
      </c>
      <c r="Z47" s="29" cm="1">
        <f t="array" ref="Z47">SUMIFS(BALANCES!$C:$C,BALANCES!$A:$A,$B$30,BALANCES!$B:$B,$T47,BALANCES!$D:$D,Z$34)+SUMIFS(FLOWS!$C:$C,FLOWS!$A:$A,$B$30,FLOWS!$E:$E,$T47,FLOWS!$D:$D,Z$34,FLOWS!$H:$H,"&lt;="&amp;$U$32)+SUM(SUMIFS(DEALS!$J:$J,DEALS!$A:$A,{"*REFUND*","*EXECUTED*"},DEALS!$G:$G,$B$30,DEALS!$E:$E,"&lt;="&amp;$U$32,DEALS!$K:$K,Z$34,DEALS!$M:$M,$T47,DEALS!$N:$N,"&lt;&gt;*RECEIVED*",DEALS!$N:$N,"&lt;&gt;*EXECUTED*"))+SUM(SUMIFS(DEALS!$R:$R,DEALS!$A:$A,{"*REFUND*","*EXECUTED*"},DEALS!$O:$O,$B$30,DEALS!$E:$E,"&lt;="&amp;$U$32,DEALS!$S:$S,Z$34,DEALS!$U:$U,$T47,DEALS!$V:$V,"&lt;&gt;*RECEIVED*",DEALS!$V:$V,"&lt;&gt;*EXECUTED*"))</f>
        <v>0</v>
      </c>
      <c r="AA47" s="30">
        <f ca="1">U47*VLOOKUP(U$34,'FX RATES'!$E$1:$F$50,2,FALSE)+V47*VLOOKUP(V$34,'FX RATES'!$E$1:$F$50,2,FALSE)+W47*VLOOKUP(W$34,'FX RATES'!$E$1:$F$50,2,FALSE)+X47*VLOOKUP(X$34,'FX RATES'!$E$1:$F$50,2,FALSE)+Y47*VLOOKUP(Y$34,'FX RATES'!$E$1:$F$50,2,FALSE)+Z47*VLOOKUP(Z$34,'FX RATES'!$E$1:$F$50,2,FALSE)</f>
        <v>0</v>
      </c>
      <c r="AC47" s="139">
        <f t="shared" ca="1" si="18"/>
        <v>0</v>
      </c>
    </row>
    <row r="48" spans="2:29" ht="19" hidden="1">
      <c r="B48" s="31"/>
      <c r="C48" s="32" cm="1">
        <f t="array" ref="C48">SUMIFS(BALANCES!$C:$C,BALANCES!$A:$A,$B$30,BALANCES!$B:$B,$B48,BALANCES!$D:$D,C$34)+SUMIFS(FLOWS!$C:$C,FLOWS!$A:$A,$B$30,FLOWS!$E:$E,$B48,FLOWS!$D:$D,C$34,FLOWS!$H:$H,"&lt;"&amp;$C$32)+SUM(SUMIFS(DEALS!$J:$J,DEALS!$A:$A,{"*REFUND*","*EXECUTED*"},DEALS!$G:$G,$B$30,DEALS!$E:$E,"&lt;"&amp;$C$32,DEALS!$K:$K,C$34,DEALS!$M:$M,$B48,DEALS!$N:$N,"&lt;&gt;*RECEIVED*",DEALS!$N:$N,"&lt;&gt;*EXECUTED*"))+SUM(SUMIFS(DEALS!$R:$R,DEALS!$A:$A,{"*REFUND*","*EXECUTED*"},DEALS!$O:$O,$B$30,DEALS!$E:$E,"&lt;"&amp;$C$32,DEALS!$S:$S,C$34,DEALS!$U:$U,$B48,DEALS!$V:$V,"&lt;&gt;*RECEIVED*",DEALS!$V:$V,"&lt;&gt;*EXECUTED*"))</f>
        <v>0</v>
      </c>
      <c r="D48" s="32" cm="1">
        <f t="array" ref="D48">SUMIFS(BALANCES!$C:$C,BALANCES!$A:$A,$B$30,BALANCES!$B:$B,$B48,BALANCES!$D:$D,D$34)+SUMIFS(FLOWS!$C:$C,FLOWS!$A:$A,$B$30,FLOWS!$E:$E,$B48,FLOWS!$D:$D,D$34,FLOWS!$H:$H,"&lt;"&amp;$C$32)+SUM(SUMIFS(DEALS!$J:$J,DEALS!$A:$A,{"*REFUND*","*EXECUTED*"},DEALS!$G:$G,$B$30,DEALS!$E:$E,"&lt;"&amp;$C$32,DEALS!$K:$K,D$34,DEALS!$M:$M,$B48,DEALS!$N:$N,"&lt;&gt;*RECEIVED*",DEALS!$N:$N,"&lt;&gt;*EXECUTED*"))+SUM(SUMIFS(DEALS!$R:$R,DEALS!$A:$A,{"*REFUND*","*EXECUTED*"},DEALS!$O:$O,$B$30,DEALS!$E:$E,"&lt;"&amp;$C$32,DEALS!$S:$S,D$34,DEALS!$U:$U,$B48,DEALS!$V:$V,"&lt;&gt;*RECEIVED*",DEALS!$V:$V,"&lt;&gt;*EXECUTED*"))</f>
        <v>0</v>
      </c>
      <c r="E48" s="32" cm="1">
        <f t="array" ref="E48">SUMIFS(BALANCES!$C:$C,BALANCES!$A:$A,$B$30,BALANCES!$B:$B,$B48,BALANCES!$D:$D,E$34)+SUMIFS(FLOWS!$C:$C,FLOWS!$A:$A,$B$30,FLOWS!$E:$E,$B48,FLOWS!$D:$D,E$34,FLOWS!$H:$H,"&lt;"&amp;$C$32)+SUM(SUMIFS(DEALS!$J:$J,DEALS!$A:$A,{"*REFUND*","*EXECUTED*"},DEALS!$G:$G,$B$30,DEALS!$E:$E,"&lt;"&amp;$C$32,DEALS!$K:$K,E$34,DEALS!$M:$M,$B48,DEALS!$N:$N,"&lt;&gt;*RECEIVED*",DEALS!$N:$N,"&lt;&gt;*EXECUTED*"))+SUM(SUMIFS(DEALS!$R:$R,DEALS!$A:$A,{"*REFUND*","*EXECUTED*"},DEALS!$O:$O,$B$30,DEALS!$E:$E,"&lt;"&amp;$C$32,DEALS!$S:$S,E$34,DEALS!$U:$U,$B48,DEALS!$V:$V,"&lt;&gt;*RECEIVED*",DEALS!$V:$V,"&lt;&gt;*EXECUTED*"))</f>
        <v>0</v>
      </c>
      <c r="F48" s="32" cm="1">
        <f t="array" ref="F48">SUMIFS(BALANCES!$C:$C,BALANCES!$A:$A,$B$30,BALANCES!$B:$B,$B48,BALANCES!$D:$D,F$34)+SUMIFS(FLOWS!$C:$C,FLOWS!$A:$A,$B$30,FLOWS!$E:$E,$B48,FLOWS!$D:$D,F$34,FLOWS!$H:$H,"&lt;"&amp;$C$32)+SUM(SUMIFS(DEALS!$J:$J,DEALS!$A:$A,{"*REFUND*","*EXECUTED*"},DEALS!$G:$G,$B$30,DEALS!$E:$E,"&lt;"&amp;$C$32,DEALS!$K:$K,F$34,DEALS!$M:$M,$B48,DEALS!$N:$N,"&lt;&gt;*RECEIVED*",DEALS!$N:$N,"&lt;&gt;*EXECUTED*"))+SUM(SUMIFS(DEALS!$R:$R,DEALS!$A:$A,{"*REFUND*","*EXECUTED*"},DEALS!$O:$O,$B$30,DEALS!$E:$E,"&lt;"&amp;$C$32,DEALS!$S:$S,F$34,DEALS!$U:$U,$B48,DEALS!$V:$V,"&lt;&gt;*RECEIVED*",DEALS!$V:$V,"&lt;&gt;*EXECUTED*"))</f>
        <v>0</v>
      </c>
      <c r="G48" s="32" cm="1">
        <f t="array" ref="G48">SUMIFS(BALANCES!$C:$C,BALANCES!$A:$A,$B$30,BALANCES!$B:$B,$B48,BALANCES!$D:$D,G$34)+SUMIFS(FLOWS!$C:$C,FLOWS!$A:$A,$B$30,FLOWS!$E:$E,$B48,FLOWS!$D:$D,G$34,FLOWS!$H:$H,"&lt;"&amp;$C$32)+SUM(SUMIFS(DEALS!$J:$J,DEALS!$A:$A,{"*REFUND*","*EXECUTED*"},DEALS!$G:$G,$B$30,DEALS!$E:$E,"&lt;"&amp;$C$32,DEALS!$K:$K,G$34,DEALS!$M:$M,$B48,DEALS!$N:$N,"&lt;&gt;*RECEIVED*",DEALS!$N:$N,"&lt;&gt;*EXECUTED*"))+SUM(SUMIFS(DEALS!$R:$R,DEALS!$A:$A,{"*REFUND*","*EXECUTED*"},DEALS!$O:$O,$B$30,DEALS!$E:$E,"&lt;"&amp;$C$32,DEALS!$S:$S,G$34,DEALS!$U:$U,$B48,DEALS!$V:$V,"&lt;&gt;*RECEIVED*",DEALS!$V:$V,"&lt;&gt;*EXECUTED*"))</f>
        <v>0</v>
      </c>
      <c r="H48" s="32" cm="1">
        <f t="array" ref="H48">SUMIFS(BALANCES!$C:$C,BALANCES!$A:$A,$B$30,BALANCES!$B:$B,$B48,BALANCES!$D:$D,H$34)+SUMIFS(FLOWS!$C:$C,FLOWS!$A:$A,$B$30,FLOWS!$E:$E,$B48,FLOWS!$D:$D,H$34,FLOWS!$H:$H,"&lt;"&amp;$C$32)+SUM(SUMIFS(DEALS!$J:$J,DEALS!$A:$A,{"*REFUND*","*EXECUTED*"},DEALS!$G:$G,$B$30,DEALS!$E:$E,"&lt;"&amp;$C$32,DEALS!$K:$K,H$34,DEALS!$M:$M,$B48,DEALS!$N:$N,"&lt;&gt;*RECEIVED*",DEALS!$N:$N,"&lt;&gt;*EXECUTED*"))+SUM(SUMIFS(DEALS!$R:$R,DEALS!$A:$A,{"*REFUND*","*EXECUTED*"},DEALS!$O:$O,$B$30,DEALS!$E:$E,"&lt;"&amp;$C$32,DEALS!$S:$S,H$34,DEALS!$U:$U,$B48,DEALS!$V:$V,"&lt;&gt;*RECEIVED*",DEALS!$V:$V,"&lt;&gt;*EXECUTED*"))</f>
        <v>0</v>
      </c>
      <c r="I48" s="33">
        <f ca="1">C48*VLOOKUP(C$34,'FX RATES'!$E$1:$F$50,2,FALSE)+D48*VLOOKUP(D$34,'FX RATES'!$E$1:$F$50,2,FALSE)+E48*VLOOKUP(E$34,'FX RATES'!$E$1:$F$50,2,FALSE)+F48*VLOOKUP(F$34,'FX RATES'!$E$1:$F$50,2,FALSE)+G48*VLOOKUP(G$34,'FX RATES'!$E$1:$F$50,2,FALSE)+H48*VLOOKUP(H$34,'FX RATES'!$E$1:$F$50,2,FALSE)</f>
        <v>0</v>
      </c>
      <c r="J48" s="18"/>
      <c r="K48" s="31">
        <f t="shared" si="16"/>
        <v>0</v>
      </c>
      <c r="L48" s="32" cm="1">
        <f t="array" ref="L48">SUMIFS(FLOWS!$C:$C,FLOWS!$A:$A,$B$30,FLOWS!$E:$E,$K48,FLOWS!$D:$D,L$34,FLOWS!$H:$H,"&gt;="&amp;$C$32,FLOWS!$H:$H,"&lt;="&amp;$U$32)+SUM(SUMIFS(DEALS!$J:$J,DEALS!$A:$A,{"*REFUND*","*EXECUTED*"},DEALS!$G:$G,$B$30,DEALS!$E:$E,"&gt;="&amp;$C$32,DEALS!$E:$E,"&lt;="&amp;$U$32,DEALS!$K:$K,L$34,DEALS!$M:$M,$K48,DEALS!$N:$N,"&lt;&gt;*RECEIVED*",DEALS!$N:$N,"&lt;&gt;*EXECUTED*"))+SUM(SUMIFS(DEALS!$R:$R,DEALS!$A:$A,{"*REFUND*","*EXECUTED*"},DEALS!$O:$O,$B$30,DEALS!$E:$E,"&gt;="&amp;$C$32,DEALS!$E:$E,"&lt;="&amp;$U$32,DEALS!$S:$S,L$34,DEALS!$U:$U,$K48,DEALS!$V:$V,"&lt;&gt;*RECEIVED*",DEALS!$V:$V,"&lt;&gt;*EXECUTED*"))</f>
        <v>0</v>
      </c>
      <c r="M48" s="32" cm="1">
        <f t="array" ref="M48">SUMIFS(FLOWS!$C:$C,FLOWS!$A:$A,$B$30,FLOWS!$E:$E,$K48,FLOWS!$D:$D,M$34,FLOWS!$H:$H,"&gt;="&amp;$C$32,FLOWS!$H:$H,"&lt;="&amp;$U$32)+SUM(SUMIFS(DEALS!$J:$J,DEALS!$A:$A,{"*REFUND*","*EXECUTED*"},DEALS!$G:$G,$B$30,DEALS!$E:$E,"&gt;="&amp;$C$32,DEALS!$E:$E,"&lt;="&amp;$U$32,DEALS!$K:$K,M$34,DEALS!$M:$M,$K48,DEALS!$N:$N,"&lt;&gt;*RECEIVED*",DEALS!$N:$N,"&lt;&gt;*EXECUTED*"))+SUM(SUMIFS(DEALS!$R:$R,DEALS!$A:$A,{"*REFUND*","*EXECUTED*"},DEALS!$O:$O,$B$30,DEALS!$E:$E,"&gt;="&amp;$C$32,DEALS!$E:$E,"&lt;="&amp;$U$32,DEALS!$S:$S,M$34,DEALS!$U:$U,$K48,DEALS!$V:$V,"&lt;&gt;*RECEIVED*",DEALS!$V:$V,"&lt;&gt;*EXECUTED*"))</f>
        <v>0</v>
      </c>
      <c r="N48" s="32" cm="1">
        <f t="array" ref="N48">SUMIFS(FLOWS!$C:$C,FLOWS!$A:$A,$B$30,FLOWS!$E:$E,$K48,FLOWS!$D:$D,N$34,FLOWS!$H:$H,"&gt;="&amp;$C$32,FLOWS!$H:$H,"&lt;="&amp;$U$32)+SUM(SUMIFS(DEALS!$J:$J,DEALS!$A:$A,{"*REFUND*","*EXECUTED*"},DEALS!$G:$G,$B$30,DEALS!$E:$E,"&gt;="&amp;$C$32,DEALS!$E:$E,"&lt;="&amp;$U$32,DEALS!$K:$K,N$34,DEALS!$M:$M,$K48,DEALS!$N:$N,"&lt;&gt;*RECEIVED*",DEALS!$N:$N,"&lt;&gt;*EXECUTED*"))+SUM(SUMIFS(DEALS!$R:$R,DEALS!$A:$A,{"*REFUND*","*EXECUTED*"},DEALS!$O:$O,$B$30,DEALS!$E:$E,"&gt;="&amp;$C$32,DEALS!$E:$E,"&lt;="&amp;$U$32,DEALS!$S:$S,N$34,DEALS!$U:$U,$K48,DEALS!$V:$V,"&lt;&gt;*RECEIVED*",DEALS!$V:$V,"&lt;&gt;*EXECUTED*"))</f>
        <v>0</v>
      </c>
      <c r="O48" s="32" cm="1">
        <f t="array" ref="O48">SUMIFS(FLOWS!$C:$C,FLOWS!$A:$A,$B$30,FLOWS!$E:$E,$K48,FLOWS!$D:$D,O$34,FLOWS!$H:$H,"&gt;="&amp;$C$32,FLOWS!$H:$H,"&lt;="&amp;$U$32)+SUM(SUMIFS(DEALS!$J:$J,DEALS!$A:$A,{"*REFUND*","*EXECUTED*"},DEALS!$G:$G,$B$30,DEALS!$E:$E,"&gt;="&amp;$C$32,DEALS!$E:$E,"&lt;="&amp;$U$32,DEALS!$K:$K,O$34,DEALS!$M:$M,$K48,DEALS!$N:$N,"&lt;&gt;*RECEIVED*",DEALS!$N:$N,"&lt;&gt;*EXECUTED*"))+SUM(SUMIFS(DEALS!$R:$R,DEALS!$A:$A,{"*REFUND*","*EXECUTED*"},DEALS!$O:$O,$B$30,DEALS!$E:$E,"&gt;="&amp;$C$32,DEALS!$E:$E,"&lt;="&amp;$U$32,DEALS!$S:$S,O$34,DEALS!$U:$U,$K48,DEALS!$V:$V,"&lt;&gt;*RECEIVED*",DEALS!$V:$V,"&lt;&gt;*EXECUTED*"))</f>
        <v>0</v>
      </c>
      <c r="P48" s="32" cm="1">
        <f t="array" ref="P48">SUMIFS(FLOWS!$C:$C,FLOWS!$A:$A,$B$30,FLOWS!$E:$E,$K48,FLOWS!$D:$D,P$34,FLOWS!$H:$H,"&gt;="&amp;$C$32,FLOWS!$H:$H,"&lt;="&amp;$U$32)+SUM(SUMIFS(DEALS!$J:$J,DEALS!$A:$A,{"*REFUND*","*EXECUTED*"},DEALS!$G:$G,$B$30,DEALS!$E:$E,"&gt;="&amp;$C$32,DEALS!$E:$E,"&lt;="&amp;$U$32,DEALS!$K:$K,P$34,DEALS!$M:$M,$K48,DEALS!$N:$N,"&lt;&gt;*RECEIVED*",DEALS!$N:$N,"&lt;&gt;*EXECUTED*"))+SUM(SUMIFS(DEALS!$R:$R,DEALS!$A:$A,{"*REFUND*","*EXECUTED*"},DEALS!$O:$O,$B$30,DEALS!$E:$E,"&gt;="&amp;$C$32,DEALS!$E:$E,"&lt;="&amp;$U$32,DEALS!$S:$S,P$34,DEALS!$U:$U,$K48,DEALS!$V:$V,"&lt;&gt;*RECEIVED*",DEALS!$V:$V,"&lt;&gt;*EXECUTED*"))</f>
        <v>0</v>
      </c>
      <c r="Q48" s="32" cm="1">
        <f t="array" ref="Q48">SUMIFS(FLOWS!$C:$C,FLOWS!$A:$A,$B$30,FLOWS!$E:$E,$K48,FLOWS!$D:$D,Q$34,FLOWS!$H:$H,"&gt;="&amp;$C$32,FLOWS!$H:$H,"&lt;="&amp;$U$32)+SUM(SUMIFS(DEALS!$J:$J,DEALS!$A:$A,{"*REFUND*","*EXECUTED*"},DEALS!$G:$G,$B$30,DEALS!$E:$E,"&gt;="&amp;$C$32,DEALS!$E:$E,"&lt;="&amp;$U$32,DEALS!$K:$K,Q$34,DEALS!$M:$M,$K48,DEALS!$N:$N,"&lt;&gt;*RECEIVED*",DEALS!$N:$N,"&lt;&gt;*EXECUTED*"))+SUM(SUMIFS(DEALS!$R:$R,DEALS!$A:$A,{"*REFUND*","*EXECUTED*"},DEALS!$O:$O,$B$30,DEALS!$E:$E,"&gt;="&amp;$C$32,DEALS!$E:$E,"&lt;="&amp;$U$32,DEALS!$S:$S,Q$34,DEALS!$U:$U,$K48,DEALS!$V:$V,"&lt;&gt;*RECEIVED*",DEALS!$V:$V,"&lt;&gt;*EXECUTED*"))</f>
        <v>0</v>
      </c>
      <c r="R48" s="33">
        <f ca="1">L48*VLOOKUP(L$34,'FX RATES'!$E$1:$F$50,2,FALSE)+M48*VLOOKUP(M$34,'FX RATES'!$E$1:$F$50,2,FALSE)+N48*VLOOKUP(N$34,'FX RATES'!$E$1:$F$50,2,FALSE)+O48*VLOOKUP(O$34,'FX RATES'!$E$1:$F$50,2,FALSE)+P48*VLOOKUP(P$34,'FX RATES'!$E$1:$F$50,2,FALSE)+Q48*VLOOKUP(Q$34,'FX RATES'!$E$1:$F$50,2,FALSE)</f>
        <v>0</v>
      </c>
      <c r="T48" s="31">
        <f t="shared" si="17"/>
        <v>0</v>
      </c>
      <c r="U48" s="32" cm="1">
        <f t="array" ref="U48">SUMIFS(BALANCES!$C:$C,BALANCES!$A:$A,$B$30,BALANCES!$B:$B,$T48,BALANCES!$D:$D,U$34)+SUMIFS(FLOWS!$C:$C,FLOWS!$A:$A,$B$30,FLOWS!$E:$E,$T48,FLOWS!$D:$D,U$34,FLOWS!$H:$H,"&lt;="&amp;$U$32)+SUM(SUMIFS(DEALS!$J:$J,DEALS!$A:$A,{"*REFUND*","*EXECUTED*"},DEALS!$G:$G,$B$30,DEALS!$E:$E,"&lt;="&amp;$U$32,DEALS!$K:$K,U$34,DEALS!$M:$M,$T48,DEALS!$N:$N,"&lt;&gt;*RECEIVED*",DEALS!$N:$N,"&lt;&gt;*EXECUTED*"))+SUM(SUMIFS(DEALS!$R:$R,DEALS!$A:$A,{"*REFUND*","*EXECUTED*"},DEALS!$O:$O,$B$30,DEALS!$E:$E,"&lt;="&amp;$U$32,DEALS!$S:$S,U$34,DEALS!$U:$U,$T48,DEALS!$V:$V,"&lt;&gt;*RECEIVED*",DEALS!$V:$V,"&lt;&gt;*EXECUTED*"))</f>
        <v>0</v>
      </c>
      <c r="V48" s="32" cm="1">
        <f t="array" ref="V48">SUMIFS(BALANCES!$C:$C,BALANCES!$A:$A,$B$30,BALANCES!$B:$B,$T48,BALANCES!$D:$D,V$34)+SUMIFS(FLOWS!$C:$C,FLOWS!$A:$A,$B$30,FLOWS!$E:$E,$T48,FLOWS!$D:$D,V$34,FLOWS!$H:$H,"&lt;="&amp;$U$32)+SUM(SUMIFS(DEALS!$J:$J,DEALS!$A:$A,{"*REFUND*","*EXECUTED*"},DEALS!$G:$G,$B$30,DEALS!$E:$E,"&lt;="&amp;$U$32,DEALS!$K:$K,V$34,DEALS!$M:$M,$T48,DEALS!$N:$N,"&lt;&gt;*RECEIVED*",DEALS!$N:$N,"&lt;&gt;*EXECUTED*"))+SUM(SUMIFS(DEALS!$R:$R,DEALS!$A:$A,{"*REFUND*","*EXECUTED*"},DEALS!$O:$O,$B$30,DEALS!$E:$E,"&lt;="&amp;$U$32,DEALS!$S:$S,V$34,DEALS!$U:$U,$T48,DEALS!$V:$V,"&lt;&gt;*RECEIVED*",DEALS!$V:$V,"&lt;&gt;*EXECUTED*"))</f>
        <v>0</v>
      </c>
      <c r="W48" s="32" cm="1">
        <f t="array" ref="W48">SUMIFS(BALANCES!$C:$C,BALANCES!$A:$A,$B$30,BALANCES!$B:$B,$T48,BALANCES!$D:$D,W$34)+SUMIFS(FLOWS!$C:$C,FLOWS!$A:$A,$B$30,FLOWS!$E:$E,$T48,FLOWS!$D:$D,W$34,FLOWS!$H:$H,"&lt;="&amp;$U$32)+SUM(SUMIFS(DEALS!$J:$J,DEALS!$A:$A,{"*REFUND*","*EXECUTED*"},DEALS!$G:$G,$B$30,DEALS!$E:$E,"&lt;="&amp;$U$32,DEALS!$K:$K,W$34,DEALS!$M:$M,$T48,DEALS!$N:$N,"&lt;&gt;*RECEIVED*",DEALS!$N:$N,"&lt;&gt;*EXECUTED*"))+SUM(SUMIFS(DEALS!$R:$R,DEALS!$A:$A,{"*REFUND*","*EXECUTED*"},DEALS!$O:$O,$B$30,DEALS!$E:$E,"&lt;="&amp;$U$32,DEALS!$S:$S,W$34,DEALS!$U:$U,$T48,DEALS!$V:$V,"&lt;&gt;*RECEIVED*",DEALS!$V:$V,"&lt;&gt;*EXECUTED*"))</f>
        <v>0</v>
      </c>
      <c r="X48" s="32" cm="1">
        <f t="array" ref="X48">SUMIFS(BALANCES!$C:$C,BALANCES!$A:$A,$B$30,BALANCES!$B:$B,$T48,BALANCES!$D:$D,X$34)+SUMIFS(FLOWS!$C:$C,FLOWS!$A:$A,$B$30,FLOWS!$E:$E,$T48,FLOWS!$D:$D,X$34,FLOWS!$H:$H,"&lt;="&amp;$U$32)+SUM(SUMIFS(DEALS!$J:$J,DEALS!$A:$A,{"*REFUND*","*EXECUTED*"},DEALS!$G:$G,$B$30,DEALS!$E:$E,"&lt;="&amp;$U$32,DEALS!$K:$K,X$34,DEALS!$M:$M,$T48,DEALS!$N:$N,"&lt;&gt;*RECEIVED*",DEALS!$N:$N,"&lt;&gt;*EXECUTED*"))+SUM(SUMIFS(DEALS!$R:$R,DEALS!$A:$A,{"*REFUND*","*EXECUTED*"},DEALS!$O:$O,$B$30,DEALS!$E:$E,"&lt;="&amp;$U$32,DEALS!$S:$S,X$34,DEALS!$U:$U,$T48,DEALS!$V:$V,"&lt;&gt;*RECEIVED*",DEALS!$V:$V,"&lt;&gt;*EXECUTED*"))</f>
        <v>0</v>
      </c>
      <c r="Y48" s="32" cm="1">
        <f t="array" ref="Y48">SUMIFS(BALANCES!$C:$C,BALANCES!$A:$A,$B$30,BALANCES!$B:$B,$T48,BALANCES!$D:$D,Y$34)+SUMIFS(FLOWS!$C:$C,FLOWS!$A:$A,$B$30,FLOWS!$E:$E,$T48,FLOWS!$D:$D,Y$34,FLOWS!$H:$H,"&lt;="&amp;$U$32)+SUM(SUMIFS(DEALS!$J:$J,DEALS!$A:$A,{"*REFUND*","*EXECUTED*"},DEALS!$G:$G,$B$30,DEALS!$E:$E,"&lt;="&amp;$U$32,DEALS!$K:$K,Y$34,DEALS!$M:$M,$T48,DEALS!$N:$N,"&lt;&gt;*RECEIVED*",DEALS!$N:$N,"&lt;&gt;*EXECUTED*"))+SUM(SUMIFS(DEALS!$R:$R,DEALS!$A:$A,{"*REFUND*","*EXECUTED*"},DEALS!$O:$O,$B$30,DEALS!$E:$E,"&lt;="&amp;$U$32,DEALS!$S:$S,Y$34,DEALS!$U:$U,$T48,DEALS!$V:$V,"&lt;&gt;*RECEIVED*",DEALS!$V:$V,"&lt;&gt;*EXECUTED*"))</f>
        <v>0</v>
      </c>
      <c r="Z48" s="32" cm="1">
        <f t="array" ref="Z48">SUMIFS(BALANCES!$C:$C,BALANCES!$A:$A,$B$30,BALANCES!$B:$B,$T48,BALANCES!$D:$D,Z$34)+SUMIFS(FLOWS!$C:$C,FLOWS!$A:$A,$B$30,FLOWS!$E:$E,$T48,FLOWS!$D:$D,Z$34,FLOWS!$H:$H,"&lt;="&amp;$U$32)+SUM(SUMIFS(DEALS!$J:$J,DEALS!$A:$A,{"*REFUND*","*EXECUTED*"},DEALS!$G:$G,$B$30,DEALS!$E:$E,"&lt;="&amp;$U$32,DEALS!$K:$K,Z$34,DEALS!$M:$M,$T48,DEALS!$N:$N,"&lt;&gt;*RECEIVED*",DEALS!$N:$N,"&lt;&gt;*EXECUTED*"))+SUM(SUMIFS(DEALS!$R:$R,DEALS!$A:$A,{"*REFUND*","*EXECUTED*"},DEALS!$O:$O,$B$30,DEALS!$E:$E,"&lt;="&amp;$U$32,DEALS!$S:$S,Z$34,DEALS!$U:$U,$T48,DEALS!$V:$V,"&lt;&gt;*RECEIVED*",DEALS!$V:$V,"&lt;&gt;*EXECUTED*"))</f>
        <v>0</v>
      </c>
      <c r="AA48" s="33">
        <f ca="1">U48*VLOOKUP(U$34,'FX RATES'!$E$1:$F$50,2,FALSE)+V48*VLOOKUP(V$34,'FX RATES'!$E$1:$F$50,2,FALSE)+W48*VLOOKUP(W$34,'FX RATES'!$E$1:$F$50,2,FALSE)+X48*VLOOKUP(X$34,'FX RATES'!$E$1:$F$50,2,FALSE)+Y48*VLOOKUP(Y$34,'FX RATES'!$E$1:$F$50,2,FALSE)+Z48*VLOOKUP(Z$34,'FX RATES'!$E$1:$F$50,2,FALSE)</f>
        <v>0</v>
      </c>
      <c r="AC48" s="139">
        <f t="shared" ca="1" si="18"/>
        <v>0</v>
      </c>
    </row>
    <row r="49" spans="2:29" ht="19" hidden="1">
      <c r="B49" s="28"/>
      <c r="C49" s="29" cm="1">
        <f t="array" ref="C49">SUMIFS(BALANCES!$C:$C,BALANCES!$A:$A,$B$30,BALANCES!$B:$B,$B49,BALANCES!$D:$D,C$34)+SUMIFS(FLOWS!$C:$C,FLOWS!$A:$A,$B$30,FLOWS!$E:$E,$B49,FLOWS!$D:$D,C$34,FLOWS!$H:$H,"&lt;"&amp;$C$32)+SUM(SUMIFS(DEALS!$J:$J,DEALS!$A:$A,{"*REFUND*","*EXECUTED*"},DEALS!$G:$G,$B$30,DEALS!$E:$E,"&lt;"&amp;$C$32,DEALS!$K:$K,C$34,DEALS!$M:$M,$B49,DEALS!$N:$N,"&lt;&gt;*RECEIVED*",DEALS!$N:$N,"&lt;&gt;*EXECUTED*"))+SUM(SUMIFS(DEALS!$R:$R,DEALS!$A:$A,{"*REFUND*","*EXECUTED*"},DEALS!$O:$O,$B$30,DEALS!$E:$E,"&lt;"&amp;$C$32,DEALS!$S:$S,C$34,DEALS!$U:$U,$B49,DEALS!$V:$V,"&lt;&gt;*RECEIVED*",DEALS!$V:$V,"&lt;&gt;*EXECUTED*"))</f>
        <v>0</v>
      </c>
      <c r="D49" s="29" cm="1">
        <f t="array" ref="D49">SUMIFS(BALANCES!$C:$C,BALANCES!$A:$A,$B$30,BALANCES!$B:$B,$B49,BALANCES!$D:$D,D$34)+SUMIFS(FLOWS!$C:$C,FLOWS!$A:$A,$B$30,FLOWS!$E:$E,$B49,FLOWS!$D:$D,D$34,FLOWS!$H:$H,"&lt;"&amp;$C$32)+SUM(SUMIFS(DEALS!$J:$J,DEALS!$A:$A,{"*REFUND*","*EXECUTED*"},DEALS!$G:$G,$B$30,DEALS!$E:$E,"&lt;"&amp;$C$32,DEALS!$K:$K,D$34,DEALS!$M:$M,$B49,DEALS!$N:$N,"&lt;&gt;*RECEIVED*",DEALS!$N:$N,"&lt;&gt;*EXECUTED*"))+SUM(SUMIFS(DEALS!$R:$R,DEALS!$A:$A,{"*REFUND*","*EXECUTED*"},DEALS!$O:$O,$B$30,DEALS!$E:$E,"&lt;"&amp;$C$32,DEALS!$S:$S,D$34,DEALS!$U:$U,$B49,DEALS!$V:$V,"&lt;&gt;*RECEIVED*",DEALS!$V:$V,"&lt;&gt;*EXECUTED*"))</f>
        <v>0</v>
      </c>
      <c r="E49" s="29" cm="1">
        <f t="array" ref="E49">SUMIFS(BALANCES!$C:$C,BALANCES!$A:$A,$B$30,BALANCES!$B:$B,$B49,BALANCES!$D:$D,E$34)+SUMIFS(FLOWS!$C:$C,FLOWS!$A:$A,$B$30,FLOWS!$E:$E,$B49,FLOWS!$D:$D,E$34,FLOWS!$H:$H,"&lt;"&amp;$C$32)+SUM(SUMIFS(DEALS!$J:$J,DEALS!$A:$A,{"*REFUND*","*EXECUTED*"},DEALS!$G:$G,$B$30,DEALS!$E:$E,"&lt;"&amp;$C$32,DEALS!$K:$K,E$34,DEALS!$M:$M,$B49,DEALS!$N:$N,"&lt;&gt;*RECEIVED*",DEALS!$N:$N,"&lt;&gt;*EXECUTED*"))+SUM(SUMIFS(DEALS!$R:$R,DEALS!$A:$A,{"*REFUND*","*EXECUTED*"},DEALS!$O:$O,$B$30,DEALS!$E:$E,"&lt;"&amp;$C$32,DEALS!$S:$S,E$34,DEALS!$U:$U,$B49,DEALS!$V:$V,"&lt;&gt;*RECEIVED*",DEALS!$V:$V,"&lt;&gt;*EXECUTED*"))</f>
        <v>0</v>
      </c>
      <c r="F49" s="29" cm="1">
        <f t="array" ref="F49">SUMIFS(BALANCES!$C:$C,BALANCES!$A:$A,$B$30,BALANCES!$B:$B,$B49,BALANCES!$D:$D,F$34)+SUMIFS(FLOWS!$C:$C,FLOWS!$A:$A,$B$30,FLOWS!$E:$E,$B49,FLOWS!$D:$D,F$34,FLOWS!$H:$H,"&lt;"&amp;$C$32)+SUM(SUMIFS(DEALS!$J:$J,DEALS!$A:$A,{"*REFUND*","*EXECUTED*"},DEALS!$G:$G,$B$30,DEALS!$E:$E,"&lt;"&amp;$C$32,DEALS!$K:$K,F$34,DEALS!$M:$M,$B49,DEALS!$N:$N,"&lt;&gt;*RECEIVED*",DEALS!$N:$N,"&lt;&gt;*EXECUTED*"))+SUM(SUMIFS(DEALS!$R:$R,DEALS!$A:$A,{"*REFUND*","*EXECUTED*"},DEALS!$O:$O,$B$30,DEALS!$E:$E,"&lt;"&amp;$C$32,DEALS!$S:$S,F$34,DEALS!$U:$U,$B49,DEALS!$V:$V,"&lt;&gt;*RECEIVED*",DEALS!$V:$V,"&lt;&gt;*EXECUTED*"))</f>
        <v>0</v>
      </c>
      <c r="G49" s="29" cm="1">
        <f t="array" ref="G49">SUMIFS(BALANCES!$C:$C,BALANCES!$A:$A,$B$30,BALANCES!$B:$B,$B49,BALANCES!$D:$D,G$34)+SUMIFS(FLOWS!$C:$C,FLOWS!$A:$A,$B$30,FLOWS!$E:$E,$B49,FLOWS!$D:$D,G$34,FLOWS!$H:$H,"&lt;"&amp;$C$32)+SUM(SUMIFS(DEALS!$J:$J,DEALS!$A:$A,{"*REFUND*","*EXECUTED*"},DEALS!$G:$G,$B$30,DEALS!$E:$E,"&lt;"&amp;$C$32,DEALS!$K:$K,G$34,DEALS!$M:$M,$B49,DEALS!$N:$N,"&lt;&gt;*RECEIVED*",DEALS!$N:$N,"&lt;&gt;*EXECUTED*"))+SUM(SUMIFS(DEALS!$R:$R,DEALS!$A:$A,{"*REFUND*","*EXECUTED*"},DEALS!$O:$O,$B$30,DEALS!$E:$E,"&lt;"&amp;$C$32,DEALS!$S:$S,G$34,DEALS!$U:$U,$B49,DEALS!$V:$V,"&lt;&gt;*RECEIVED*",DEALS!$V:$V,"&lt;&gt;*EXECUTED*"))</f>
        <v>0</v>
      </c>
      <c r="H49" s="29" cm="1">
        <f t="array" ref="H49">SUMIFS(BALANCES!$C:$C,BALANCES!$A:$A,$B$30,BALANCES!$B:$B,$B49,BALANCES!$D:$D,H$34)+SUMIFS(FLOWS!$C:$C,FLOWS!$A:$A,$B$30,FLOWS!$E:$E,$B49,FLOWS!$D:$D,H$34,FLOWS!$H:$H,"&lt;"&amp;$C$32)+SUM(SUMIFS(DEALS!$J:$J,DEALS!$A:$A,{"*REFUND*","*EXECUTED*"},DEALS!$G:$G,$B$30,DEALS!$E:$E,"&lt;"&amp;$C$32,DEALS!$K:$K,H$34,DEALS!$M:$M,$B49,DEALS!$N:$N,"&lt;&gt;*RECEIVED*",DEALS!$N:$N,"&lt;&gt;*EXECUTED*"))+SUM(SUMIFS(DEALS!$R:$R,DEALS!$A:$A,{"*REFUND*","*EXECUTED*"},DEALS!$O:$O,$B$30,DEALS!$E:$E,"&lt;"&amp;$C$32,DEALS!$S:$S,H$34,DEALS!$U:$U,$B49,DEALS!$V:$V,"&lt;&gt;*RECEIVED*",DEALS!$V:$V,"&lt;&gt;*EXECUTED*"))</f>
        <v>0</v>
      </c>
      <c r="I49" s="30">
        <f ca="1">C49*VLOOKUP(C$34,'FX RATES'!$E$1:$F$50,2,FALSE)+D49*VLOOKUP(D$34,'FX RATES'!$E$1:$F$50,2,FALSE)+E49*VLOOKUP(E$34,'FX RATES'!$E$1:$F$50,2,FALSE)+F49*VLOOKUP(F$34,'FX RATES'!$E$1:$F$50,2,FALSE)+G49*VLOOKUP(G$34,'FX RATES'!$E$1:$F$50,2,FALSE)+H49*VLOOKUP(H$34,'FX RATES'!$E$1:$F$50,2,FALSE)</f>
        <v>0</v>
      </c>
      <c r="K49" s="28">
        <f>B49</f>
        <v>0</v>
      </c>
      <c r="L49" s="29" cm="1">
        <f t="array" ref="L49">SUMIFS(FLOWS!$C:$C,FLOWS!$A:$A,$B$30,FLOWS!$E:$E,$K49,FLOWS!$D:$D,L$34,FLOWS!$H:$H,"&gt;="&amp;$C$32,FLOWS!$H:$H,"&lt;="&amp;$U$32)+SUM(SUMIFS(DEALS!$J:$J,DEALS!$A:$A,{"*REFUND*","*EXECUTED*"},DEALS!$G:$G,$B$30,DEALS!$E:$E,"&gt;="&amp;$C$32,DEALS!$E:$E,"&lt;="&amp;$U$32,DEALS!$K:$K,L$34,DEALS!$M:$M,$K49,DEALS!$N:$N,"&lt;&gt;*RECEIVED*",DEALS!$N:$N,"&lt;&gt;*EXECUTED*"))+SUM(SUMIFS(DEALS!$R:$R,DEALS!$A:$A,{"*REFUND*","*EXECUTED*"},DEALS!$O:$O,$B$30,DEALS!$E:$E,"&gt;="&amp;$C$32,DEALS!$E:$E,"&lt;="&amp;$U$32,DEALS!$S:$S,L$34,DEALS!$U:$U,$K49,DEALS!$V:$V,"&lt;&gt;*RECEIVED*",DEALS!$V:$V,"&lt;&gt;*EXECUTED*"))</f>
        <v>0</v>
      </c>
      <c r="M49" s="29" cm="1">
        <f t="array" ref="M49">SUMIFS(FLOWS!$C:$C,FLOWS!$A:$A,$B$30,FLOWS!$E:$E,$K49,FLOWS!$D:$D,M$34,FLOWS!$H:$H,"&gt;="&amp;$C$32,FLOWS!$H:$H,"&lt;="&amp;$U$32)+SUM(SUMIFS(DEALS!$J:$J,DEALS!$A:$A,{"*REFUND*","*EXECUTED*"},DEALS!$G:$G,$B$30,DEALS!$E:$E,"&gt;="&amp;$C$32,DEALS!$E:$E,"&lt;="&amp;$U$32,DEALS!$K:$K,M$34,DEALS!$M:$M,$K49,DEALS!$N:$N,"&lt;&gt;*RECEIVED*",DEALS!$N:$N,"&lt;&gt;*EXECUTED*"))+SUM(SUMIFS(DEALS!$R:$R,DEALS!$A:$A,{"*REFUND*","*EXECUTED*"},DEALS!$O:$O,$B$30,DEALS!$E:$E,"&gt;="&amp;$C$32,DEALS!$E:$E,"&lt;="&amp;$U$32,DEALS!$S:$S,M$34,DEALS!$U:$U,$K49,DEALS!$V:$V,"&lt;&gt;*RECEIVED*",DEALS!$V:$V,"&lt;&gt;*EXECUTED*"))</f>
        <v>0</v>
      </c>
      <c r="N49" s="29" cm="1">
        <f t="array" ref="N49">SUMIFS(FLOWS!$C:$C,FLOWS!$A:$A,$B$30,FLOWS!$E:$E,$K49,FLOWS!$D:$D,N$34,FLOWS!$H:$H,"&gt;="&amp;$C$32,FLOWS!$H:$H,"&lt;="&amp;$U$32)+SUM(SUMIFS(DEALS!$J:$J,DEALS!$A:$A,{"*REFUND*","*EXECUTED*"},DEALS!$G:$G,$B$30,DEALS!$E:$E,"&gt;="&amp;$C$32,DEALS!$E:$E,"&lt;="&amp;$U$32,DEALS!$K:$K,N$34,DEALS!$M:$M,$K49,DEALS!$N:$N,"&lt;&gt;*RECEIVED*",DEALS!$N:$N,"&lt;&gt;*EXECUTED*"))+SUM(SUMIFS(DEALS!$R:$R,DEALS!$A:$A,{"*REFUND*","*EXECUTED*"},DEALS!$O:$O,$B$30,DEALS!$E:$E,"&gt;="&amp;$C$32,DEALS!$E:$E,"&lt;="&amp;$U$32,DEALS!$S:$S,N$34,DEALS!$U:$U,$K49,DEALS!$V:$V,"&lt;&gt;*RECEIVED*",DEALS!$V:$V,"&lt;&gt;*EXECUTED*"))</f>
        <v>0</v>
      </c>
      <c r="O49" s="29" cm="1">
        <f t="array" ref="O49">SUMIFS(FLOWS!$C:$C,FLOWS!$A:$A,$B$30,FLOWS!$E:$E,$K49,FLOWS!$D:$D,O$34,FLOWS!$H:$H,"&gt;="&amp;$C$32,FLOWS!$H:$H,"&lt;="&amp;$U$32)+SUM(SUMIFS(DEALS!$J:$J,DEALS!$A:$A,{"*REFUND*","*EXECUTED*"},DEALS!$G:$G,$B$30,DEALS!$E:$E,"&gt;="&amp;$C$32,DEALS!$E:$E,"&lt;="&amp;$U$32,DEALS!$K:$K,O$34,DEALS!$M:$M,$K49,DEALS!$N:$N,"&lt;&gt;*RECEIVED*",DEALS!$N:$N,"&lt;&gt;*EXECUTED*"))+SUM(SUMIFS(DEALS!$R:$R,DEALS!$A:$A,{"*REFUND*","*EXECUTED*"},DEALS!$O:$O,$B$30,DEALS!$E:$E,"&gt;="&amp;$C$32,DEALS!$E:$E,"&lt;="&amp;$U$32,DEALS!$S:$S,O$34,DEALS!$U:$U,$K49,DEALS!$V:$V,"&lt;&gt;*RECEIVED*",DEALS!$V:$V,"&lt;&gt;*EXECUTED*"))</f>
        <v>0</v>
      </c>
      <c r="P49" s="29" cm="1">
        <f t="array" ref="P49">SUMIFS(FLOWS!$C:$C,FLOWS!$A:$A,$B$30,FLOWS!$E:$E,$K49,FLOWS!$D:$D,P$34,FLOWS!$H:$H,"&gt;="&amp;$C$32,FLOWS!$H:$H,"&lt;="&amp;$U$32)+SUM(SUMIFS(DEALS!$J:$J,DEALS!$A:$A,{"*REFUND*","*EXECUTED*"},DEALS!$G:$G,$B$30,DEALS!$E:$E,"&gt;="&amp;$C$32,DEALS!$E:$E,"&lt;="&amp;$U$32,DEALS!$K:$K,P$34,DEALS!$M:$M,$K49,DEALS!$N:$N,"&lt;&gt;*RECEIVED*",DEALS!$N:$N,"&lt;&gt;*EXECUTED*"))+SUM(SUMIFS(DEALS!$R:$R,DEALS!$A:$A,{"*REFUND*","*EXECUTED*"},DEALS!$O:$O,$B$30,DEALS!$E:$E,"&gt;="&amp;$C$32,DEALS!$E:$E,"&lt;="&amp;$U$32,DEALS!$S:$S,P$34,DEALS!$U:$U,$K49,DEALS!$V:$V,"&lt;&gt;*RECEIVED*",DEALS!$V:$V,"&lt;&gt;*EXECUTED*"))</f>
        <v>0</v>
      </c>
      <c r="Q49" s="29" cm="1">
        <f t="array" ref="Q49">SUMIFS(FLOWS!$C:$C,FLOWS!$A:$A,$B$30,FLOWS!$E:$E,$K49,FLOWS!$D:$D,Q$34,FLOWS!$H:$H,"&gt;="&amp;$C$32,FLOWS!$H:$H,"&lt;="&amp;$U$32)+SUM(SUMIFS(DEALS!$J:$J,DEALS!$A:$A,{"*REFUND*","*EXECUTED*"},DEALS!$G:$G,$B$30,DEALS!$E:$E,"&gt;="&amp;$C$32,DEALS!$E:$E,"&lt;="&amp;$U$32,DEALS!$K:$K,Q$34,DEALS!$M:$M,$K49,DEALS!$N:$N,"&lt;&gt;*RECEIVED*",DEALS!$N:$N,"&lt;&gt;*EXECUTED*"))+SUM(SUMIFS(DEALS!$R:$R,DEALS!$A:$A,{"*REFUND*","*EXECUTED*"},DEALS!$O:$O,$B$30,DEALS!$E:$E,"&gt;="&amp;$C$32,DEALS!$E:$E,"&lt;="&amp;$U$32,DEALS!$S:$S,Q$34,DEALS!$U:$U,$K49,DEALS!$V:$V,"&lt;&gt;*RECEIVED*",DEALS!$V:$V,"&lt;&gt;*EXECUTED*"))</f>
        <v>0</v>
      </c>
      <c r="R49" s="30">
        <f ca="1">L49*VLOOKUP(L$34,'FX RATES'!$E$1:$F$50,2,FALSE)+M49*VLOOKUP(M$34,'FX RATES'!$E$1:$F$50,2,FALSE)+N49*VLOOKUP(N$34,'FX RATES'!$E$1:$F$50,2,FALSE)+O49*VLOOKUP(O$34,'FX RATES'!$E$1:$F$50,2,FALSE)+P49*VLOOKUP(P$34,'FX RATES'!$E$1:$F$50,2,FALSE)+Q49*VLOOKUP(Q$34,'FX RATES'!$E$1:$F$50,2,FALSE)</f>
        <v>0</v>
      </c>
      <c r="T49" s="28">
        <f>B49</f>
        <v>0</v>
      </c>
      <c r="U49" s="29" cm="1">
        <f t="array" ref="U49">SUMIFS(BALANCES!$C:$C,BALANCES!$A:$A,$B$30,BALANCES!$B:$B,$T49,BALANCES!$D:$D,U$34)+SUMIFS(FLOWS!$C:$C,FLOWS!$A:$A,$B$30,FLOWS!$E:$E,$T49,FLOWS!$D:$D,U$34,FLOWS!$H:$H,"&lt;="&amp;$U$32)+SUM(SUMIFS(DEALS!$J:$J,DEALS!$A:$A,{"*REFUND*","*EXECUTED*"},DEALS!$G:$G,$B$30,DEALS!$E:$E,"&lt;="&amp;$U$32,DEALS!$K:$K,U$34,DEALS!$M:$M,$T49,DEALS!$N:$N,"&lt;&gt;*RECEIVED*",DEALS!$N:$N,"&lt;&gt;*EXECUTED*"))+SUM(SUMIFS(DEALS!$R:$R,DEALS!$A:$A,{"*REFUND*","*EXECUTED*"},DEALS!$O:$O,$B$30,DEALS!$E:$E,"&lt;="&amp;$U$32,DEALS!$S:$S,U$34,DEALS!$U:$U,$T49,DEALS!$V:$V,"&lt;&gt;*RECEIVED*",DEALS!$V:$V,"&lt;&gt;*EXECUTED*"))</f>
        <v>0</v>
      </c>
      <c r="V49" s="29" cm="1">
        <f t="array" ref="V49">SUMIFS(BALANCES!$C:$C,BALANCES!$A:$A,$B$30,BALANCES!$B:$B,$T49,BALANCES!$D:$D,V$34)+SUMIFS(FLOWS!$C:$C,FLOWS!$A:$A,$B$30,FLOWS!$E:$E,$T49,FLOWS!$D:$D,V$34,FLOWS!$H:$H,"&lt;="&amp;$U$32)+SUM(SUMIFS(DEALS!$J:$J,DEALS!$A:$A,{"*REFUND*","*EXECUTED*"},DEALS!$G:$G,$B$30,DEALS!$E:$E,"&lt;="&amp;$U$32,DEALS!$K:$K,V$34,DEALS!$M:$M,$T49,DEALS!$N:$N,"&lt;&gt;*RECEIVED*",DEALS!$N:$N,"&lt;&gt;*EXECUTED*"))+SUM(SUMIFS(DEALS!$R:$R,DEALS!$A:$A,{"*REFUND*","*EXECUTED*"},DEALS!$O:$O,$B$30,DEALS!$E:$E,"&lt;="&amp;$U$32,DEALS!$S:$S,V$34,DEALS!$U:$U,$T49,DEALS!$V:$V,"&lt;&gt;*RECEIVED*",DEALS!$V:$V,"&lt;&gt;*EXECUTED*"))</f>
        <v>0</v>
      </c>
      <c r="W49" s="29" cm="1">
        <f t="array" ref="W49">SUMIFS(BALANCES!$C:$C,BALANCES!$A:$A,$B$30,BALANCES!$B:$B,$T49,BALANCES!$D:$D,W$34)+SUMIFS(FLOWS!$C:$C,FLOWS!$A:$A,$B$30,FLOWS!$E:$E,$T49,FLOWS!$D:$D,W$34,FLOWS!$H:$H,"&lt;="&amp;$U$32)+SUM(SUMIFS(DEALS!$J:$J,DEALS!$A:$A,{"*REFUND*","*EXECUTED*"},DEALS!$G:$G,$B$30,DEALS!$E:$E,"&lt;="&amp;$U$32,DEALS!$K:$K,W$34,DEALS!$M:$M,$T49,DEALS!$N:$N,"&lt;&gt;*RECEIVED*",DEALS!$N:$N,"&lt;&gt;*EXECUTED*"))+SUM(SUMIFS(DEALS!$R:$R,DEALS!$A:$A,{"*REFUND*","*EXECUTED*"},DEALS!$O:$O,$B$30,DEALS!$E:$E,"&lt;="&amp;$U$32,DEALS!$S:$S,W$34,DEALS!$U:$U,$T49,DEALS!$V:$V,"&lt;&gt;*RECEIVED*",DEALS!$V:$V,"&lt;&gt;*EXECUTED*"))</f>
        <v>0</v>
      </c>
      <c r="X49" s="29" cm="1">
        <f t="array" ref="X49">SUMIFS(BALANCES!$C:$C,BALANCES!$A:$A,$B$30,BALANCES!$B:$B,$T49,BALANCES!$D:$D,X$34)+SUMIFS(FLOWS!$C:$C,FLOWS!$A:$A,$B$30,FLOWS!$E:$E,$T49,FLOWS!$D:$D,X$34,FLOWS!$H:$H,"&lt;="&amp;$U$32)+SUM(SUMIFS(DEALS!$J:$J,DEALS!$A:$A,{"*REFUND*","*EXECUTED*"},DEALS!$G:$G,$B$30,DEALS!$E:$E,"&lt;="&amp;$U$32,DEALS!$K:$K,X$34,DEALS!$M:$M,$T49,DEALS!$N:$N,"&lt;&gt;*RECEIVED*",DEALS!$N:$N,"&lt;&gt;*EXECUTED*"))+SUM(SUMIFS(DEALS!$R:$R,DEALS!$A:$A,{"*REFUND*","*EXECUTED*"},DEALS!$O:$O,$B$30,DEALS!$E:$E,"&lt;="&amp;$U$32,DEALS!$S:$S,X$34,DEALS!$U:$U,$T49,DEALS!$V:$V,"&lt;&gt;*RECEIVED*",DEALS!$V:$V,"&lt;&gt;*EXECUTED*"))</f>
        <v>0</v>
      </c>
      <c r="Y49" s="29" cm="1">
        <f t="array" ref="Y49">SUMIFS(BALANCES!$C:$C,BALANCES!$A:$A,$B$30,BALANCES!$B:$B,$T49,BALANCES!$D:$D,Y$34)+SUMIFS(FLOWS!$C:$C,FLOWS!$A:$A,$B$30,FLOWS!$E:$E,$T49,FLOWS!$D:$D,Y$34,FLOWS!$H:$H,"&lt;="&amp;$U$32)+SUM(SUMIFS(DEALS!$J:$J,DEALS!$A:$A,{"*REFUND*","*EXECUTED*"},DEALS!$G:$G,$B$30,DEALS!$E:$E,"&lt;="&amp;$U$32,DEALS!$K:$K,Y$34,DEALS!$M:$M,$T49,DEALS!$N:$N,"&lt;&gt;*RECEIVED*",DEALS!$N:$N,"&lt;&gt;*EXECUTED*"))+SUM(SUMIFS(DEALS!$R:$R,DEALS!$A:$A,{"*REFUND*","*EXECUTED*"},DEALS!$O:$O,$B$30,DEALS!$E:$E,"&lt;="&amp;$U$32,DEALS!$S:$S,Y$34,DEALS!$U:$U,$T49,DEALS!$V:$V,"&lt;&gt;*RECEIVED*",DEALS!$V:$V,"&lt;&gt;*EXECUTED*"))</f>
        <v>0</v>
      </c>
      <c r="Z49" s="29" cm="1">
        <f t="array" ref="Z49">SUMIFS(BALANCES!$C:$C,BALANCES!$A:$A,$B$30,BALANCES!$B:$B,$T49,BALANCES!$D:$D,Z$34)+SUMIFS(FLOWS!$C:$C,FLOWS!$A:$A,$B$30,FLOWS!$E:$E,$T49,FLOWS!$D:$D,Z$34,FLOWS!$H:$H,"&lt;="&amp;$U$32)+SUM(SUMIFS(DEALS!$J:$J,DEALS!$A:$A,{"*REFUND*","*EXECUTED*"},DEALS!$G:$G,$B$30,DEALS!$E:$E,"&lt;="&amp;$U$32,DEALS!$K:$K,Z$34,DEALS!$M:$M,$T49,DEALS!$N:$N,"&lt;&gt;*RECEIVED*",DEALS!$N:$N,"&lt;&gt;*EXECUTED*"))+SUM(SUMIFS(DEALS!$R:$R,DEALS!$A:$A,{"*REFUND*","*EXECUTED*"},DEALS!$O:$O,$B$30,DEALS!$E:$E,"&lt;="&amp;$U$32,DEALS!$S:$S,Z$34,DEALS!$U:$U,$T49,DEALS!$V:$V,"&lt;&gt;*RECEIVED*",DEALS!$V:$V,"&lt;&gt;*EXECUTED*"))</f>
        <v>0</v>
      </c>
      <c r="AA49" s="30">
        <f ca="1">U49*VLOOKUP(U$34,'FX RATES'!$E$1:$F$50,2,FALSE)+V49*VLOOKUP(V$34,'FX RATES'!$E$1:$F$50,2,FALSE)+W49*VLOOKUP(W$34,'FX RATES'!$E$1:$F$50,2,FALSE)+X49*VLOOKUP(X$34,'FX RATES'!$E$1:$F$50,2,FALSE)+Y49*VLOOKUP(Y$34,'FX RATES'!$E$1:$F$50,2,FALSE)+Z49*VLOOKUP(Z$34,'FX RATES'!$E$1:$F$50,2,FALSE)</f>
        <v>0</v>
      </c>
      <c r="AC49" s="139">
        <f ca="1">I49+R49-AA49</f>
        <v>0</v>
      </c>
    </row>
    <row r="50" spans="2:29" ht="19" hidden="1">
      <c r="B50" s="31"/>
      <c r="C50" s="32" cm="1">
        <f t="array" ref="C50">SUMIFS(BALANCES!$C:$C,BALANCES!$A:$A,$B$30,BALANCES!$B:$B,$B50,BALANCES!$D:$D,C$34)+SUMIFS(FLOWS!$C:$C,FLOWS!$A:$A,$B$30,FLOWS!$E:$E,$B50,FLOWS!$D:$D,C$34,FLOWS!$H:$H,"&lt;"&amp;$C$32)+SUM(SUMIFS(DEALS!$J:$J,DEALS!$A:$A,{"*REFUND*","*EXECUTED*"},DEALS!$G:$G,$B$30,DEALS!$E:$E,"&lt;"&amp;$C$32,DEALS!$K:$K,C$34,DEALS!$M:$M,$B50,DEALS!$N:$N,"&lt;&gt;*RECEIVED*",DEALS!$N:$N,"&lt;&gt;*EXECUTED*"))+SUM(SUMIFS(DEALS!$R:$R,DEALS!$A:$A,{"*REFUND*","*EXECUTED*"},DEALS!$O:$O,$B$30,DEALS!$E:$E,"&lt;"&amp;$C$32,DEALS!$S:$S,C$34,DEALS!$U:$U,$B50,DEALS!$V:$V,"&lt;&gt;*RECEIVED*",DEALS!$V:$V,"&lt;&gt;*EXECUTED*"))</f>
        <v>0</v>
      </c>
      <c r="D50" s="32" cm="1">
        <f t="array" ref="D50">SUMIFS(BALANCES!$C:$C,BALANCES!$A:$A,$B$30,BALANCES!$B:$B,$B50,BALANCES!$D:$D,D$34)+SUMIFS(FLOWS!$C:$C,FLOWS!$A:$A,$B$30,FLOWS!$E:$E,$B50,FLOWS!$D:$D,D$34,FLOWS!$H:$H,"&lt;"&amp;$C$32)+SUM(SUMIFS(DEALS!$J:$J,DEALS!$A:$A,{"*REFUND*","*EXECUTED*"},DEALS!$G:$G,$B$30,DEALS!$E:$E,"&lt;"&amp;$C$32,DEALS!$K:$K,D$34,DEALS!$M:$M,$B50,DEALS!$N:$N,"&lt;&gt;*RECEIVED*",DEALS!$N:$N,"&lt;&gt;*EXECUTED*"))+SUM(SUMIFS(DEALS!$R:$R,DEALS!$A:$A,{"*REFUND*","*EXECUTED*"},DEALS!$O:$O,$B$30,DEALS!$E:$E,"&lt;"&amp;$C$32,DEALS!$S:$S,D$34,DEALS!$U:$U,$B50,DEALS!$V:$V,"&lt;&gt;*RECEIVED*",DEALS!$V:$V,"&lt;&gt;*EXECUTED*"))</f>
        <v>0</v>
      </c>
      <c r="E50" s="32" cm="1">
        <f t="array" ref="E50">SUMIFS(BALANCES!$C:$C,BALANCES!$A:$A,$B$30,BALANCES!$B:$B,$B50,BALANCES!$D:$D,E$34)+SUMIFS(FLOWS!$C:$C,FLOWS!$A:$A,$B$30,FLOWS!$E:$E,$B50,FLOWS!$D:$D,E$34,FLOWS!$H:$H,"&lt;"&amp;$C$32)+SUM(SUMIFS(DEALS!$J:$J,DEALS!$A:$A,{"*REFUND*","*EXECUTED*"},DEALS!$G:$G,$B$30,DEALS!$E:$E,"&lt;"&amp;$C$32,DEALS!$K:$K,E$34,DEALS!$M:$M,$B50,DEALS!$N:$N,"&lt;&gt;*RECEIVED*",DEALS!$N:$N,"&lt;&gt;*EXECUTED*"))+SUM(SUMIFS(DEALS!$R:$R,DEALS!$A:$A,{"*REFUND*","*EXECUTED*"},DEALS!$O:$O,$B$30,DEALS!$E:$E,"&lt;"&amp;$C$32,DEALS!$S:$S,E$34,DEALS!$U:$U,$B50,DEALS!$V:$V,"&lt;&gt;*RECEIVED*",DEALS!$V:$V,"&lt;&gt;*EXECUTED*"))</f>
        <v>0</v>
      </c>
      <c r="F50" s="32" cm="1">
        <f t="array" ref="F50">SUMIFS(BALANCES!$C:$C,BALANCES!$A:$A,$B$30,BALANCES!$B:$B,$B50,BALANCES!$D:$D,F$34)+SUMIFS(FLOWS!$C:$C,FLOWS!$A:$A,$B$30,FLOWS!$E:$E,$B50,FLOWS!$D:$D,F$34,FLOWS!$H:$H,"&lt;"&amp;$C$32)+SUM(SUMIFS(DEALS!$J:$J,DEALS!$A:$A,{"*REFUND*","*EXECUTED*"},DEALS!$G:$G,$B$30,DEALS!$E:$E,"&lt;"&amp;$C$32,DEALS!$K:$K,F$34,DEALS!$M:$M,$B50,DEALS!$N:$N,"&lt;&gt;*RECEIVED*",DEALS!$N:$N,"&lt;&gt;*EXECUTED*"))+SUM(SUMIFS(DEALS!$R:$R,DEALS!$A:$A,{"*REFUND*","*EXECUTED*"},DEALS!$O:$O,$B$30,DEALS!$E:$E,"&lt;"&amp;$C$32,DEALS!$S:$S,F$34,DEALS!$U:$U,$B50,DEALS!$V:$V,"&lt;&gt;*RECEIVED*",DEALS!$V:$V,"&lt;&gt;*EXECUTED*"))</f>
        <v>0</v>
      </c>
      <c r="G50" s="32" cm="1">
        <f t="array" ref="G50">SUMIFS(BALANCES!$C:$C,BALANCES!$A:$A,$B$30,BALANCES!$B:$B,$B50,BALANCES!$D:$D,G$34)+SUMIFS(FLOWS!$C:$C,FLOWS!$A:$A,$B$30,FLOWS!$E:$E,$B50,FLOWS!$D:$D,G$34,FLOWS!$H:$H,"&lt;"&amp;$C$32)+SUM(SUMIFS(DEALS!$J:$J,DEALS!$A:$A,{"*REFUND*","*EXECUTED*"},DEALS!$G:$G,$B$30,DEALS!$E:$E,"&lt;"&amp;$C$32,DEALS!$K:$K,G$34,DEALS!$M:$M,$B50,DEALS!$N:$N,"&lt;&gt;*RECEIVED*",DEALS!$N:$N,"&lt;&gt;*EXECUTED*"))+SUM(SUMIFS(DEALS!$R:$R,DEALS!$A:$A,{"*REFUND*","*EXECUTED*"},DEALS!$O:$O,$B$30,DEALS!$E:$E,"&lt;"&amp;$C$32,DEALS!$S:$S,G$34,DEALS!$U:$U,$B50,DEALS!$V:$V,"&lt;&gt;*RECEIVED*",DEALS!$V:$V,"&lt;&gt;*EXECUTED*"))</f>
        <v>0</v>
      </c>
      <c r="H50" s="32" cm="1">
        <f t="array" ref="H50">SUMIFS(BALANCES!$C:$C,BALANCES!$A:$A,$B$30,BALANCES!$B:$B,$B50,BALANCES!$D:$D,H$34)+SUMIFS(FLOWS!$C:$C,FLOWS!$A:$A,$B$30,FLOWS!$E:$E,$B50,FLOWS!$D:$D,H$34,FLOWS!$H:$H,"&lt;"&amp;$C$32)+SUM(SUMIFS(DEALS!$J:$J,DEALS!$A:$A,{"*REFUND*","*EXECUTED*"},DEALS!$G:$G,$B$30,DEALS!$E:$E,"&lt;"&amp;$C$32,DEALS!$K:$K,H$34,DEALS!$M:$M,$B50,DEALS!$N:$N,"&lt;&gt;*RECEIVED*",DEALS!$N:$N,"&lt;&gt;*EXECUTED*"))+SUM(SUMIFS(DEALS!$R:$R,DEALS!$A:$A,{"*REFUND*","*EXECUTED*"},DEALS!$O:$O,$B$30,DEALS!$E:$E,"&lt;"&amp;$C$32,DEALS!$S:$S,H$34,DEALS!$U:$U,$B50,DEALS!$V:$V,"&lt;&gt;*RECEIVED*",DEALS!$V:$V,"&lt;&gt;*EXECUTED*"))</f>
        <v>0</v>
      </c>
      <c r="I50" s="33">
        <f ca="1">C50*VLOOKUP(C$34,'FX RATES'!$E$1:$F$50,2,FALSE)+D50*VLOOKUP(D$34,'FX RATES'!$E$1:$F$50,2,FALSE)+E50*VLOOKUP(E$34,'FX RATES'!$E$1:$F$50,2,FALSE)+F50*VLOOKUP(F$34,'FX RATES'!$E$1:$F$50,2,FALSE)+G50*VLOOKUP(G$34,'FX RATES'!$E$1:$F$50,2,FALSE)+H50*VLOOKUP(H$34,'FX RATES'!$E$1:$F$50,2,FALSE)</f>
        <v>0</v>
      </c>
      <c r="J50" s="18"/>
      <c r="K50" s="31">
        <f t="shared" si="16"/>
        <v>0</v>
      </c>
      <c r="L50" s="32" cm="1">
        <f t="array" ref="L50">SUMIFS(FLOWS!$C:$C,FLOWS!$A:$A,$B$30,FLOWS!$E:$E,$K50,FLOWS!$D:$D,L$34,FLOWS!$H:$H,"&gt;="&amp;$C$32,FLOWS!$H:$H,"&lt;="&amp;$U$32)+SUM(SUMIFS(DEALS!$J:$J,DEALS!$A:$A,{"*REFUND*","*EXECUTED*"},DEALS!$G:$G,$B$30,DEALS!$E:$E,"&gt;="&amp;$C$32,DEALS!$E:$E,"&lt;="&amp;$U$32,DEALS!$K:$K,L$34,DEALS!$M:$M,$K50,DEALS!$N:$N,"&lt;&gt;*RECEIVED*",DEALS!$N:$N,"&lt;&gt;*EXECUTED*"))+SUM(SUMIFS(DEALS!$R:$R,DEALS!$A:$A,{"*REFUND*","*EXECUTED*"},DEALS!$O:$O,$B$30,DEALS!$E:$E,"&gt;="&amp;$C$32,DEALS!$E:$E,"&lt;="&amp;$U$32,DEALS!$S:$S,L$34,DEALS!$U:$U,$K50,DEALS!$V:$V,"&lt;&gt;*RECEIVED*",DEALS!$V:$V,"&lt;&gt;*EXECUTED*"))</f>
        <v>0</v>
      </c>
      <c r="M50" s="32" cm="1">
        <f t="array" ref="M50">SUMIFS(FLOWS!$C:$C,FLOWS!$A:$A,$B$30,FLOWS!$E:$E,$K50,FLOWS!$D:$D,M$34,FLOWS!$H:$H,"&gt;="&amp;$C$32,FLOWS!$H:$H,"&lt;="&amp;$U$32)+SUM(SUMIFS(DEALS!$J:$J,DEALS!$A:$A,{"*REFUND*","*EXECUTED*"},DEALS!$G:$G,$B$30,DEALS!$E:$E,"&gt;="&amp;$C$32,DEALS!$E:$E,"&lt;="&amp;$U$32,DEALS!$K:$K,M$34,DEALS!$M:$M,$K50,DEALS!$N:$N,"&lt;&gt;*RECEIVED*",DEALS!$N:$N,"&lt;&gt;*EXECUTED*"))+SUM(SUMIFS(DEALS!$R:$R,DEALS!$A:$A,{"*REFUND*","*EXECUTED*"},DEALS!$O:$O,$B$30,DEALS!$E:$E,"&gt;="&amp;$C$32,DEALS!$E:$E,"&lt;="&amp;$U$32,DEALS!$S:$S,M$34,DEALS!$U:$U,$K50,DEALS!$V:$V,"&lt;&gt;*RECEIVED*",DEALS!$V:$V,"&lt;&gt;*EXECUTED*"))</f>
        <v>0</v>
      </c>
      <c r="N50" s="32" cm="1">
        <f t="array" ref="N50">SUMIFS(FLOWS!$C:$C,FLOWS!$A:$A,$B$30,FLOWS!$E:$E,$K50,FLOWS!$D:$D,N$34,FLOWS!$H:$H,"&gt;="&amp;$C$32,FLOWS!$H:$H,"&lt;="&amp;$U$32)+SUM(SUMIFS(DEALS!$J:$J,DEALS!$A:$A,{"*REFUND*","*EXECUTED*"},DEALS!$G:$G,$B$30,DEALS!$E:$E,"&gt;="&amp;$C$32,DEALS!$E:$E,"&lt;="&amp;$U$32,DEALS!$K:$K,N$34,DEALS!$M:$M,$K50,DEALS!$N:$N,"&lt;&gt;*RECEIVED*",DEALS!$N:$N,"&lt;&gt;*EXECUTED*"))+SUM(SUMIFS(DEALS!$R:$R,DEALS!$A:$A,{"*REFUND*","*EXECUTED*"},DEALS!$O:$O,$B$30,DEALS!$E:$E,"&gt;="&amp;$C$32,DEALS!$E:$E,"&lt;="&amp;$U$32,DEALS!$S:$S,N$34,DEALS!$U:$U,$K50,DEALS!$V:$V,"&lt;&gt;*RECEIVED*",DEALS!$V:$V,"&lt;&gt;*EXECUTED*"))</f>
        <v>0</v>
      </c>
      <c r="O50" s="32" cm="1">
        <f t="array" ref="O50">SUMIFS(FLOWS!$C:$C,FLOWS!$A:$A,$B$30,FLOWS!$E:$E,$K50,FLOWS!$D:$D,O$34,FLOWS!$H:$H,"&gt;="&amp;$C$32,FLOWS!$H:$H,"&lt;="&amp;$U$32)+SUM(SUMIFS(DEALS!$J:$J,DEALS!$A:$A,{"*REFUND*","*EXECUTED*"},DEALS!$G:$G,$B$30,DEALS!$E:$E,"&gt;="&amp;$C$32,DEALS!$E:$E,"&lt;="&amp;$U$32,DEALS!$K:$K,O$34,DEALS!$M:$M,$K50,DEALS!$N:$N,"&lt;&gt;*RECEIVED*",DEALS!$N:$N,"&lt;&gt;*EXECUTED*"))+SUM(SUMIFS(DEALS!$R:$R,DEALS!$A:$A,{"*REFUND*","*EXECUTED*"},DEALS!$O:$O,$B$30,DEALS!$E:$E,"&gt;="&amp;$C$32,DEALS!$E:$E,"&lt;="&amp;$U$32,DEALS!$S:$S,O$34,DEALS!$U:$U,$K50,DEALS!$V:$V,"&lt;&gt;*RECEIVED*",DEALS!$V:$V,"&lt;&gt;*EXECUTED*"))</f>
        <v>0</v>
      </c>
      <c r="P50" s="32" cm="1">
        <f t="array" ref="P50">SUMIFS(FLOWS!$C:$C,FLOWS!$A:$A,$B$30,FLOWS!$E:$E,$K50,FLOWS!$D:$D,P$34,FLOWS!$H:$H,"&gt;="&amp;$C$32,FLOWS!$H:$H,"&lt;="&amp;$U$32)+SUM(SUMIFS(DEALS!$J:$J,DEALS!$A:$A,{"*REFUND*","*EXECUTED*"},DEALS!$G:$G,$B$30,DEALS!$E:$E,"&gt;="&amp;$C$32,DEALS!$E:$E,"&lt;="&amp;$U$32,DEALS!$K:$K,P$34,DEALS!$M:$M,$K50,DEALS!$N:$N,"&lt;&gt;*RECEIVED*",DEALS!$N:$N,"&lt;&gt;*EXECUTED*"))+SUM(SUMIFS(DEALS!$R:$R,DEALS!$A:$A,{"*REFUND*","*EXECUTED*"},DEALS!$O:$O,$B$30,DEALS!$E:$E,"&gt;="&amp;$C$32,DEALS!$E:$E,"&lt;="&amp;$U$32,DEALS!$S:$S,P$34,DEALS!$U:$U,$K50,DEALS!$V:$V,"&lt;&gt;*RECEIVED*",DEALS!$V:$V,"&lt;&gt;*EXECUTED*"))</f>
        <v>0</v>
      </c>
      <c r="Q50" s="32" cm="1">
        <f t="array" ref="Q50">SUMIFS(FLOWS!$C:$C,FLOWS!$A:$A,$B$30,FLOWS!$E:$E,$K50,FLOWS!$D:$D,Q$34,FLOWS!$H:$H,"&gt;="&amp;$C$32,FLOWS!$H:$H,"&lt;="&amp;$U$32)+SUM(SUMIFS(DEALS!$J:$J,DEALS!$A:$A,{"*REFUND*","*EXECUTED*"},DEALS!$G:$G,$B$30,DEALS!$E:$E,"&gt;="&amp;$C$32,DEALS!$E:$E,"&lt;="&amp;$U$32,DEALS!$K:$K,Q$34,DEALS!$M:$M,$K50,DEALS!$N:$N,"&lt;&gt;*RECEIVED*",DEALS!$N:$N,"&lt;&gt;*EXECUTED*"))+SUM(SUMIFS(DEALS!$R:$R,DEALS!$A:$A,{"*REFUND*","*EXECUTED*"},DEALS!$O:$O,$B$30,DEALS!$E:$E,"&gt;="&amp;$C$32,DEALS!$E:$E,"&lt;="&amp;$U$32,DEALS!$S:$S,Q$34,DEALS!$U:$U,$K50,DEALS!$V:$V,"&lt;&gt;*RECEIVED*",DEALS!$V:$V,"&lt;&gt;*EXECUTED*"))</f>
        <v>0</v>
      </c>
      <c r="R50" s="33">
        <f ca="1">L50*VLOOKUP(L$34,'FX RATES'!$E$1:$F$50,2,FALSE)+M50*VLOOKUP(M$34,'FX RATES'!$E$1:$F$50,2,FALSE)+N50*VLOOKUP(N$34,'FX RATES'!$E$1:$F$50,2,FALSE)+O50*VLOOKUP(O$34,'FX RATES'!$E$1:$F$50,2,FALSE)+P50*VLOOKUP(P$34,'FX RATES'!$E$1:$F$50,2,FALSE)+Q50*VLOOKUP(Q$34,'FX RATES'!$E$1:$F$50,2,FALSE)</f>
        <v>0</v>
      </c>
      <c r="T50" s="31">
        <f t="shared" si="17"/>
        <v>0</v>
      </c>
      <c r="U50" s="32" cm="1">
        <f t="array" ref="U50">SUMIFS(BALANCES!$C:$C,BALANCES!$A:$A,$B$30,BALANCES!$B:$B,$T50,BALANCES!$D:$D,U$34)+SUMIFS(FLOWS!$C:$C,FLOWS!$A:$A,$B$30,FLOWS!$E:$E,$T50,FLOWS!$D:$D,U$34,FLOWS!$H:$H,"&lt;="&amp;$U$32)+SUM(SUMIFS(DEALS!$J:$J,DEALS!$A:$A,{"*REFUND*","*EXECUTED*"},DEALS!$G:$G,$B$30,DEALS!$E:$E,"&lt;="&amp;$U$32,DEALS!$K:$K,U$34,DEALS!$M:$M,$T50,DEALS!$N:$N,"&lt;&gt;*RECEIVED*",DEALS!$N:$N,"&lt;&gt;*EXECUTED*"))+SUM(SUMIFS(DEALS!$R:$R,DEALS!$A:$A,{"*REFUND*","*EXECUTED*"},DEALS!$O:$O,$B$30,DEALS!$E:$E,"&lt;="&amp;$U$32,DEALS!$S:$S,U$34,DEALS!$U:$U,$T50,DEALS!$V:$V,"&lt;&gt;*RECEIVED*",DEALS!$V:$V,"&lt;&gt;*EXECUTED*"))</f>
        <v>0</v>
      </c>
      <c r="V50" s="32" cm="1">
        <f t="array" ref="V50">SUMIFS(BALANCES!$C:$C,BALANCES!$A:$A,$B$30,BALANCES!$B:$B,$T50,BALANCES!$D:$D,V$34)+SUMIFS(FLOWS!$C:$C,FLOWS!$A:$A,$B$30,FLOWS!$E:$E,$T50,FLOWS!$D:$D,V$34,FLOWS!$H:$H,"&lt;="&amp;$U$32)+SUM(SUMIFS(DEALS!$J:$J,DEALS!$A:$A,{"*REFUND*","*EXECUTED*"},DEALS!$G:$G,$B$30,DEALS!$E:$E,"&lt;="&amp;$U$32,DEALS!$K:$K,V$34,DEALS!$M:$M,$T50,DEALS!$N:$N,"&lt;&gt;*RECEIVED*",DEALS!$N:$N,"&lt;&gt;*EXECUTED*"))+SUM(SUMIFS(DEALS!$R:$R,DEALS!$A:$A,{"*REFUND*","*EXECUTED*"},DEALS!$O:$O,$B$30,DEALS!$E:$E,"&lt;="&amp;$U$32,DEALS!$S:$S,V$34,DEALS!$U:$U,$T50,DEALS!$V:$V,"&lt;&gt;*RECEIVED*",DEALS!$V:$V,"&lt;&gt;*EXECUTED*"))</f>
        <v>0</v>
      </c>
      <c r="W50" s="32" cm="1">
        <f t="array" ref="W50">SUMIFS(BALANCES!$C:$C,BALANCES!$A:$A,$B$30,BALANCES!$B:$B,$T50,BALANCES!$D:$D,W$34)+SUMIFS(FLOWS!$C:$C,FLOWS!$A:$A,$B$30,FLOWS!$E:$E,$T50,FLOWS!$D:$D,W$34,FLOWS!$H:$H,"&lt;="&amp;$U$32)+SUM(SUMIFS(DEALS!$J:$J,DEALS!$A:$A,{"*REFUND*","*EXECUTED*"},DEALS!$G:$G,$B$30,DEALS!$E:$E,"&lt;="&amp;$U$32,DEALS!$K:$K,W$34,DEALS!$M:$M,$T50,DEALS!$N:$N,"&lt;&gt;*RECEIVED*",DEALS!$N:$N,"&lt;&gt;*EXECUTED*"))+SUM(SUMIFS(DEALS!$R:$R,DEALS!$A:$A,{"*REFUND*","*EXECUTED*"},DEALS!$O:$O,$B$30,DEALS!$E:$E,"&lt;="&amp;$U$32,DEALS!$S:$S,W$34,DEALS!$U:$U,$T50,DEALS!$V:$V,"&lt;&gt;*RECEIVED*",DEALS!$V:$V,"&lt;&gt;*EXECUTED*"))</f>
        <v>0</v>
      </c>
      <c r="X50" s="32" cm="1">
        <f t="array" ref="X50">SUMIFS(BALANCES!$C:$C,BALANCES!$A:$A,$B$30,BALANCES!$B:$B,$T50,BALANCES!$D:$D,X$34)+SUMIFS(FLOWS!$C:$C,FLOWS!$A:$A,$B$30,FLOWS!$E:$E,$T50,FLOWS!$D:$D,X$34,FLOWS!$H:$H,"&lt;="&amp;$U$32)+SUM(SUMIFS(DEALS!$J:$J,DEALS!$A:$A,{"*REFUND*","*EXECUTED*"},DEALS!$G:$G,$B$30,DEALS!$E:$E,"&lt;="&amp;$U$32,DEALS!$K:$K,X$34,DEALS!$M:$M,$T50,DEALS!$N:$N,"&lt;&gt;*RECEIVED*",DEALS!$N:$N,"&lt;&gt;*EXECUTED*"))+SUM(SUMIFS(DEALS!$R:$R,DEALS!$A:$A,{"*REFUND*","*EXECUTED*"},DEALS!$O:$O,$B$30,DEALS!$E:$E,"&lt;="&amp;$U$32,DEALS!$S:$S,X$34,DEALS!$U:$U,$T50,DEALS!$V:$V,"&lt;&gt;*RECEIVED*",DEALS!$V:$V,"&lt;&gt;*EXECUTED*"))</f>
        <v>0</v>
      </c>
      <c r="Y50" s="32" cm="1">
        <f t="array" ref="Y50">SUMIFS(BALANCES!$C:$C,BALANCES!$A:$A,$B$30,BALANCES!$B:$B,$T50,BALANCES!$D:$D,Y$34)+SUMIFS(FLOWS!$C:$C,FLOWS!$A:$A,$B$30,FLOWS!$E:$E,$T50,FLOWS!$D:$D,Y$34,FLOWS!$H:$H,"&lt;="&amp;$U$32)+SUM(SUMIFS(DEALS!$J:$J,DEALS!$A:$A,{"*REFUND*","*EXECUTED*"},DEALS!$G:$G,$B$30,DEALS!$E:$E,"&lt;="&amp;$U$32,DEALS!$K:$K,Y$34,DEALS!$M:$M,$T50,DEALS!$N:$N,"&lt;&gt;*RECEIVED*",DEALS!$N:$N,"&lt;&gt;*EXECUTED*"))+SUM(SUMIFS(DEALS!$R:$R,DEALS!$A:$A,{"*REFUND*","*EXECUTED*"},DEALS!$O:$O,$B$30,DEALS!$E:$E,"&lt;="&amp;$U$32,DEALS!$S:$S,Y$34,DEALS!$U:$U,$T50,DEALS!$V:$V,"&lt;&gt;*RECEIVED*",DEALS!$V:$V,"&lt;&gt;*EXECUTED*"))</f>
        <v>0</v>
      </c>
      <c r="Z50" s="32" cm="1">
        <f t="array" ref="Z50">SUMIFS(BALANCES!$C:$C,BALANCES!$A:$A,$B$30,BALANCES!$B:$B,$T50,BALANCES!$D:$D,Z$34)+SUMIFS(FLOWS!$C:$C,FLOWS!$A:$A,$B$30,FLOWS!$E:$E,$T50,FLOWS!$D:$D,Z$34,FLOWS!$H:$H,"&lt;="&amp;$U$32)+SUM(SUMIFS(DEALS!$J:$J,DEALS!$A:$A,{"*REFUND*","*EXECUTED*"},DEALS!$G:$G,$B$30,DEALS!$E:$E,"&lt;="&amp;$U$32,DEALS!$K:$K,Z$34,DEALS!$M:$M,$T50,DEALS!$N:$N,"&lt;&gt;*RECEIVED*",DEALS!$N:$N,"&lt;&gt;*EXECUTED*"))+SUM(SUMIFS(DEALS!$R:$R,DEALS!$A:$A,{"*REFUND*","*EXECUTED*"},DEALS!$O:$O,$B$30,DEALS!$E:$E,"&lt;="&amp;$U$32,DEALS!$S:$S,Z$34,DEALS!$U:$U,$T50,DEALS!$V:$V,"&lt;&gt;*RECEIVED*",DEALS!$V:$V,"&lt;&gt;*EXECUTED*"))</f>
        <v>0</v>
      </c>
      <c r="AA50" s="33">
        <f ca="1">U50*VLOOKUP(U$34,'FX RATES'!$E$1:$F$50,2,FALSE)+V50*VLOOKUP(V$34,'FX RATES'!$E$1:$F$50,2,FALSE)+W50*VLOOKUP(W$34,'FX RATES'!$E$1:$F$50,2,FALSE)+X50*VLOOKUP(X$34,'FX RATES'!$E$1:$F$50,2,FALSE)+Y50*VLOOKUP(Y$34,'FX RATES'!$E$1:$F$50,2,FALSE)+Z50*VLOOKUP(Z$34,'FX RATES'!$E$1:$F$50,2,FALSE)</f>
        <v>0</v>
      </c>
      <c r="AC50" s="139">
        <f t="shared" ca="1" si="18"/>
        <v>0</v>
      </c>
    </row>
    <row r="51" spans="2:29" ht="19" hidden="1">
      <c r="B51" s="28"/>
      <c r="C51" s="29" cm="1">
        <f t="array" ref="C51">SUMIFS(BALANCES!$C:$C,BALANCES!$A:$A,$B$30,BALANCES!$B:$B,$B51,BALANCES!$D:$D,C$34)+SUMIFS(FLOWS!$C:$C,FLOWS!$A:$A,$B$30,FLOWS!$E:$E,$B51,FLOWS!$D:$D,C$34,FLOWS!$H:$H,"&lt;"&amp;$C$32)+SUM(SUMIFS(DEALS!$J:$J,DEALS!$A:$A,{"*REFUND*","*EXECUTED*"},DEALS!$G:$G,$B$30,DEALS!$E:$E,"&lt;"&amp;$C$32,DEALS!$K:$K,C$34,DEALS!$M:$M,$B51,DEALS!$N:$N,"&lt;&gt;*RECEIVED*",DEALS!$N:$N,"&lt;&gt;*EXECUTED*"))+SUM(SUMIFS(DEALS!$R:$R,DEALS!$A:$A,{"*REFUND*","*EXECUTED*"},DEALS!$O:$O,$B$30,DEALS!$E:$E,"&lt;"&amp;$C$32,DEALS!$S:$S,C$34,DEALS!$U:$U,$B51,DEALS!$V:$V,"&lt;&gt;*RECEIVED*",DEALS!$V:$V,"&lt;&gt;*EXECUTED*"))</f>
        <v>0</v>
      </c>
      <c r="D51" s="29" cm="1">
        <f t="array" ref="D51">SUMIFS(BALANCES!$C:$C,BALANCES!$A:$A,$B$30,BALANCES!$B:$B,$B51,BALANCES!$D:$D,D$34)+SUMIFS(FLOWS!$C:$C,FLOWS!$A:$A,$B$30,FLOWS!$E:$E,$B51,FLOWS!$D:$D,D$34,FLOWS!$H:$H,"&lt;"&amp;$C$32)+SUM(SUMIFS(DEALS!$J:$J,DEALS!$A:$A,{"*REFUND*","*EXECUTED*"},DEALS!$G:$G,$B$30,DEALS!$E:$E,"&lt;"&amp;$C$32,DEALS!$K:$K,D$34,DEALS!$M:$M,$B51,DEALS!$N:$N,"&lt;&gt;*RECEIVED*",DEALS!$N:$N,"&lt;&gt;*EXECUTED*"))+SUM(SUMIFS(DEALS!$R:$R,DEALS!$A:$A,{"*REFUND*","*EXECUTED*"},DEALS!$O:$O,$B$30,DEALS!$E:$E,"&lt;"&amp;$C$32,DEALS!$S:$S,D$34,DEALS!$U:$U,$B51,DEALS!$V:$V,"&lt;&gt;*RECEIVED*",DEALS!$V:$V,"&lt;&gt;*EXECUTED*"))</f>
        <v>0</v>
      </c>
      <c r="E51" s="29" cm="1">
        <f t="array" ref="E51">SUMIFS(BALANCES!$C:$C,BALANCES!$A:$A,$B$30,BALANCES!$B:$B,$B51,BALANCES!$D:$D,E$34)+SUMIFS(FLOWS!$C:$C,FLOWS!$A:$A,$B$30,FLOWS!$E:$E,$B51,FLOWS!$D:$D,E$34,FLOWS!$H:$H,"&lt;"&amp;$C$32)+SUM(SUMIFS(DEALS!$J:$J,DEALS!$A:$A,{"*REFUND*","*EXECUTED*"},DEALS!$G:$G,$B$30,DEALS!$E:$E,"&lt;"&amp;$C$32,DEALS!$K:$K,E$34,DEALS!$M:$M,$B51,DEALS!$N:$N,"&lt;&gt;*RECEIVED*",DEALS!$N:$N,"&lt;&gt;*EXECUTED*"))+SUM(SUMIFS(DEALS!$R:$R,DEALS!$A:$A,{"*REFUND*","*EXECUTED*"},DEALS!$O:$O,$B$30,DEALS!$E:$E,"&lt;"&amp;$C$32,DEALS!$S:$S,E$34,DEALS!$U:$U,$B51,DEALS!$V:$V,"&lt;&gt;*RECEIVED*",DEALS!$V:$V,"&lt;&gt;*EXECUTED*"))</f>
        <v>0</v>
      </c>
      <c r="F51" s="29" cm="1">
        <f t="array" ref="F51">SUMIFS(BALANCES!$C:$C,BALANCES!$A:$A,$B$30,BALANCES!$B:$B,$B51,BALANCES!$D:$D,F$34)+SUMIFS(FLOWS!$C:$C,FLOWS!$A:$A,$B$30,FLOWS!$E:$E,$B51,FLOWS!$D:$D,F$34,FLOWS!$H:$H,"&lt;"&amp;$C$32)+SUM(SUMIFS(DEALS!$J:$J,DEALS!$A:$A,{"*REFUND*","*EXECUTED*"},DEALS!$G:$G,$B$30,DEALS!$E:$E,"&lt;"&amp;$C$32,DEALS!$K:$K,F$34,DEALS!$M:$M,$B51,DEALS!$N:$N,"&lt;&gt;*RECEIVED*",DEALS!$N:$N,"&lt;&gt;*EXECUTED*"))+SUM(SUMIFS(DEALS!$R:$R,DEALS!$A:$A,{"*REFUND*","*EXECUTED*"},DEALS!$O:$O,$B$30,DEALS!$E:$E,"&lt;"&amp;$C$32,DEALS!$S:$S,F$34,DEALS!$U:$U,$B51,DEALS!$V:$V,"&lt;&gt;*RECEIVED*",DEALS!$V:$V,"&lt;&gt;*EXECUTED*"))</f>
        <v>0</v>
      </c>
      <c r="G51" s="29" cm="1">
        <f t="array" ref="G51">SUMIFS(BALANCES!$C:$C,BALANCES!$A:$A,$B$30,BALANCES!$B:$B,$B51,BALANCES!$D:$D,G$34)+SUMIFS(FLOWS!$C:$C,FLOWS!$A:$A,$B$30,FLOWS!$E:$E,$B51,FLOWS!$D:$D,G$34,FLOWS!$H:$H,"&lt;"&amp;$C$32)+SUM(SUMIFS(DEALS!$J:$J,DEALS!$A:$A,{"*REFUND*","*EXECUTED*"},DEALS!$G:$G,$B$30,DEALS!$E:$E,"&lt;"&amp;$C$32,DEALS!$K:$K,G$34,DEALS!$M:$M,$B51,DEALS!$N:$N,"&lt;&gt;*RECEIVED*",DEALS!$N:$N,"&lt;&gt;*EXECUTED*"))+SUM(SUMIFS(DEALS!$R:$R,DEALS!$A:$A,{"*REFUND*","*EXECUTED*"},DEALS!$O:$O,$B$30,DEALS!$E:$E,"&lt;"&amp;$C$32,DEALS!$S:$S,G$34,DEALS!$U:$U,$B51,DEALS!$V:$V,"&lt;&gt;*RECEIVED*",DEALS!$V:$V,"&lt;&gt;*EXECUTED*"))</f>
        <v>0</v>
      </c>
      <c r="H51" s="29" cm="1">
        <f t="array" ref="H51">SUMIFS(BALANCES!$C:$C,BALANCES!$A:$A,$B$30,BALANCES!$B:$B,$B51,BALANCES!$D:$D,H$34)+SUMIFS(FLOWS!$C:$C,FLOWS!$A:$A,$B$30,FLOWS!$E:$E,$B51,FLOWS!$D:$D,H$34,FLOWS!$H:$H,"&lt;"&amp;$C$32)+SUM(SUMIFS(DEALS!$J:$J,DEALS!$A:$A,{"*REFUND*","*EXECUTED*"},DEALS!$G:$G,$B$30,DEALS!$E:$E,"&lt;"&amp;$C$32,DEALS!$K:$K,H$34,DEALS!$M:$M,$B51,DEALS!$N:$N,"&lt;&gt;*RECEIVED*",DEALS!$N:$N,"&lt;&gt;*EXECUTED*"))+SUM(SUMIFS(DEALS!$R:$R,DEALS!$A:$A,{"*REFUND*","*EXECUTED*"},DEALS!$O:$O,$B$30,DEALS!$E:$E,"&lt;"&amp;$C$32,DEALS!$S:$S,H$34,DEALS!$U:$U,$B51,DEALS!$V:$V,"&lt;&gt;*RECEIVED*",DEALS!$V:$V,"&lt;&gt;*EXECUTED*"))</f>
        <v>0</v>
      </c>
      <c r="I51" s="30">
        <f ca="1">C51*VLOOKUP(C$34,'FX RATES'!$E$1:$F$50,2,FALSE)+D51*VLOOKUP(D$34,'FX RATES'!$E$1:$F$50,2,FALSE)+E51*VLOOKUP(E$34,'FX RATES'!$E$1:$F$50,2,FALSE)+F51*VLOOKUP(F$34,'FX RATES'!$E$1:$F$50,2,FALSE)+G51*VLOOKUP(G$34,'FX RATES'!$E$1:$F$50,2,FALSE)+H51*VLOOKUP(H$34,'FX RATES'!$E$1:$F$50,2,FALSE)</f>
        <v>0</v>
      </c>
      <c r="J51" s="18"/>
      <c r="K51" s="28">
        <f t="shared" si="16"/>
        <v>0</v>
      </c>
      <c r="L51" s="29" cm="1">
        <f t="array" ref="L51">SUMIFS(FLOWS!$C:$C,FLOWS!$A:$A,$B$30,FLOWS!$E:$E,$K51,FLOWS!$D:$D,L$34,FLOWS!$H:$H,"&gt;="&amp;$C$32,FLOWS!$H:$H,"&lt;="&amp;$U$32)+SUM(SUMIFS(DEALS!$J:$J,DEALS!$A:$A,{"*REFUND*","*EXECUTED*"},DEALS!$G:$G,$B$30,DEALS!$E:$E,"&gt;="&amp;$C$32,DEALS!$E:$E,"&lt;="&amp;$U$32,DEALS!$K:$K,L$34,DEALS!$M:$M,$K51,DEALS!$N:$N,"&lt;&gt;*RECEIVED*",DEALS!$N:$N,"&lt;&gt;*EXECUTED*"))+SUM(SUMIFS(DEALS!$R:$R,DEALS!$A:$A,{"*REFUND*","*EXECUTED*"},DEALS!$O:$O,$B$30,DEALS!$E:$E,"&gt;="&amp;$C$32,DEALS!$E:$E,"&lt;="&amp;$U$32,DEALS!$S:$S,L$34,DEALS!$U:$U,$K51,DEALS!$V:$V,"&lt;&gt;*RECEIVED*",DEALS!$V:$V,"&lt;&gt;*EXECUTED*"))</f>
        <v>0</v>
      </c>
      <c r="M51" s="29" cm="1">
        <f t="array" ref="M51">SUMIFS(FLOWS!$C:$C,FLOWS!$A:$A,$B$30,FLOWS!$E:$E,$K51,FLOWS!$D:$D,M$34,FLOWS!$H:$H,"&gt;="&amp;$C$32,FLOWS!$H:$H,"&lt;="&amp;$U$32)+SUM(SUMIFS(DEALS!$J:$J,DEALS!$A:$A,{"*REFUND*","*EXECUTED*"},DEALS!$G:$G,$B$30,DEALS!$E:$E,"&gt;="&amp;$C$32,DEALS!$E:$E,"&lt;="&amp;$U$32,DEALS!$K:$K,M$34,DEALS!$M:$M,$K51,DEALS!$N:$N,"&lt;&gt;*RECEIVED*",DEALS!$N:$N,"&lt;&gt;*EXECUTED*"))+SUM(SUMIFS(DEALS!$R:$R,DEALS!$A:$A,{"*REFUND*","*EXECUTED*"},DEALS!$O:$O,$B$30,DEALS!$E:$E,"&gt;="&amp;$C$32,DEALS!$E:$E,"&lt;="&amp;$U$32,DEALS!$S:$S,M$34,DEALS!$U:$U,$K51,DEALS!$V:$V,"&lt;&gt;*RECEIVED*",DEALS!$V:$V,"&lt;&gt;*EXECUTED*"))</f>
        <v>0</v>
      </c>
      <c r="N51" s="29" cm="1">
        <f t="array" ref="N51">SUMIFS(FLOWS!$C:$C,FLOWS!$A:$A,$B$30,FLOWS!$E:$E,$K51,FLOWS!$D:$D,N$34,FLOWS!$H:$H,"&gt;="&amp;$C$32,FLOWS!$H:$H,"&lt;="&amp;$U$32)+SUM(SUMIFS(DEALS!$J:$J,DEALS!$A:$A,{"*REFUND*","*EXECUTED*"},DEALS!$G:$G,$B$30,DEALS!$E:$E,"&gt;="&amp;$C$32,DEALS!$E:$E,"&lt;="&amp;$U$32,DEALS!$K:$K,N$34,DEALS!$M:$M,$K51,DEALS!$N:$N,"&lt;&gt;*RECEIVED*",DEALS!$N:$N,"&lt;&gt;*EXECUTED*"))+SUM(SUMIFS(DEALS!$R:$R,DEALS!$A:$A,{"*REFUND*","*EXECUTED*"},DEALS!$O:$O,$B$30,DEALS!$E:$E,"&gt;="&amp;$C$32,DEALS!$E:$E,"&lt;="&amp;$U$32,DEALS!$S:$S,N$34,DEALS!$U:$U,$K51,DEALS!$V:$V,"&lt;&gt;*RECEIVED*",DEALS!$V:$V,"&lt;&gt;*EXECUTED*"))</f>
        <v>0</v>
      </c>
      <c r="O51" s="29" cm="1">
        <f t="array" ref="O51">SUMIFS(FLOWS!$C:$C,FLOWS!$A:$A,$B$30,FLOWS!$E:$E,$K51,FLOWS!$D:$D,O$34,FLOWS!$H:$H,"&gt;="&amp;$C$32,FLOWS!$H:$H,"&lt;="&amp;$U$32)+SUM(SUMIFS(DEALS!$J:$J,DEALS!$A:$A,{"*REFUND*","*EXECUTED*"},DEALS!$G:$G,$B$30,DEALS!$E:$E,"&gt;="&amp;$C$32,DEALS!$E:$E,"&lt;="&amp;$U$32,DEALS!$K:$K,O$34,DEALS!$M:$M,$K51,DEALS!$N:$N,"&lt;&gt;*RECEIVED*",DEALS!$N:$N,"&lt;&gt;*EXECUTED*"))+SUM(SUMIFS(DEALS!$R:$R,DEALS!$A:$A,{"*REFUND*","*EXECUTED*"},DEALS!$O:$O,$B$30,DEALS!$E:$E,"&gt;="&amp;$C$32,DEALS!$E:$E,"&lt;="&amp;$U$32,DEALS!$S:$S,O$34,DEALS!$U:$U,$K51,DEALS!$V:$V,"&lt;&gt;*RECEIVED*",DEALS!$V:$V,"&lt;&gt;*EXECUTED*"))</f>
        <v>0</v>
      </c>
      <c r="P51" s="29" cm="1">
        <f t="array" ref="P51">SUMIFS(FLOWS!$C:$C,FLOWS!$A:$A,$B$30,FLOWS!$E:$E,$K51,FLOWS!$D:$D,P$34,FLOWS!$H:$H,"&gt;="&amp;$C$32,FLOWS!$H:$H,"&lt;="&amp;$U$32)+SUM(SUMIFS(DEALS!$J:$J,DEALS!$A:$A,{"*REFUND*","*EXECUTED*"},DEALS!$G:$G,$B$30,DEALS!$E:$E,"&gt;="&amp;$C$32,DEALS!$E:$E,"&lt;="&amp;$U$32,DEALS!$K:$K,P$34,DEALS!$M:$M,$K51,DEALS!$N:$N,"&lt;&gt;*RECEIVED*",DEALS!$N:$N,"&lt;&gt;*EXECUTED*"))+SUM(SUMIFS(DEALS!$R:$R,DEALS!$A:$A,{"*REFUND*","*EXECUTED*"},DEALS!$O:$O,$B$30,DEALS!$E:$E,"&gt;="&amp;$C$32,DEALS!$E:$E,"&lt;="&amp;$U$32,DEALS!$S:$S,P$34,DEALS!$U:$U,$K51,DEALS!$V:$V,"&lt;&gt;*RECEIVED*",DEALS!$V:$V,"&lt;&gt;*EXECUTED*"))</f>
        <v>0</v>
      </c>
      <c r="Q51" s="29" cm="1">
        <f t="array" ref="Q51">SUMIFS(FLOWS!$C:$C,FLOWS!$A:$A,$B$30,FLOWS!$E:$E,$K51,FLOWS!$D:$D,Q$34,FLOWS!$H:$H,"&gt;="&amp;$C$32,FLOWS!$H:$H,"&lt;="&amp;$U$32)+SUM(SUMIFS(DEALS!$J:$J,DEALS!$A:$A,{"*REFUND*","*EXECUTED*"},DEALS!$G:$G,$B$30,DEALS!$E:$E,"&gt;="&amp;$C$32,DEALS!$E:$E,"&lt;="&amp;$U$32,DEALS!$K:$K,Q$34,DEALS!$M:$M,$K51,DEALS!$N:$N,"&lt;&gt;*RECEIVED*",DEALS!$N:$N,"&lt;&gt;*EXECUTED*"))+SUM(SUMIFS(DEALS!$R:$R,DEALS!$A:$A,{"*REFUND*","*EXECUTED*"},DEALS!$O:$O,$B$30,DEALS!$E:$E,"&gt;="&amp;$C$32,DEALS!$E:$E,"&lt;="&amp;$U$32,DEALS!$S:$S,Q$34,DEALS!$U:$U,$K51,DEALS!$V:$V,"&lt;&gt;*RECEIVED*",DEALS!$V:$V,"&lt;&gt;*EXECUTED*"))</f>
        <v>0</v>
      </c>
      <c r="R51" s="30">
        <f ca="1">L51*VLOOKUP(L$34,'FX RATES'!$E$1:$F$50,2,FALSE)+M51*VLOOKUP(M$34,'FX RATES'!$E$1:$F$50,2,FALSE)+N51*VLOOKUP(N$34,'FX RATES'!$E$1:$F$50,2,FALSE)+O51*VLOOKUP(O$34,'FX RATES'!$E$1:$F$50,2,FALSE)+P51*VLOOKUP(P$34,'FX RATES'!$E$1:$F$50,2,FALSE)+Q51*VLOOKUP(Q$34,'FX RATES'!$E$1:$F$50,2,FALSE)</f>
        <v>0</v>
      </c>
      <c r="T51" s="28">
        <f t="shared" si="17"/>
        <v>0</v>
      </c>
      <c r="U51" s="29" cm="1">
        <f t="array" ref="U51">SUMIFS(BALANCES!$C:$C,BALANCES!$A:$A,$B$30,BALANCES!$B:$B,$T51,BALANCES!$D:$D,U$34)+SUMIFS(FLOWS!$C:$C,FLOWS!$A:$A,$B$30,FLOWS!$E:$E,$T51,FLOWS!$D:$D,U$34,FLOWS!$H:$H,"&lt;="&amp;$U$32)+SUM(SUMIFS(DEALS!$J:$J,DEALS!$A:$A,{"*REFUND*","*EXECUTED*"},DEALS!$G:$G,$B$30,DEALS!$E:$E,"&lt;="&amp;$U$32,DEALS!$K:$K,U$34,DEALS!$M:$M,$T51,DEALS!$N:$N,"&lt;&gt;*RECEIVED*",DEALS!$N:$N,"&lt;&gt;*EXECUTED*"))+SUM(SUMIFS(DEALS!$R:$R,DEALS!$A:$A,{"*REFUND*","*EXECUTED*"},DEALS!$O:$O,$B$30,DEALS!$E:$E,"&lt;="&amp;$U$32,DEALS!$S:$S,U$34,DEALS!$U:$U,$T51,DEALS!$V:$V,"&lt;&gt;*RECEIVED*",DEALS!$V:$V,"&lt;&gt;*EXECUTED*"))</f>
        <v>0</v>
      </c>
      <c r="V51" s="29" cm="1">
        <f t="array" ref="V51">SUMIFS(BALANCES!$C:$C,BALANCES!$A:$A,$B$30,BALANCES!$B:$B,$T51,BALANCES!$D:$D,V$34)+SUMIFS(FLOWS!$C:$C,FLOWS!$A:$A,$B$30,FLOWS!$E:$E,$T51,FLOWS!$D:$D,V$34,FLOWS!$H:$H,"&lt;="&amp;$U$32)+SUM(SUMIFS(DEALS!$J:$J,DEALS!$A:$A,{"*REFUND*","*EXECUTED*"},DEALS!$G:$G,$B$30,DEALS!$E:$E,"&lt;="&amp;$U$32,DEALS!$K:$K,V$34,DEALS!$M:$M,$T51,DEALS!$N:$N,"&lt;&gt;*RECEIVED*",DEALS!$N:$N,"&lt;&gt;*EXECUTED*"))+SUM(SUMIFS(DEALS!$R:$R,DEALS!$A:$A,{"*REFUND*","*EXECUTED*"},DEALS!$O:$O,$B$30,DEALS!$E:$E,"&lt;="&amp;$U$32,DEALS!$S:$S,V$34,DEALS!$U:$U,$T51,DEALS!$V:$V,"&lt;&gt;*RECEIVED*",DEALS!$V:$V,"&lt;&gt;*EXECUTED*"))</f>
        <v>0</v>
      </c>
      <c r="W51" s="29" cm="1">
        <f t="array" ref="W51">SUMIFS(BALANCES!$C:$C,BALANCES!$A:$A,$B$30,BALANCES!$B:$B,$T51,BALANCES!$D:$D,W$34)+SUMIFS(FLOWS!$C:$C,FLOWS!$A:$A,$B$30,FLOWS!$E:$E,$T51,FLOWS!$D:$D,W$34,FLOWS!$H:$H,"&lt;="&amp;$U$32)+SUM(SUMIFS(DEALS!$J:$J,DEALS!$A:$A,{"*REFUND*","*EXECUTED*"},DEALS!$G:$G,$B$30,DEALS!$E:$E,"&lt;="&amp;$U$32,DEALS!$K:$K,W$34,DEALS!$M:$M,$T51,DEALS!$N:$N,"&lt;&gt;*RECEIVED*",DEALS!$N:$N,"&lt;&gt;*EXECUTED*"))+SUM(SUMIFS(DEALS!$R:$R,DEALS!$A:$A,{"*REFUND*","*EXECUTED*"},DEALS!$O:$O,$B$30,DEALS!$E:$E,"&lt;="&amp;$U$32,DEALS!$S:$S,W$34,DEALS!$U:$U,$T51,DEALS!$V:$V,"&lt;&gt;*RECEIVED*",DEALS!$V:$V,"&lt;&gt;*EXECUTED*"))</f>
        <v>0</v>
      </c>
      <c r="X51" s="29" cm="1">
        <f t="array" ref="X51">SUMIFS(BALANCES!$C:$C,BALANCES!$A:$A,$B$30,BALANCES!$B:$B,$T51,BALANCES!$D:$D,X$34)+SUMIFS(FLOWS!$C:$C,FLOWS!$A:$A,$B$30,FLOWS!$E:$E,$T51,FLOWS!$D:$D,X$34,FLOWS!$H:$H,"&lt;="&amp;$U$32)+SUM(SUMIFS(DEALS!$J:$J,DEALS!$A:$A,{"*REFUND*","*EXECUTED*"},DEALS!$G:$G,$B$30,DEALS!$E:$E,"&lt;="&amp;$U$32,DEALS!$K:$K,X$34,DEALS!$M:$M,$T51,DEALS!$N:$N,"&lt;&gt;*RECEIVED*",DEALS!$N:$N,"&lt;&gt;*EXECUTED*"))+SUM(SUMIFS(DEALS!$R:$R,DEALS!$A:$A,{"*REFUND*","*EXECUTED*"},DEALS!$O:$O,$B$30,DEALS!$E:$E,"&lt;="&amp;$U$32,DEALS!$S:$S,X$34,DEALS!$U:$U,$T51,DEALS!$V:$V,"&lt;&gt;*RECEIVED*",DEALS!$V:$V,"&lt;&gt;*EXECUTED*"))</f>
        <v>0</v>
      </c>
      <c r="Y51" s="29" cm="1">
        <f t="array" ref="Y51">SUMIFS(BALANCES!$C:$C,BALANCES!$A:$A,$B$30,BALANCES!$B:$B,$T51,BALANCES!$D:$D,Y$34)+SUMIFS(FLOWS!$C:$C,FLOWS!$A:$A,$B$30,FLOWS!$E:$E,$T51,FLOWS!$D:$D,Y$34,FLOWS!$H:$H,"&lt;="&amp;$U$32)+SUM(SUMIFS(DEALS!$J:$J,DEALS!$A:$A,{"*REFUND*","*EXECUTED*"},DEALS!$G:$G,$B$30,DEALS!$E:$E,"&lt;="&amp;$U$32,DEALS!$K:$K,Y$34,DEALS!$M:$M,$T51,DEALS!$N:$N,"&lt;&gt;*RECEIVED*",DEALS!$N:$N,"&lt;&gt;*EXECUTED*"))+SUM(SUMIFS(DEALS!$R:$R,DEALS!$A:$A,{"*REFUND*","*EXECUTED*"},DEALS!$O:$O,$B$30,DEALS!$E:$E,"&lt;="&amp;$U$32,DEALS!$S:$S,Y$34,DEALS!$U:$U,$T51,DEALS!$V:$V,"&lt;&gt;*RECEIVED*",DEALS!$V:$V,"&lt;&gt;*EXECUTED*"))</f>
        <v>0</v>
      </c>
      <c r="Z51" s="29" cm="1">
        <f t="array" ref="Z51">SUMIFS(BALANCES!$C:$C,BALANCES!$A:$A,$B$30,BALANCES!$B:$B,$T51,BALANCES!$D:$D,Z$34)+SUMIFS(FLOWS!$C:$C,FLOWS!$A:$A,$B$30,FLOWS!$E:$E,$T51,FLOWS!$D:$D,Z$34,FLOWS!$H:$H,"&lt;="&amp;$U$32)+SUM(SUMIFS(DEALS!$J:$J,DEALS!$A:$A,{"*REFUND*","*EXECUTED*"},DEALS!$G:$G,$B$30,DEALS!$E:$E,"&lt;="&amp;$U$32,DEALS!$K:$K,Z$34,DEALS!$M:$M,$T51,DEALS!$N:$N,"&lt;&gt;*RECEIVED*",DEALS!$N:$N,"&lt;&gt;*EXECUTED*"))+SUM(SUMIFS(DEALS!$R:$R,DEALS!$A:$A,{"*REFUND*","*EXECUTED*"},DEALS!$O:$O,$B$30,DEALS!$E:$E,"&lt;="&amp;$U$32,DEALS!$S:$S,Z$34,DEALS!$U:$U,$T51,DEALS!$V:$V,"&lt;&gt;*RECEIVED*",DEALS!$V:$V,"&lt;&gt;*EXECUTED*"))</f>
        <v>0</v>
      </c>
      <c r="AA51" s="30">
        <f ca="1">U51*VLOOKUP(U$34,'FX RATES'!$E$1:$F$50,2,FALSE)+V51*VLOOKUP(V$34,'FX RATES'!$E$1:$F$50,2,FALSE)+W51*VLOOKUP(W$34,'FX RATES'!$E$1:$F$50,2,FALSE)+X51*VLOOKUP(X$34,'FX RATES'!$E$1:$F$50,2,FALSE)+Y51*VLOOKUP(Y$34,'FX RATES'!$E$1:$F$50,2,FALSE)+Z51*VLOOKUP(Z$34,'FX RATES'!$E$1:$F$50,2,FALSE)</f>
        <v>0</v>
      </c>
      <c r="AC51" s="139">
        <f t="shared" ca="1" si="18"/>
        <v>0</v>
      </c>
    </row>
    <row r="52" spans="2:29" ht="20" hidden="1" thickBot="1">
      <c r="B52" s="31"/>
      <c r="C52" s="32" cm="1">
        <f t="array" ref="C52">SUMIFS(BALANCES!$C:$C,BALANCES!$A:$A,$B$30,BALANCES!$B:$B,$B52,BALANCES!$D:$D,C$34)+SUMIFS(FLOWS!$C:$C,FLOWS!$A:$A,$B$30,FLOWS!$E:$E,$B52,FLOWS!$D:$D,C$34,FLOWS!$H:$H,"&lt;"&amp;$C$32)+SUM(SUMIFS(DEALS!$J:$J,DEALS!$A:$A,{"*REFUND*","*EXECUTED*"},DEALS!$G:$G,$B$30,DEALS!$E:$E,"&lt;"&amp;$C$32,DEALS!$K:$K,C$34,DEALS!$M:$M,$B52,DEALS!$N:$N,"&lt;&gt;*RECEIVED*",DEALS!$N:$N,"&lt;&gt;*EXECUTED*"))+SUM(SUMIFS(DEALS!$R:$R,DEALS!$A:$A,{"*REFUND*","*EXECUTED*"},DEALS!$O:$O,$B$30,DEALS!$E:$E,"&lt;"&amp;$C$32,DEALS!$S:$S,C$34,DEALS!$U:$U,$B52,DEALS!$V:$V,"&lt;&gt;*RECEIVED*",DEALS!$V:$V,"&lt;&gt;*EXECUTED*"))</f>
        <v>0</v>
      </c>
      <c r="D52" s="32" cm="1">
        <f t="array" ref="D52">SUMIFS(BALANCES!$C:$C,BALANCES!$A:$A,$B$30,BALANCES!$B:$B,$B52,BALANCES!$D:$D,D$34)+SUMIFS(FLOWS!$C:$C,FLOWS!$A:$A,$B$30,FLOWS!$E:$E,$B52,FLOWS!$D:$D,D$34,FLOWS!$H:$H,"&lt;"&amp;$C$32)+SUM(SUMIFS(DEALS!$J:$J,DEALS!$A:$A,{"*REFUND*","*EXECUTED*"},DEALS!$G:$G,$B$30,DEALS!$E:$E,"&lt;"&amp;$C$32,DEALS!$K:$K,D$34,DEALS!$M:$M,$B52,DEALS!$N:$N,"&lt;&gt;*RECEIVED*",DEALS!$N:$N,"&lt;&gt;*EXECUTED*"))+SUM(SUMIFS(DEALS!$R:$R,DEALS!$A:$A,{"*REFUND*","*EXECUTED*"},DEALS!$O:$O,$B$30,DEALS!$E:$E,"&lt;"&amp;$C$32,DEALS!$S:$S,D$34,DEALS!$U:$U,$B52,DEALS!$V:$V,"&lt;&gt;*RECEIVED*",DEALS!$V:$V,"&lt;&gt;*EXECUTED*"))</f>
        <v>0</v>
      </c>
      <c r="E52" s="32" cm="1">
        <f t="array" ref="E52">SUMIFS(BALANCES!$C:$C,BALANCES!$A:$A,$B$30,BALANCES!$B:$B,$B52,BALANCES!$D:$D,E$34)+SUMIFS(FLOWS!$C:$C,FLOWS!$A:$A,$B$30,FLOWS!$E:$E,$B52,FLOWS!$D:$D,E$34,FLOWS!$H:$H,"&lt;"&amp;$C$32)+SUM(SUMIFS(DEALS!$J:$J,DEALS!$A:$A,{"*REFUND*","*EXECUTED*"},DEALS!$G:$G,$B$30,DEALS!$E:$E,"&lt;"&amp;$C$32,DEALS!$K:$K,E$34,DEALS!$M:$M,$B52,DEALS!$N:$N,"&lt;&gt;*RECEIVED*",DEALS!$N:$N,"&lt;&gt;*EXECUTED*"))+SUM(SUMIFS(DEALS!$R:$R,DEALS!$A:$A,{"*REFUND*","*EXECUTED*"},DEALS!$O:$O,$B$30,DEALS!$E:$E,"&lt;"&amp;$C$32,DEALS!$S:$S,E$34,DEALS!$U:$U,$B52,DEALS!$V:$V,"&lt;&gt;*RECEIVED*",DEALS!$V:$V,"&lt;&gt;*EXECUTED*"))</f>
        <v>0</v>
      </c>
      <c r="F52" s="32" cm="1">
        <f t="array" ref="F52">SUMIFS(BALANCES!$C:$C,BALANCES!$A:$A,$B$30,BALANCES!$B:$B,$B52,BALANCES!$D:$D,F$34)+SUMIFS(FLOWS!$C:$C,FLOWS!$A:$A,$B$30,FLOWS!$E:$E,$B52,FLOWS!$D:$D,F$34,FLOWS!$H:$H,"&lt;"&amp;$C$32)+SUM(SUMIFS(DEALS!$J:$J,DEALS!$A:$A,{"*REFUND*","*EXECUTED*"},DEALS!$G:$G,$B$30,DEALS!$E:$E,"&lt;"&amp;$C$32,DEALS!$K:$K,F$34,DEALS!$M:$M,$B52,DEALS!$N:$N,"&lt;&gt;*RECEIVED*",DEALS!$N:$N,"&lt;&gt;*EXECUTED*"))+SUM(SUMIFS(DEALS!$R:$R,DEALS!$A:$A,{"*REFUND*","*EXECUTED*"},DEALS!$O:$O,$B$30,DEALS!$E:$E,"&lt;"&amp;$C$32,DEALS!$S:$S,F$34,DEALS!$U:$U,$B52,DEALS!$V:$V,"&lt;&gt;*RECEIVED*",DEALS!$V:$V,"&lt;&gt;*EXECUTED*"))</f>
        <v>0</v>
      </c>
      <c r="G52" s="32" cm="1">
        <f t="array" ref="G52">SUMIFS(BALANCES!$C:$C,BALANCES!$A:$A,$B$30,BALANCES!$B:$B,$B52,BALANCES!$D:$D,G$34)+SUMIFS(FLOWS!$C:$C,FLOWS!$A:$A,$B$30,FLOWS!$E:$E,$B52,FLOWS!$D:$D,G$34,FLOWS!$H:$H,"&lt;"&amp;$C$32)+SUM(SUMIFS(DEALS!$J:$J,DEALS!$A:$A,{"*REFUND*","*EXECUTED*"},DEALS!$G:$G,$B$30,DEALS!$E:$E,"&lt;"&amp;$C$32,DEALS!$K:$K,G$34,DEALS!$M:$M,$B52,DEALS!$N:$N,"&lt;&gt;*RECEIVED*",DEALS!$N:$N,"&lt;&gt;*EXECUTED*"))+SUM(SUMIFS(DEALS!$R:$R,DEALS!$A:$A,{"*REFUND*","*EXECUTED*"},DEALS!$O:$O,$B$30,DEALS!$E:$E,"&lt;"&amp;$C$32,DEALS!$S:$S,G$34,DEALS!$U:$U,$B52,DEALS!$V:$V,"&lt;&gt;*RECEIVED*",DEALS!$V:$V,"&lt;&gt;*EXECUTED*"))</f>
        <v>0</v>
      </c>
      <c r="H52" s="32" cm="1">
        <f t="array" ref="H52">SUMIFS(BALANCES!$C:$C,BALANCES!$A:$A,$B$30,BALANCES!$B:$B,$B52,BALANCES!$D:$D,H$34)+SUMIFS(FLOWS!$C:$C,FLOWS!$A:$A,$B$30,FLOWS!$E:$E,$B52,FLOWS!$D:$D,H$34,FLOWS!$H:$H,"&lt;"&amp;$C$32)+SUM(SUMIFS(DEALS!$J:$J,DEALS!$A:$A,{"*REFUND*","*EXECUTED*"},DEALS!$G:$G,$B$30,DEALS!$E:$E,"&lt;"&amp;$C$32,DEALS!$K:$K,H$34,DEALS!$M:$M,$B52,DEALS!$N:$N,"&lt;&gt;*RECEIVED*",DEALS!$N:$N,"&lt;&gt;*EXECUTED*"))+SUM(SUMIFS(DEALS!$R:$R,DEALS!$A:$A,{"*REFUND*","*EXECUTED*"},DEALS!$O:$O,$B$30,DEALS!$E:$E,"&lt;"&amp;$C$32,DEALS!$S:$S,H$34,DEALS!$U:$U,$B52,DEALS!$V:$V,"&lt;&gt;*RECEIVED*",DEALS!$V:$V,"&lt;&gt;*EXECUTED*"))</f>
        <v>0</v>
      </c>
      <c r="I52" s="33">
        <f ca="1">C52*VLOOKUP(C$34,'FX RATES'!$E$1:$F$50,2,FALSE)+D52*VLOOKUP(D$34,'FX RATES'!$E$1:$F$50,2,FALSE)+E52*VLOOKUP(E$34,'FX RATES'!$E$1:$F$50,2,FALSE)+F52*VLOOKUP(F$34,'FX RATES'!$E$1:$F$50,2,FALSE)+G52*VLOOKUP(G$34,'FX RATES'!$E$1:$F$50,2,FALSE)+H52*VLOOKUP(H$34,'FX RATES'!$E$1:$F$50,2,FALSE)</f>
        <v>0</v>
      </c>
      <c r="J52" s="18"/>
      <c r="K52" s="31">
        <f t="shared" si="16"/>
        <v>0</v>
      </c>
      <c r="L52" s="32" cm="1">
        <f t="array" ref="L52">SUMIFS(FLOWS!$C:$C,FLOWS!$A:$A,$B$30,FLOWS!$E:$E,$K52,FLOWS!$D:$D,L$34,FLOWS!$H:$H,"&gt;="&amp;$C$32,FLOWS!$H:$H,"&lt;="&amp;$U$32)+SUM(SUMIFS(DEALS!$J:$J,DEALS!$A:$A,{"*REFUND*","*EXECUTED*"},DEALS!$G:$G,$B$30,DEALS!$E:$E,"&gt;="&amp;$C$32,DEALS!$E:$E,"&lt;="&amp;$U$32,DEALS!$K:$K,L$34,DEALS!$M:$M,$K52,DEALS!$N:$N,"&lt;&gt;*RECEIVED*",DEALS!$N:$N,"&lt;&gt;*EXECUTED*"))+SUM(SUMIFS(DEALS!$R:$R,DEALS!$A:$A,{"*REFUND*","*EXECUTED*"},DEALS!$O:$O,$B$30,DEALS!$E:$E,"&gt;="&amp;$C$32,DEALS!$E:$E,"&lt;="&amp;$U$32,DEALS!$S:$S,L$34,DEALS!$U:$U,$K52,DEALS!$V:$V,"&lt;&gt;*RECEIVED*",DEALS!$V:$V,"&lt;&gt;*EXECUTED*"))</f>
        <v>0</v>
      </c>
      <c r="M52" s="32" cm="1">
        <f t="array" ref="M52">SUMIFS(FLOWS!$C:$C,FLOWS!$A:$A,$B$30,FLOWS!$E:$E,$K52,FLOWS!$D:$D,M$34,FLOWS!$H:$H,"&gt;="&amp;$C$32,FLOWS!$H:$H,"&lt;="&amp;$U$32)+SUM(SUMIFS(DEALS!$J:$J,DEALS!$A:$A,{"*REFUND*","*EXECUTED*"},DEALS!$G:$G,$B$30,DEALS!$E:$E,"&gt;="&amp;$C$32,DEALS!$E:$E,"&lt;="&amp;$U$32,DEALS!$K:$K,M$34,DEALS!$M:$M,$K52,DEALS!$N:$N,"&lt;&gt;*RECEIVED*",DEALS!$N:$N,"&lt;&gt;*EXECUTED*"))+SUM(SUMIFS(DEALS!$R:$R,DEALS!$A:$A,{"*REFUND*","*EXECUTED*"},DEALS!$O:$O,$B$30,DEALS!$E:$E,"&gt;="&amp;$C$32,DEALS!$E:$E,"&lt;="&amp;$U$32,DEALS!$S:$S,M$34,DEALS!$U:$U,$K52,DEALS!$V:$V,"&lt;&gt;*RECEIVED*",DEALS!$V:$V,"&lt;&gt;*EXECUTED*"))</f>
        <v>0</v>
      </c>
      <c r="N52" s="32" cm="1">
        <f t="array" ref="N52">SUMIFS(FLOWS!$C:$C,FLOWS!$A:$A,$B$30,FLOWS!$E:$E,$K52,FLOWS!$D:$D,N$34,FLOWS!$H:$H,"&gt;="&amp;$C$32,FLOWS!$H:$H,"&lt;="&amp;$U$32)+SUM(SUMIFS(DEALS!$J:$J,DEALS!$A:$A,{"*REFUND*","*EXECUTED*"},DEALS!$G:$G,$B$30,DEALS!$E:$E,"&gt;="&amp;$C$32,DEALS!$E:$E,"&lt;="&amp;$U$32,DEALS!$K:$K,N$34,DEALS!$M:$M,$K52,DEALS!$N:$N,"&lt;&gt;*RECEIVED*",DEALS!$N:$N,"&lt;&gt;*EXECUTED*"))+SUM(SUMIFS(DEALS!$R:$R,DEALS!$A:$A,{"*REFUND*","*EXECUTED*"},DEALS!$O:$O,$B$30,DEALS!$E:$E,"&gt;="&amp;$C$32,DEALS!$E:$E,"&lt;="&amp;$U$32,DEALS!$S:$S,N$34,DEALS!$U:$U,$K52,DEALS!$V:$V,"&lt;&gt;*RECEIVED*",DEALS!$V:$V,"&lt;&gt;*EXECUTED*"))</f>
        <v>0</v>
      </c>
      <c r="O52" s="32" cm="1">
        <f t="array" ref="O52">SUMIFS(FLOWS!$C:$C,FLOWS!$A:$A,$B$30,FLOWS!$E:$E,$K52,FLOWS!$D:$D,O$34,FLOWS!$H:$H,"&gt;="&amp;$C$32,FLOWS!$H:$H,"&lt;="&amp;$U$32)+SUM(SUMIFS(DEALS!$J:$J,DEALS!$A:$A,{"*REFUND*","*EXECUTED*"},DEALS!$G:$G,$B$30,DEALS!$E:$E,"&gt;="&amp;$C$32,DEALS!$E:$E,"&lt;="&amp;$U$32,DEALS!$K:$K,O$34,DEALS!$M:$M,$K52,DEALS!$N:$N,"&lt;&gt;*RECEIVED*",DEALS!$N:$N,"&lt;&gt;*EXECUTED*"))+SUM(SUMIFS(DEALS!$R:$R,DEALS!$A:$A,{"*REFUND*","*EXECUTED*"},DEALS!$O:$O,$B$30,DEALS!$E:$E,"&gt;="&amp;$C$32,DEALS!$E:$E,"&lt;="&amp;$U$32,DEALS!$S:$S,O$34,DEALS!$U:$U,$K52,DEALS!$V:$V,"&lt;&gt;*RECEIVED*",DEALS!$V:$V,"&lt;&gt;*EXECUTED*"))</f>
        <v>0</v>
      </c>
      <c r="P52" s="32" cm="1">
        <f t="array" ref="P52">SUMIFS(FLOWS!$C:$C,FLOWS!$A:$A,$B$30,FLOWS!$E:$E,$K52,FLOWS!$D:$D,P$34,FLOWS!$H:$H,"&gt;="&amp;$C$32,FLOWS!$H:$H,"&lt;="&amp;$U$32)+SUM(SUMIFS(DEALS!$J:$J,DEALS!$A:$A,{"*REFUND*","*EXECUTED*"},DEALS!$G:$G,$B$30,DEALS!$E:$E,"&gt;="&amp;$C$32,DEALS!$E:$E,"&lt;="&amp;$U$32,DEALS!$K:$K,P$34,DEALS!$M:$M,$K52,DEALS!$N:$N,"&lt;&gt;*RECEIVED*",DEALS!$N:$N,"&lt;&gt;*EXECUTED*"))+SUM(SUMIFS(DEALS!$R:$R,DEALS!$A:$A,{"*REFUND*","*EXECUTED*"},DEALS!$O:$O,$B$30,DEALS!$E:$E,"&gt;="&amp;$C$32,DEALS!$E:$E,"&lt;="&amp;$U$32,DEALS!$S:$S,P$34,DEALS!$U:$U,$K52,DEALS!$V:$V,"&lt;&gt;*RECEIVED*",DEALS!$V:$V,"&lt;&gt;*EXECUTED*"))</f>
        <v>0</v>
      </c>
      <c r="Q52" s="32" cm="1">
        <f t="array" ref="Q52">SUMIFS(FLOWS!$C:$C,FLOWS!$A:$A,$B$30,FLOWS!$E:$E,$K52,FLOWS!$D:$D,Q$34,FLOWS!$H:$H,"&gt;="&amp;$C$32,FLOWS!$H:$H,"&lt;="&amp;$U$32)+SUM(SUMIFS(DEALS!$J:$J,DEALS!$A:$A,{"*REFUND*","*EXECUTED*"},DEALS!$G:$G,$B$30,DEALS!$E:$E,"&gt;="&amp;$C$32,DEALS!$E:$E,"&lt;="&amp;$U$32,DEALS!$K:$K,Q$34,DEALS!$M:$M,$K52,DEALS!$N:$N,"&lt;&gt;*RECEIVED*",DEALS!$N:$N,"&lt;&gt;*EXECUTED*"))+SUM(SUMIFS(DEALS!$R:$R,DEALS!$A:$A,{"*REFUND*","*EXECUTED*"},DEALS!$O:$O,$B$30,DEALS!$E:$E,"&gt;="&amp;$C$32,DEALS!$E:$E,"&lt;="&amp;$U$32,DEALS!$S:$S,Q$34,DEALS!$U:$U,$K52,DEALS!$V:$V,"&lt;&gt;*RECEIVED*",DEALS!$V:$V,"&lt;&gt;*EXECUTED*"))</f>
        <v>0</v>
      </c>
      <c r="R52" s="33">
        <f ca="1">L52*VLOOKUP(L$34,'FX RATES'!$E$1:$F$50,2,FALSE)+M52*VLOOKUP(M$34,'FX RATES'!$E$1:$F$50,2,FALSE)+N52*VLOOKUP(N$34,'FX RATES'!$E$1:$F$50,2,FALSE)+O52*VLOOKUP(O$34,'FX RATES'!$E$1:$F$50,2,FALSE)+P52*VLOOKUP(P$34,'FX RATES'!$E$1:$F$50,2,FALSE)+Q52*VLOOKUP(Q$34,'FX RATES'!$E$1:$F$50,2,FALSE)</f>
        <v>0</v>
      </c>
      <c r="T52" s="31">
        <f t="shared" si="17"/>
        <v>0</v>
      </c>
      <c r="U52" s="32" cm="1">
        <f t="array" ref="U52">SUMIFS(BALANCES!$C:$C,BALANCES!$A:$A,$B$30,BALANCES!$B:$B,$T52,BALANCES!$D:$D,U$34)+SUMIFS(FLOWS!$C:$C,FLOWS!$A:$A,$B$30,FLOWS!$E:$E,$T52,FLOWS!$D:$D,U$34,FLOWS!$H:$H,"&lt;="&amp;$U$32)+SUM(SUMIFS(DEALS!$J:$J,DEALS!$A:$A,{"*REFUND*","*EXECUTED*"},DEALS!$G:$G,$B$30,DEALS!$E:$E,"&lt;="&amp;$U$32,DEALS!$K:$K,U$34,DEALS!$M:$M,$T52,DEALS!$N:$N,"&lt;&gt;*RECEIVED*",DEALS!$N:$N,"&lt;&gt;*EXECUTED*"))+SUM(SUMIFS(DEALS!$R:$R,DEALS!$A:$A,{"*REFUND*","*EXECUTED*"},DEALS!$O:$O,$B$30,DEALS!$E:$E,"&lt;="&amp;$U$32,DEALS!$S:$S,U$34,DEALS!$U:$U,$T52,DEALS!$V:$V,"&lt;&gt;*RECEIVED*",DEALS!$V:$V,"&lt;&gt;*EXECUTED*"))</f>
        <v>0</v>
      </c>
      <c r="V52" s="32" cm="1">
        <f t="array" ref="V52">SUMIFS(BALANCES!$C:$C,BALANCES!$A:$A,$B$30,BALANCES!$B:$B,$T52,BALANCES!$D:$D,V$34)+SUMIFS(FLOWS!$C:$C,FLOWS!$A:$A,$B$30,FLOWS!$E:$E,$T52,FLOWS!$D:$D,V$34,FLOWS!$H:$H,"&lt;="&amp;$U$32)+SUM(SUMIFS(DEALS!$J:$J,DEALS!$A:$A,{"*REFUND*","*EXECUTED*"},DEALS!$G:$G,$B$30,DEALS!$E:$E,"&lt;="&amp;$U$32,DEALS!$K:$K,V$34,DEALS!$M:$M,$T52,DEALS!$N:$N,"&lt;&gt;*RECEIVED*",DEALS!$N:$N,"&lt;&gt;*EXECUTED*"))+SUM(SUMIFS(DEALS!$R:$R,DEALS!$A:$A,{"*REFUND*","*EXECUTED*"},DEALS!$O:$O,$B$30,DEALS!$E:$E,"&lt;="&amp;$U$32,DEALS!$S:$S,V$34,DEALS!$U:$U,$T52,DEALS!$V:$V,"&lt;&gt;*RECEIVED*",DEALS!$V:$V,"&lt;&gt;*EXECUTED*"))</f>
        <v>0</v>
      </c>
      <c r="W52" s="32" cm="1">
        <f t="array" ref="W52">SUMIFS(BALANCES!$C:$C,BALANCES!$A:$A,$B$30,BALANCES!$B:$B,$T52,BALANCES!$D:$D,W$34)+SUMIFS(FLOWS!$C:$C,FLOWS!$A:$A,$B$30,FLOWS!$E:$E,$T52,FLOWS!$D:$D,W$34,FLOWS!$H:$H,"&lt;="&amp;$U$32)+SUM(SUMIFS(DEALS!$J:$J,DEALS!$A:$A,{"*REFUND*","*EXECUTED*"},DEALS!$G:$G,$B$30,DEALS!$E:$E,"&lt;="&amp;$U$32,DEALS!$K:$K,W$34,DEALS!$M:$M,$T52,DEALS!$N:$N,"&lt;&gt;*RECEIVED*",DEALS!$N:$N,"&lt;&gt;*EXECUTED*"))+SUM(SUMIFS(DEALS!$R:$R,DEALS!$A:$A,{"*REFUND*","*EXECUTED*"},DEALS!$O:$O,$B$30,DEALS!$E:$E,"&lt;="&amp;$U$32,DEALS!$S:$S,W$34,DEALS!$U:$U,$T52,DEALS!$V:$V,"&lt;&gt;*RECEIVED*",DEALS!$V:$V,"&lt;&gt;*EXECUTED*"))</f>
        <v>0</v>
      </c>
      <c r="X52" s="32" cm="1">
        <f t="array" ref="X52">SUMIFS(BALANCES!$C:$C,BALANCES!$A:$A,$B$30,BALANCES!$B:$B,$T52,BALANCES!$D:$D,X$34)+SUMIFS(FLOWS!$C:$C,FLOWS!$A:$A,$B$30,FLOWS!$E:$E,$T52,FLOWS!$D:$D,X$34,FLOWS!$H:$H,"&lt;="&amp;$U$32)+SUM(SUMIFS(DEALS!$J:$J,DEALS!$A:$A,{"*REFUND*","*EXECUTED*"},DEALS!$G:$G,$B$30,DEALS!$E:$E,"&lt;="&amp;$U$32,DEALS!$K:$K,X$34,DEALS!$M:$M,$T52,DEALS!$N:$N,"&lt;&gt;*RECEIVED*",DEALS!$N:$N,"&lt;&gt;*EXECUTED*"))+SUM(SUMIFS(DEALS!$R:$R,DEALS!$A:$A,{"*REFUND*","*EXECUTED*"},DEALS!$O:$O,$B$30,DEALS!$E:$E,"&lt;="&amp;$U$32,DEALS!$S:$S,X$34,DEALS!$U:$U,$T52,DEALS!$V:$V,"&lt;&gt;*RECEIVED*",DEALS!$V:$V,"&lt;&gt;*EXECUTED*"))</f>
        <v>0</v>
      </c>
      <c r="Y52" s="32" cm="1">
        <f t="array" ref="Y52">SUMIFS(BALANCES!$C:$C,BALANCES!$A:$A,$B$30,BALANCES!$B:$B,$T52,BALANCES!$D:$D,Y$34)+SUMIFS(FLOWS!$C:$C,FLOWS!$A:$A,$B$30,FLOWS!$E:$E,$T52,FLOWS!$D:$D,Y$34,FLOWS!$H:$H,"&lt;="&amp;$U$32)+SUM(SUMIFS(DEALS!$J:$J,DEALS!$A:$A,{"*REFUND*","*EXECUTED*"},DEALS!$G:$G,$B$30,DEALS!$E:$E,"&lt;="&amp;$U$32,DEALS!$K:$K,Y$34,DEALS!$M:$M,$T52,DEALS!$N:$N,"&lt;&gt;*RECEIVED*",DEALS!$N:$N,"&lt;&gt;*EXECUTED*"))+SUM(SUMIFS(DEALS!$R:$R,DEALS!$A:$A,{"*REFUND*","*EXECUTED*"},DEALS!$O:$O,$B$30,DEALS!$E:$E,"&lt;="&amp;$U$32,DEALS!$S:$S,Y$34,DEALS!$U:$U,$T52,DEALS!$V:$V,"&lt;&gt;*RECEIVED*",DEALS!$V:$V,"&lt;&gt;*EXECUTED*"))</f>
        <v>0</v>
      </c>
      <c r="Z52" s="32" cm="1">
        <f t="array" ref="Z52">SUMIFS(BALANCES!$C:$C,BALANCES!$A:$A,$B$30,BALANCES!$B:$B,$T52,BALANCES!$D:$D,Z$34)+SUMIFS(FLOWS!$C:$C,FLOWS!$A:$A,$B$30,FLOWS!$E:$E,$T52,FLOWS!$D:$D,Z$34,FLOWS!$H:$H,"&lt;="&amp;$U$32)+SUM(SUMIFS(DEALS!$J:$J,DEALS!$A:$A,{"*REFUND*","*EXECUTED*"},DEALS!$G:$G,$B$30,DEALS!$E:$E,"&lt;="&amp;$U$32,DEALS!$K:$K,Z$34,DEALS!$M:$M,$T52,DEALS!$N:$N,"&lt;&gt;*RECEIVED*",DEALS!$N:$N,"&lt;&gt;*EXECUTED*"))+SUM(SUMIFS(DEALS!$R:$R,DEALS!$A:$A,{"*REFUND*","*EXECUTED*"},DEALS!$O:$O,$B$30,DEALS!$E:$E,"&lt;="&amp;$U$32,DEALS!$S:$S,Z$34,DEALS!$U:$U,$T52,DEALS!$V:$V,"&lt;&gt;*RECEIVED*",DEALS!$V:$V,"&lt;&gt;*EXECUTED*"))</f>
        <v>0</v>
      </c>
      <c r="AA52" s="33">
        <f ca="1">U52*VLOOKUP(U$34,'FX RATES'!$E$1:$F$50,2,FALSE)+V52*VLOOKUP(V$34,'FX RATES'!$E$1:$F$50,2,FALSE)+W52*VLOOKUP(W$34,'FX RATES'!$E$1:$F$50,2,FALSE)+X52*VLOOKUP(X$34,'FX RATES'!$E$1:$F$50,2,FALSE)+Y52*VLOOKUP(Y$34,'FX RATES'!$E$1:$F$50,2,FALSE)+Z52*VLOOKUP(Z$34,'FX RATES'!$E$1:$F$50,2,FALSE)</f>
        <v>0</v>
      </c>
      <c r="AC52" s="139">
        <f t="shared" ca="1" si="18"/>
        <v>0</v>
      </c>
    </row>
    <row r="53" spans="2:29" ht="22" thickBot="1">
      <c r="B53" s="13" t="s">
        <v>26</v>
      </c>
      <c r="C53" s="16">
        <f>SUM(C35:C52)</f>
        <v>3416779.3649999998</v>
      </c>
      <c r="D53" s="16">
        <f t="shared" ref="D53:I53" si="19">SUM(D35:D52)</f>
        <v>2967.5699999999997</v>
      </c>
      <c r="E53" s="16">
        <f t="shared" si="19"/>
        <v>9379.1</v>
      </c>
      <c r="F53" s="16">
        <f t="shared" si="19"/>
        <v>42528.26</v>
      </c>
      <c r="G53" s="16">
        <f t="shared" si="19"/>
        <v>0</v>
      </c>
      <c r="H53" s="16">
        <f t="shared" si="19"/>
        <v>3172.951</v>
      </c>
      <c r="I53" s="16">
        <f t="shared" ca="1" si="19"/>
        <v>3441456.3285239823</v>
      </c>
      <c r="K53" s="13" t="s">
        <v>26</v>
      </c>
      <c r="L53" s="16">
        <f t="shared" ref="L53:R53" si="20">SUM(L35:L52)</f>
        <v>0</v>
      </c>
      <c r="M53" s="16">
        <f t="shared" si="20"/>
        <v>0</v>
      </c>
      <c r="N53" s="16">
        <f t="shared" si="20"/>
        <v>0</v>
      </c>
      <c r="O53" s="16">
        <f t="shared" si="20"/>
        <v>0</v>
      </c>
      <c r="P53" s="16">
        <f t="shared" si="20"/>
        <v>0</v>
      </c>
      <c r="Q53" s="16">
        <f t="shared" si="20"/>
        <v>0</v>
      </c>
      <c r="R53" s="16">
        <f t="shared" ca="1" si="20"/>
        <v>0</v>
      </c>
      <c r="T53" s="13" t="s">
        <v>26</v>
      </c>
      <c r="U53" s="16">
        <f t="shared" ref="U53:AA53" si="21">SUM(U35:U52)</f>
        <v>3416779.3649999998</v>
      </c>
      <c r="V53" s="16">
        <f t="shared" si="21"/>
        <v>2967.5699999999997</v>
      </c>
      <c r="W53" s="16">
        <f t="shared" si="21"/>
        <v>9379.1</v>
      </c>
      <c r="X53" s="16">
        <f t="shared" si="21"/>
        <v>42528.26</v>
      </c>
      <c r="Y53" s="16">
        <f t="shared" si="21"/>
        <v>0</v>
      </c>
      <c r="Z53" s="16">
        <f t="shared" si="21"/>
        <v>3172.951</v>
      </c>
      <c r="AA53" s="16">
        <f t="shared" ca="1" si="21"/>
        <v>3441456.3285239823</v>
      </c>
      <c r="AC53" s="139">
        <f t="shared" ca="1" si="18"/>
        <v>0</v>
      </c>
    </row>
    <row r="54" spans="2:29" ht="22" thickBot="1">
      <c r="B54" s="10" t="s">
        <v>11</v>
      </c>
      <c r="C54" s="17">
        <f>VLOOKUP(C34,'FX RATES'!$E$1:$F$50,2,FALSE)*C53</f>
        <v>3416779.3649999998</v>
      </c>
      <c r="D54" s="17">
        <f ca="1">VLOOKUP(D34,'FX RATES'!$E$1:$F$50,2,FALSE)*D53</f>
        <v>3495.7974599999993</v>
      </c>
      <c r="E54" s="17">
        <f ca="1">VLOOKUP(E34,'FX RATES'!$E$1:$F$50,2,FALSE)*E53</f>
        <v>1357.7156919513609</v>
      </c>
      <c r="F54" s="17">
        <f ca="1">VLOOKUP(F34,'FX RATES'!$E$1:$F$50,2,FALSE)*F53</f>
        <v>11579.878015574797</v>
      </c>
      <c r="G54" s="17">
        <f ca="1">VLOOKUP(G34,'FX RATES'!$E$1:$F$50,2,FALSE)*G53</f>
        <v>0</v>
      </c>
      <c r="H54" s="17">
        <f ca="1">VLOOKUP(H34,'FX RATES'!$E$1:$F$50,2,FALSE)*H53</f>
        <v>8243.5723564562213</v>
      </c>
      <c r="I54" s="16">
        <f ca="1">SUM(C54:H54)</f>
        <v>3441456.3285239828</v>
      </c>
      <c r="K54" s="10" t="s">
        <v>11</v>
      </c>
      <c r="L54" s="17">
        <f>VLOOKUP(L34,'FX RATES'!$E$1:$F$50,2,FALSE)*L53</f>
        <v>0</v>
      </c>
      <c r="M54" s="17">
        <f ca="1">VLOOKUP(M34,'FX RATES'!$E$1:$F$50,2,FALSE)*M53</f>
        <v>0</v>
      </c>
      <c r="N54" s="17">
        <f ca="1">VLOOKUP(N34,'FX RATES'!$E$1:$F$50,2,FALSE)*N53</f>
        <v>0</v>
      </c>
      <c r="O54" s="17">
        <f ca="1">VLOOKUP(O34,'FX RATES'!$E$1:$F$50,2,FALSE)*O53</f>
        <v>0</v>
      </c>
      <c r="P54" s="17">
        <f ca="1">VLOOKUP(P34,'FX RATES'!$E$1:$F$50,2,FALSE)*P53</f>
        <v>0</v>
      </c>
      <c r="Q54" s="17">
        <f ca="1">VLOOKUP(Q34,'FX RATES'!$E$1:$F$50,2,FALSE)*Q53</f>
        <v>0</v>
      </c>
      <c r="R54" s="16">
        <f ca="1">SUM(L54:Q54)</f>
        <v>0</v>
      </c>
      <c r="T54" s="10" t="s">
        <v>11</v>
      </c>
      <c r="U54" s="17">
        <f>VLOOKUP(U34,'FX RATES'!$E$1:$F$50,2,FALSE)*U53</f>
        <v>3416779.3649999998</v>
      </c>
      <c r="V54" s="17">
        <f ca="1">VLOOKUP(V34,'FX RATES'!$E$1:$F$50,2,FALSE)*V53</f>
        <v>3495.7974599999993</v>
      </c>
      <c r="W54" s="17">
        <f ca="1">VLOOKUP(W34,'FX RATES'!$E$1:$F$50,2,FALSE)*W53</f>
        <v>1357.7156919513609</v>
      </c>
      <c r="X54" s="17">
        <f ca="1">VLOOKUP(X34,'FX RATES'!$E$1:$F$50,2,FALSE)*X53</f>
        <v>11579.878015574797</v>
      </c>
      <c r="Y54" s="17">
        <f ca="1">VLOOKUP(Y34,'FX RATES'!$E$1:$F$50,2,FALSE)*Y53</f>
        <v>0</v>
      </c>
      <c r="Z54" s="17">
        <f ca="1">VLOOKUP(Z34,'FX RATES'!$E$1:$F$50,2,FALSE)*Z53</f>
        <v>8243.5723564562213</v>
      </c>
      <c r="AA54" s="16">
        <f ca="1">SUM(U54:Z54)</f>
        <v>3441456.3285239828</v>
      </c>
      <c r="AC54" s="139">
        <f t="shared" ca="1" si="18"/>
        <v>0</v>
      </c>
    </row>
    <row r="55" spans="2:29" ht="21">
      <c r="B55" s="9"/>
      <c r="C55" s="140"/>
      <c r="D55" s="140"/>
      <c r="E55" s="140"/>
      <c r="F55" s="140"/>
      <c r="G55" s="140"/>
      <c r="H55" s="20"/>
      <c r="I55" s="20">
        <f ca="1">C37+C35+F54</f>
        <v>3426438.7230155747</v>
      </c>
      <c r="T55" s="8"/>
    </row>
    <row r="56" spans="2:29" ht="21">
      <c r="B56" s="9"/>
      <c r="C56" s="140"/>
      <c r="D56" s="140"/>
      <c r="E56" s="140"/>
      <c r="F56" s="140"/>
      <c r="G56" s="140"/>
      <c r="H56" s="20"/>
      <c r="I56" s="20"/>
      <c r="T56" s="8"/>
    </row>
    <row r="57" spans="2:29" ht="21">
      <c r="B57" s="9"/>
      <c r="C57" s="140"/>
      <c r="D57" s="140"/>
      <c r="E57" s="140"/>
      <c r="F57" s="140"/>
      <c r="G57" s="140"/>
      <c r="H57" s="20"/>
      <c r="I57" s="20"/>
      <c r="T57" s="8"/>
    </row>
    <row r="58" spans="2:29" ht="25" thickBot="1">
      <c r="B58" s="593" t="s">
        <v>31</v>
      </c>
      <c r="C58" s="593"/>
      <c r="D58" s="593"/>
      <c r="E58" s="593"/>
      <c r="F58" s="593"/>
      <c r="G58" s="593"/>
      <c r="H58" s="593"/>
      <c r="I58" s="593"/>
      <c r="J58" s="137"/>
      <c r="K58" s="593" t="str">
        <f>B58</f>
        <v>AWB</v>
      </c>
      <c r="L58" s="593"/>
      <c r="M58" s="593"/>
      <c r="N58" s="593"/>
      <c r="O58" s="593"/>
      <c r="P58" s="593"/>
      <c r="Q58" s="593"/>
      <c r="R58" s="593"/>
      <c r="S58" s="137"/>
      <c r="T58" s="593" t="str">
        <f>B58</f>
        <v>AWB</v>
      </c>
      <c r="U58" s="593"/>
      <c r="V58" s="593"/>
      <c r="W58" s="593"/>
      <c r="X58" s="593"/>
      <c r="Y58" s="593"/>
      <c r="Z58" s="593"/>
      <c r="AA58" s="593"/>
    </row>
    <row r="59" spans="2:29" ht="19"/>
    <row r="60" spans="2:29" ht="21">
      <c r="B60" s="9" t="s">
        <v>1</v>
      </c>
      <c r="C60" s="91">
        <f>BALANCES!B1</f>
        <v>46073</v>
      </c>
      <c r="K60" s="56" t="s">
        <v>2</v>
      </c>
      <c r="L60" s="110">
        <f>C60</f>
        <v>46073</v>
      </c>
      <c r="M60" s="144" t="s">
        <v>3</v>
      </c>
      <c r="N60" s="110">
        <f>U60</f>
        <v>46081</v>
      </c>
      <c r="O60" s="140"/>
      <c r="P60" s="140"/>
      <c r="Q60" s="140"/>
      <c r="R60" s="20"/>
      <c r="T60" s="9" t="s">
        <v>1</v>
      </c>
      <c r="U60" s="90">
        <f>U4</f>
        <v>46081</v>
      </c>
    </row>
    <row r="61" spans="2:29" ht="22" thickBot="1">
      <c r="B61" s="14"/>
      <c r="C61" s="15"/>
      <c r="D61" s="15"/>
      <c r="E61" s="15"/>
      <c r="F61" s="15"/>
      <c r="G61" s="15"/>
      <c r="H61" s="15"/>
      <c r="I61" s="15"/>
      <c r="K61" s="23"/>
      <c r="L61" s="24"/>
      <c r="M61" s="24"/>
      <c r="N61" s="24"/>
      <c r="O61" s="24"/>
      <c r="P61" s="24"/>
      <c r="Q61" s="24"/>
      <c r="R61" s="25"/>
      <c r="T61" s="14"/>
      <c r="U61" s="15"/>
      <c r="V61" s="15"/>
      <c r="W61" s="15"/>
      <c r="X61" s="15"/>
      <c r="Y61" s="15"/>
      <c r="Z61" s="15"/>
      <c r="AA61" s="15"/>
    </row>
    <row r="62" spans="2:29" ht="22" thickBot="1">
      <c r="B62" s="10" t="s">
        <v>4</v>
      </c>
      <c r="C62" s="11" t="s">
        <v>5</v>
      </c>
      <c r="D62" s="11" t="s">
        <v>6</v>
      </c>
      <c r="E62" s="11" t="s">
        <v>7</v>
      </c>
      <c r="F62" s="11" t="s">
        <v>8</v>
      </c>
      <c r="G62" s="11" t="s">
        <v>9</v>
      </c>
      <c r="H62" s="11" t="s">
        <v>10</v>
      </c>
      <c r="I62" s="12" t="s">
        <v>11</v>
      </c>
      <c r="K62" s="10" t="s">
        <v>4</v>
      </c>
      <c r="L62" s="11" t="str">
        <f t="shared" ref="L62:Q62" si="22">C62</f>
        <v>USD</v>
      </c>
      <c r="M62" s="11" t="str">
        <f t="shared" si="22"/>
        <v>EUR</v>
      </c>
      <c r="N62" s="11" t="str">
        <f t="shared" si="22"/>
        <v>CNY</v>
      </c>
      <c r="O62" s="11" t="str">
        <f t="shared" si="22"/>
        <v>AED</v>
      </c>
      <c r="P62" s="11" t="str">
        <f t="shared" si="22"/>
        <v>RUB</v>
      </c>
      <c r="Q62" s="11" t="str">
        <f t="shared" si="22"/>
        <v>OMR</v>
      </c>
      <c r="R62" s="12" t="s">
        <v>11</v>
      </c>
      <c r="T62" s="10" t="s">
        <v>4</v>
      </c>
      <c r="U62" s="11" t="str">
        <f t="shared" ref="U62:Z62" si="23">C62</f>
        <v>USD</v>
      </c>
      <c r="V62" s="11" t="str">
        <f t="shared" si="23"/>
        <v>EUR</v>
      </c>
      <c r="W62" s="11" t="str">
        <f t="shared" si="23"/>
        <v>CNY</v>
      </c>
      <c r="X62" s="11" t="str">
        <f t="shared" si="23"/>
        <v>AED</v>
      </c>
      <c r="Y62" s="11" t="str">
        <f t="shared" si="23"/>
        <v>RUB</v>
      </c>
      <c r="Z62" s="11" t="str">
        <f t="shared" si="23"/>
        <v>OMR</v>
      </c>
      <c r="AA62" s="12" t="s">
        <v>11</v>
      </c>
      <c r="AC62" s="40" t="s">
        <v>12</v>
      </c>
    </row>
    <row r="63" spans="2:29" ht="19">
      <c r="B63" s="28" t="s">
        <v>15</v>
      </c>
      <c r="C63" s="29" cm="1">
        <f t="array" ref="C63">SUMIFS(BALANCES!$C:$C,BALANCES!$A:$A,$B$58,BALANCES!$B:$B,$B63,BALANCES!$D:$D,C$62)+SUMIFS(FLOWS!$C:$C,FLOWS!$A:$A,$B$58,FLOWS!$E:$E,$B63,FLOWS!$D:$D,C$62,FLOWS!$H:$H,"&lt;"&amp;$C$60)+SUM(SUMIFS(DEALS!$J:$J,DEALS!$A:$A,{"*REFUND*","*EXECUTED*"},DEALS!$G:$G,$B$58,DEALS!$E:$E,"&lt;"&amp;$C$60,DEALS!$K:$K,C$62,DEALS!$M:$M,$B63,DEALS!$N:$N,"&lt;&gt;*RECEIVED*",DEALS!$N:$N,"&lt;&gt;*EXECUTED*"))+SUM(SUMIFS(DEALS!$R:$R,DEALS!$A:$A,{"*REFUND*","*EXECUTED*"},DEALS!$O:$O,$B$58,DEALS!$E:$E,"&lt;"&amp;$C$60,DEALS!$S:$S,C$62,DEALS!$U:$U,$B63,DEALS!$V:$V,"&lt;&gt;*RECEIVED*",DEALS!$V:$V,"&lt;&gt;*EXECUTED*"))</f>
        <v>1625.23</v>
      </c>
      <c r="D63" s="29" cm="1">
        <f t="array" ref="D63">SUMIFS(BALANCES!$C:$C,BALANCES!$A:$A,$B$58,BALANCES!$B:$B,$B63,BALANCES!$D:$D,D$62)+SUMIFS(FLOWS!$C:$C,FLOWS!$A:$A,$B$58,FLOWS!$E:$E,$B63,FLOWS!$D:$D,D$62,FLOWS!$H:$H,"&lt;"&amp;$C$60)+SUM(SUMIFS(DEALS!$J:$J,DEALS!$A:$A,{"*REFUND*","*EXECUTED*"},DEALS!$G:$G,$B$58,DEALS!$E:$E,"&lt;"&amp;$C$60,DEALS!$K:$K,D$62,DEALS!$M:$M,$B63,DEALS!$N:$N,"&lt;&gt;*RECEIVED*",DEALS!$N:$N,"&lt;&gt;*EXECUTED*"))+SUM(SUMIFS(DEALS!$R:$R,DEALS!$A:$A,{"*REFUND*","*EXECUTED*"},DEALS!$O:$O,$B$58,DEALS!$E:$E,"&lt;"&amp;$C$60,DEALS!$S:$S,D$62,DEALS!$U:$U,$B63,DEALS!$V:$V,"&lt;&gt;*RECEIVED*",DEALS!$V:$V,"&lt;&gt;*EXECUTED*"))</f>
        <v>0</v>
      </c>
      <c r="E63" s="29" cm="1">
        <f t="array" ref="E63">SUMIFS(BALANCES!$C:$C,BALANCES!$A:$A,$B$58,BALANCES!$B:$B,$B63,BALANCES!$D:$D,E$62)+SUMIFS(FLOWS!$C:$C,FLOWS!$A:$A,$B$58,FLOWS!$E:$E,$B63,FLOWS!$D:$D,E$62,FLOWS!$H:$H,"&lt;"&amp;$C$60)+SUM(SUMIFS(DEALS!$J:$J,DEALS!$A:$A,{"*REFUND*","*EXECUTED*"},DEALS!$G:$G,$B$58,DEALS!$E:$E,"&lt;"&amp;$C$60,DEALS!$K:$K,E$62,DEALS!$M:$M,$B63,DEALS!$N:$N,"&lt;&gt;*RECEIVED*",DEALS!$N:$N,"&lt;&gt;*EXECUTED*"))+SUM(SUMIFS(DEALS!$R:$R,DEALS!$A:$A,{"*REFUND*","*EXECUTED*"},DEALS!$O:$O,$B$58,DEALS!$E:$E,"&lt;"&amp;$C$60,DEALS!$S:$S,E$62,DEALS!$U:$U,$B63,DEALS!$V:$V,"&lt;&gt;*RECEIVED*",DEALS!$V:$V,"&lt;&gt;*EXECUTED*"))</f>
        <v>0</v>
      </c>
      <c r="F63" s="29" cm="1">
        <f t="array" ref="F63">SUMIFS(BALANCES!$C:$C,BALANCES!$A:$A,$B$58,BALANCES!$B:$B,$B63,BALANCES!$D:$D,F$62)+SUMIFS(FLOWS!$C:$C,FLOWS!$A:$A,$B$58,FLOWS!$E:$E,$B63,FLOWS!$D:$D,F$62,FLOWS!$H:$H,"&lt;"&amp;$C$60)+SUM(SUMIFS(DEALS!$J:$J,DEALS!$A:$A,{"*REFUND*","*EXECUTED*"},DEALS!$G:$G,$B$58,DEALS!$E:$E,"&lt;"&amp;$C$60,DEALS!$K:$K,F$62,DEALS!$M:$M,$B63,DEALS!$N:$N,"&lt;&gt;*RECEIVED*",DEALS!$N:$N,"&lt;&gt;*EXECUTED*"))+SUM(SUMIFS(DEALS!$R:$R,DEALS!$A:$A,{"*REFUND*","*EXECUTED*"},DEALS!$O:$O,$B$58,DEALS!$E:$E,"&lt;"&amp;$C$60,DEALS!$S:$S,F$62,DEALS!$U:$U,$B63,DEALS!$V:$V,"&lt;&gt;*RECEIVED*",DEALS!$V:$V,"&lt;&gt;*EXECUTED*"))</f>
        <v>931.43</v>
      </c>
      <c r="G63" s="29" cm="1">
        <f t="array" ref="G63">SUMIFS(BALANCES!$C:$C,BALANCES!$A:$A,$B$58,BALANCES!$B:$B,$B63,BALANCES!$D:$D,G$62)+SUMIFS(FLOWS!$C:$C,FLOWS!$A:$A,$B$58,FLOWS!$E:$E,$B63,FLOWS!$D:$D,G$62,FLOWS!$H:$H,"&lt;"&amp;$C$60)+SUM(SUMIFS(DEALS!$J:$J,DEALS!$A:$A,{"*REFUND*","*EXECUTED*"},DEALS!$G:$G,$B$58,DEALS!$E:$E,"&lt;"&amp;$C$60,DEALS!$K:$K,G$62,DEALS!$M:$M,$B63,DEALS!$N:$N,"&lt;&gt;*RECEIVED*",DEALS!$N:$N,"&lt;&gt;*EXECUTED*"))+SUM(SUMIFS(DEALS!$R:$R,DEALS!$A:$A,{"*REFUND*","*EXECUTED*"},DEALS!$O:$O,$B$58,DEALS!$E:$E,"&lt;"&amp;$C$60,DEALS!$S:$S,G$62,DEALS!$U:$U,$B63,DEALS!$V:$V,"&lt;&gt;*RECEIVED*",DEALS!$V:$V,"&lt;&gt;*EXECUTED*"))</f>
        <v>0</v>
      </c>
      <c r="H63" s="29" cm="1">
        <f t="array" ref="H63">SUMIFS(BALANCES!$C:$C,BALANCES!$A:$A,$B$58,BALANCES!$B:$B,$B63,BALANCES!$D:$D,H$62)+SUMIFS(FLOWS!$C:$C,FLOWS!$A:$A,$B$58,FLOWS!$E:$E,$B63,FLOWS!$D:$D,H$62,FLOWS!$H:$H,"&lt;"&amp;$C$60)+SUM(SUMIFS(DEALS!$J:$J,DEALS!$A:$A,{"*REFUND*","*EXECUTED*"},DEALS!$G:$G,$B$58,DEALS!$E:$E,"&lt;"&amp;$C$60,DEALS!$K:$K,H$62,DEALS!$M:$M,$B63,DEALS!$N:$N,"&lt;&gt;*RECEIVED*",DEALS!$N:$N,"&lt;&gt;*EXECUTED*"))+SUM(SUMIFS(DEALS!$R:$R,DEALS!$A:$A,{"*REFUND*","*EXECUTED*"},DEALS!$O:$O,$B$58,DEALS!$E:$E,"&lt;"&amp;$C$60,DEALS!$S:$S,H$62,DEALS!$U:$U,$B63,DEALS!$V:$V,"&lt;&gt;*RECEIVED*",DEALS!$V:$V,"&lt;&gt;*EXECUTED*"))</f>
        <v>0</v>
      </c>
      <c r="I63" s="30">
        <f ca="1">C63*VLOOKUP(C$62,'FX RATES'!$E$1:$F$50,2,FALSE)+D63*VLOOKUP(D$62,'FX RATES'!$E$1:$F$50,2,FALSE)+E63*VLOOKUP(E$62,'FX RATES'!$E$1:$F$50,2,FALSE)+F63*VLOOKUP(F$62,'FX RATES'!$E$1:$F$50,2,FALSE)+G63*VLOOKUP(G$62,'FX RATES'!$E$1:$F$50,2,FALSE)+H63*VLOOKUP(H$62,'FX RATES'!$E$1:$F$50,2,FALSE)</f>
        <v>1878.8459668899418</v>
      </c>
      <c r="K63" s="28" t="str">
        <f t="shared" ref="K63:K80" si="24">B63</f>
        <v>MISR</v>
      </c>
      <c r="L63" s="29" cm="1">
        <f t="array" ref="L63">SUMIFS(FLOWS!$C:$C,FLOWS!$A:$A,$B$58,FLOWS!$E:$E,$K63,FLOWS!$D:$D,L$62,FLOWS!$H:$H,"&gt;="&amp;$C$60,FLOWS!$H:$H,"&lt;="&amp;$U$60)+SUM(SUMIFS(DEALS!$J:$J,DEALS!$A:$A,{"*REFUND*","*EXECUTED*"},DEALS!$G:$G,$B$58,DEALS!$E:$E,"&gt;="&amp;$C$60,DEALS!$E:$E,"&lt;="&amp;$U$60,DEALS!$K:$K,L$62,DEALS!$M:$M,$K63,DEALS!$N:$N,"&lt;&gt;*RECEIVED*",DEALS!$N:$N,"&lt;&gt;*EXECUTED*"))+SUM(SUMIFS(DEALS!$R:$R,DEALS!$A:$A,{"*REFUND*","*EXECUTED*"},DEALS!$O:$O,$B$58,DEALS!$E:$E,"&gt;="&amp;$C$60,DEALS!$E:$E,"&lt;="&amp;$U$60,DEALS!$S:$S,L$62,DEALS!$U:$U,$K63,DEALS!$V:$V,"&lt;&gt;*RECEIVED*",DEALS!$V:$V,"&lt;&gt;*EXECUTED*"))</f>
        <v>0</v>
      </c>
      <c r="M63" s="29" cm="1">
        <f t="array" ref="M63">SUMIFS(FLOWS!$C:$C,FLOWS!$A:$A,$B$58,FLOWS!$E:$E,$K63,FLOWS!$D:$D,M$62,FLOWS!$H:$H,"&gt;="&amp;$C$60,FLOWS!$H:$H,"&lt;="&amp;$U$60)+SUM(SUMIFS(DEALS!$J:$J,DEALS!$A:$A,{"*REFUND*","*EXECUTED*"},DEALS!$G:$G,$B$58,DEALS!$E:$E,"&gt;="&amp;$C$60,DEALS!$E:$E,"&lt;="&amp;$U$60,DEALS!$K:$K,M$62,DEALS!$M:$M,$K63,DEALS!$N:$N,"&lt;&gt;*RECEIVED*",DEALS!$N:$N,"&lt;&gt;*EXECUTED*"))+SUM(SUMIFS(DEALS!$R:$R,DEALS!$A:$A,{"*REFUND*","*EXECUTED*"},DEALS!$O:$O,$B$58,DEALS!$E:$E,"&gt;="&amp;$C$60,DEALS!$E:$E,"&lt;="&amp;$U$60,DEALS!$S:$S,M$62,DEALS!$U:$U,$K63,DEALS!$V:$V,"&lt;&gt;*RECEIVED*",DEALS!$V:$V,"&lt;&gt;*EXECUTED*"))</f>
        <v>0</v>
      </c>
      <c r="N63" s="29" cm="1">
        <f t="array" ref="N63">SUMIFS(FLOWS!$C:$C,FLOWS!$A:$A,$B$58,FLOWS!$E:$E,$K63,FLOWS!$D:$D,N$62,FLOWS!$H:$H,"&gt;="&amp;$C$60,FLOWS!$H:$H,"&lt;="&amp;$U$60)+SUM(SUMIFS(DEALS!$J:$J,DEALS!$A:$A,{"*REFUND*","*EXECUTED*"},DEALS!$G:$G,$B$58,DEALS!$E:$E,"&gt;="&amp;$C$60,DEALS!$E:$E,"&lt;="&amp;$U$60,DEALS!$K:$K,N$62,DEALS!$M:$M,$K63,DEALS!$N:$N,"&lt;&gt;*RECEIVED*",DEALS!$N:$N,"&lt;&gt;*EXECUTED*"))+SUM(SUMIFS(DEALS!$R:$R,DEALS!$A:$A,{"*REFUND*","*EXECUTED*"},DEALS!$O:$O,$B$58,DEALS!$E:$E,"&gt;="&amp;$C$60,DEALS!$E:$E,"&lt;="&amp;$U$60,DEALS!$S:$S,N$62,DEALS!$U:$U,$K63,DEALS!$V:$V,"&lt;&gt;*RECEIVED*",DEALS!$V:$V,"&lt;&gt;*EXECUTED*"))</f>
        <v>0</v>
      </c>
      <c r="O63" s="29" cm="1">
        <f t="array" ref="O63">SUMIFS(FLOWS!$C:$C,FLOWS!$A:$A,$B$58,FLOWS!$E:$E,$K63,FLOWS!$D:$D,O$62,FLOWS!$H:$H,"&gt;="&amp;$C$60,FLOWS!$H:$H,"&lt;="&amp;$U$60)+SUM(SUMIFS(DEALS!$J:$J,DEALS!$A:$A,{"*REFUND*","*EXECUTED*"},DEALS!$G:$G,$B$58,DEALS!$E:$E,"&gt;="&amp;$C$60,DEALS!$E:$E,"&lt;="&amp;$U$60,DEALS!$K:$K,O$62,DEALS!$M:$M,$K63,DEALS!$N:$N,"&lt;&gt;*RECEIVED*",DEALS!$N:$N,"&lt;&gt;*EXECUTED*"))+SUM(SUMIFS(DEALS!$R:$R,DEALS!$A:$A,{"*REFUND*","*EXECUTED*"},DEALS!$O:$O,$B$58,DEALS!$E:$E,"&gt;="&amp;$C$60,DEALS!$E:$E,"&lt;="&amp;$U$60,DEALS!$S:$S,O$62,DEALS!$U:$U,$K63,DEALS!$V:$V,"&lt;&gt;*RECEIVED*",DEALS!$V:$V,"&lt;&gt;*EXECUTED*"))</f>
        <v>0</v>
      </c>
      <c r="P63" s="29" cm="1">
        <f t="array" ref="P63">SUMIFS(FLOWS!$C:$C,FLOWS!$A:$A,$B$58,FLOWS!$E:$E,$K63,FLOWS!$D:$D,P$62,FLOWS!$H:$H,"&gt;="&amp;$C$60,FLOWS!$H:$H,"&lt;="&amp;$U$60)+SUM(SUMIFS(DEALS!$J:$J,DEALS!$A:$A,{"*REFUND*","*EXECUTED*"},DEALS!$G:$G,$B$58,DEALS!$E:$E,"&gt;="&amp;$C$60,DEALS!$E:$E,"&lt;="&amp;$U$60,DEALS!$K:$K,P$62,DEALS!$M:$M,$K63,DEALS!$N:$N,"&lt;&gt;*RECEIVED*",DEALS!$N:$N,"&lt;&gt;*EXECUTED*"))+SUM(SUMIFS(DEALS!$R:$R,DEALS!$A:$A,{"*REFUND*","*EXECUTED*"},DEALS!$O:$O,$B$58,DEALS!$E:$E,"&gt;="&amp;$C$60,DEALS!$E:$E,"&lt;="&amp;$U$60,DEALS!$S:$S,P$62,DEALS!$U:$U,$K63,DEALS!$V:$V,"&lt;&gt;*RECEIVED*",DEALS!$V:$V,"&lt;&gt;*EXECUTED*"))</f>
        <v>0</v>
      </c>
      <c r="Q63" s="29" cm="1">
        <f t="array" ref="Q63">SUMIFS(FLOWS!$C:$C,FLOWS!$A:$A,$B$58,FLOWS!$E:$E,$K63,FLOWS!$D:$D,Q$62,FLOWS!$H:$H,"&gt;="&amp;$C$60,FLOWS!$H:$H,"&lt;="&amp;$U$60)+SUM(SUMIFS(DEALS!$J:$J,DEALS!$A:$A,{"*REFUND*","*EXECUTED*"},DEALS!$G:$G,$B$58,DEALS!$E:$E,"&gt;="&amp;$C$60,DEALS!$E:$E,"&lt;="&amp;$U$60,DEALS!$K:$K,Q$62,DEALS!$M:$M,$K63,DEALS!$N:$N,"&lt;&gt;*RECEIVED*",DEALS!$N:$N,"&lt;&gt;*EXECUTED*"))+SUM(SUMIFS(DEALS!$R:$R,DEALS!$A:$A,{"*REFUND*","*EXECUTED*"},DEALS!$O:$O,$B$58,DEALS!$E:$E,"&gt;="&amp;$C$60,DEALS!$E:$E,"&lt;="&amp;$U$60,DEALS!$S:$S,Q$62,DEALS!$U:$U,$K63,DEALS!$V:$V,"&lt;&gt;*RECEIVED*",DEALS!$V:$V,"&lt;&gt;*EXECUTED*"))</f>
        <v>0</v>
      </c>
      <c r="R63" s="30">
        <f ca="1">L63*VLOOKUP(L$62,'FX RATES'!$E$1:$F$50,2,FALSE)+M63*VLOOKUP(M$62,'FX RATES'!$E$1:$F$50,2,FALSE)+N63*VLOOKUP(N$62,'FX RATES'!$E$1:$F$50,2,FALSE)+O63*VLOOKUP(O$62,'FX RATES'!$E$1:$F$50,2,FALSE)+P63*VLOOKUP(P$62,'FX RATES'!$E$1:$F$50,2,FALSE)+Q63*VLOOKUP(Q$62,'FX RATES'!$E$1:$F$50,2,FALSE)</f>
        <v>0</v>
      </c>
      <c r="T63" s="28" t="str">
        <f t="shared" ref="T63:T80" si="25">B63</f>
        <v>MISR</v>
      </c>
      <c r="U63" s="29" cm="1">
        <f t="array" ref="U63">SUMIFS(BALANCES!$C:$C,BALANCES!$A:$A,$B$58,BALANCES!$B:$B,$T63,BALANCES!$D:$D,U$62)+SUMIFS(FLOWS!$C:$C,FLOWS!$A:$A,$B$58,FLOWS!$E:$E,$T63,FLOWS!$D:$D,U$62,FLOWS!$H:$H,"&lt;="&amp;$U$60)+SUM(SUMIFS(DEALS!$J:$J,DEALS!$A:$A,{"*REFUND*","*EXECUTED*"},DEALS!$G:$G,$B$58,DEALS!$E:$E,"&lt;="&amp;$U$60,DEALS!$K:$K,U$62,DEALS!$M:$M,$T63,DEALS!$N:$N,"&lt;&gt;*RECEIVED*",DEALS!$N:$N,"&lt;&gt;*EXECUTED*"))+SUM(SUMIFS(DEALS!$R:$R,DEALS!$A:$A,{"*REFUND*","*EXECUTED*"},DEALS!$O:$O,$B$58,DEALS!$E:$E,"&lt;="&amp;$U$60,DEALS!$S:$S,U$62,DEALS!$U:$U,$T63,DEALS!$V:$V,"&lt;&gt;*RECEIVED*",DEALS!$V:$V,"&lt;&gt;*EXECUTED*"))</f>
        <v>1625.23</v>
      </c>
      <c r="V63" s="29" cm="1">
        <f t="array" ref="V63">SUMIFS(BALANCES!$C:$C,BALANCES!$A:$A,$B$58,BALANCES!$B:$B,$T63,BALANCES!$D:$D,V$62)+SUMIFS(FLOWS!$C:$C,FLOWS!$A:$A,$B$58,FLOWS!$E:$E,$T63,FLOWS!$D:$D,V$62,FLOWS!$H:$H,"&lt;="&amp;$U$60)+SUM(SUMIFS(DEALS!$J:$J,DEALS!$A:$A,{"*REFUND*","*EXECUTED*"},DEALS!$G:$G,$B$58,DEALS!$E:$E,"&lt;="&amp;$U$60,DEALS!$K:$K,V$62,DEALS!$M:$M,$T63,DEALS!$N:$N,"&lt;&gt;*RECEIVED*",DEALS!$N:$N,"&lt;&gt;*EXECUTED*"))+SUM(SUMIFS(DEALS!$R:$R,DEALS!$A:$A,{"*REFUND*","*EXECUTED*"},DEALS!$O:$O,$B$58,DEALS!$E:$E,"&lt;="&amp;$U$60,DEALS!$S:$S,V$62,DEALS!$U:$U,$T63,DEALS!$V:$V,"&lt;&gt;*RECEIVED*",DEALS!$V:$V,"&lt;&gt;*EXECUTED*"))</f>
        <v>0</v>
      </c>
      <c r="W63" s="29" cm="1">
        <f t="array" ref="W63">SUMIFS(BALANCES!$C:$C,BALANCES!$A:$A,$B$58,BALANCES!$B:$B,$T63,BALANCES!$D:$D,W$62)+SUMIFS(FLOWS!$C:$C,FLOWS!$A:$A,$B$58,FLOWS!$E:$E,$T63,FLOWS!$D:$D,W$62,FLOWS!$H:$H,"&lt;="&amp;$U$60)+SUM(SUMIFS(DEALS!$J:$J,DEALS!$A:$A,{"*REFUND*","*EXECUTED*"},DEALS!$G:$G,$B$58,DEALS!$E:$E,"&lt;="&amp;$U$60,DEALS!$K:$K,W$62,DEALS!$M:$M,$T63,DEALS!$N:$N,"&lt;&gt;*RECEIVED*",DEALS!$N:$N,"&lt;&gt;*EXECUTED*"))+SUM(SUMIFS(DEALS!$R:$R,DEALS!$A:$A,{"*REFUND*","*EXECUTED*"},DEALS!$O:$O,$B$58,DEALS!$E:$E,"&lt;="&amp;$U$60,DEALS!$S:$S,W$62,DEALS!$U:$U,$T63,DEALS!$V:$V,"&lt;&gt;*RECEIVED*",DEALS!$V:$V,"&lt;&gt;*EXECUTED*"))</f>
        <v>0</v>
      </c>
      <c r="X63" s="29" cm="1">
        <f t="array" ref="X63">SUMIFS(BALANCES!$C:$C,BALANCES!$A:$A,$B$58,BALANCES!$B:$B,$T63,BALANCES!$D:$D,X$62)+SUMIFS(FLOWS!$C:$C,FLOWS!$A:$A,$B$58,FLOWS!$E:$E,$T63,FLOWS!$D:$D,X$62,FLOWS!$H:$H,"&lt;="&amp;$U$60)+SUM(SUMIFS(DEALS!$J:$J,DEALS!$A:$A,{"*REFUND*","*EXECUTED*"},DEALS!$G:$G,$B$58,DEALS!$E:$E,"&lt;="&amp;$U$60,DEALS!$K:$K,X$62,DEALS!$M:$M,$T63,DEALS!$N:$N,"&lt;&gt;*RECEIVED*",DEALS!$N:$N,"&lt;&gt;*EXECUTED*"))+SUM(SUMIFS(DEALS!$R:$R,DEALS!$A:$A,{"*REFUND*","*EXECUTED*"},DEALS!$O:$O,$B$58,DEALS!$E:$E,"&lt;="&amp;$U$60,DEALS!$S:$S,X$62,DEALS!$U:$U,$T63,DEALS!$V:$V,"&lt;&gt;*RECEIVED*",DEALS!$V:$V,"&lt;&gt;*EXECUTED*"))</f>
        <v>931.43</v>
      </c>
      <c r="Y63" s="29" cm="1">
        <f t="array" ref="Y63">SUMIFS(BALANCES!$C:$C,BALANCES!$A:$A,$B$58,BALANCES!$B:$B,$T63,BALANCES!$D:$D,Y$62)+SUMIFS(FLOWS!$C:$C,FLOWS!$A:$A,$B$58,FLOWS!$E:$E,$T63,FLOWS!$D:$D,Y$62,FLOWS!$H:$H,"&lt;="&amp;$U$60)+SUM(SUMIFS(DEALS!$J:$J,DEALS!$A:$A,{"*REFUND*","*EXECUTED*"},DEALS!$G:$G,$B$58,DEALS!$E:$E,"&lt;="&amp;$U$60,DEALS!$K:$K,Y$62,DEALS!$M:$M,$T63,DEALS!$N:$N,"&lt;&gt;*RECEIVED*",DEALS!$N:$N,"&lt;&gt;*EXECUTED*"))+SUM(SUMIFS(DEALS!$R:$R,DEALS!$A:$A,{"*REFUND*","*EXECUTED*"},DEALS!$O:$O,$B$58,DEALS!$E:$E,"&lt;="&amp;$U$60,DEALS!$S:$S,Y$62,DEALS!$U:$U,$T63,DEALS!$V:$V,"&lt;&gt;*RECEIVED*",DEALS!$V:$V,"&lt;&gt;*EXECUTED*"))</f>
        <v>0</v>
      </c>
      <c r="Z63" s="29" cm="1">
        <f t="array" ref="Z63">SUMIFS(BALANCES!$C:$C,BALANCES!$A:$A,$B$58,BALANCES!$B:$B,$T63,BALANCES!$D:$D,Z$62)+SUMIFS(FLOWS!$C:$C,FLOWS!$A:$A,$B$58,FLOWS!$E:$E,$T63,FLOWS!$D:$D,Z$62,FLOWS!$H:$H,"&lt;="&amp;$U$60)+SUM(SUMIFS(DEALS!$J:$J,DEALS!$A:$A,{"*REFUND*","*EXECUTED*"},DEALS!$G:$G,$B$58,DEALS!$E:$E,"&lt;="&amp;$U$60,DEALS!$K:$K,Z$62,DEALS!$M:$M,$T63,DEALS!$N:$N,"&lt;&gt;*RECEIVED*",DEALS!$N:$N,"&lt;&gt;*EXECUTED*"))+SUM(SUMIFS(DEALS!$R:$R,DEALS!$A:$A,{"*REFUND*","*EXECUTED*"},DEALS!$O:$O,$B$58,DEALS!$E:$E,"&lt;="&amp;$U$60,DEALS!$S:$S,Z$62,DEALS!$U:$U,$T63,DEALS!$V:$V,"&lt;&gt;*RECEIVED*",DEALS!$V:$V,"&lt;&gt;*EXECUTED*"))</f>
        <v>0</v>
      </c>
      <c r="AA63" s="30">
        <f ca="1">U63*VLOOKUP(U$62,'FX RATES'!$E$1:$F$50,2,FALSE)+V63*VLOOKUP(V$62,'FX RATES'!$E$1:$F$50,2,FALSE)+W63*VLOOKUP(W$62,'FX RATES'!$E$1:$F$50,2,FALSE)+X63*VLOOKUP(X$62,'FX RATES'!$E$1:$F$50,2,FALSE)+Y63*VLOOKUP(Y$62,'FX RATES'!$E$1:$F$50,2,FALSE)+Z63*VLOOKUP(Z$62,'FX RATES'!$E$1:$F$50,2,FALSE)</f>
        <v>1878.8459668899418</v>
      </c>
      <c r="AC63" s="139">
        <f t="shared" ref="AC63:AC82" ca="1" si="26">I63+R63-AA63</f>
        <v>0</v>
      </c>
    </row>
    <row r="64" spans="2:29" ht="20" thickBot="1">
      <c r="B64" s="31" t="s">
        <v>14</v>
      </c>
      <c r="C64" s="32" cm="1">
        <f t="array" ref="C64">SUMIFS(BALANCES!$C:$C,BALANCES!$A:$A,$B$58,BALANCES!$B:$B,$B64,BALANCES!$D:$D,C$62)+SUMIFS(FLOWS!$C:$C,FLOWS!$A:$A,$B$58,FLOWS!$E:$E,$B64,FLOWS!$D:$D,C$62,FLOWS!$H:$H,"&lt;"&amp;$C$60)+SUM(SUMIFS(DEALS!$J:$J,DEALS!$A:$A,{"*REFUND*","*EXECUTED*"},DEALS!$G:$G,$B$58,DEALS!$E:$E,"&lt;"&amp;$C$60,DEALS!$K:$K,C$62,DEALS!$M:$M,$B64,DEALS!$N:$N,"&lt;&gt;*RECEIVED*",DEALS!$N:$N,"&lt;&gt;*EXECUTED*"))+SUM(SUMIFS(DEALS!$R:$R,DEALS!$A:$A,{"*REFUND*","*EXECUTED*"},DEALS!$O:$O,$B$58,DEALS!$E:$E,"&lt;"&amp;$C$60,DEALS!$S:$S,C$62,DEALS!$U:$U,$B64,DEALS!$V:$V,"&lt;&gt;*RECEIVED*",DEALS!$V:$V,"&lt;&gt;*EXECUTED*"))</f>
        <v>72339.83</v>
      </c>
      <c r="D64" s="32" cm="1">
        <f t="array" ref="D64">SUMIFS(BALANCES!$C:$C,BALANCES!$A:$A,$B$58,BALANCES!$B:$B,$B64,BALANCES!$D:$D,D$62)+SUMIFS(FLOWS!$C:$C,FLOWS!$A:$A,$B$58,FLOWS!$E:$E,$B64,FLOWS!$D:$D,D$62,FLOWS!$H:$H,"&lt;"&amp;$C$60)+SUM(SUMIFS(DEALS!$J:$J,DEALS!$A:$A,{"*REFUND*","*EXECUTED*"},DEALS!$G:$G,$B$58,DEALS!$E:$E,"&lt;"&amp;$C$60,DEALS!$K:$K,D$62,DEALS!$M:$M,$B64,DEALS!$N:$N,"&lt;&gt;*RECEIVED*",DEALS!$N:$N,"&lt;&gt;*EXECUTED*"))+SUM(SUMIFS(DEALS!$R:$R,DEALS!$A:$A,{"*REFUND*","*EXECUTED*"},DEALS!$O:$O,$B$58,DEALS!$E:$E,"&lt;"&amp;$C$60,DEALS!$S:$S,D$62,DEALS!$U:$U,$B64,DEALS!$V:$V,"&lt;&gt;*RECEIVED*",DEALS!$V:$V,"&lt;&gt;*EXECUTED*"))</f>
        <v>956.16</v>
      </c>
      <c r="E64" s="32" cm="1">
        <f t="array" ref="E64">SUMIFS(BALANCES!$C:$C,BALANCES!$A:$A,$B$58,BALANCES!$B:$B,$B64,BALANCES!$D:$D,E$62)+SUMIFS(FLOWS!$C:$C,FLOWS!$A:$A,$B$58,FLOWS!$E:$E,$B64,FLOWS!$D:$D,E$62,FLOWS!$H:$H,"&lt;"&amp;$C$60)+SUM(SUMIFS(DEALS!$J:$J,DEALS!$A:$A,{"*REFUND*","*EXECUTED*"},DEALS!$G:$G,$B$58,DEALS!$E:$E,"&lt;"&amp;$C$60,DEALS!$K:$K,E$62,DEALS!$M:$M,$B64,DEALS!$N:$N,"&lt;&gt;*RECEIVED*",DEALS!$N:$N,"&lt;&gt;*EXECUTED*"))+SUM(SUMIFS(DEALS!$R:$R,DEALS!$A:$A,{"*REFUND*","*EXECUTED*"},DEALS!$O:$O,$B$58,DEALS!$E:$E,"&lt;"&amp;$C$60,DEALS!$S:$S,E$62,DEALS!$U:$U,$B64,DEALS!$V:$V,"&lt;&gt;*RECEIVED*",DEALS!$V:$V,"&lt;&gt;*EXECUTED*"))</f>
        <v>0</v>
      </c>
      <c r="F64" s="32" cm="1">
        <f t="array" ref="F64">SUMIFS(BALANCES!$C:$C,BALANCES!$A:$A,$B$58,BALANCES!$B:$B,$B64,BALANCES!$D:$D,F$62)+SUMIFS(FLOWS!$C:$C,FLOWS!$A:$A,$B$58,FLOWS!$E:$E,$B64,FLOWS!$D:$D,F$62,FLOWS!$H:$H,"&lt;"&amp;$C$60)+SUM(SUMIFS(DEALS!$J:$J,DEALS!$A:$A,{"*REFUND*","*EXECUTED*"},DEALS!$G:$G,$B$58,DEALS!$E:$E,"&lt;"&amp;$C$60,DEALS!$K:$K,F$62,DEALS!$M:$M,$B64,DEALS!$N:$N,"&lt;&gt;*RECEIVED*",DEALS!$N:$N,"&lt;&gt;*EXECUTED*"))+SUM(SUMIFS(DEALS!$R:$R,DEALS!$A:$A,{"*REFUND*","*EXECUTED*"},DEALS!$O:$O,$B$58,DEALS!$E:$E,"&lt;"&amp;$C$60,DEALS!$S:$S,F$62,DEALS!$U:$U,$B64,DEALS!$V:$V,"&lt;&gt;*RECEIVED*",DEALS!$V:$V,"&lt;&gt;*EXECUTED*"))</f>
        <v>2793111.29</v>
      </c>
      <c r="G64" s="32" cm="1">
        <f t="array" ref="G64">SUMIFS(BALANCES!$C:$C,BALANCES!$A:$A,$B$58,BALANCES!$B:$B,$B64,BALANCES!$D:$D,G$62)+SUMIFS(FLOWS!$C:$C,FLOWS!$A:$A,$B$58,FLOWS!$E:$E,$B64,FLOWS!$D:$D,G$62,FLOWS!$H:$H,"&lt;"&amp;$C$60)+SUM(SUMIFS(DEALS!$J:$J,DEALS!$A:$A,{"*REFUND*","*EXECUTED*"},DEALS!$G:$G,$B$58,DEALS!$E:$E,"&lt;"&amp;$C$60,DEALS!$K:$K,G$62,DEALS!$M:$M,$B64,DEALS!$N:$N,"&lt;&gt;*RECEIVED*",DEALS!$N:$N,"&lt;&gt;*EXECUTED*"))+SUM(SUMIFS(DEALS!$R:$R,DEALS!$A:$A,{"*REFUND*","*EXECUTED*"},DEALS!$O:$O,$B$58,DEALS!$E:$E,"&lt;"&amp;$C$60,DEALS!$S:$S,G$62,DEALS!$U:$U,$B64,DEALS!$V:$V,"&lt;&gt;*RECEIVED*",DEALS!$V:$V,"&lt;&gt;*EXECUTED*"))</f>
        <v>0</v>
      </c>
      <c r="H64" s="32" cm="1">
        <f t="array" ref="H64">SUMIFS(BALANCES!$C:$C,BALANCES!$A:$A,$B$58,BALANCES!$B:$B,$B64,BALANCES!$D:$D,H$62)+SUMIFS(FLOWS!$C:$C,FLOWS!$A:$A,$B$58,FLOWS!$E:$E,$B64,FLOWS!$D:$D,H$62,FLOWS!$H:$H,"&lt;"&amp;$C$60)+SUM(SUMIFS(DEALS!$J:$J,DEALS!$A:$A,{"*REFUND*","*EXECUTED*"},DEALS!$G:$G,$B$58,DEALS!$E:$E,"&lt;"&amp;$C$60,DEALS!$K:$K,H$62,DEALS!$M:$M,$B64,DEALS!$N:$N,"&lt;&gt;*RECEIVED*",DEALS!$N:$N,"&lt;&gt;*EXECUTED*"))+SUM(SUMIFS(DEALS!$R:$R,DEALS!$A:$A,{"*REFUND*","*EXECUTED*"},DEALS!$O:$O,$B$58,DEALS!$E:$E,"&lt;"&amp;$C$60,DEALS!$S:$S,H$62,DEALS!$U:$U,$B64,DEALS!$V:$V,"&lt;&gt;*RECEIVED*",DEALS!$V:$V,"&lt;&gt;*EXECUTED*"))</f>
        <v>0</v>
      </c>
      <c r="I64" s="33">
        <f ca="1">C64*VLOOKUP(C$62,'FX RATES'!$E$1:$F$50,2,FALSE)+D64*VLOOKUP(D$62,'FX RATES'!$E$1:$F$50,2,FALSE)+E64*VLOOKUP(E$62,'FX RATES'!$E$1:$F$50,2,FALSE)+F64*VLOOKUP(F$62,'FX RATES'!$E$1:$F$50,2,FALSE)+G64*VLOOKUP(G$62,'FX RATES'!$E$1:$F$50,2,FALSE)+H64*VLOOKUP(H$62,'FX RATES'!$E$1:$F$50,2,FALSE)</f>
        <v>833993.1401368099</v>
      </c>
      <c r="K64" s="31" t="str">
        <f t="shared" si="24"/>
        <v>CBD</v>
      </c>
      <c r="L64" s="32" cm="1">
        <f t="array" ref="L64">SUMIFS(FLOWS!$C:$C,FLOWS!$A:$A,$B$58,FLOWS!$E:$E,$K64,FLOWS!$D:$D,L$62,FLOWS!$H:$H,"&gt;="&amp;$C$60,FLOWS!$H:$H,"&lt;="&amp;$U$60)+SUM(SUMIFS(DEALS!$J:$J,DEALS!$A:$A,{"*REFUND*","*EXECUTED*"},DEALS!$G:$G,$B$58,DEALS!$E:$E,"&gt;="&amp;$C$60,DEALS!$E:$E,"&lt;="&amp;$U$60,DEALS!$K:$K,L$62,DEALS!$M:$M,$K64,DEALS!$N:$N,"&lt;&gt;*RECEIVED*",DEALS!$N:$N,"&lt;&gt;*EXECUTED*"))+SUM(SUMIFS(DEALS!$R:$R,DEALS!$A:$A,{"*REFUND*","*EXECUTED*"},DEALS!$O:$O,$B$58,DEALS!$E:$E,"&gt;="&amp;$C$60,DEALS!$E:$E,"&lt;="&amp;$U$60,DEALS!$S:$S,L$62,DEALS!$U:$U,$K64,DEALS!$V:$V,"&lt;&gt;*RECEIVED*",DEALS!$V:$V,"&lt;&gt;*EXECUTED*"))</f>
        <v>0</v>
      </c>
      <c r="M64" s="32" cm="1">
        <f t="array" ref="M64">SUMIFS(FLOWS!$C:$C,FLOWS!$A:$A,$B$58,FLOWS!$E:$E,$K64,FLOWS!$D:$D,M$62,FLOWS!$H:$H,"&gt;="&amp;$C$60,FLOWS!$H:$H,"&lt;="&amp;$U$60)+SUM(SUMIFS(DEALS!$J:$J,DEALS!$A:$A,{"*REFUND*","*EXECUTED*"},DEALS!$G:$G,$B$58,DEALS!$E:$E,"&gt;="&amp;$C$60,DEALS!$E:$E,"&lt;="&amp;$U$60,DEALS!$K:$K,M$62,DEALS!$M:$M,$K64,DEALS!$N:$N,"&lt;&gt;*RECEIVED*",DEALS!$N:$N,"&lt;&gt;*EXECUTED*"))+SUM(SUMIFS(DEALS!$R:$R,DEALS!$A:$A,{"*REFUND*","*EXECUTED*"},DEALS!$O:$O,$B$58,DEALS!$E:$E,"&gt;="&amp;$C$60,DEALS!$E:$E,"&lt;="&amp;$U$60,DEALS!$S:$S,M$62,DEALS!$U:$U,$K64,DEALS!$V:$V,"&lt;&gt;*RECEIVED*",DEALS!$V:$V,"&lt;&gt;*EXECUTED*"))</f>
        <v>0</v>
      </c>
      <c r="N64" s="32" cm="1">
        <f t="array" ref="N64">SUMIFS(FLOWS!$C:$C,FLOWS!$A:$A,$B$58,FLOWS!$E:$E,$K64,FLOWS!$D:$D,N$62,FLOWS!$H:$H,"&gt;="&amp;$C$60,FLOWS!$H:$H,"&lt;="&amp;$U$60)+SUM(SUMIFS(DEALS!$J:$J,DEALS!$A:$A,{"*REFUND*","*EXECUTED*"},DEALS!$G:$G,$B$58,DEALS!$E:$E,"&gt;="&amp;$C$60,DEALS!$E:$E,"&lt;="&amp;$U$60,DEALS!$K:$K,N$62,DEALS!$M:$M,$K64,DEALS!$N:$N,"&lt;&gt;*RECEIVED*",DEALS!$N:$N,"&lt;&gt;*EXECUTED*"))+SUM(SUMIFS(DEALS!$R:$R,DEALS!$A:$A,{"*REFUND*","*EXECUTED*"},DEALS!$O:$O,$B$58,DEALS!$E:$E,"&gt;="&amp;$C$60,DEALS!$E:$E,"&lt;="&amp;$U$60,DEALS!$S:$S,N$62,DEALS!$U:$U,$K64,DEALS!$V:$V,"&lt;&gt;*RECEIVED*",DEALS!$V:$V,"&lt;&gt;*EXECUTED*"))</f>
        <v>0</v>
      </c>
      <c r="O64" s="32" cm="1">
        <f t="array" ref="O64">SUMIFS(FLOWS!$C:$C,FLOWS!$A:$A,$B$58,FLOWS!$E:$E,$K64,FLOWS!$D:$D,O$62,FLOWS!$H:$H,"&gt;="&amp;$C$60,FLOWS!$H:$H,"&lt;="&amp;$U$60)+SUM(SUMIFS(DEALS!$J:$J,DEALS!$A:$A,{"*REFUND*","*EXECUTED*"},DEALS!$G:$G,$B$58,DEALS!$E:$E,"&gt;="&amp;$C$60,DEALS!$E:$E,"&lt;="&amp;$U$60,DEALS!$K:$K,O$62,DEALS!$M:$M,$K64,DEALS!$N:$N,"&lt;&gt;*RECEIVED*",DEALS!$N:$N,"&lt;&gt;*EXECUTED*"))+SUM(SUMIFS(DEALS!$R:$R,DEALS!$A:$A,{"*REFUND*","*EXECUTED*"},DEALS!$O:$O,$B$58,DEALS!$E:$E,"&gt;="&amp;$C$60,DEALS!$E:$E,"&lt;="&amp;$U$60,DEALS!$S:$S,O$62,DEALS!$U:$U,$K64,DEALS!$V:$V,"&lt;&gt;*RECEIVED*",DEALS!$V:$V,"&lt;&gt;*EXECUTED*"))</f>
        <v>0</v>
      </c>
      <c r="P64" s="32" cm="1">
        <f t="array" ref="P64">SUMIFS(FLOWS!$C:$C,FLOWS!$A:$A,$B$58,FLOWS!$E:$E,$K64,FLOWS!$D:$D,P$62,FLOWS!$H:$H,"&gt;="&amp;$C$60,FLOWS!$H:$H,"&lt;="&amp;$U$60)+SUM(SUMIFS(DEALS!$J:$J,DEALS!$A:$A,{"*REFUND*","*EXECUTED*"},DEALS!$G:$G,$B$58,DEALS!$E:$E,"&gt;="&amp;$C$60,DEALS!$E:$E,"&lt;="&amp;$U$60,DEALS!$K:$K,P$62,DEALS!$M:$M,$K64,DEALS!$N:$N,"&lt;&gt;*RECEIVED*",DEALS!$N:$N,"&lt;&gt;*EXECUTED*"))+SUM(SUMIFS(DEALS!$R:$R,DEALS!$A:$A,{"*REFUND*","*EXECUTED*"},DEALS!$O:$O,$B$58,DEALS!$E:$E,"&gt;="&amp;$C$60,DEALS!$E:$E,"&lt;="&amp;$U$60,DEALS!$S:$S,P$62,DEALS!$U:$U,$K64,DEALS!$V:$V,"&lt;&gt;*RECEIVED*",DEALS!$V:$V,"&lt;&gt;*EXECUTED*"))</f>
        <v>0</v>
      </c>
      <c r="Q64" s="32" cm="1">
        <f t="array" ref="Q64">SUMIFS(FLOWS!$C:$C,FLOWS!$A:$A,$B$58,FLOWS!$E:$E,$K64,FLOWS!$D:$D,Q$62,FLOWS!$H:$H,"&gt;="&amp;$C$60,FLOWS!$H:$H,"&lt;="&amp;$U$60)+SUM(SUMIFS(DEALS!$J:$J,DEALS!$A:$A,{"*REFUND*","*EXECUTED*"},DEALS!$G:$G,$B$58,DEALS!$E:$E,"&gt;="&amp;$C$60,DEALS!$E:$E,"&lt;="&amp;$U$60,DEALS!$K:$K,Q$62,DEALS!$M:$M,$K64,DEALS!$N:$N,"&lt;&gt;*RECEIVED*",DEALS!$N:$N,"&lt;&gt;*EXECUTED*"))+SUM(SUMIFS(DEALS!$R:$R,DEALS!$A:$A,{"*REFUND*","*EXECUTED*"},DEALS!$O:$O,$B$58,DEALS!$E:$E,"&gt;="&amp;$C$60,DEALS!$E:$E,"&lt;="&amp;$U$60,DEALS!$S:$S,Q$62,DEALS!$U:$U,$K64,DEALS!$V:$V,"&lt;&gt;*RECEIVED*",DEALS!$V:$V,"&lt;&gt;*EXECUTED*"))</f>
        <v>0</v>
      </c>
      <c r="R64" s="33">
        <f ca="1">L64*VLOOKUP(L$62,'FX RATES'!$E$1:$F$50,2,FALSE)+M64*VLOOKUP(M$62,'FX RATES'!$E$1:$F$50,2,FALSE)+N64*VLOOKUP(N$62,'FX RATES'!$E$1:$F$50,2,FALSE)+O64*VLOOKUP(O$62,'FX RATES'!$E$1:$F$50,2,FALSE)+P64*VLOOKUP(P$62,'FX RATES'!$E$1:$F$50,2,FALSE)+Q64*VLOOKUP(Q$62,'FX RATES'!$E$1:$F$50,2,FALSE)</f>
        <v>0</v>
      </c>
      <c r="T64" s="31" t="str">
        <f t="shared" si="25"/>
        <v>CBD</v>
      </c>
      <c r="U64" s="32" cm="1">
        <f t="array" ref="U64">SUMIFS(BALANCES!$C:$C,BALANCES!$A:$A,$B$58,BALANCES!$B:$B,$T64,BALANCES!$D:$D,U$62)+SUMIFS(FLOWS!$C:$C,FLOWS!$A:$A,$B$58,FLOWS!$E:$E,$T64,FLOWS!$D:$D,U$62,FLOWS!$H:$H,"&lt;="&amp;$U$60)+SUM(SUMIFS(DEALS!$J:$J,DEALS!$A:$A,{"*REFUND*","*EXECUTED*"},DEALS!$G:$G,$B$58,DEALS!$E:$E,"&lt;="&amp;$U$60,DEALS!$K:$K,U$62,DEALS!$M:$M,$T64,DEALS!$N:$N,"&lt;&gt;*RECEIVED*",DEALS!$N:$N,"&lt;&gt;*EXECUTED*"))+SUM(SUMIFS(DEALS!$R:$R,DEALS!$A:$A,{"*REFUND*","*EXECUTED*"},DEALS!$O:$O,$B$58,DEALS!$E:$E,"&lt;="&amp;$U$60,DEALS!$S:$S,U$62,DEALS!$U:$U,$T64,DEALS!$V:$V,"&lt;&gt;*RECEIVED*",DEALS!$V:$V,"&lt;&gt;*EXECUTED*"))</f>
        <v>72339.83</v>
      </c>
      <c r="V64" s="32" cm="1">
        <f t="array" ref="V64">SUMIFS(BALANCES!$C:$C,BALANCES!$A:$A,$B$58,BALANCES!$B:$B,$T64,BALANCES!$D:$D,V$62)+SUMIFS(FLOWS!$C:$C,FLOWS!$A:$A,$B$58,FLOWS!$E:$E,$T64,FLOWS!$D:$D,V$62,FLOWS!$H:$H,"&lt;="&amp;$U$60)+SUM(SUMIFS(DEALS!$J:$J,DEALS!$A:$A,{"*REFUND*","*EXECUTED*"},DEALS!$G:$G,$B$58,DEALS!$E:$E,"&lt;="&amp;$U$60,DEALS!$K:$K,V$62,DEALS!$M:$M,$T64,DEALS!$N:$N,"&lt;&gt;*RECEIVED*",DEALS!$N:$N,"&lt;&gt;*EXECUTED*"))+SUM(SUMIFS(DEALS!$R:$R,DEALS!$A:$A,{"*REFUND*","*EXECUTED*"},DEALS!$O:$O,$B$58,DEALS!$E:$E,"&lt;="&amp;$U$60,DEALS!$S:$S,V$62,DEALS!$U:$U,$T64,DEALS!$V:$V,"&lt;&gt;*RECEIVED*",DEALS!$V:$V,"&lt;&gt;*EXECUTED*"))</f>
        <v>956.16</v>
      </c>
      <c r="W64" s="32" cm="1">
        <f t="array" ref="W64">SUMIFS(BALANCES!$C:$C,BALANCES!$A:$A,$B$58,BALANCES!$B:$B,$T64,BALANCES!$D:$D,W$62)+SUMIFS(FLOWS!$C:$C,FLOWS!$A:$A,$B$58,FLOWS!$E:$E,$T64,FLOWS!$D:$D,W$62,FLOWS!$H:$H,"&lt;="&amp;$U$60)+SUM(SUMIFS(DEALS!$J:$J,DEALS!$A:$A,{"*REFUND*","*EXECUTED*"},DEALS!$G:$G,$B$58,DEALS!$E:$E,"&lt;="&amp;$U$60,DEALS!$K:$K,W$62,DEALS!$M:$M,$T64,DEALS!$N:$N,"&lt;&gt;*RECEIVED*",DEALS!$N:$N,"&lt;&gt;*EXECUTED*"))+SUM(SUMIFS(DEALS!$R:$R,DEALS!$A:$A,{"*REFUND*","*EXECUTED*"},DEALS!$O:$O,$B$58,DEALS!$E:$E,"&lt;="&amp;$U$60,DEALS!$S:$S,W$62,DEALS!$U:$U,$T64,DEALS!$V:$V,"&lt;&gt;*RECEIVED*",DEALS!$V:$V,"&lt;&gt;*EXECUTED*"))</f>
        <v>0</v>
      </c>
      <c r="X64" s="32" cm="1">
        <f t="array" ref="X64">SUMIFS(BALANCES!$C:$C,BALANCES!$A:$A,$B$58,BALANCES!$B:$B,$T64,BALANCES!$D:$D,X$62)+SUMIFS(FLOWS!$C:$C,FLOWS!$A:$A,$B$58,FLOWS!$E:$E,$T64,FLOWS!$D:$D,X$62,FLOWS!$H:$H,"&lt;="&amp;$U$60)+SUM(SUMIFS(DEALS!$J:$J,DEALS!$A:$A,{"*REFUND*","*EXECUTED*"},DEALS!$G:$G,$B$58,DEALS!$E:$E,"&lt;="&amp;$U$60,DEALS!$K:$K,X$62,DEALS!$M:$M,$T64,DEALS!$N:$N,"&lt;&gt;*RECEIVED*",DEALS!$N:$N,"&lt;&gt;*EXECUTED*"))+SUM(SUMIFS(DEALS!$R:$R,DEALS!$A:$A,{"*REFUND*","*EXECUTED*"},DEALS!$O:$O,$B$58,DEALS!$E:$E,"&lt;="&amp;$U$60,DEALS!$S:$S,X$62,DEALS!$U:$U,$T64,DEALS!$V:$V,"&lt;&gt;*RECEIVED*",DEALS!$V:$V,"&lt;&gt;*EXECUTED*"))</f>
        <v>2793111.29</v>
      </c>
      <c r="Y64" s="32" cm="1">
        <f t="array" ref="Y64">SUMIFS(BALANCES!$C:$C,BALANCES!$A:$A,$B$58,BALANCES!$B:$B,$T64,BALANCES!$D:$D,Y$62)+SUMIFS(FLOWS!$C:$C,FLOWS!$A:$A,$B$58,FLOWS!$E:$E,$T64,FLOWS!$D:$D,Y$62,FLOWS!$H:$H,"&lt;="&amp;$U$60)+SUM(SUMIFS(DEALS!$J:$J,DEALS!$A:$A,{"*REFUND*","*EXECUTED*"},DEALS!$G:$G,$B$58,DEALS!$E:$E,"&lt;="&amp;$U$60,DEALS!$K:$K,Y$62,DEALS!$M:$M,$T64,DEALS!$N:$N,"&lt;&gt;*RECEIVED*",DEALS!$N:$N,"&lt;&gt;*EXECUTED*"))+SUM(SUMIFS(DEALS!$R:$R,DEALS!$A:$A,{"*REFUND*","*EXECUTED*"},DEALS!$O:$O,$B$58,DEALS!$E:$E,"&lt;="&amp;$U$60,DEALS!$S:$S,Y$62,DEALS!$U:$U,$T64,DEALS!$V:$V,"&lt;&gt;*RECEIVED*",DEALS!$V:$V,"&lt;&gt;*EXECUTED*"))</f>
        <v>0</v>
      </c>
      <c r="Z64" s="32" cm="1">
        <f t="array" ref="Z64">SUMIFS(BALANCES!$C:$C,BALANCES!$A:$A,$B$58,BALANCES!$B:$B,$T64,BALANCES!$D:$D,Z$62)+SUMIFS(FLOWS!$C:$C,FLOWS!$A:$A,$B$58,FLOWS!$E:$E,$T64,FLOWS!$D:$D,Z$62,FLOWS!$H:$H,"&lt;="&amp;$U$60)+SUM(SUMIFS(DEALS!$J:$J,DEALS!$A:$A,{"*REFUND*","*EXECUTED*"},DEALS!$G:$G,$B$58,DEALS!$E:$E,"&lt;="&amp;$U$60,DEALS!$K:$K,Z$62,DEALS!$M:$M,$T64,DEALS!$N:$N,"&lt;&gt;*RECEIVED*",DEALS!$N:$N,"&lt;&gt;*EXECUTED*"))+SUM(SUMIFS(DEALS!$R:$R,DEALS!$A:$A,{"*REFUND*","*EXECUTED*"},DEALS!$O:$O,$B$58,DEALS!$E:$E,"&lt;="&amp;$U$60,DEALS!$S:$S,Z$62,DEALS!$U:$U,$T64,DEALS!$V:$V,"&lt;&gt;*RECEIVED*",DEALS!$V:$V,"&lt;&gt;*EXECUTED*"))</f>
        <v>0</v>
      </c>
      <c r="AA64" s="33">
        <f ca="1">U64*VLOOKUP(U$62,'FX RATES'!$E$1:$F$50,2,FALSE)+V64*VLOOKUP(V$62,'FX RATES'!$E$1:$F$50,2,FALSE)+W64*VLOOKUP(W$62,'FX RATES'!$E$1:$F$50,2,FALSE)+X64*VLOOKUP(X$62,'FX RATES'!$E$1:$F$50,2,FALSE)+Y64*VLOOKUP(Y$62,'FX RATES'!$E$1:$F$50,2,FALSE)+Z64*VLOOKUP(Z$62,'FX RATES'!$E$1:$F$50,2,FALSE)</f>
        <v>833993.1401368099</v>
      </c>
      <c r="AC64" s="139">
        <f t="shared" ca="1" si="26"/>
        <v>0</v>
      </c>
    </row>
    <row r="65" spans="2:29" ht="19" hidden="1">
      <c r="B65" s="28"/>
      <c r="C65" s="29" cm="1">
        <f t="array" ref="C65">SUMIFS(BALANCES!$C:$C,BALANCES!$A:$A,$B$58,BALANCES!$B:$B,$B65,BALANCES!$D:$D,C$62)+SUMIFS(FLOWS!$C:$C,FLOWS!$A:$A,$B$58,FLOWS!$E:$E,$B65,FLOWS!$D:$D,C$62,FLOWS!$H:$H,"&lt;"&amp;$C$60)+SUM(SUMIFS(DEALS!$J:$J,DEALS!$A:$A,{"*REFUND*","*EXECUTED*"},DEALS!$G:$G,$B$58,DEALS!$E:$E,"&lt;"&amp;$C$60,DEALS!$K:$K,C$62,DEALS!$M:$M,$B65,DEALS!$N:$N,"&lt;&gt;*RECEIVED*",DEALS!$N:$N,"&lt;&gt;*EXECUTED*"))+SUM(SUMIFS(DEALS!$R:$R,DEALS!$A:$A,{"*REFUND*","*EXECUTED*"},DEALS!$O:$O,$B$58,DEALS!$E:$E,"&lt;"&amp;$C$60,DEALS!$S:$S,C$62,DEALS!$U:$U,$B65,DEALS!$V:$V,"&lt;&gt;*RECEIVED*",DEALS!$V:$V,"&lt;&gt;*EXECUTED*"))</f>
        <v>0</v>
      </c>
      <c r="D65" s="29" cm="1">
        <f t="array" ref="D65">SUMIFS(BALANCES!$C:$C,BALANCES!$A:$A,$B$58,BALANCES!$B:$B,$B65,BALANCES!$D:$D,D$62)+SUMIFS(FLOWS!$C:$C,FLOWS!$A:$A,$B$58,FLOWS!$E:$E,$B65,FLOWS!$D:$D,D$62,FLOWS!$H:$H,"&lt;"&amp;$C$60)+SUM(SUMIFS(DEALS!$J:$J,DEALS!$A:$A,{"*REFUND*","*EXECUTED*"},DEALS!$G:$G,$B$58,DEALS!$E:$E,"&lt;"&amp;$C$60,DEALS!$K:$K,D$62,DEALS!$M:$M,$B65,DEALS!$N:$N,"&lt;&gt;*RECEIVED*",DEALS!$N:$N,"&lt;&gt;*EXECUTED*"))+SUM(SUMIFS(DEALS!$R:$R,DEALS!$A:$A,{"*REFUND*","*EXECUTED*"},DEALS!$O:$O,$B$58,DEALS!$E:$E,"&lt;"&amp;$C$60,DEALS!$S:$S,D$62,DEALS!$U:$U,$B65,DEALS!$V:$V,"&lt;&gt;*RECEIVED*",DEALS!$V:$V,"&lt;&gt;*EXECUTED*"))</f>
        <v>0</v>
      </c>
      <c r="E65" s="29" cm="1">
        <f t="array" ref="E65">SUMIFS(BALANCES!$C:$C,BALANCES!$A:$A,$B$58,BALANCES!$B:$B,$B65,BALANCES!$D:$D,E$62)+SUMIFS(FLOWS!$C:$C,FLOWS!$A:$A,$B$58,FLOWS!$E:$E,$B65,FLOWS!$D:$D,E$62,FLOWS!$H:$H,"&lt;"&amp;$C$60)+SUM(SUMIFS(DEALS!$J:$J,DEALS!$A:$A,{"*REFUND*","*EXECUTED*"},DEALS!$G:$G,$B$58,DEALS!$E:$E,"&lt;"&amp;$C$60,DEALS!$K:$K,E$62,DEALS!$M:$M,$B65,DEALS!$N:$N,"&lt;&gt;*RECEIVED*",DEALS!$N:$N,"&lt;&gt;*EXECUTED*"))+SUM(SUMIFS(DEALS!$R:$R,DEALS!$A:$A,{"*REFUND*","*EXECUTED*"},DEALS!$O:$O,$B$58,DEALS!$E:$E,"&lt;"&amp;$C$60,DEALS!$S:$S,E$62,DEALS!$U:$U,$B65,DEALS!$V:$V,"&lt;&gt;*RECEIVED*",DEALS!$V:$V,"&lt;&gt;*EXECUTED*"))</f>
        <v>0</v>
      </c>
      <c r="F65" s="29" cm="1">
        <f t="array" ref="F65">SUMIFS(BALANCES!$C:$C,BALANCES!$A:$A,$B$58,BALANCES!$B:$B,$B65,BALANCES!$D:$D,F$62)+SUMIFS(FLOWS!$C:$C,FLOWS!$A:$A,$B$58,FLOWS!$E:$E,$B65,FLOWS!$D:$D,F$62,FLOWS!$H:$H,"&lt;"&amp;$C$60)+SUM(SUMIFS(DEALS!$J:$J,DEALS!$A:$A,{"*REFUND*","*EXECUTED*"},DEALS!$G:$G,$B$58,DEALS!$E:$E,"&lt;"&amp;$C$60,DEALS!$K:$K,F$62,DEALS!$M:$M,$B65,DEALS!$N:$N,"&lt;&gt;*RECEIVED*",DEALS!$N:$N,"&lt;&gt;*EXECUTED*"))+SUM(SUMIFS(DEALS!$R:$R,DEALS!$A:$A,{"*REFUND*","*EXECUTED*"},DEALS!$O:$O,$B$58,DEALS!$E:$E,"&lt;"&amp;$C$60,DEALS!$S:$S,F$62,DEALS!$U:$U,$B65,DEALS!$V:$V,"&lt;&gt;*RECEIVED*",DEALS!$V:$V,"&lt;&gt;*EXECUTED*"))</f>
        <v>0</v>
      </c>
      <c r="G65" s="29" cm="1">
        <f t="array" ref="G65">SUMIFS(BALANCES!$C:$C,BALANCES!$A:$A,$B$58,BALANCES!$B:$B,$B65,BALANCES!$D:$D,G$62)+SUMIFS(FLOWS!$C:$C,FLOWS!$A:$A,$B$58,FLOWS!$E:$E,$B65,FLOWS!$D:$D,G$62,FLOWS!$H:$H,"&lt;"&amp;$C$60)+SUM(SUMIFS(DEALS!$J:$J,DEALS!$A:$A,{"*REFUND*","*EXECUTED*"},DEALS!$G:$G,$B$58,DEALS!$E:$E,"&lt;"&amp;$C$60,DEALS!$K:$K,G$62,DEALS!$M:$M,$B65,DEALS!$N:$N,"&lt;&gt;*RECEIVED*",DEALS!$N:$N,"&lt;&gt;*EXECUTED*"))+SUM(SUMIFS(DEALS!$R:$R,DEALS!$A:$A,{"*REFUND*","*EXECUTED*"},DEALS!$O:$O,$B$58,DEALS!$E:$E,"&lt;"&amp;$C$60,DEALS!$S:$S,G$62,DEALS!$U:$U,$B65,DEALS!$V:$V,"&lt;&gt;*RECEIVED*",DEALS!$V:$V,"&lt;&gt;*EXECUTED*"))</f>
        <v>0</v>
      </c>
      <c r="H65" s="29" cm="1">
        <f t="array" ref="H65">SUMIFS(BALANCES!$C:$C,BALANCES!$A:$A,$B$58,BALANCES!$B:$B,$B65,BALANCES!$D:$D,H$62)+SUMIFS(FLOWS!$C:$C,FLOWS!$A:$A,$B$58,FLOWS!$E:$E,$B65,FLOWS!$D:$D,H$62,FLOWS!$H:$H,"&lt;"&amp;$C$60)+SUM(SUMIFS(DEALS!$J:$J,DEALS!$A:$A,{"*REFUND*","*EXECUTED*"},DEALS!$G:$G,$B$58,DEALS!$E:$E,"&lt;"&amp;$C$60,DEALS!$K:$K,H$62,DEALS!$M:$M,$B65,DEALS!$N:$N,"&lt;&gt;*RECEIVED*",DEALS!$N:$N,"&lt;&gt;*EXECUTED*"))+SUM(SUMIFS(DEALS!$R:$R,DEALS!$A:$A,{"*REFUND*","*EXECUTED*"},DEALS!$O:$O,$B$58,DEALS!$E:$E,"&lt;"&amp;$C$60,DEALS!$S:$S,H$62,DEALS!$U:$U,$B65,DEALS!$V:$V,"&lt;&gt;*RECEIVED*",DEALS!$V:$V,"&lt;&gt;*EXECUTED*"))</f>
        <v>0</v>
      </c>
      <c r="I65" s="30">
        <f ca="1">C65*VLOOKUP(C$62,'FX RATES'!$E$1:$F$50,2,FALSE)+D65*VLOOKUP(D$62,'FX RATES'!$E$1:$F$50,2,FALSE)+E65*VLOOKUP(E$62,'FX RATES'!$E$1:$F$50,2,FALSE)+F65*VLOOKUP(F$62,'FX RATES'!$E$1:$F$50,2,FALSE)+G65*VLOOKUP(G$62,'FX RATES'!$E$1:$F$50,2,FALSE)+H65*VLOOKUP(H$62,'FX RATES'!$E$1:$F$50,2,FALSE)</f>
        <v>0</v>
      </c>
      <c r="K65" s="28">
        <f t="shared" si="24"/>
        <v>0</v>
      </c>
      <c r="L65" s="29" cm="1">
        <f t="array" ref="L65">SUMIFS(FLOWS!$C:$C,FLOWS!$A:$A,$B$58,FLOWS!$E:$E,$K65,FLOWS!$D:$D,L$62,FLOWS!$H:$H,"&gt;="&amp;$C$60,FLOWS!$H:$H,"&lt;="&amp;$U$60)+SUM(SUMIFS(DEALS!$J:$J,DEALS!$A:$A,{"*REFUND*","*EXECUTED*"},DEALS!$G:$G,$B$58,DEALS!$E:$E,"&gt;="&amp;$C$60,DEALS!$E:$E,"&lt;="&amp;$U$60,DEALS!$K:$K,L$62,DEALS!$M:$M,$K65,DEALS!$N:$N,"&lt;&gt;*RECEIVED*",DEALS!$N:$N,"&lt;&gt;*EXECUTED*"))+SUM(SUMIFS(DEALS!$R:$R,DEALS!$A:$A,{"*REFUND*","*EXECUTED*"},DEALS!$O:$O,$B$58,DEALS!$E:$E,"&gt;="&amp;$C$60,DEALS!$E:$E,"&lt;="&amp;$U$60,DEALS!$S:$S,L$62,DEALS!$U:$U,$K65,DEALS!$V:$V,"&lt;&gt;*RECEIVED*",DEALS!$V:$V,"&lt;&gt;*EXECUTED*"))</f>
        <v>0</v>
      </c>
      <c r="M65" s="29" cm="1">
        <f t="array" ref="M65">SUMIFS(FLOWS!$C:$C,FLOWS!$A:$A,$B$58,FLOWS!$E:$E,$K65,FLOWS!$D:$D,M$62,FLOWS!$H:$H,"&gt;="&amp;$C$60,FLOWS!$H:$H,"&lt;="&amp;$U$60)+SUM(SUMIFS(DEALS!$J:$J,DEALS!$A:$A,{"*REFUND*","*EXECUTED*"},DEALS!$G:$G,$B$58,DEALS!$E:$E,"&gt;="&amp;$C$60,DEALS!$E:$E,"&lt;="&amp;$U$60,DEALS!$K:$K,M$62,DEALS!$M:$M,$K65,DEALS!$N:$N,"&lt;&gt;*RECEIVED*",DEALS!$N:$N,"&lt;&gt;*EXECUTED*"))+SUM(SUMIFS(DEALS!$R:$R,DEALS!$A:$A,{"*REFUND*","*EXECUTED*"},DEALS!$O:$O,$B$58,DEALS!$E:$E,"&gt;="&amp;$C$60,DEALS!$E:$E,"&lt;="&amp;$U$60,DEALS!$S:$S,M$62,DEALS!$U:$U,$K65,DEALS!$V:$V,"&lt;&gt;*RECEIVED*",DEALS!$V:$V,"&lt;&gt;*EXECUTED*"))</f>
        <v>0</v>
      </c>
      <c r="N65" s="29" cm="1">
        <f t="array" ref="N65">SUMIFS(FLOWS!$C:$C,FLOWS!$A:$A,$B$58,FLOWS!$E:$E,$K65,FLOWS!$D:$D,N$62,FLOWS!$H:$H,"&gt;="&amp;$C$60,FLOWS!$H:$H,"&lt;="&amp;$U$60)+SUM(SUMIFS(DEALS!$J:$J,DEALS!$A:$A,{"*REFUND*","*EXECUTED*"},DEALS!$G:$G,$B$58,DEALS!$E:$E,"&gt;="&amp;$C$60,DEALS!$E:$E,"&lt;="&amp;$U$60,DEALS!$K:$K,N$62,DEALS!$M:$M,$K65,DEALS!$N:$N,"&lt;&gt;*RECEIVED*",DEALS!$N:$N,"&lt;&gt;*EXECUTED*"))+SUM(SUMIFS(DEALS!$R:$R,DEALS!$A:$A,{"*REFUND*","*EXECUTED*"},DEALS!$O:$O,$B$58,DEALS!$E:$E,"&gt;="&amp;$C$60,DEALS!$E:$E,"&lt;="&amp;$U$60,DEALS!$S:$S,N$62,DEALS!$U:$U,$K65,DEALS!$V:$V,"&lt;&gt;*RECEIVED*",DEALS!$V:$V,"&lt;&gt;*EXECUTED*"))</f>
        <v>0</v>
      </c>
      <c r="O65" s="29" cm="1">
        <f t="array" ref="O65">SUMIFS(FLOWS!$C:$C,FLOWS!$A:$A,$B$58,FLOWS!$E:$E,$K65,FLOWS!$D:$D,O$62,FLOWS!$H:$H,"&gt;="&amp;$C$60,FLOWS!$H:$H,"&lt;="&amp;$U$60)+SUM(SUMIFS(DEALS!$J:$J,DEALS!$A:$A,{"*REFUND*","*EXECUTED*"},DEALS!$G:$G,$B$58,DEALS!$E:$E,"&gt;="&amp;$C$60,DEALS!$E:$E,"&lt;="&amp;$U$60,DEALS!$K:$K,O$62,DEALS!$M:$M,$K65,DEALS!$N:$N,"&lt;&gt;*RECEIVED*",DEALS!$N:$N,"&lt;&gt;*EXECUTED*"))+SUM(SUMIFS(DEALS!$R:$R,DEALS!$A:$A,{"*REFUND*","*EXECUTED*"},DEALS!$O:$O,$B$58,DEALS!$E:$E,"&gt;="&amp;$C$60,DEALS!$E:$E,"&lt;="&amp;$U$60,DEALS!$S:$S,O$62,DEALS!$U:$U,$K65,DEALS!$V:$V,"&lt;&gt;*RECEIVED*",DEALS!$V:$V,"&lt;&gt;*EXECUTED*"))</f>
        <v>0</v>
      </c>
      <c r="P65" s="29" cm="1">
        <f t="array" ref="P65">SUMIFS(FLOWS!$C:$C,FLOWS!$A:$A,$B$58,FLOWS!$E:$E,$K65,FLOWS!$D:$D,P$62,FLOWS!$H:$H,"&gt;="&amp;$C$60,FLOWS!$H:$H,"&lt;="&amp;$U$60)+SUM(SUMIFS(DEALS!$J:$J,DEALS!$A:$A,{"*REFUND*","*EXECUTED*"},DEALS!$G:$G,$B$58,DEALS!$E:$E,"&gt;="&amp;$C$60,DEALS!$E:$E,"&lt;="&amp;$U$60,DEALS!$K:$K,P$62,DEALS!$M:$M,$K65,DEALS!$N:$N,"&lt;&gt;*RECEIVED*",DEALS!$N:$N,"&lt;&gt;*EXECUTED*"))+SUM(SUMIFS(DEALS!$R:$R,DEALS!$A:$A,{"*REFUND*","*EXECUTED*"},DEALS!$O:$O,$B$58,DEALS!$E:$E,"&gt;="&amp;$C$60,DEALS!$E:$E,"&lt;="&amp;$U$60,DEALS!$S:$S,P$62,DEALS!$U:$U,$K65,DEALS!$V:$V,"&lt;&gt;*RECEIVED*",DEALS!$V:$V,"&lt;&gt;*EXECUTED*"))</f>
        <v>0</v>
      </c>
      <c r="Q65" s="29" cm="1">
        <f t="array" ref="Q65">SUMIFS(FLOWS!$C:$C,FLOWS!$A:$A,$B$58,FLOWS!$E:$E,$K65,FLOWS!$D:$D,Q$62,FLOWS!$H:$H,"&gt;="&amp;$C$60,FLOWS!$H:$H,"&lt;="&amp;$U$60)+SUM(SUMIFS(DEALS!$J:$J,DEALS!$A:$A,{"*REFUND*","*EXECUTED*"},DEALS!$G:$G,$B$58,DEALS!$E:$E,"&gt;="&amp;$C$60,DEALS!$E:$E,"&lt;="&amp;$U$60,DEALS!$K:$K,Q$62,DEALS!$M:$M,$K65,DEALS!$N:$N,"&lt;&gt;*RECEIVED*",DEALS!$N:$N,"&lt;&gt;*EXECUTED*"))+SUM(SUMIFS(DEALS!$R:$R,DEALS!$A:$A,{"*REFUND*","*EXECUTED*"},DEALS!$O:$O,$B$58,DEALS!$E:$E,"&gt;="&amp;$C$60,DEALS!$E:$E,"&lt;="&amp;$U$60,DEALS!$S:$S,Q$62,DEALS!$U:$U,$K65,DEALS!$V:$V,"&lt;&gt;*RECEIVED*",DEALS!$V:$V,"&lt;&gt;*EXECUTED*"))</f>
        <v>0</v>
      </c>
      <c r="R65" s="30">
        <f ca="1">L65*VLOOKUP(L$62,'FX RATES'!$E$1:$F$50,2,FALSE)+M65*VLOOKUP(M$62,'FX RATES'!$E$1:$F$50,2,FALSE)+N65*VLOOKUP(N$62,'FX RATES'!$E$1:$F$50,2,FALSE)+O65*VLOOKUP(O$62,'FX RATES'!$E$1:$F$50,2,FALSE)+P65*VLOOKUP(P$62,'FX RATES'!$E$1:$F$50,2,FALSE)+Q65*VLOOKUP(Q$62,'FX RATES'!$E$1:$F$50,2,FALSE)</f>
        <v>0</v>
      </c>
      <c r="T65" s="28">
        <f t="shared" si="25"/>
        <v>0</v>
      </c>
      <c r="U65" s="29" cm="1">
        <f t="array" ref="U65">SUMIFS(BALANCES!$C:$C,BALANCES!$A:$A,$B$58,BALANCES!$B:$B,$T65,BALANCES!$D:$D,U$62)+SUMIFS(FLOWS!$C:$C,FLOWS!$A:$A,$B$58,FLOWS!$E:$E,$T65,FLOWS!$D:$D,U$62,FLOWS!$H:$H,"&lt;="&amp;$U$60)+SUM(SUMIFS(DEALS!$J:$J,DEALS!$A:$A,{"*REFUND*","*EXECUTED*"},DEALS!$G:$G,$B$58,DEALS!$E:$E,"&lt;="&amp;$U$60,DEALS!$K:$K,U$62,DEALS!$M:$M,$T65,DEALS!$N:$N,"&lt;&gt;*RECEIVED*",DEALS!$N:$N,"&lt;&gt;*EXECUTED*"))+SUM(SUMIFS(DEALS!$R:$R,DEALS!$A:$A,{"*REFUND*","*EXECUTED*"},DEALS!$O:$O,$B$58,DEALS!$E:$E,"&lt;="&amp;$U$60,DEALS!$S:$S,U$62,DEALS!$U:$U,$T65,DEALS!$V:$V,"&lt;&gt;*RECEIVED*",DEALS!$V:$V,"&lt;&gt;*EXECUTED*"))</f>
        <v>0</v>
      </c>
      <c r="V65" s="29" cm="1">
        <f t="array" ref="V65">SUMIFS(BALANCES!$C:$C,BALANCES!$A:$A,$B$58,BALANCES!$B:$B,$T65,BALANCES!$D:$D,V$62)+SUMIFS(FLOWS!$C:$C,FLOWS!$A:$A,$B$58,FLOWS!$E:$E,$T65,FLOWS!$D:$D,V$62,FLOWS!$H:$H,"&lt;="&amp;$U$60)+SUM(SUMIFS(DEALS!$J:$J,DEALS!$A:$A,{"*REFUND*","*EXECUTED*"},DEALS!$G:$G,$B$58,DEALS!$E:$E,"&lt;="&amp;$U$60,DEALS!$K:$K,V$62,DEALS!$M:$M,$T65,DEALS!$N:$N,"&lt;&gt;*RECEIVED*",DEALS!$N:$N,"&lt;&gt;*EXECUTED*"))+SUM(SUMIFS(DEALS!$R:$R,DEALS!$A:$A,{"*REFUND*","*EXECUTED*"},DEALS!$O:$O,$B$58,DEALS!$E:$E,"&lt;="&amp;$U$60,DEALS!$S:$S,V$62,DEALS!$U:$U,$T65,DEALS!$V:$V,"&lt;&gt;*RECEIVED*",DEALS!$V:$V,"&lt;&gt;*EXECUTED*"))</f>
        <v>0</v>
      </c>
      <c r="W65" s="29" cm="1">
        <f t="array" ref="W65">SUMIFS(BALANCES!$C:$C,BALANCES!$A:$A,$B$58,BALANCES!$B:$B,$T65,BALANCES!$D:$D,W$62)+SUMIFS(FLOWS!$C:$C,FLOWS!$A:$A,$B$58,FLOWS!$E:$E,$T65,FLOWS!$D:$D,W$62,FLOWS!$H:$H,"&lt;="&amp;$U$60)+SUM(SUMIFS(DEALS!$J:$J,DEALS!$A:$A,{"*REFUND*","*EXECUTED*"},DEALS!$G:$G,$B$58,DEALS!$E:$E,"&lt;="&amp;$U$60,DEALS!$K:$K,W$62,DEALS!$M:$M,$T65,DEALS!$N:$N,"&lt;&gt;*RECEIVED*",DEALS!$N:$N,"&lt;&gt;*EXECUTED*"))+SUM(SUMIFS(DEALS!$R:$R,DEALS!$A:$A,{"*REFUND*","*EXECUTED*"},DEALS!$O:$O,$B$58,DEALS!$E:$E,"&lt;="&amp;$U$60,DEALS!$S:$S,W$62,DEALS!$U:$U,$T65,DEALS!$V:$V,"&lt;&gt;*RECEIVED*",DEALS!$V:$V,"&lt;&gt;*EXECUTED*"))</f>
        <v>0</v>
      </c>
      <c r="X65" s="29" cm="1">
        <f t="array" ref="X65">SUMIFS(BALANCES!$C:$C,BALANCES!$A:$A,$B$58,BALANCES!$B:$B,$T65,BALANCES!$D:$D,X$62)+SUMIFS(FLOWS!$C:$C,FLOWS!$A:$A,$B$58,FLOWS!$E:$E,$T65,FLOWS!$D:$D,X$62,FLOWS!$H:$H,"&lt;="&amp;$U$60)+SUM(SUMIFS(DEALS!$J:$J,DEALS!$A:$A,{"*REFUND*","*EXECUTED*"},DEALS!$G:$G,$B$58,DEALS!$E:$E,"&lt;="&amp;$U$60,DEALS!$K:$K,X$62,DEALS!$M:$M,$T65,DEALS!$N:$N,"&lt;&gt;*RECEIVED*",DEALS!$N:$N,"&lt;&gt;*EXECUTED*"))+SUM(SUMIFS(DEALS!$R:$R,DEALS!$A:$A,{"*REFUND*","*EXECUTED*"},DEALS!$O:$O,$B$58,DEALS!$E:$E,"&lt;="&amp;$U$60,DEALS!$S:$S,X$62,DEALS!$U:$U,$T65,DEALS!$V:$V,"&lt;&gt;*RECEIVED*",DEALS!$V:$V,"&lt;&gt;*EXECUTED*"))</f>
        <v>0</v>
      </c>
      <c r="Y65" s="29" cm="1">
        <f t="array" ref="Y65">SUMIFS(BALANCES!$C:$C,BALANCES!$A:$A,$B$58,BALANCES!$B:$B,$T65,BALANCES!$D:$D,Y$62)+SUMIFS(FLOWS!$C:$C,FLOWS!$A:$A,$B$58,FLOWS!$E:$E,$T65,FLOWS!$D:$D,Y$62,FLOWS!$H:$H,"&lt;="&amp;$U$60)+SUM(SUMIFS(DEALS!$J:$J,DEALS!$A:$A,{"*REFUND*","*EXECUTED*"},DEALS!$G:$G,$B$58,DEALS!$E:$E,"&lt;="&amp;$U$60,DEALS!$K:$K,Y$62,DEALS!$M:$M,$T65,DEALS!$N:$N,"&lt;&gt;*RECEIVED*",DEALS!$N:$N,"&lt;&gt;*EXECUTED*"))+SUM(SUMIFS(DEALS!$R:$R,DEALS!$A:$A,{"*REFUND*","*EXECUTED*"},DEALS!$O:$O,$B$58,DEALS!$E:$E,"&lt;="&amp;$U$60,DEALS!$S:$S,Y$62,DEALS!$U:$U,$T65,DEALS!$V:$V,"&lt;&gt;*RECEIVED*",DEALS!$V:$V,"&lt;&gt;*EXECUTED*"))</f>
        <v>0</v>
      </c>
      <c r="Z65" s="29" cm="1">
        <f t="array" ref="Z65">SUMIFS(BALANCES!$C:$C,BALANCES!$A:$A,$B$58,BALANCES!$B:$B,$T65,BALANCES!$D:$D,Z$62)+SUMIFS(FLOWS!$C:$C,FLOWS!$A:$A,$B$58,FLOWS!$E:$E,$T65,FLOWS!$D:$D,Z$62,FLOWS!$H:$H,"&lt;="&amp;$U$60)+SUM(SUMIFS(DEALS!$J:$J,DEALS!$A:$A,{"*REFUND*","*EXECUTED*"},DEALS!$G:$G,$B$58,DEALS!$E:$E,"&lt;="&amp;$U$60,DEALS!$K:$K,Z$62,DEALS!$M:$M,$T65,DEALS!$N:$N,"&lt;&gt;*RECEIVED*",DEALS!$N:$N,"&lt;&gt;*EXECUTED*"))+SUM(SUMIFS(DEALS!$R:$R,DEALS!$A:$A,{"*REFUND*","*EXECUTED*"},DEALS!$O:$O,$B$58,DEALS!$E:$E,"&lt;="&amp;$U$60,DEALS!$S:$S,Z$62,DEALS!$U:$U,$T65,DEALS!$V:$V,"&lt;&gt;*RECEIVED*",DEALS!$V:$V,"&lt;&gt;*EXECUTED*"))</f>
        <v>0</v>
      </c>
      <c r="AA65" s="30">
        <f ca="1">U65*VLOOKUP(U$62,'FX RATES'!$E$1:$F$50,2,FALSE)+V65*VLOOKUP(V$62,'FX RATES'!$E$1:$F$50,2,FALSE)+W65*VLOOKUP(W$62,'FX RATES'!$E$1:$F$50,2,FALSE)+X65*VLOOKUP(X$62,'FX RATES'!$E$1:$F$50,2,FALSE)+Y65*VLOOKUP(Y$62,'FX RATES'!$E$1:$F$50,2,FALSE)+Z65*VLOOKUP(Z$62,'FX RATES'!$E$1:$F$50,2,FALSE)</f>
        <v>0</v>
      </c>
      <c r="AC65" s="139">
        <f t="shared" ca="1" si="26"/>
        <v>0</v>
      </c>
    </row>
    <row r="66" spans="2:29" ht="19" hidden="1">
      <c r="B66" s="31"/>
      <c r="C66" s="32" cm="1">
        <f t="array" ref="C66">SUMIFS(BALANCES!$C:$C,BALANCES!$A:$A,$B$58,BALANCES!$B:$B,$B66,BALANCES!$D:$D,C$62)+SUMIFS(FLOWS!$C:$C,FLOWS!$A:$A,$B$58,FLOWS!$E:$E,$B66,FLOWS!$D:$D,C$62,FLOWS!$H:$H,"&lt;"&amp;$C$60)+SUM(SUMIFS(DEALS!$J:$J,DEALS!$A:$A,{"*REFUND*","*EXECUTED*"},DEALS!$G:$G,$B$58,DEALS!$E:$E,"&lt;"&amp;$C$60,DEALS!$K:$K,C$62,DEALS!$M:$M,$B66,DEALS!$N:$N,"&lt;&gt;*RECEIVED*",DEALS!$N:$N,"&lt;&gt;*EXECUTED*"))+SUM(SUMIFS(DEALS!$R:$R,DEALS!$A:$A,{"*REFUND*","*EXECUTED*"},DEALS!$O:$O,$B$58,DEALS!$E:$E,"&lt;"&amp;$C$60,DEALS!$S:$S,C$62,DEALS!$U:$U,$B66,DEALS!$V:$V,"&lt;&gt;*RECEIVED*",DEALS!$V:$V,"&lt;&gt;*EXECUTED*"))</f>
        <v>0</v>
      </c>
      <c r="D66" s="32" cm="1">
        <f t="array" ref="D66">SUMIFS(BALANCES!$C:$C,BALANCES!$A:$A,$B$58,BALANCES!$B:$B,$B66,BALANCES!$D:$D,D$62)+SUMIFS(FLOWS!$C:$C,FLOWS!$A:$A,$B$58,FLOWS!$E:$E,$B66,FLOWS!$D:$D,D$62,FLOWS!$H:$H,"&lt;"&amp;$C$60)+SUM(SUMIFS(DEALS!$J:$J,DEALS!$A:$A,{"*REFUND*","*EXECUTED*"},DEALS!$G:$G,$B$58,DEALS!$E:$E,"&lt;"&amp;$C$60,DEALS!$K:$K,D$62,DEALS!$M:$M,$B66,DEALS!$N:$N,"&lt;&gt;*RECEIVED*",DEALS!$N:$N,"&lt;&gt;*EXECUTED*"))+SUM(SUMIFS(DEALS!$R:$R,DEALS!$A:$A,{"*REFUND*","*EXECUTED*"},DEALS!$O:$O,$B$58,DEALS!$E:$E,"&lt;"&amp;$C$60,DEALS!$S:$S,D$62,DEALS!$U:$U,$B66,DEALS!$V:$V,"&lt;&gt;*RECEIVED*",DEALS!$V:$V,"&lt;&gt;*EXECUTED*"))</f>
        <v>0</v>
      </c>
      <c r="E66" s="32" cm="1">
        <f t="array" ref="E66">SUMIFS(BALANCES!$C:$C,BALANCES!$A:$A,$B$58,BALANCES!$B:$B,$B66,BALANCES!$D:$D,E$62)+SUMIFS(FLOWS!$C:$C,FLOWS!$A:$A,$B$58,FLOWS!$E:$E,$B66,FLOWS!$D:$D,E$62,FLOWS!$H:$H,"&lt;"&amp;$C$60)+SUM(SUMIFS(DEALS!$J:$J,DEALS!$A:$A,{"*REFUND*","*EXECUTED*"},DEALS!$G:$G,$B$58,DEALS!$E:$E,"&lt;"&amp;$C$60,DEALS!$K:$K,E$62,DEALS!$M:$M,$B66,DEALS!$N:$N,"&lt;&gt;*RECEIVED*",DEALS!$N:$N,"&lt;&gt;*EXECUTED*"))+SUM(SUMIFS(DEALS!$R:$R,DEALS!$A:$A,{"*REFUND*","*EXECUTED*"},DEALS!$O:$O,$B$58,DEALS!$E:$E,"&lt;"&amp;$C$60,DEALS!$S:$S,E$62,DEALS!$U:$U,$B66,DEALS!$V:$V,"&lt;&gt;*RECEIVED*",DEALS!$V:$V,"&lt;&gt;*EXECUTED*"))</f>
        <v>0</v>
      </c>
      <c r="F66" s="32" cm="1">
        <f t="array" ref="F66">SUMIFS(BALANCES!$C:$C,BALANCES!$A:$A,$B$58,BALANCES!$B:$B,$B66,BALANCES!$D:$D,F$62)+SUMIFS(FLOWS!$C:$C,FLOWS!$A:$A,$B$58,FLOWS!$E:$E,$B66,FLOWS!$D:$D,F$62,FLOWS!$H:$H,"&lt;"&amp;$C$60)+SUM(SUMIFS(DEALS!$J:$J,DEALS!$A:$A,{"*REFUND*","*EXECUTED*"},DEALS!$G:$G,$B$58,DEALS!$E:$E,"&lt;"&amp;$C$60,DEALS!$K:$K,F$62,DEALS!$M:$M,$B66,DEALS!$N:$N,"&lt;&gt;*RECEIVED*",DEALS!$N:$N,"&lt;&gt;*EXECUTED*"))+SUM(SUMIFS(DEALS!$R:$R,DEALS!$A:$A,{"*REFUND*","*EXECUTED*"},DEALS!$O:$O,$B$58,DEALS!$E:$E,"&lt;"&amp;$C$60,DEALS!$S:$S,F$62,DEALS!$U:$U,$B66,DEALS!$V:$V,"&lt;&gt;*RECEIVED*",DEALS!$V:$V,"&lt;&gt;*EXECUTED*"))</f>
        <v>0</v>
      </c>
      <c r="G66" s="32" cm="1">
        <f t="array" ref="G66">SUMIFS(BALANCES!$C:$C,BALANCES!$A:$A,$B$58,BALANCES!$B:$B,$B66,BALANCES!$D:$D,G$62)+SUMIFS(FLOWS!$C:$C,FLOWS!$A:$A,$B$58,FLOWS!$E:$E,$B66,FLOWS!$D:$D,G$62,FLOWS!$H:$H,"&lt;"&amp;$C$60)+SUM(SUMIFS(DEALS!$J:$J,DEALS!$A:$A,{"*REFUND*","*EXECUTED*"},DEALS!$G:$G,$B$58,DEALS!$E:$E,"&lt;"&amp;$C$60,DEALS!$K:$K,G$62,DEALS!$M:$M,$B66,DEALS!$N:$N,"&lt;&gt;*RECEIVED*",DEALS!$N:$N,"&lt;&gt;*EXECUTED*"))+SUM(SUMIFS(DEALS!$R:$R,DEALS!$A:$A,{"*REFUND*","*EXECUTED*"},DEALS!$O:$O,$B$58,DEALS!$E:$E,"&lt;"&amp;$C$60,DEALS!$S:$S,G$62,DEALS!$U:$U,$B66,DEALS!$V:$V,"&lt;&gt;*RECEIVED*",DEALS!$V:$V,"&lt;&gt;*EXECUTED*"))</f>
        <v>0</v>
      </c>
      <c r="H66" s="32" cm="1">
        <f t="array" ref="H66">SUMIFS(BALANCES!$C:$C,BALANCES!$A:$A,$B$58,BALANCES!$B:$B,$B66,BALANCES!$D:$D,H$62)+SUMIFS(FLOWS!$C:$C,FLOWS!$A:$A,$B$58,FLOWS!$E:$E,$B66,FLOWS!$D:$D,H$62,FLOWS!$H:$H,"&lt;"&amp;$C$60)+SUM(SUMIFS(DEALS!$J:$J,DEALS!$A:$A,{"*REFUND*","*EXECUTED*"},DEALS!$G:$G,$B$58,DEALS!$E:$E,"&lt;"&amp;$C$60,DEALS!$K:$K,H$62,DEALS!$M:$M,$B66,DEALS!$N:$N,"&lt;&gt;*RECEIVED*",DEALS!$N:$N,"&lt;&gt;*EXECUTED*"))+SUM(SUMIFS(DEALS!$R:$R,DEALS!$A:$A,{"*REFUND*","*EXECUTED*"},DEALS!$O:$O,$B$58,DEALS!$E:$E,"&lt;"&amp;$C$60,DEALS!$S:$S,H$62,DEALS!$U:$U,$B66,DEALS!$V:$V,"&lt;&gt;*RECEIVED*",DEALS!$V:$V,"&lt;&gt;*EXECUTED*"))</f>
        <v>0</v>
      </c>
      <c r="I66" s="33">
        <f ca="1">C66*VLOOKUP(C$62,'FX RATES'!$E$1:$F$50,2,FALSE)+D66*VLOOKUP(D$62,'FX RATES'!$E$1:$F$50,2,FALSE)+E66*VLOOKUP(E$62,'FX RATES'!$E$1:$F$50,2,FALSE)+F66*VLOOKUP(F$62,'FX RATES'!$E$1:$F$50,2,FALSE)+G66*VLOOKUP(G$62,'FX RATES'!$E$1:$F$50,2,FALSE)+H66*VLOOKUP(H$62,'FX RATES'!$E$1:$F$50,2,FALSE)</f>
        <v>0</v>
      </c>
      <c r="K66" s="31">
        <f t="shared" si="24"/>
        <v>0</v>
      </c>
      <c r="L66" s="32" cm="1">
        <f t="array" ref="L66">SUMIFS(FLOWS!$C:$C,FLOWS!$A:$A,$B$58,FLOWS!$E:$E,$K66,FLOWS!$D:$D,L$62,FLOWS!$H:$H,"&gt;="&amp;$C$60,FLOWS!$H:$H,"&lt;="&amp;$U$60)+SUM(SUMIFS(DEALS!$J:$J,DEALS!$A:$A,{"*REFUND*","*EXECUTED*"},DEALS!$G:$G,$B$58,DEALS!$E:$E,"&gt;="&amp;$C$60,DEALS!$E:$E,"&lt;="&amp;$U$60,DEALS!$K:$K,L$62,DEALS!$M:$M,$K66,DEALS!$N:$N,"&lt;&gt;*RECEIVED*",DEALS!$N:$N,"&lt;&gt;*EXECUTED*"))+SUM(SUMIFS(DEALS!$R:$R,DEALS!$A:$A,{"*REFUND*","*EXECUTED*"},DEALS!$O:$O,$B$58,DEALS!$E:$E,"&gt;="&amp;$C$60,DEALS!$E:$E,"&lt;="&amp;$U$60,DEALS!$S:$S,L$62,DEALS!$U:$U,$K66,DEALS!$V:$V,"&lt;&gt;*RECEIVED*",DEALS!$V:$V,"&lt;&gt;*EXECUTED*"))</f>
        <v>0</v>
      </c>
      <c r="M66" s="32" cm="1">
        <f t="array" ref="M66">SUMIFS(FLOWS!$C:$C,FLOWS!$A:$A,$B$58,FLOWS!$E:$E,$K66,FLOWS!$D:$D,M$62,FLOWS!$H:$H,"&gt;="&amp;$C$60,FLOWS!$H:$H,"&lt;="&amp;$U$60)+SUM(SUMIFS(DEALS!$J:$J,DEALS!$A:$A,{"*REFUND*","*EXECUTED*"},DEALS!$G:$G,$B$58,DEALS!$E:$E,"&gt;="&amp;$C$60,DEALS!$E:$E,"&lt;="&amp;$U$60,DEALS!$K:$K,M$62,DEALS!$M:$M,$K66,DEALS!$N:$N,"&lt;&gt;*RECEIVED*",DEALS!$N:$N,"&lt;&gt;*EXECUTED*"))+SUM(SUMIFS(DEALS!$R:$R,DEALS!$A:$A,{"*REFUND*","*EXECUTED*"},DEALS!$O:$O,$B$58,DEALS!$E:$E,"&gt;="&amp;$C$60,DEALS!$E:$E,"&lt;="&amp;$U$60,DEALS!$S:$S,M$62,DEALS!$U:$U,$K66,DEALS!$V:$V,"&lt;&gt;*RECEIVED*",DEALS!$V:$V,"&lt;&gt;*EXECUTED*"))</f>
        <v>0</v>
      </c>
      <c r="N66" s="32" cm="1">
        <f t="array" ref="N66">SUMIFS(FLOWS!$C:$C,FLOWS!$A:$A,$B$58,FLOWS!$E:$E,$K66,FLOWS!$D:$D,N$62,FLOWS!$H:$H,"&gt;="&amp;$C$60,FLOWS!$H:$H,"&lt;="&amp;$U$60)+SUM(SUMIFS(DEALS!$J:$J,DEALS!$A:$A,{"*REFUND*","*EXECUTED*"},DEALS!$G:$G,$B$58,DEALS!$E:$E,"&gt;="&amp;$C$60,DEALS!$E:$E,"&lt;="&amp;$U$60,DEALS!$K:$K,N$62,DEALS!$M:$M,$K66,DEALS!$N:$N,"&lt;&gt;*RECEIVED*",DEALS!$N:$N,"&lt;&gt;*EXECUTED*"))+SUM(SUMIFS(DEALS!$R:$R,DEALS!$A:$A,{"*REFUND*","*EXECUTED*"},DEALS!$O:$O,$B$58,DEALS!$E:$E,"&gt;="&amp;$C$60,DEALS!$E:$E,"&lt;="&amp;$U$60,DEALS!$S:$S,N$62,DEALS!$U:$U,$K66,DEALS!$V:$V,"&lt;&gt;*RECEIVED*",DEALS!$V:$V,"&lt;&gt;*EXECUTED*"))</f>
        <v>0</v>
      </c>
      <c r="O66" s="32" cm="1">
        <f t="array" ref="O66">SUMIFS(FLOWS!$C:$C,FLOWS!$A:$A,$B$58,FLOWS!$E:$E,$K66,FLOWS!$D:$D,O$62,FLOWS!$H:$H,"&gt;="&amp;$C$60,FLOWS!$H:$H,"&lt;="&amp;$U$60)+SUM(SUMIFS(DEALS!$J:$J,DEALS!$A:$A,{"*REFUND*","*EXECUTED*"},DEALS!$G:$G,$B$58,DEALS!$E:$E,"&gt;="&amp;$C$60,DEALS!$E:$E,"&lt;="&amp;$U$60,DEALS!$K:$K,O$62,DEALS!$M:$M,$K66,DEALS!$N:$N,"&lt;&gt;*RECEIVED*",DEALS!$N:$N,"&lt;&gt;*EXECUTED*"))+SUM(SUMIFS(DEALS!$R:$R,DEALS!$A:$A,{"*REFUND*","*EXECUTED*"},DEALS!$O:$O,$B$58,DEALS!$E:$E,"&gt;="&amp;$C$60,DEALS!$E:$E,"&lt;="&amp;$U$60,DEALS!$S:$S,O$62,DEALS!$U:$U,$K66,DEALS!$V:$V,"&lt;&gt;*RECEIVED*",DEALS!$V:$V,"&lt;&gt;*EXECUTED*"))</f>
        <v>0</v>
      </c>
      <c r="P66" s="32" cm="1">
        <f t="array" ref="P66">SUMIFS(FLOWS!$C:$C,FLOWS!$A:$A,$B$58,FLOWS!$E:$E,$K66,FLOWS!$D:$D,P$62,FLOWS!$H:$H,"&gt;="&amp;$C$60,FLOWS!$H:$H,"&lt;="&amp;$U$60)+SUM(SUMIFS(DEALS!$J:$J,DEALS!$A:$A,{"*REFUND*","*EXECUTED*"},DEALS!$G:$G,$B$58,DEALS!$E:$E,"&gt;="&amp;$C$60,DEALS!$E:$E,"&lt;="&amp;$U$60,DEALS!$K:$K,P$62,DEALS!$M:$M,$K66,DEALS!$N:$N,"&lt;&gt;*RECEIVED*",DEALS!$N:$N,"&lt;&gt;*EXECUTED*"))+SUM(SUMIFS(DEALS!$R:$R,DEALS!$A:$A,{"*REFUND*","*EXECUTED*"},DEALS!$O:$O,$B$58,DEALS!$E:$E,"&gt;="&amp;$C$60,DEALS!$E:$E,"&lt;="&amp;$U$60,DEALS!$S:$S,P$62,DEALS!$U:$U,$K66,DEALS!$V:$V,"&lt;&gt;*RECEIVED*",DEALS!$V:$V,"&lt;&gt;*EXECUTED*"))</f>
        <v>0</v>
      </c>
      <c r="Q66" s="32" cm="1">
        <f t="array" ref="Q66">SUMIFS(FLOWS!$C:$C,FLOWS!$A:$A,$B$58,FLOWS!$E:$E,$K66,FLOWS!$D:$D,Q$62,FLOWS!$H:$H,"&gt;="&amp;$C$60,FLOWS!$H:$H,"&lt;="&amp;$U$60)+SUM(SUMIFS(DEALS!$J:$J,DEALS!$A:$A,{"*REFUND*","*EXECUTED*"},DEALS!$G:$G,$B$58,DEALS!$E:$E,"&gt;="&amp;$C$60,DEALS!$E:$E,"&lt;="&amp;$U$60,DEALS!$K:$K,Q$62,DEALS!$M:$M,$K66,DEALS!$N:$N,"&lt;&gt;*RECEIVED*",DEALS!$N:$N,"&lt;&gt;*EXECUTED*"))+SUM(SUMIFS(DEALS!$R:$R,DEALS!$A:$A,{"*REFUND*","*EXECUTED*"},DEALS!$O:$O,$B$58,DEALS!$E:$E,"&gt;="&amp;$C$60,DEALS!$E:$E,"&lt;="&amp;$U$60,DEALS!$S:$S,Q$62,DEALS!$U:$U,$K66,DEALS!$V:$V,"&lt;&gt;*RECEIVED*",DEALS!$V:$V,"&lt;&gt;*EXECUTED*"))</f>
        <v>0</v>
      </c>
      <c r="R66" s="33">
        <f ca="1">L66*VLOOKUP(L$62,'FX RATES'!$E$1:$F$50,2,FALSE)+M66*VLOOKUP(M$62,'FX RATES'!$E$1:$F$50,2,FALSE)+N66*VLOOKUP(N$62,'FX RATES'!$E$1:$F$50,2,FALSE)+O66*VLOOKUP(O$62,'FX RATES'!$E$1:$F$50,2,FALSE)+P66*VLOOKUP(P$62,'FX RATES'!$E$1:$F$50,2,FALSE)+Q66*VLOOKUP(Q$62,'FX RATES'!$E$1:$F$50,2,FALSE)</f>
        <v>0</v>
      </c>
      <c r="T66" s="31">
        <f t="shared" si="25"/>
        <v>0</v>
      </c>
      <c r="U66" s="32" cm="1">
        <f t="array" ref="U66">SUMIFS(BALANCES!$C:$C,BALANCES!$A:$A,$B$58,BALANCES!$B:$B,$T66,BALANCES!$D:$D,U$62)+SUMIFS(FLOWS!$C:$C,FLOWS!$A:$A,$B$58,FLOWS!$E:$E,$T66,FLOWS!$D:$D,U$62,FLOWS!$H:$H,"&lt;="&amp;$U$60)+SUM(SUMIFS(DEALS!$J:$J,DEALS!$A:$A,{"*REFUND*","*EXECUTED*"},DEALS!$G:$G,$B$58,DEALS!$E:$E,"&lt;="&amp;$U$60,DEALS!$K:$K,U$62,DEALS!$M:$M,$T66,DEALS!$N:$N,"&lt;&gt;*RECEIVED*",DEALS!$N:$N,"&lt;&gt;*EXECUTED*"))+SUM(SUMIFS(DEALS!$R:$R,DEALS!$A:$A,{"*REFUND*","*EXECUTED*"},DEALS!$O:$O,$B$58,DEALS!$E:$E,"&lt;="&amp;$U$60,DEALS!$S:$S,U$62,DEALS!$U:$U,$T66,DEALS!$V:$V,"&lt;&gt;*RECEIVED*",DEALS!$V:$V,"&lt;&gt;*EXECUTED*"))</f>
        <v>0</v>
      </c>
      <c r="V66" s="32" cm="1">
        <f t="array" ref="V66">SUMIFS(BALANCES!$C:$C,BALANCES!$A:$A,$B$58,BALANCES!$B:$B,$T66,BALANCES!$D:$D,V$62)+SUMIFS(FLOWS!$C:$C,FLOWS!$A:$A,$B$58,FLOWS!$E:$E,$T66,FLOWS!$D:$D,V$62,FLOWS!$H:$H,"&lt;="&amp;$U$60)+SUM(SUMIFS(DEALS!$J:$J,DEALS!$A:$A,{"*REFUND*","*EXECUTED*"},DEALS!$G:$G,$B$58,DEALS!$E:$E,"&lt;="&amp;$U$60,DEALS!$K:$K,V$62,DEALS!$M:$M,$T66,DEALS!$N:$N,"&lt;&gt;*RECEIVED*",DEALS!$N:$N,"&lt;&gt;*EXECUTED*"))+SUM(SUMIFS(DEALS!$R:$R,DEALS!$A:$A,{"*REFUND*","*EXECUTED*"},DEALS!$O:$O,$B$58,DEALS!$E:$E,"&lt;="&amp;$U$60,DEALS!$S:$S,V$62,DEALS!$U:$U,$T66,DEALS!$V:$V,"&lt;&gt;*RECEIVED*",DEALS!$V:$V,"&lt;&gt;*EXECUTED*"))</f>
        <v>0</v>
      </c>
      <c r="W66" s="32" cm="1">
        <f t="array" ref="W66">SUMIFS(BALANCES!$C:$C,BALANCES!$A:$A,$B$58,BALANCES!$B:$B,$T66,BALANCES!$D:$D,W$62)+SUMIFS(FLOWS!$C:$C,FLOWS!$A:$A,$B$58,FLOWS!$E:$E,$T66,FLOWS!$D:$D,W$62,FLOWS!$H:$H,"&lt;="&amp;$U$60)+SUM(SUMIFS(DEALS!$J:$J,DEALS!$A:$A,{"*REFUND*","*EXECUTED*"},DEALS!$G:$G,$B$58,DEALS!$E:$E,"&lt;="&amp;$U$60,DEALS!$K:$K,W$62,DEALS!$M:$M,$T66,DEALS!$N:$N,"&lt;&gt;*RECEIVED*",DEALS!$N:$N,"&lt;&gt;*EXECUTED*"))+SUM(SUMIFS(DEALS!$R:$R,DEALS!$A:$A,{"*REFUND*","*EXECUTED*"},DEALS!$O:$O,$B$58,DEALS!$E:$E,"&lt;="&amp;$U$60,DEALS!$S:$S,W$62,DEALS!$U:$U,$T66,DEALS!$V:$V,"&lt;&gt;*RECEIVED*",DEALS!$V:$V,"&lt;&gt;*EXECUTED*"))</f>
        <v>0</v>
      </c>
      <c r="X66" s="32" cm="1">
        <f t="array" ref="X66">SUMIFS(BALANCES!$C:$C,BALANCES!$A:$A,$B$58,BALANCES!$B:$B,$T66,BALANCES!$D:$D,X$62)+SUMIFS(FLOWS!$C:$C,FLOWS!$A:$A,$B$58,FLOWS!$E:$E,$T66,FLOWS!$D:$D,X$62,FLOWS!$H:$H,"&lt;="&amp;$U$60)+SUM(SUMIFS(DEALS!$J:$J,DEALS!$A:$A,{"*REFUND*","*EXECUTED*"},DEALS!$G:$G,$B$58,DEALS!$E:$E,"&lt;="&amp;$U$60,DEALS!$K:$K,X$62,DEALS!$M:$M,$T66,DEALS!$N:$N,"&lt;&gt;*RECEIVED*",DEALS!$N:$N,"&lt;&gt;*EXECUTED*"))+SUM(SUMIFS(DEALS!$R:$R,DEALS!$A:$A,{"*REFUND*","*EXECUTED*"},DEALS!$O:$O,$B$58,DEALS!$E:$E,"&lt;="&amp;$U$60,DEALS!$S:$S,X$62,DEALS!$U:$U,$T66,DEALS!$V:$V,"&lt;&gt;*RECEIVED*",DEALS!$V:$V,"&lt;&gt;*EXECUTED*"))</f>
        <v>0</v>
      </c>
      <c r="Y66" s="32" cm="1">
        <f t="array" ref="Y66">SUMIFS(BALANCES!$C:$C,BALANCES!$A:$A,$B$58,BALANCES!$B:$B,$T66,BALANCES!$D:$D,Y$62)+SUMIFS(FLOWS!$C:$C,FLOWS!$A:$A,$B$58,FLOWS!$E:$E,$T66,FLOWS!$D:$D,Y$62,FLOWS!$H:$H,"&lt;="&amp;$U$60)+SUM(SUMIFS(DEALS!$J:$J,DEALS!$A:$A,{"*REFUND*","*EXECUTED*"},DEALS!$G:$G,$B$58,DEALS!$E:$E,"&lt;="&amp;$U$60,DEALS!$K:$K,Y$62,DEALS!$M:$M,$T66,DEALS!$N:$N,"&lt;&gt;*RECEIVED*",DEALS!$N:$N,"&lt;&gt;*EXECUTED*"))+SUM(SUMIFS(DEALS!$R:$R,DEALS!$A:$A,{"*REFUND*","*EXECUTED*"},DEALS!$O:$O,$B$58,DEALS!$E:$E,"&lt;="&amp;$U$60,DEALS!$S:$S,Y$62,DEALS!$U:$U,$T66,DEALS!$V:$V,"&lt;&gt;*RECEIVED*",DEALS!$V:$V,"&lt;&gt;*EXECUTED*"))</f>
        <v>0</v>
      </c>
      <c r="Z66" s="32" cm="1">
        <f t="array" ref="Z66">SUMIFS(BALANCES!$C:$C,BALANCES!$A:$A,$B$58,BALANCES!$B:$B,$T66,BALANCES!$D:$D,Z$62)+SUMIFS(FLOWS!$C:$C,FLOWS!$A:$A,$B$58,FLOWS!$E:$E,$T66,FLOWS!$D:$D,Z$62,FLOWS!$H:$H,"&lt;="&amp;$U$60)+SUM(SUMIFS(DEALS!$J:$J,DEALS!$A:$A,{"*REFUND*","*EXECUTED*"},DEALS!$G:$G,$B$58,DEALS!$E:$E,"&lt;="&amp;$U$60,DEALS!$K:$K,Z$62,DEALS!$M:$M,$T66,DEALS!$N:$N,"&lt;&gt;*RECEIVED*",DEALS!$N:$N,"&lt;&gt;*EXECUTED*"))+SUM(SUMIFS(DEALS!$R:$R,DEALS!$A:$A,{"*REFUND*","*EXECUTED*"},DEALS!$O:$O,$B$58,DEALS!$E:$E,"&lt;="&amp;$U$60,DEALS!$S:$S,Z$62,DEALS!$U:$U,$T66,DEALS!$V:$V,"&lt;&gt;*RECEIVED*",DEALS!$V:$V,"&lt;&gt;*EXECUTED*"))</f>
        <v>0</v>
      </c>
      <c r="AA66" s="33">
        <f ca="1">U66*VLOOKUP(U$62,'FX RATES'!$E$1:$F$50,2,FALSE)+V66*VLOOKUP(V$62,'FX RATES'!$E$1:$F$50,2,FALSE)+W66*VLOOKUP(W$62,'FX RATES'!$E$1:$F$50,2,FALSE)+X66*VLOOKUP(X$62,'FX RATES'!$E$1:$F$50,2,FALSE)+Y66*VLOOKUP(Y$62,'FX RATES'!$E$1:$F$50,2,FALSE)+Z66*VLOOKUP(Z$62,'FX RATES'!$E$1:$F$50,2,FALSE)</f>
        <v>0</v>
      </c>
      <c r="AC66" s="139">
        <f t="shared" ca="1" si="26"/>
        <v>0</v>
      </c>
    </row>
    <row r="67" spans="2:29" ht="19" hidden="1">
      <c r="B67" s="28"/>
      <c r="C67" s="29" cm="1">
        <f t="array" ref="C67">SUMIFS(BALANCES!$C:$C,BALANCES!$A:$A,$B$58,BALANCES!$B:$B,$B67,BALANCES!$D:$D,C$62)+SUMIFS(FLOWS!$C:$C,FLOWS!$A:$A,$B$58,FLOWS!$E:$E,$B67,FLOWS!$D:$D,C$62,FLOWS!$H:$H,"&lt;"&amp;$C$60)+SUM(SUMIFS(DEALS!$J:$J,DEALS!$A:$A,{"*REFUND*","*EXECUTED*"},DEALS!$G:$G,$B$58,DEALS!$E:$E,"&lt;"&amp;$C$60,DEALS!$K:$K,C$62,DEALS!$M:$M,$B67,DEALS!$N:$N,"&lt;&gt;*RECEIVED*",DEALS!$N:$N,"&lt;&gt;*EXECUTED*"))+SUM(SUMIFS(DEALS!$R:$R,DEALS!$A:$A,{"*REFUND*","*EXECUTED*"},DEALS!$O:$O,$B$58,DEALS!$E:$E,"&lt;"&amp;$C$60,DEALS!$S:$S,C$62,DEALS!$U:$U,$B67,DEALS!$V:$V,"&lt;&gt;*RECEIVED*",DEALS!$V:$V,"&lt;&gt;*EXECUTED*"))</f>
        <v>0</v>
      </c>
      <c r="D67" s="29" cm="1">
        <f t="array" ref="D67">SUMIFS(BALANCES!$C:$C,BALANCES!$A:$A,$B$58,BALANCES!$B:$B,$B67,BALANCES!$D:$D,D$62)+SUMIFS(FLOWS!$C:$C,FLOWS!$A:$A,$B$58,FLOWS!$E:$E,$B67,FLOWS!$D:$D,D$62,FLOWS!$H:$H,"&lt;"&amp;$C$60)+SUM(SUMIFS(DEALS!$J:$J,DEALS!$A:$A,{"*REFUND*","*EXECUTED*"},DEALS!$G:$G,$B$58,DEALS!$E:$E,"&lt;"&amp;$C$60,DEALS!$K:$K,D$62,DEALS!$M:$M,$B67,DEALS!$N:$N,"&lt;&gt;*RECEIVED*",DEALS!$N:$N,"&lt;&gt;*EXECUTED*"))+SUM(SUMIFS(DEALS!$R:$R,DEALS!$A:$A,{"*REFUND*","*EXECUTED*"},DEALS!$O:$O,$B$58,DEALS!$E:$E,"&lt;"&amp;$C$60,DEALS!$S:$S,D$62,DEALS!$U:$U,$B67,DEALS!$V:$V,"&lt;&gt;*RECEIVED*",DEALS!$V:$V,"&lt;&gt;*EXECUTED*"))</f>
        <v>0</v>
      </c>
      <c r="E67" s="29" cm="1">
        <f t="array" ref="E67">SUMIFS(BALANCES!$C:$C,BALANCES!$A:$A,$B$58,BALANCES!$B:$B,$B67,BALANCES!$D:$D,E$62)+SUMIFS(FLOWS!$C:$C,FLOWS!$A:$A,$B$58,FLOWS!$E:$E,$B67,FLOWS!$D:$D,E$62,FLOWS!$H:$H,"&lt;"&amp;$C$60)+SUM(SUMIFS(DEALS!$J:$J,DEALS!$A:$A,{"*REFUND*","*EXECUTED*"},DEALS!$G:$G,$B$58,DEALS!$E:$E,"&lt;"&amp;$C$60,DEALS!$K:$K,E$62,DEALS!$M:$M,$B67,DEALS!$N:$N,"&lt;&gt;*RECEIVED*",DEALS!$N:$N,"&lt;&gt;*EXECUTED*"))+SUM(SUMIFS(DEALS!$R:$R,DEALS!$A:$A,{"*REFUND*","*EXECUTED*"},DEALS!$O:$O,$B$58,DEALS!$E:$E,"&lt;"&amp;$C$60,DEALS!$S:$S,E$62,DEALS!$U:$U,$B67,DEALS!$V:$V,"&lt;&gt;*RECEIVED*",DEALS!$V:$V,"&lt;&gt;*EXECUTED*"))</f>
        <v>0</v>
      </c>
      <c r="F67" s="29" cm="1">
        <f t="array" ref="F67">SUMIFS(BALANCES!$C:$C,BALANCES!$A:$A,$B$58,BALANCES!$B:$B,$B67,BALANCES!$D:$D,F$62)+SUMIFS(FLOWS!$C:$C,FLOWS!$A:$A,$B$58,FLOWS!$E:$E,$B67,FLOWS!$D:$D,F$62,FLOWS!$H:$H,"&lt;"&amp;$C$60)+SUM(SUMIFS(DEALS!$J:$J,DEALS!$A:$A,{"*REFUND*","*EXECUTED*"},DEALS!$G:$G,$B$58,DEALS!$E:$E,"&lt;"&amp;$C$60,DEALS!$K:$K,F$62,DEALS!$M:$M,$B67,DEALS!$N:$N,"&lt;&gt;*RECEIVED*",DEALS!$N:$N,"&lt;&gt;*EXECUTED*"))+SUM(SUMIFS(DEALS!$R:$R,DEALS!$A:$A,{"*REFUND*","*EXECUTED*"},DEALS!$O:$O,$B$58,DEALS!$E:$E,"&lt;"&amp;$C$60,DEALS!$S:$S,F$62,DEALS!$U:$U,$B67,DEALS!$V:$V,"&lt;&gt;*RECEIVED*",DEALS!$V:$V,"&lt;&gt;*EXECUTED*"))</f>
        <v>0</v>
      </c>
      <c r="G67" s="29" cm="1">
        <f t="array" ref="G67">SUMIFS(BALANCES!$C:$C,BALANCES!$A:$A,$B$58,BALANCES!$B:$B,$B67,BALANCES!$D:$D,G$62)+SUMIFS(FLOWS!$C:$C,FLOWS!$A:$A,$B$58,FLOWS!$E:$E,$B67,FLOWS!$D:$D,G$62,FLOWS!$H:$H,"&lt;"&amp;$C$60)+SUM(SUMIFS(DEALS!$J:$J,DEALS!$A:$A,{"*REFUND*","*EXECUTED*"},DEALS!$G:$G,$B$58,DEALS!$E:$E,"&lt;"&amp;$C$60,DEALS!$K:$K,G$62,DEALS!$M:$M,$B67,DEALS!$N:$N,"&lt;&gt;*RECEIVED*",DEALS!$N:$N,"&lt;&gt;*EXECUTED*"))+SUM(SUMIFS(DEALS!$R:$R,DEALS!$A:$A,{"*REFUND*","*EXECUTED*"},DEALS!$O:$O,$B$58,DEALS!$E:$E,"&lt;"&amp;$C$60,DEALS!$S:$S,G$62,DEALS!$U:$U,$B67,DEALS!$V:$V,"&lt;&gt;*RECEIVED*",DEALS!$V:$V,"&lt;&gt;*EXECUTED*"))</f>
        <v>0</v>
      </c>
      <c r="H67" s="29" cm="1">
        <f t="array" ref="H67">SUMIFS(BALANCES!$C:$C,BALANCES!$A:$A,$B$58,BALANCES!$B:$B,$B67,BALANCES!$D:$D,H$62)+SUMIFS(FLOWS!$C:$C,FLOWS!$A:$A,$B$58,FLOWS!$E:$E,$B67,FLOWS!$D:$D,H$62,FLOWS!$H:$H,"&lt;"&amp;$C$60)+SUM(SUMIFS(DEALS!$J:$J,DEALS!$A:$A,{"*REFUND*","*EXECUTED*"},DEALS!$G:$G,$B$58,DEALS!$E:$E,"&lt;"&amp;$C$60,DEALS!$K:$K,H$62,DEALS!$M:$M,$B67,DEALS!$N:$N,"&lt;&gt;*RECEIVED*",DEALS!$N:$N,"&lt;&gt;*EXECUTED*"))+SUM(SUMIFS(DEALS!$R:$R,DEALS!$A:$A,{"*REFUND*","*EXECUTED*"},DEALS!$O:$O,$B$58,DEALS!$E:$E,"&lt;"&amp;$C$60,DEALS!$S:$S,H$62,DEALS!$U:$U,$B67,DEALS!$V:$V,"&lt;&gt;*RECEIVED*",DEALS!$V:$V,"&lt;&gt;*EXECUTED*"))</f>
        <v>0</v>
      </c>
      <c r="I67" s="30">
        <f ca="1">C67*VLOOKUP(C$62,'FX RATES'!$E$1:$F$50,2,FALSE)+D67*VLOOKUP(D$62,'FX RATES'!$E$1:$F$50,2,FALSE)+E67*VLOOKUP(E$62,'FX RATES'!$E$1:$F$50,2,FALSE)+F67*VLOOKUP(F$62,'FX RATES'!$E$1:$F$50,2,FALSE)+G67*VLOOKUP(G$62,'FX RATES'!$E$1:$F$50,2,FALSE)+H67*VLOOKUP(H$62,'FX RATES'!$E$1:$F$50,2,FALSE)</f>
        <v>0</v>
      </c>
      <c r="K67" s="28">
        <f t="shared" si="24"/>
        <v>0</v>
      </c>
      <c r="L67" s="29" cm="1">
        <f t="array" ref="L67">SUMIFS(FLOWS!$C:$C,FLOWS!$A:$A,$B$58,FLOWS!$E:$E,$K67,FLOWS!$D:$D,L$62,FLOWS!$H:$H,"&gt;="&amp;$C$60,FLOWS!$H:$H,"&lt;="&amp;$U$60)+SUM(SUMIFS(DEALS!$J:$J,DEALS!$A:$A,{"*REFUND*","*EXECUTED*"},DEALS!$G:$G,$B$58,DEALS!$E:$E,"&gt;="&amp;$C$60,DEALS!$E:$E,"&lt;="&amp;$U$60,DEALS!$K:$K,L$62,DEALS!$M:$M,$K67,DEALS!$N:$N,"&lt;&gt;*RECEIVED*",DEALS!$N:$N,"&lt;&gt;*EXECUTED*"))+SUM(SUMIFS(DEALS!$R:$R,DEALS!$A:$A,{"*REFUND*","*EXECUTED*"},DEALS!$O:$O,$B$58,DEALS!$E:$E,"&gt;="&amp;$C$60,DEALS!$E:$E,"&lt;="&amp;$U$60,DEALS!$S:$S,L$62,DEALS!$U:$U,$K67,DEALS!$V:$V,"&lt;&gt;*RECEIVED*",DEALS!$V:$V,"&lt;&gt;*EXECUTED*"))</f>
        <v>0</v>
      </c>
      <c r="M67" s="29" cm="1">
        <f t="array" ref="M67">SUMIFS(FLOWS!$C:$C,FLOWS!$A:$A,$B$58,FLOWS!$E:$E,$K67,FLOWS!$D:$D,M$62,FLOWS!$H:$H,"&gt;="&amp;$C$60,FLOWS!$H:$H,"&lt;="&amp;$U$60)+SUM(SUMIFS(DEALS!$J:$J,DEALS!$A:$A,{"*REFUND*","*EXECUTED*"},DEALS!$G:$G,$B$58,DEALS!$E:$E,"&gt;="&amp;$C$60,DEALS!$E:$E,"&lt;="&amp;$U$60,DEALS!$K:$K,M$62,DEALS!$M:$M,$K67,DEALS!$N:$N,"&lt;&gt;*RECEIVED*",DEALS!$N:$N,"&lt;&gt;*EXECUTED*"))+SUM(SUMIFS(DEALS!$R:$R,DEALS!$A:$A,{"*REFUND*","*EXECUTED*"},DEALS!$O:$O,$B$58,DEALS!$E:$E,"&gt;="&amp;$C$60,DEALS!$E:$E,"&lt;="&amp;$U$60,DEALS!$S:$S,M$62,DEALS!$U:$U,$K67,DEALS!$V:$V,"&lt;&gt;*RECEIVED*",DEALS!$V:$V,"&lt;&gt;*EXECUTED*"))</f>
        <v>0</v>
      </c>
      <c r="N67" s="29" cm="1">
        <f t="array" ref="N67">SUMIFS(FLOWS!$C:$C,FLOWS!$A:$A,$B$58,FLOWS!$E:$E,$K67,FLOWS!$D:$D,N$62,FLOWS!$H:$H,"&gt;="&amp;$C$60,FLOWS!$H:$H,"&lt;="&amp;$U$60)+SUM(SUMIFS(DEALS!$J:$J,DEALS!$A:$A,{"*REFUND*","*EXECUTED*"},DEALS!$G:$G,$B$58,DEALS!$E:$E,"&gt;="&amp;$C$60,DEALS!$E:$E,"&lt;="&amp;$U$60,DEALS!$K:$K,N$62,DEALS!$M:$M,$K67,DEALS!$N:$N,"&lt;&gt;*RECEIVED*",DEALS!$N:$N,"&lt;&gt;*EXECUTED*"))+SUM(SUMIFS(DEALS!$R:$R,DEALS!$A:$A,{"*REFUND*","*EXECUTED*"},DEALS!$O:$O,$B$58,DEALS!$E:$E,"&gt;="&amp;$C$60,DEALS!$E:$E,"&lt;="&amp;$U$60,DEALS!$S:$S,N$62,DEALS!$U:$U,$K67,DEALS!$V:$V,"&lt;&gt;*RECEIVED*",DEALS!$V:$V,"&lt;&gt;*EXECUTED*"))</f>
        <v>0</v>
      </c>
      <c r="O67" s="29" cm="1">
        <f t="array" ref="O67">SUMIFS(FLOWS!$C:$C,FLOWS!$A:$A,$B$58,FLOWS!$E:$E,$K67,FLOWS!$D:$D,O$62,FLOWS!$H:$H,"&gt;="&amp;$C$60,FLOWS!$H:$H,"&lt;="&amp;$U$60)+SUM(SUMIFS(DEALS!$J:$J,DEALS!$A:$A,{"*REFUND*","*EXECUTED*"},DEALS!$G:$G,$B$58,DEALS!$E:$E,"&gt;="&amp;$C$60,DEALS!$E:$E,"&lt;="&amp;$U$60,DEALS!$K:$K,O$62,DEALS!$M:$M,$K67,DEALS!$N:$N,"&lt;&gt;*RECEIVED*",DEALS!$N:$N,"&lt;&gt;*EXECUTED*"))+SUM(SUMIFS(DEALS!$R:$R,DEALS!$A:$A,{"*REFUND*","*EXECUTED*"},DEALS!$O:$O,$B$58,DEALS!$E:$E,"&gt;="&amp;$C$60,DEALS!$E:$E,"&lt;="&amp;$U$60,DEALS!$S:$S,O$62,DEALS!$U:$U,$K67,DEALS!$V:$V,"&lt;&gt;*RECEIVED*",DEALS!$V:$V,"&lt;&gt;*EXECUTED*"))</f>
        <v>0</v>
      </c>
      <c r="P67" s="29" cm="1">
        <f t="array" ref="P67">SUMIFS(FLOWS!$C:$C,FLOWS!$A:$A,$B$58,FLOWS!$E:$E,$K67,FLOWS!$D:$D,P$62,FLOWS!$H:$H,"&gt;="&amp;$C$60,FLOWS!$H:$H,"&lt;="&amp;$U$60)+SUM(SUMIFS(DEALS!$J:$J,DEALS!$A:$A,{"*REFUND*","*EXECUTED*"},DEALS!$G:$G,$B$58,DEALS!$E:$E,"&gt;="&amp;$C$60,DEALS!$E:$E,"&lt;="&amp;$U$60,DEALS!$K:$K,P$62,DEALS!$M:$M,$K67,DEALS!$N:$N,"&lt;&gt;*RECEIVED*",DEALS!$N:$N,"&lt;&gt;*EXECUTED*"))+SUM(SUMIFS(DEALS!$R:$R,DEALS!$A:$A,{"*REFUND*","*EXECUTED*"},DEALS!$O:$O,$B$58,DEALS!$E:$E,"&gt;="&amp;$C$60,DEALS!$E:$E,"&lt;="&amp;$U$60,DEALS!$S:$S,P$62,DEALS!$U:$U,$K67,DEALS!$V:$V,"&lt;&gt;*RECEIVED*",DEALS!$V:$V,"&lt;&gt;*EXECUTED*"))</f>
        <v>0</v>
      </c>
      <c r="Q67" s="29" cm="1">
        <f t="array" ref="Q67">SUMIFS(FLOWS!$C:$C,FLOWS!$A:$A,$B$58,FLOWS!$E:$E,$K67,FLOWS!$D:$D,Q$62,FLOWS!$H:$H,"&gt;="&amp;$C$60,FLOWS!$H:$H,"&lt;="&amp;$U$60)+SUM(SUMIFS(DEALS!$J:$J,DEALS!$A:$A,{"*REFUND*","*EXECUTED*"},DEALS!$G:$G,$B$58,DEALS!$E:$E,"&gt;="&amp;$C$60,DEALS!$E:$E,"&lt;="&amp;$U$60,DEALS!$K:$K,Q$62,DEALS!$M:$M,$K67,DEALS!$N:$N,"&lt;&gt;*RECEIVED*",DEALS!$N:$N,"&lt;&gt;*EXECUTED*"))+SUM(SUMIFS(DEALS!$R:$R,DEALS!$A:$A,{"*REFUND*","*EXECUTED*"},DEALS!$O:$O,$B$58,DEALS!$E:$E,"&gt;="&amp;$C$60,DEALS!$E:$E,"&lt;="&amp;$U$60,DEALS!$S:$S,Q$62,DEALS!$U:$U,$K67,DEALS!$V:$V,"&lt;&gt;*RECEIVED*",DEALS!$V:$V,"&lt;&gt;*EXECUTED*"))</f>
        <v>0</v>
      </c>
      <c r="R67" s="30">
        <f ca="1">L67*VLOOKUP(L$62,'FX RATES'!$E$1:$F$50,2,FALSE)+M67*VLOOKUP(M$62,'FX RATES'!$E$1:$F$50,2,FALSE)+N67*VLOOKUP(N$62,'FX RATES'!$E$1:$F$50,2,FALSE)+O67*VLOOKUP(O$62,'FX RATES'!$E$1:$F$50,2,FALSE)+P67*VLOOKUP(P$62,'FX RATES'!$E$1:$F$50,2,FALSE)+Q67*VLOOKUP(Q$62,'FX RATES'!$E$1:$F$50,2,FALSE)</f>
        <v>0</v>
      </c>
      <c r="T67" s="28">
        <f t="shared" si="25"/>
        <v>0</v>
      </c>
      <c r="U67" s="29" cm="1">
        <f t="array" ref="U67">SUMIFS(BALANCES!$C:$C,BALANCES!$A:$A,$B$58,BALANCES!$B:$B,$T67,BALANCES!$D:$D,U$62)+SUMIFS(FLOWS!$C:$C,FLOWS!$A:$A,$B$58,FLOWS!$E:$E,$T67,FLOWS!$D:$D,U$62,FLOWS!$H:$H,"&lt;="&amp;$U$60)+SUM(SUMIFS(DEALS!$J:$J,DEALS!$A:$A,{"*REFUND*","*EXECUTED*"},DEALS!$G:$G,$B$58,DEALS!$E:$E,"&lt;="&amp;$U$60,DEALS!$K:$K,U$62,DEALS!$M:$M,$T67,DEALS!$N:$N,"&lt;&gt;*RECEIVED*",DEALS!$N:$N,"&lt;&gt;*EXECUTED*"))+SUM(SUMIFS(DEALS!$R:$R,DEALS!$A:$A,{"*REFUND*","*EXECUTED*"},DEALS!$O:$O,$B$58,DEALS!$E:$E,"&lt;="&amp;$U$60,DEALS!$S:$S,U$62,DEALS!$U:$U,$T67,DEALS!$V:$V,"&lt;&gt;*RECEIVED*",DEALS!$V:$V,"&lt;&gt;*EXECUTED*"))</f>
        <v>0</v>
      </c>
      <c r="V67" s="29" cm="1">
        <f t="array" ref="V67">SUMIFS(BALANCES!$C:$C,BALANCES!$A:$A,$B$58,BALANCES!$B:$B,$T67,BALANCES!$D:$D,V$62)+SUMIFS(FLOWS!$C:$C,FLOWS!$A:$A,$B$58,FLOWS!$E:$E,$T67,FLOWS!$D:$D,V$62,FLOWS!$H:$H,"&lt;="&amp;$U$60)+SUM(SUMIFS(DEALS!$J:$J,DEALS!$A:$A,{"*REFUND*","*EXECUTED*"},DEALS!$G:$G,$B$58,DEALS!$E:$E,"&lt;="&amp;$U$60,DEALS!$K:$K,V$62,DEALS!$M:$M,$T67,DEALS!$N:$N,"&lt;&gt;*RECEIVED*",DEALS!$N:$N,"&lt;&gt;*EXECUTED*"))+SUM(SUMIFS(DEALS!$R:$R,DEALS!$A:$A,{"*REFUND*","*EXECUTED*"},DEALS!$O:$O,$B$58,DEALS!$E:$E,"&lt;="&amp;$U$60,DEALS!$S:$S,V$62,DEALS!$U:$U,$T67,DEALS!$V:$V,"&lt;&gt;*RECEIVED*",DEALS!$V:$V,"&lt;&gt;*EXECUTED*"))</f>
        <v>0</v>
      </c>
      <c r="W67" s="29" cm="1">
        <f t="array" ref="W67">SUMIFS(BALANCES!$C:$C,BALANCES!$A:$A,$B$58,BALANCES!$B:$B,$T67,BALANCES!$D:$D,W$62)+SUMIFS(FLOWS!$C:$C,FLOWS!$A:$A,$B$58,FLOWS!$E:$E,$T67,FLOWS!$D:$D,W$62,FLOWS!$H:$H,"&lt;="&amp;$U$60)+SUM(SUMIFS(DEALS!$J:$J,DEALS!$A:$A,{"*REFUND*","*EXECUTED*"},DEALS!$G:$G,$B$58,DEALS!$E:$E,"&lt;="&amp;$U$60,DEALS!$K:$K,W$62,DEALS!$M:$M,$T67,DEALS!$N:$N,"&lt;&gt;*RECEIVED*",DEALS!$N:$N,"&lt;&gt;*EXECUTED*"))+SUM(SUMIFS(DEALS!$R:$R,DEALS!$A:$A,{"*REFUND*","*EXECUTED*"},DEALS!$O:$O,$B$58,DEALS!$E:$E,"&lt;="&amp;$U$60,DEALS!$S:$S,W$62,DEALS!$U:$U,$T67,DEALS!$V:$V,"&lt;&gt;*RECEIVED*",DEALS!$V:$V,"&lt;&gt;*EXECUTED*"))</f>
        <v>0</v>
      </c>
      <c r="X67" s="29" cm="1">
        <f t="array" ref="X67">SUMIFS(BALANCES!$C:$C,BALANCES!$A:$A,$B$58,BALANCES!$B:$B,$T67,BALANCES!$D:$D,X$62)+SUMIFS(FLOWS!$C:$C,FLOWS!$A:$A,$B$58,FLOWS!$E:$E,$T67,FLOWS!$D:$D,X$62,FLOWS!$H:$H,"&lt;="&amp;$U$60)+SUM(SUMIFS(DEALS!$J:$J,DEALS!$A:$A,{"*REFUND*","*EXECUTED*"},DEALS!$G:$G,$B$58,DEALS!$E:$E,"&lt;="&amp;$U$60,DEALS!$K:$K,X$62,DEALS!$M:$M,$T67,DEALS!$N:$N,"&lt;&gt;*RECEIVED*",DEALS!$N:$N,"&lt;&gt;*EXECUTED*"))+SUM(SUMIFS(DEALS!$R:$R,DEALS!$A:$A,{"*REFUND*","*EXECUTED*"},DEALS!$O:$O,$B$58,DEALS!$E:$E,"&lt;="&amp;$U$60,DEALS!$S:$S,X$62,DEALS!$U:$U,$T67,DEALS!$V:$V,"&lt;&gt;*RECEIVED*",DEALS!$V:$V,"&lt;&gt;*EXECUTED*"))</f>
        <v>0</v>
      </c>
      <c r="Y67" s="29" cm="1">
        <f t="array" ref="Y67">SUMIFS(BALANCES!$C:$C,BALANCES!$A:$A,$B$58,BALANCES!$B:$B,$T67,BALANCES!$D:$D,Y$62)+SUMIFS(FLOWS!$C:$C,FLOWS!$A:$A,$B$58,FLOWS!$E:$E,$T67,FLOWS!$D:$D,Y$62,FLOWS!$H:$H,"&lt;="&amp;$U$60)+SUM(SUMIFS(DEALS!$J:$J,DEALS!$A:$A,{"*REFUND*","*EXECUTED*"},DEALS!$G:$G,$B$58,DEALS!$E:$E,"&lt;="&amp;$U$60,DEALS!$K:$K,Y$62,DEALS!$M:$M,$T67,DEALS!$N:$N,"&lt;&gt;*RECEIVED*",DEALS!$N:$N,"&lt;&gt;*EXECUTED*"))+SUM(SUMIFS(DEALS!$R:$R,DEALS!$A:$A,{"*REFUND*","*EXECUTED*"},DEALS!$O:$O,$B$58,DEALS!$E:$E,"&lt;="&amp;$U$60,DEALS!$S:$S,Y$62,DEALS!$U:$U,$T67,DEALS!$V:$V,"&lt;&gt;*RECEIVED*",DEALS!$V:$V,"&lt;&gt;*EXECUTED*"))</f>
        <v>0</v>
      </c>
      <c r="Z67" s="29" cm="1">
        <f t="array" ref="Z67">SUMIFS(BALANCES!$C:$C,BALANCES!$A:$A,$B$58,BALANCES!$B:$B,$T67,BALANCES!$D:$D,Z$62)+SUMIFS(FLOWS!$C:$C,FLOWS!$A:$A,$B$58,FLOWS!$E:$E,$T67,FLOWS!$D:$D,Z$62,FLOWS!$H:$H,"&lt;="&amp;$U$60)+SUM(SUMIFS(DEALS!$J:$J,DEALS!$A:$A,{"*REFUND*","*EXECUTED*"},DEALS!$G:$G,$B$58,DEALS!$E:$E,"&lt;="&amp;$U$60,DEALS!$K:$K,Z$62,DEALS!$M:$M,$T67,DEALS!$N:$N,"&lt;&gt;*RECEIVED*",DEALS!$N:$N,"&lt;&gt;*EXECUTED*"))+SUM(SUMIFS(DEALS!$R:$R,DEALS!$A:$A,{"*REFUND*","*EXECUTED*"},DEALS!$O:$O,$B$58,DEALS!$E:$E,"&lt;="&amp;$U$60,DEALS!$S:$S,Z$62,DEALS!$U:$U,$T67,DEALS!$V:$V,"&lt;&gt;*RECEIVED*",DEALS!$V:$V,"&lt;&gt;*EXECUTED*"))</f>
        <v>0</v>
      </c>
      <c r="AA67" s="30">
        <f ca="1">U67*VLOOKUP(U$62,'FX RATES'!$E$1:$F$50,2,FALSE)+V67*VLOOKUP(V$62,'FX RATES'!$E$1:$F$50,2,FALSE)+W67*VLOOKUP(W$62,'FX RATES'!$E$1:$F$50,2,FALSE)+X67*VLOOKUP(X$62,'FX RATES'!$E$1:$F$50,2,FALSE)+Y67*VLOOKUP(Y$62,'FX RATES'!$E$1:$F$50,2,FALSE)+Z67*VLOOKUP(Z$62,'FX RATES'!$E$1:$F$50,2,FALSE)</f>
        <v>0</v>
      </c>
      <c r="AC67" s="139">
        <f t="shared" ca="1" si="26"/>
        <v>0</v>
      </c>
    </row>
    <row r="68" spans="2:29" ht="19" hidden="1">
      <c r="B68" s="31"/>
      <c r="C68" s="32" cm="1">
        <f t="array" ref="C68">SUMIFS(BALANCES!$C:$C,BALANCES!$A:$A,$B$58,BALANCES!$B:$B,$B68,BALANCES!$D:$D,C$62)+SUMIFS(FLOWS!$C:$C,FLOWS!$A:$A,$B$58,FLOWS!$E:$E,$B68,FLOWS!$D:$D,C$62,FLOWS!$H:$H,"&lt;"&amp;$C$60)+SUM(SUMIFS(DEALS!$J:$J,DEALS!$A:$A,{"*REFUND*","*EXECUTED*"},DEALS!$G:$G,$B$58,DEALS!$E:$E,"&lt;"&amp;$C$60,DEALS!$K:$K,C$62,DEALS!$M:$M,$B68,DEALS!$N:$N,"&lt;&gt;*RECEIVED*",DEALS!$N:$N,"&lt;&gt;*EXECUTED*"))+SUM(SUMIFS(DEALS!$R:$R,DEALS!$A:$A,{"*REFUND*","*EXECUTED*"},DEALS!$O:$O,$B$58,DEALS!$E:$E,"&lt;"&amp;$C$60,DEALS!$S:$S,C$62,DEALS!$U:$U,$B68,DEALS!$V:$V,"&lt;&gt;*RECEIVED*",DEALS!$V:$V,"&lt;&gt;*EXECUTED*"))</f>
        <v>0</v>
      </c>
      <c r="D68" s="32" cm="1">
        <f t="array" ref="D68">SUMIFS(BALANCES!$C:$C,BALANCES!$A:$A,$B$58,BALANCES!$B:$B,$B68,BALANCES!$D:$D,D$62)+SUMIFS(FLOWS!$C:$C,FLOWS!$A:$A,$B$58,FLOWS!$E:$E,$B68,FLOWS!$D:$D,D$62,FLOWS!$H:$H,"&lt;"&amp;$C$60)+SUM(SUMIFS(DEALS!$J:$J,DEALS!$A:$A,{"*REFUND*","*EXECUTED*"},DEALS!$G:$G,$B$58,DEALS!$E:$E,"&lt;"&amp;$C$60,DEALS!$K:$K,D$62,DEALS!$M:$M,$B68,DEALS!$N:$N,"&lt;&gt;*RECEIVED*",DEALS!$N:$N,"&lt;&gt;*EXECUTED*"))+SUM(SUMIFS(DEALS!$R:$R,DEALS!$A:$A,{"*REFUND*","*EXECUTED*"},DEALS!$O:$O,$B$58,DEALS!$E:$E,"&lt;"&amp;$C$60,DEALS!$S:$S,D$62,DEALS!$U:$U,$B68,DEALS!$V:$V,"&lt;&gt;*RECEIVED*",DEALS!$V:$V,"&lt;&gt;*EXECUTED*"))</f>
        <v>0</v>
      </c>
      <c r="E68" s="32" cm="1">
        <f t="array" ref="E68">SUMIFS(BALANCES!$C:$C,BALANCES!$A:$A,$B$58,BALANCES!$B:$B,$B68,BALANCES!$D:$D,E$62)+SUMIFS(FLOWS!$C:$C,FLOWS!$A:$A,$B$58,FLOWS!$E:$E,$B68,FLOWS!$D:$D,E$62,FLOWS!$H:$H,"&lt;"&amp;$C$60)+SUM(SUMIFS(DEALS!$J:$J,DEALS!$A:$A,{"*REFUND*","*EXECUTED*"},DEALS!$G:$G,$B$58,DEALS!$E:$E,"&lt;"&amp;$C$60,DEALS!$K:$K,E$62,DEALS!$M:$M,$B68,DEALS!$N:$N,"&lt;&gt;*RECEIVED*",DEALS!$N:$N,"&lt;&gt;*EXECUTED*"))+SUM(SUMIFS(DEALS!$R:$R,DEALS!$A:$A,{"*REFUND*","*EXECUTED*"},DEALS!$O:$O,$B$58,DEALS!$E:$E,"&lt;"&amp;$C$60,DEALS!$S:$S,E$62,DEALS!$U:$U,$B68,DEALS!$V:$V,"&lt;&gt;*RECEIVED*",DEALS!$V:$V,"&lt;&gt;*EXECUTED*"))</f>
        <v>0</v>
      </c>
      <c r="F68" s="32" cm="1">
        <f t="array" ref="F68">SUMIFS(BALANCES!$C:$C,BALANCES!$A:$A,$B$58,BALANCES!$B:$B,$B68,BALANCES!$D:$D,F$62)+SUMIFS(FLOWS!$C:$C,FLOWS!$A:$A,$B$58,FLOWS!$E:$E,$B68,FLOWS!$D:$D,F$62,FLOWS!$H:$H,"&lt;"&amp;$C$60)+SUM(SUMIFS(DEALS!$J:$J,DEALS!$A:$A,{"*REFUND*","*EXECUTED*"},DEALS!$G:$G,$B$58,DEALS!$E:$E,"&lt;"&amp;$C$60,DEALS!$K:$K,F$62,DEALS!$M:$M,$B68,DEALS!$N:$N,"&lt;&gt;*RECEIVED*",DEALS!$N:$N,"&lt;&gt;*EXECUTED*"))+SUM(SUMIFS(DEALS!$R:$R,DEALS!$A:$A,{"*REFUND*","*EXECUTED*"},DEALS!$O:$O,$B$58,DEALS!$E:$E,"&lt;"&amp;$C$60,DEALS!$S:$S,F$62,DEALS!$U:$U,$B68,DEALS!$V:$V,"&lt;&gt;*RECEIVED*",DEALS!$V:$V,"&lt;&gt;*EXECUTED*"))</f>
        <v>0</v>
      </c>
      <c r="G68" s="32" cm="1">
        <f t="array" ref="G68">SUMIFS(BALANCES!$C:$C,BALANCES!$A:$A,$B$58,BALANCES!$B:$B,$B68,BALANCES!$D:$D,G$62)+SUMIFS(FLOWS!$C:$C,FLOWS!$A:$A,$B$58,FLOWS!$E:$E,$B68,FLOWS!$D:$D,G$62,FLOWS!$H:$H,"&lt;"&amp;$C$60)+SUM(SUMIFS(DEALS!$J:$J,DEALS!$A:$A,{"*REFUND*","*EXECUTED*"},DEALS!$G:$G,$B$58,DEALS!$E:$E,"&lt;"&amp;$C$60,DEALS!$K:$K,G$62,DEALS!$M:$M,$B68,DEALS!$N:$N,"&lt;&gt;*RECEIVED*",DEALS!$N:$N,"&lt;&gt;*EXECUTED*"))+SUM(SUMIFS(DEALS!$R:$R,DEALS!$A:$A,{"*REFUND*","*EXECUTED*"},DEALS!$O:$O,$B$58,DEALS!$E:$E,"&lt;"&amp;$C$60,DEALS!$S:$S,G$62,DEALS!$U:$U,$B68,DEALS!$V:$V,"&lt;&gt;*RECEIVED*",DEALS!$V:$V,"&lt;&gt;*EXECUTED*"))</f>
        <v>0</v>
      </c>
      <c r="H68" s="32" cm="1">
        <f t="array" ref="H68">SUMIFS(BALANCES!$C:$C,BALANCES!$A:$A,$B$58,BALANCES!$B:$B,$B68,BALANCES!$D:$D,H$62)+SUMIFS(FLOWS!$C:$C,FLOWS!$A:$A,$B$58,FLOWS!$E:$E,$B68,FLOWS!$D:$D,H$62,FLOWS!$H:$H,"&lt;"&amp;$C$60)+SUM(SUMIFS(DEALS!$J:$J,DEALS!$A:$A,{"*REFUND*","*EXECUTED*"},DEALS!$G:$G,$B$58,DEALS!$E:$E,"&lt;"&amp;$C$60,DEALS!$K:$K,H$62,DEALS!$M:$M,$B68,DEALS!$N:$N,"&lt;&gt;*RECEIVED*",DEALS!$N:$N,"&lt;&gt;*EXECUTED*"))+SUM(SUMIFS(DEALS!$R:$R,DEALS!$A:$A,{"*REFUND*","*EXECUTED*"},DEALS!$O:$O,$B$58,DEALS!$E:$E,"&lt;"&amp;$C$60,DEALS!$S:$S,H$62,DEALS!$U:$U,$B68,DEALS!$V:$V,"&lt;&gt;*RECEIVED*",DEALS!$V:$V,"&lt;&gt;*EXECUTED*"))</f>
        <v>0</v>
      </c>
      <c r="I68" s="33">
        <f ca="1">C68*VLOOKUP(C$62,'FX RATES'!$E$1:$F$50,2,FALSE)+D68*VLOOKUP(D$62,'FX RATES'!$E$1:$F$50,2,FALSE)+E68*VLOOKUP(E$62,'FX RATES'!$E$1:$F$50,2,FALSE)+F68*VLOOKUP(F$62,'FX RATES'!$E$1:$F$50,2,FALSE)+G68*VLOOKUP(G$62,'FX RATES'!$E$1:$F$50,2,FALSE)+H68*VLOOKUP(H$62,'FX RATES'!$E$1:$F$50,2,FALSE)</f>
        <v>0</v>
      </c>
      <c r="K68" s="31">
        <f t="shared" si="24"/>
        <v>0</v>
      </c>
      <c r="L68" s="32" cm="1">
        <f t="array" ref="L68">SUMIFS(FLOWS!$C:$C,FLOWS!$A:$A,$B$58,FLOWS!$E:$E,$K68,FLOWS!$D:$D,L$62,FLOWS!$H:$H,"&gt;="&amp;$C$60,FLOWS!$H:$H,"&lt;="&amp;$U$60)+SUM(SUMIFS(DEALS!$J:$J,DEALS!$A:$A,{"*REFUND*","*EXECUTED*"},DEALS!$G:$G,$B$58,DEALS!$E:$E,"&gt;="&amp;$C$60,DEALS!$E:$E,"&lt;="&amp;$U$60,DEALS!$K:$K,L$62,DEALS!$M:$M,$K68,DEALS!$N:$N,"&lt;&gt;*RECEIVED*",DEALS!$N:$N,"&lt;&gt;*EXECUTED*"))+SUM(SUMIFS(DEALS!$R:$R,DEALS!$A:$A,{"*REFUND*","*EXECUTED*"},DEALS!$O:$O,$B$58,DEALS!$E:$E,"&gt;="&amp;$C$60,DEALS!$E:$E,"&lt;="&amp;$U$60,DEALS!$S:$S,L$62,DEALS!$U:$U,$K68,DEALS!$V:$V,"&lt;&gt;*RECEIVED*",DEALS!$V:$V,"&lt;&gt;*EXECUTED*"))</f>
        <v>0</v>
      </c>
      <c r="M68" s="32" cm="1">
        <f t="array" ref="M68">SUMIFS(FLOWS!$C:$C,FLOWS!$A:$A,$B$58,FLOWS!$E:$E,$K68,FLOWS!$D:$D,M$62,FLOWS!$H:$H,"&gt;="&amp;$C$60,FLOWS!$H:$H,"&lt;="&amp;$U$60)+SUM(SUMIFS(DEALS!$J:$J,DEALS!$A:$A,{"*REFUND*","*EXECUTED*"},DEALS!$G:$G,$B$58,DEALS!$E:$E,"&gt;="&amp;$C$60,DEALS!$E:$E,"&lt;="&amp;$U$60,DEALS!$K:$K,M$62,DEALS!$M:$M,$K68,DEALS!$N:$N,"&lt;&gt;*RECEIVED*",DEALS!$N:$N,"&lt;&gt;*EXECUTED*"))+SUM(SUMIFS(DEALS!$R:$R,DEALS!$A:$A,{"*REFUND*","*EXECUTED*"},DEALS!$O:$O,$B$58,DEALS!$E:$E,"&gt;="&amp;$C$60,DEALS!$E:$E,"&lt;="&amp;$U$60,DEALS!$S:$S,M$62,DEALS!$U:$U,$K68,DEALS!$V:$V,"&lt;&gt;*RECEIVED*",DEALS!$V:$V,"&lt;&gt;*EXECUTED*"))</f>
        <v>0</v>
      </c>
      <c r="N68" s="32" cm="1">
        <f t="array" ref="N68">SUMIFS(FLOWS!$C:$C,FLOWS!$A:$A,$B$58,FLOWS!$E:$E,$K68,FLOWS!$D:$D,N$62,FLOWS!$H:$H,"&gt;="&amp;$C$60,FLOWS!$H:$H,"&lt;="&amp;$U$60)+SUM(SUMIFS(DEALS!$J:$J,DEALS!$A:$A,{"*REFUND*","*EXECUTED*"},DEALS!$G:$G,$B$58,DEALS!$E:$E,"&gt;="&amp;$C$60,DEALS!$E:$E,"&lt;="&amp;$U$60,DEALS!$K:$K,N$62,DEALS!$M:$M,$K68,DEALS!$N:$N,"&lt;&gt;*RECEIVED*",DEALS!$N:$N,"&lt;&gt;*EXECUTED*"))+SUM(SUMIFS(DEALS!$R:$R,DEALS!$A:$A,{"*REFUND*","*EXECUTED*"},DEALS!$O:$O,$B$58,DEALS!$E:$E,"&gt;="&amp;$C$60,DEALS!$E:$E,"&lt;="&amp;$U$60,DEALS!$S:$S,N$62,DEALS!$U:$U,$K68,DEALS!$V:$V,"&lt;&gt;*RECEIVED*",DEALS!$V:$V,"&lt;&gt;*EXECUTED*"))</f>
        <v>0</v>
      </c>
      <c r="O68" s="32" cm="1">
        <f t="array" ref="O68">SUMIFS(FLOWS!$C:$C,FLOWS!$A:$A,$B$58,FLOWS!$E:$E,$K68,FLOWS!$D:$D,O$62,FLOWS!$H:$H,"&gt;="&amp;$C$60,FLOWS!$H:$H,"&lt;="&amp;$U$60)+SUM(SUMIFS(DEALS!$J:$J,DEALS!$A:$A,{"*REFUND*","*EXECUTED*"},DEALS!$G:$G,$B$58,DEALS!$E:$E,"&gt;="&amp;$C$60,DEALS!$E:$E,"&lt;="&amp;$U$60,DEALS!$K:$K,O$62,DEALS!$M:$M,$K68,DEALS!$N:$N,"&lt;&gt;*RECEIVED*",DEALS!$N:$N,"&lt;&gt;*EXECUTED*"))+SUM(SUMIFS(DEALS!$R:$R,DEALS!$A:$A,{"*REFUND*","*EXECUTED*"},DEALS!$O:$O,$B$58,DEALS!$E:$E,"&gt;="&amp;$C$60,DEALS!$E:$E,"&lt;="&amp;$U$60,DEALS!$S:$S,O$62,DEALS!$U:$U,$K68,DEALS!$V:$V,"&lt;&gt;*RECEIVED*",DEALS!$V:$V,"&lt;&gt;*EXECUTED*"))</f>
        <v>0</v>
      </c>
      <c r="P68" s="32" cm="1">
        <f t="array" ref="P68">SUMIFS(FLOWS!$C:$C,FLOWS!$A:$A,$B$58,FLOWS!$E:$E,$K68,FLOWS!$D:$D,P$62,FLOWS!$H:$H,"&gt;="&amp;$C$60,FLOWS!$H:$H,"&lt;="&amp;$U$60)+SUM(SUMIFS(DEALS!$J:$J,DEALS!$A:$A,{"*REFUND*","*EXECUTED*"},DEALS!$G:$G,$B$58,DEALS!$E:$E,"&gt;="&amp;$C$60,DEALS!$E:$E,"&lt;="&amp;$U$60,DEALS!$K:$K,P$62,DEALS!$M:$M,$K68,DEALS!$N:$N,"&lt;&gt;*RECEIVED*",DEALS!$N:$N,"&lt;&gt;*EXECUTED*"))+SUM(SUMIFS(DEALS!$R:$R,DEALS!$A:$A,{"*REFUND*","*EXECUTED*"},DEALS!$O:$O,$B$58,DEALS!$E:$E,"&gt;="&amp;$C$60,DEALS!$E:$E,"&lt;="&amp;$U$60,DEALS!$S:$S,P$62,DEALS!$U:$U,$K68,DEALS!$V:$V,"&lt;&gt;*RECEIVED*",DEALS!$V:$V,"&lt;&gt;*EXECUTED*"))</f>
        <v>0</v>
      </c>
      <c r="Q68" s="32" cm="1">
        <f t="array" ref="Q68">SUMIFS(FLOWS!$C:$C,FLOWS!$A:$A,$B$58,FLOWS!$E:$E,$K68,FLOWS!$D:$D,Q$62,FLOWS!$H:$H,"&gt;="&amp;$C$60,FLOWS!$H:$H,"&lt;="&amp;$U$60)+SUM(SUMIFS(DEALS!$J:$J,DEALS!$A:$A,{"*REFUND*","*EXECUTED*"},DEALS!$G:$G,$B$58,DEALS!$E:$E,"&gt;="&amp;$C$60,DEALS!$E:$E,"&lt;="&amp;$U$60,DEALS!$K:$K,Q$62,DEALS!$M:$M,$K68,DEALS!$N:$N,"&lt;&gt;*RECEIVED*",DEALS!$N:$N,"&lt;&gt;*EXECUTED*"))+SUM(SUMIFS(DEALS!$R:$R,DEALS!$A:$A,{"*REFUND*","*EXECUTED*"},DEALS!$O:$O,$B$58,DEALS!$E:$E,"&gt;="&amp;$C$60,DEALS!$E:$E,"&lt;="&amp;$U$60,DEALS!$S:$S,Q$62,DEALS!$U:$U,$K68,DEALS!$V:$V,"&lt;&gt;*RECEIVED*",DEALS!$V:$V,"&lt;&gt;*EXECUTED*"))</f>
        <v>0</v>
      </c>
      <c r="R68" s="33">
        <f ca="1">L68*VLOOKUP(L$62,'FX RATES'!$E$1:$F$50,2,FALSE)+M68*VLOOKUP(M$62,'FX RATES'!$E$1:$F$50,2,FALSE)+N68*VLOOKUP(N$62,'FX RATES'!$E$1:$F$50,2,FALSE)+O68*VLOOKUP(O$62,'FX RATES'!$E$1:$F$50,2,FALSE)+P68*VLOOKUP(P$62,'FX RATES'!$E$1:$F$50,2,FALSE)+Q68*VLOOKUP(Q$62,'FX RATES'!$E$1:$F$50,2,FALSE)</f>
        <v>0</v>
      </c>
      <c r="T68" s="31">
        <f t="shared" si="25"/>
        <v>0</v>
      </c>
      <c r="U68" s="32" cm="1">
        <f t="array" ref="U68">SUMIFS(BALANCES!$C:$C,BALANCES!$A:$A,$B$58,BALANCES!$B:$B,$T68,BALANCES!$D:$D,U$62)+SUMIFS(FLOWS!$C:$C,FLOWS!$A:$A,$B$58,FLOWS!$E:$E,$T68,FLOWS!$D:$D,U$62,FLOWS!$H:$H,"&lt;="&amp;$U$60)+SUM(SUMIFS(DEALS!$J:$J,DEALS!$A:$A,{"*REFUND*","*EXECUTED*"},DEALS!$G:$G,$B$58,DEALS!$E:$E,"&lt;="&amp;$U$60,DEALS!$K:$K,U$62,DEALS!$M:$M,$T68,DEALS!$N:$N,"&lt;&gt;*RECEIVED*",DEALS!$N:$N,"&lt;&gt;*EXECUTED*"))+SUM(SUMIFS(DEALS!$R:$R,DEALS!$A:$A,{"*REFUND*","*EXECUTED*"},DEALS!$O:$O,$B$58,DEALS!$E:$E,"&lt;="&amp;$U$60,DEALS!$S:$S,U$62,DEALS!$U:$U,$T68,DEALS!$V:$V,"&lt;&gt;*RECEIVED*",DEALS!$V:$V,"&lt;&gt;*EXECUTED*"))</f>
        <v>0</v>
      </c>
      <c r="V68" s="32" cm="1">
        <f t="array" ref="V68">SUMIFS(BALANCES!$C:$C,BALANCES!$A:$A,$B$58,BALANCES!$B:$B,$T68,BALANCES!$D:$D,V$62)+SUMIFS(FLOWS!$C:$C,FLOWS!$A:$A,$B$58,FLOWS!$E:$E,$T68,FLOWS!$D:$D,V$62,FLOWS!$H:$H,"&lt;="&amp;$U$60)+SUM(SUMIFS(DEALS!$J:$J,DEALS!$A:$A,{"*REFUND*","*EXECUTED*"},DEALS!$G:$G,$B$58,DEALS!$E:$E,"&lt;="&amp;$U$60,DEALS!$K:$K,V$62,DEALS!$M:$M,$T68,DEALS!$N:$N,"&lt;&gt;*RECEIVED*",DEALS!$N:$N,"&lt;&gt;*EXECUTED*"))+SUM(SUMIFS(DEALS!$R:$R,DEALS!$A:$A,{"*REFUND*","*EXECUTED*"},DEALS!$O:$O,$B$58,DEALS!$E:$E,"&lt;="&amp;$U$60,DEALS!$S:$S,V$62,DEALS!$U:$U,$T68,DEALS!$V:$V,"&lt;&gt;*RECEIVED*",DEALS!$V:$V,"&lt;&gt;*EXECUTED*"))</f>
        <v>0</v>
      </c>
      <c r="W68" s="32" cm="1">
        <f t="array" ref="W68">SUMIFS(BALANCES!$C:$C,BALANCES!$A:$A,$B$58,BALANCES!$B:$B,$T68,BALANCES!$D:$D,W$62)+SUMIFS(FLOWS!$C:$C,FLOWS!$A:$A,$B$58,FLOWS!$E:$E,$T68,FLOWS!$D:$D,W$62,FLOWS!$H:$H,"&lt;="&amp;$U$60)+SUM(SUMIFS(DEALS!$J:$J,DEALS!$A:$A,{"*REFUND*","*EXECUTED*"},DEALS!$G:$G,$B$58,DEALS!$E:$E,"&lt;="&amp;$U$60,DEALS!$K:$K,W$62,DEALS!$M:$M,$T68,DEALS!$N:$N,"&lt;&gt;*RECEIVED*",DEALS!$N:$N,"&lt;&gt;*EXECUTED*"))+SUM(SUMIFS(DEALS!$R:$R,DEALS!$A:$A,{"*REFUND*","*EXECUTED*"},DEALS!$O:$O,$B$58,DEALS!$E:$E,"&lt;="&amp;$U$60,DEALS!$S:$S,W$62,DEALS!$U:$U,$T68,DEALS!$V:$V,"&lt;&gt;*RECEIVED*",DEALS!$V:$V,"&lt;&gt;*EXECUTED*"))</f>
        <v>0</v>
      </c>
      <c r="X68" s="32" cm="1">
        <f t="array" ref="X68">SUMIFS(BALANCES!$C:$C,BALANCES!$A:$A,$B$58,BALANCES!$B:$B,$T68,BALANCES!$D:$D,X$62)+SUMIFS(FLOWS!$C:$C,FLOWS!$A:$A,$B$58,FLOWS!$E:$E,$T68,FLOWS!$D:$D,X$62,FLOWS!$H:$H,"&lt;="&amp;$U$60)+SUM(SUMIFS(DEALS!$J:$J,DEALS!$A:$A,{"*REFUND*","*EXECUTED*"},DEALS!$G:$G,$B$58,DEALS!$E:$E,"&lt;="&amp;$U$60,DEALS!$K:$K,X$62,DEALS!$M:$M,$T68,DEALS!$N:$N,"&lt;&gt;*RECEIVED*",DEALS!$N:$N,"&lt;&gt;*EXECUTED*"))+SUM(SUMIFS(DEALS!$R:$R,DEALS!$A:$A,{"*REFUND*","*EXECUTED*"},DEALS!$O:$O,$B$58,DEALS!$E:$E,"&lt;="&amp;$U$60,DEALS!$S:$S,X$62,DEALS!$U:$U,$T68,DEALS!$V:$V,"&lt;&gt;*RECEIVED*",DEALS!$V:$V,"&lt;&gt;*EXECUTED*"))</f>
        <v>0</v>
      </c>
      <c r="Y68" s="32" cm="1">
        <f t="array" ref="Y68">SUMIFS(BALANCES!$C:$C,BALANCES!$A:$A,$B$58,BALANCES!$B:$B,$T68,BALANCES!$D:$D,Y$62)+SUMIFS(FLOWS!$C:$C,FLOWS!$A:$A,$B$58,FLOWS!$E:$E,$T68,FLOWS!$D:$D,Y$62,FLOWS!$H:$H,"&lt;="&amp;$U$60)+SUM(SUMIFS(DEALS!$J:$J,DEALS!$A:$A,{"*REFUND*","*EXECUTED*"},DEALS!$G:$G,$B$58,DEALS!$E:$E,"&lt;="&amp;$U$60,DEALS!$K:$K,Y$62,DEALS!$M:$M,$T68,DEALS!$N:$N,"&lt;&gt;*RECEIVED*",DEALS!$N:$N,"&lt;&gt;*EXECUTED*"))+SUM(SUMIFS(DEALS!$R:$R,DEALS!$A:$A,{"*REFUND*","*EXECUTED*"},DEALS!$O:$O,$B$58,DEALS!$E:$E,"&lt;="&amp;$U$60,DEALS!$S:$S,Y$62,DEALS!$U:$U,$T68,DEALS!$V:$V,"&lt;&gt;*RECEIVED*",DEALS!$V:$V,"&lt;&gt;*EXECUTED*"))</f>
        <v>0</v>
      </c>
      <c r="Z68" s="32" cm="1">
        <f t="array" ref="Z68">SUMIFS(BALANCES!$C:$C,BALANCES!$A:$A,$B$58,BALANCES!$B:$B,$T68,BALANCES!$D:$D,Z$62)+SUMIFS(FLOWS!$C:$C,FLOWS!$A:$A,$B$58,FLOWS!$E:$E,$T68,FLOWS!$D:$D,Z$62,FLOWS!$H:$H,"&lt;="&amp;$U$60)+SUM(SUMIFS(DEALS!$J:$J,DEALS!$A:$A,{"*REFUND*","*EXECUTED*"},DEALS!$G:$G,$B$58,DEALS!$E:$E,"&lt;="&amp;$U$60,DEALS!$K:$K,Z$62,DEALS!$M:$M,$T68,DEALS!$N:$N,"&lt;&gt;*RECEIVED*",DEALS!$N:$N,"&lt;&gt;*EXECUTED*"))+SUM(SUMIFS(DEALS!$R:$R,DEALS!$A:$A,{"*REFUND*","*EXECUTED*"},DEALS!$O:$O,$B$58,DEALS!$E:$E,"&lt;="&amp;$U$60,DEALS!$S:$S,Z$62,DEALS!$U:$U,$T68,DEALS!$V:$V,"&lt;&gt;*RECEIVED*",DEALS!$V:$V,"&lt;&gt;*EXECUTED*"))</f>
        <v>0</v>
      </c>
      <c r="AA68" s="33">
        <f ca="1">U68*VLOOKUP(U$62,'FX RATES'!$E$1:$F$50,2,FALSE)+V68*VLOOKUP(V$62,'FX RATES'!$E$1:$F$50,2,FALSE)+W68*VLOOKUP(W$62,'FX RATES'!$E$1:$F$50,2,FALSE)+X68*VLOOKUP(X$62,'FX RATES'!$E$1:$F$50,2,FALSE)+Y68*VLOOKUP(Y$62,'FX RATES'!$E$1:$F$50,2,FALSE)+Z68*VLOOKUP(Z$62,'FX RATES'!$E$1:$F$50,2,FALSE)</f>
        <v>0</v>
      </c>
      <c r="AC68" s="139">
        <f t="shared" ca="1" si="26"/>
        <v>0</v>
      </c>
    </row>
    <row r="69" spans="2:29" ht="19" hidden="1">
      <c r="B69" s="28"/>
      <c r="C69" s="29" cm="1">
        <f t="array" ref="C69">SUMIFS(BALANCES!$C:$C,BALANCES!$A:$A,$B$58,BALANCES!$B:$B,$B69,BALANCES!$D:$D,C$62)+SUMIFS(FLOWS!$C:$C,FLOWS!$A:$A,$B$58,FLOWS!$E:$E,$B69,FLOWS!$D:$D,C$62,FLOWS!$H:$H,"&lt;"&amp;$C$60)+SUM(SUMIFS(DEALS!$J:$J,DEALS!$A:$A,{"*REFUND*","*EXECUTED*"},DEALS!$G:$G,$B$58,DEALS!$E:$E,"&lt;"&amp;$C$60,DEALS!$K:$K,C$62,DEALS!$M:$M,$B69,DEALS!$N:$N,"&lt;&gt;*RECEIVED*",DEALS!$N:$N,"&lt;&gt;*EXECUTED*"))+SUM(SUMIFS(DEALS!$R:$R,DEALS!$A:$A,{"*REFUND*","*EXECUTED*"},DEALS!$O:$O,$B$58,DEALS!$E:$E,"&lt;"&amp;$C$60,DEALS!$S:$S,C$62,DEALS!$U:$U,$B69,DEALS!$V:$V,"&lt;&gt;*RECEIVED*",DEALS!$V:$V,"&lt;&gt;*EXECUTED*"))</f>
        <v>0</v>
      </c>
      <c r="D69" s="29" cm="1">
        <f t="array" ref="D69">SUMIFS(BALANCES!$C:$C,BALANCES!$A:$A,$B$58,BALANCES!$B:$B,$B69,BALANCES!$D:$D,D$62)+SUMIFS(FLOWS!$C:$C,FLOWS!$A:$A,$B$58,FLOWS!$E:$E,$B69,FLOWS!$D:$D,D$62,FLOWS!$H:$H,"&lt;"&amp;$C$60)+SUM(SUMIFS(DEALS!$J:$J,DEALS!$A:$A,{"*REFUND*","*EXECUTED*"},DEALS!$G:$G,$B$58,DEALS!$E:$E,"&lt;"&amp;$C$60,DEALS!$K:$K,D$62,DEALS!$M:$M,$B69,DEALS!$N:$N,"&lt;&gt;*RECEIVED*",DEALS!$N:$N,"&lt;&gt;*EXECUTED*"))+SUM(SUMIFS(DEALS!$R:$R,DEALS!$A:$A,{"*REFUND*","*EXECUTED*"},DEALS!$O:$O,$B$58,DEALS!$E:$E,"&lt;"&amp;$C$60,DEALS!$S:$S,D$62,DEALS!$U:$U,$B69,DEALS!$V:$V,"&lt;&gt;*RECEIVED*",DEALS!$V:$V,"&lt;&gt;*EXECUTED*"))</f>
        <v>0</v>
      </c>
      <c r="E69" s="29" cm="1">
        <f t="array" ref="E69">SUMIFS(BALANCES!$C:$C,BALANCES!$A:$A,$B$58,BALANCES!$B:$B,$B69,BALANCES!$D:$D,E$62)+SUMIFS(FLOWS!$C:$C,FLOWS!$A:$A,$B$58,FLOWS!$E:$E,$B69,FLOWS!$D:$D,E$62,FLOWS!$H:$H,"&lt;"&amp;$C$60)+SUM(SUMIFS(DEALS!$J:$J,DEALS!$A:$A,{"*REFUND*","*EXECUTED*"},DEALS!$G:$G,$B$58,DEALS!$E:$E,"&lt;"&amp;$C$60,DEALS!$K:$K,E$62,DEALS!$M:$M,$B69,DEALS!$N:$N,"&lt;&gt;*RECEIVED*",DEALS!$N:$N,"&lt;&gt;*EXECUTED*"))+SUM(SUMIFS(DEALS!$R:$R,DEALS!$A:$A,{"*REFUND*","*EXECUTED*"},DEALS!$O:$O,$B$58,DEALS!$E:$E,"&lt;"&amp;$C$60,DEALS!$S:$S,E$62,DEALS!$U:$U,$B69,DEALS!$V:$V,"&lt;&gt;*RECEIVED*",DEALS!$V:$V,"&lt;&gt;*EXECUTED*"))</f>
        <v>0</v>
      </c>
      <c r="F69" s="29" cm="1">
        <f t="array" ref="F69">SUMIFS(BALANCES!$C:$C,BALANCES!$A:$A,$B$58,BALANCES!$B:$B,$B69,BALANCES!$D:$D,F$62)+SUMIFS(FLOWS!$C:$C,FLOWS!$A:$A,$B$58,FLOWS!$E:$E,$B69,FLOWS!$D:$D,F$62,FLOWS!$H:$H,"&lt;"&amp;$C$60)+SUM(SUMIFS(DEALS!$J:$J,DEALS!$A:$A,{"*REFUND*","*EXECUTED*"},DEALS!$G:$G,$B$58,DEALS!$E:$E,"&lt;"&amp;$C$60,DEALS!$K:$K,F$62,DEALS!$M:$M,$B69,DEALS!$N:$N,"&lt;&gt;*RECEIVED*",DEALS!$N:$N,"&lt;&gt;*EXECUTED*"))+SUM(SUMIFS(DEALS!$R:$R,DEALS!$A:$A,{"*REFUND*","*EXECUTED*"},DEALS!$O:$O,$B$58,DEALS!$E:$E,"&lt;"&amp;$C$60,DEALS!$S:$S,F$62,DEALS!$U:$U,$B69,DEALS!$V:$V,"&lt;&gt;*RECEIVED*",DEALS!$V:$V,"&lt;&gt;*EXECUTED*"))</f>
        <v>0</v>
      </c>
      <c r="G69" s="29" cm="1">
        <f t="array" ref="G69">SUMIFS(BALANCES!$C:$C,BALANCES!$A:$A,$B$58,BALANCES!$B:$B,$B69,BALANCES!$D:$D,G$62)+SUMIFS(FLOWS!$C:$C,FLOWS!$A:$A,$B$58,FLOWS!$E:$E,$B69,FLOWS!$D:$D,G$62,FLOWS!$H:$H,"&lt;"&amp;$C$60)+SUM(SUMIFS(DEALS!$J:$J,DEALS!$A:$A,{"*REFUND*","*EXECUTED*"},DEALS!$G:$G,$B$58,DEALS!$E:$E,"&lt;"&amp;$C$60,DEALS!$K:$K,G$62,DEALS!$M:$M,$B69,DEALS!$N:$N,"&lt;&gt;*RECEIVED*",DEALS!$N:$N,"&lt;&gt;*EXECUTED*"))+SUM(SUMIFS(DEALS!$R:$R,DEALS!$A:$A,{"*REFUND*","*EXECUTED*"},DEALS!$O:$O,$B$58,DEALS!$E:$E,"&lt;"&amp;$C$60,DEALS!$S:$S,G$62,DEALS!$U:$U,$B69,DEALS!$V:$V,"&lt;&gt;*RECEIVED*",DEALS!$V:$V,"&lt;&gt;*EXECUTED*"))</f>
        <v>0</v>
      </c>
      <c r="H69" s="29" cm="1">
        <f t="array" ref="H69">SUMIFS(BALANCES!$C:$C,BALANCES!$A:$A,$B$58,BALANCES!$B:$B,$B69,BALANCES!$D:$D,H$62)+SUMIFS(FLOWS!$C:$C,FLOWS!$A:$A,$B$58,FLOWS!$E:$E,$B69,FLOWS!$D:$D,H$62,FLOWS!$H:$H,"&lt;"&amp;$C$60)+SUM(SUMIFS(DEALS!$J:$J,DEALS!$A:$A,{"*REFUND*","*EXECUTED*"},DEALS!$G:$G,$B$58,DEALS!$E:$E,"&lt;"&amp;$C$60,DEALS!$K:$K,H$62,DEALS!$M:$M,$B69,DEALS!$N:$N,"&lt;&gt;*RECEIVED*",DEALS!$N:$N,"&lt;&gt;*EXECUTED*"))+SUM(SUMIFS(DEALS!$R:$R,DEALS!$A:$A,{"*REFUND*","*EXECUTED*"},DEALS!$O:$O,$B$58,DEALS!$E:$E,"&lt;"&amp;$C$60,DEALS!$S:$S,H$62,DEALS!$U:$U,$B69,DEALS!$V:$V,"&lt;&gt;*RECEIVED*",DEALS!$V:$V,"&lt;&gt;*EXECUTED*"))</f>
        <v>0</v>
      </c>
      <c r="I69" s="30">
        <f ca="1">C69*VLOOKUP(C$62,'FX RATES'!$E$1:$F$50,2,FALSE)+D69*VLOOKUP(D$62,'FX RATES'!$E$1:$F$50,2,FALSE)+E69*VLOOKUP(E$62,'FX RATES'!$E$1:$F$50,2,FALSE)+F69*VLOOKUP(F$62,'FX RATES'!$E$1:$F$50,2,FALSE)+G69*VLOOKUP(G$62,'FX RATES'!$E$1:$F$50,2,FALSE)+H69*VLOOKUP(H$62,'FX RATES'!$E$1:$F$50,2,FALSE)</f>
        <v>0</v>
      </c>
      <c r="K69" s="28">
        <f t="shared" si="24"/>
        <v>0</v>
      </c>
      <c r="L69" s="29" cm="1">
        <f t="array" ref="L69">SUMIFS(FLOWS!$C:$C,FLOWS!$A:$A,$B$58,FLOWS!$E:$E,$K69,FLOWS!$D:$D,L$62,FLOWS!$H:$H,"&gt;="&amp;$C$60,FLOWS!$H:$H,"&lt;="&amp;$U$60)+SUM(SUMIFS(DEALS!$J:$J,DEALS!$A:$A,{"*REFUND*","*EXECUTED*"},DEALS!$G:$G,$B$58,DEALS!$E:$E,"&gt;="&amp;$C$60,DEALS!$E:$E,"&lt;="&amp;$U$60,DEALS!$K:$K,L$62,DEALS!$M:$M,$K69,DEALS!$N:$N,"&lt;&gt;*RECEIVED*",DEALS!$N:$N,"&lt;&gt;*EXECUTED*"))+SUM(SUMIFS(DEALS!$R:$R,DEALS!$A:$A,{"*REFUND*","*EXECUTED*"},DEALS!$O:$O,$B$58,DEALS!$E:$E,"&gt;="&amp;$C$60,DEALS!$E:$E,"&lt;="&amp;$U$60,DEALS!$S:$S,L$62,DEALS!$U:$U,$K69,DEALS!$V:$V,"&lt;&gt;*RECEIVED*",DEALS!$V:$V,"&lt;&gt;*EXECUTED*"))</f>
        <v>0</v>
      </c>
      <c r="M69" s="29" cm="1">
        <f t="array" ref="M69">SUMIFS(FLOWS!$C:$C,FLOWS!$A:$A,$B$58,FLOWS!$E:$E,$K69,FLOWS!$D:$D,M$62,FLOWS!$H:$H,"&gt;="&amp;$C$60,FLOWS!$H:$H,"&lt;="&amp;$U$60)+SUM(SUMIFS(DEALS!$J:$J,DEALS!$A:$A,{"*REFUND*","*EXECUTED*"},DEALS!$G:$G,$B$58,DEALS!$E:$E,"&gt;="&amp;$C$60,DEALS!$E:$E,"&lt;="&amp;$U$60,DEALS!$K:$K,M$62,DEALS!$M:$M,$K69,DEALS!$N:$N,"&lt;&gt;*RECEIVED*",DEALS!$N:$N,"&lt;&gt;*EXECUTED*"))+SUM(SUMIFS(DEALS!$R:$R,DEALS!$A:$A,{"*REFUND*","*EXECUTED*"},DEALS!$O:$O,$B$58,DEALS!$E:$E,"&gt;="&amp;$C$60,DEALS!$E:$E,"&lt;="&amp;$U$60,DEALS!$S:$S,M$62,DEALS!$U:$U,$K69,DEALS!$V:$V,"&lt;&gt;*RECEIVED*",DEALS!$V:$V,"&lt;&gt;*EXECUTED*"))</f>
        <v>0</v>
      </c>
      <c r="N69" s="29" cm="1">
        <f t="array" ref="N69">SUMIFS(FLOWS!$C:$C,FLOWS!$A:$A,$B$58,FLOWS!$E:$E,$K69,FLOWS!$D:$D,N$62,FLOWS!$H:$H,"&gt;="&amp;$C$60,FLOWS!$H:$H,"&lt;="&amp;$U$60)+SUM(SUMIFS(DEALS!$J:$J,DEALS!$A:$A,{"*REFUND*","*EXECUTED*"},DEALS!$G:$G,$B$58,DEALS!$E:$E,"&gt;="&amp;$C$60,DEALS!$E:$E,"&lt;="&amp;$U$60,DEALS!$K:$K,N$62,DEALS!$M:$M,$K69,DEALS!$N:$N,"&lt;&gt;*RECEIVED*",DEALS!$N:$N,"&lt;&gt;*EXECUTED*"))+SUM(SUMIFS(DEALS!$R:$R,DEALS!$A:$A,{"*REFUND*","*EXECUTED*"},DEALS!$O:$O,$B$58,DEALS!$E:$E,"&gt;="&amp;$C$60,DEALS!$E:$E,"&lt;="&amp;$U$60,DEALS!$S:$S,N$62,DEALS!$U:$U,$K69,DEALS!$V:$V,"&lt;&gt;*RECEIVED*",DEALS!$V:$V,"&lt;&gt;*EXECUTED*"))</f>
        <v>0</v>
      </c>
      <c r="O69" s="29" cm="1">
        <f t="array" ref="O69">SUMIFS(FLOWS!$C:$C,FLOWS!$A:$A,$B$58,FLOWS!$E:$E,$K69,FLOWS!$D:$D,O$62,FLOWS!$H:$H,"&gt;="&amp;$C$60,FLOWS!$H:$H,"&lt;="&amp;$U$60)+SUM(SUMIFS(DEALS!$J:$J,DEALS!$A:$A,{"*REFUND*","*EXECUTED*"},DEALS!$G:$G,$B$58,DEALS!$E:$E,"&gt;="&amp;$C$60,DEALS!$E:$E,"&lt;="&amp;$U$60,DEALS!$K:$K,O$62,DEALS!$M:$M,$K69,DEALS!$N:$N,"&lt;&gt;*RECEIVED*",DEALS!$N:$N,"&lt;&gt;*EXECUTED*"))+SUM(SUMIFS(DEALS!$R:$R,DEALS!$A:$A,{"*REFUND*","*EXECUTED*"},DEALS!$O:$O,$B$58,DEALS!$E:$E,"&gt;="&amp;$C$60,DEALS!$E:$E,"&lt;="&amp;$U$60,DEALS!$S:$S,O$62,DEALS!$U:$U,$K69,DEALS!$V:$V,"&lt;&gt;*RECEIVED*",DEALS!$V:$V,"&lt;&gt;*EXECUTED*"))</f>
        <v>0</v>
      </c>
      <c r="P69" s="29" cm="1">
        <f t="array" ref="P69">SUMIFS(FLOWS!$C:$C,FLOWS!$A:$A,$B$58,FLOWS!$E:$E,$K69,FLOWS!$D:$D,P$62,FLOWS!$H:$H,"&gt;="&amp;$C$60,FLOWS!$H:$H,"&lt;="&amp;$U$60)+SUM(SUMIFS(DEALS!$J:$J,DEALS!$A:$A,{"*REFUND*","*EXECUTED*"},DEALS!$G:$G,$B$58,DEALS!$E:$E,"&gt;="&amp;$C$60,DEALS!$E:$E,"&lt;="&amp;$U$60,DEALS!$K:$K,P$62,DEALS!$M:$M,$K69,DEALS!$N:$N,"&lt;&gt;*RECEIVED*",DEALS!$N:$N,"&lt;&gt;*EXECUTED*"))+SUM(SUMIFS(DEALS!$R:$R,DEALS!$A:$A,{"*REFUND*","*EXECUTED*"},DEALS!$O:$O,$B$58,DEALS!$E:$E,"&gt;="&amp;$C$60,DEALS!$E:$E,"&lt;="&amp;$U$60,DEALS!$S:$S,P$62,DEALS!$U:$U,$K69,DEALS!$V:$V,"&lt;&gt;*RECEIVED*",DEALS!$V:$V,"&lt;&gt;*EXECUTED*"))</f>
        <v>0</v>
      </c>
      <c r="Q69" s="29" cm="1">
        <f t="array" ref="Q69">SUMIFS(FLOWS!$C:$C,FLOWS!$A:$A,$B$58,FLOWS!$E:$E,$K69,FLOWS!$D:$D,Q$62,FLOWS!$H:$H,"&gt;="&amp;$C$60,FLOWS!$H:$H,"&lt;="&amp;$U$60)+SUM(SUMIFS(DEALS!$J:$J,DEALS!$A:$A,{"*REFUND*","*EXECUTED*"},DEALS!$G:$G,$B$58,DEALS!$E:$E,"&gt;="&amp;$C$60,DEALS!$E:$E,"&lt;="&amp;$U$60,DEALS!$K:$K,Q$62,DEALS!$M:$M,$K69,DEALS!$N:$N,"&lt;&gt;*RECEIVED*",DEALS!$N:$N,"&lt;&gt;*EXECUTED*"))+SUM(SUMIFS(DEALS!$R:$R,DEALS!$A:$A,{"*REFUND*","*EXECUTED*"},DEALS!$O:$O,$B$58,DEALS!$E:$E,"&gt;="&amp;$C$60,DEALS!$E:$E,"&lt;="&amp;$U$60,DEALS!$S:$S,Q$62,DEALS!$U:$U,$K69,DEALS!$V:$V,"&lt;&gt;*RECEIVED*",DEALS!$V:$V,"&lt;&gt;*EXECUTED*"))</f>
        <v>0</v>
      </c>
      <c r="R69" s="30">
        <f ca="1">L69*VLOOKUP(L$62,'FX RATES'!$E$1:$F$50,2,FALSE)+M69*VLOOKUP(M$62,'FX RATES'!$E$1:$F$50,2,FALSE)+N69*VLOOKUP(N$62,'FX RATES'!$E$1:$F$50,2,FALSE)+O69*VLOOKUP(O$62,'FX RATES'!$E$1:$F$50,2,FALSE)+P69*VLOOKUP(P$62,'FX RATES'!$E$1:$F$50,2,FALSE)+Q69*VLOOKUP(Q$62,'FX RATES'!$E$1:$F$50,2,FALSE)</f>
        <v>0</v>
      </c>
      <c r="T69" s="28">
        <f t="shared" si="25"/>
        <v>0</v>
      </c>
      <c r="U69" s="29" cm="1">
        <f t="array" ref="U69">SUMIFS(BALANCES!$C:$C,BALANCES!$A:$A,$B$58,BALANCES!$B:$B,$T69,BALANCES!$D:$D,U$62)+SUMIFS(FLOWS!$C:$C,FLOWS!$A:$A,$B$58,FLOWS!$E:$E,$T69,FLOWS!$D:$D,U$62,FLOWS!$H:$H,"&lt;="&amp;$U$60)+SUM(SUMIFS(DEALS!$J:$J,DEALS!$A:$A,{"*REFUND*","*EXECUTED*"},DEALS!$G:$G,$B$58,DEALS!$E:$E,"&lt;="&amp;$U$60,DEALS!$K:$K,U$62,DEALS!$M:$M,$T69,DEALS!$N:$N,"&lt;&gt;*RECEIVED*",DEALS!$N:$N,"&lt;&gt;*EXECUTED*"))+SUM(SUMIFS(DEALS!$R:$R,DEALS!$A:$A,{"*REFUND*","*EXECUTED*"},DEALS!$O:$O,$B$58,DEALS!$E:$E,"&lt;="&amp;$U$60,DEALS!$S:$S,U$62,DEALS!$U:$U,$T69,DEALS!$V:$V,"&lt;&gt;*RECEIVED*",DEALS!$V:$V,"&lt;&gt;*EXECUTED*"))</f>
        <v>0</v>
      </c>
      <c r="V69" s="29" cm="1">
        <f t="array" ref="V69">SUMIFS(BALANCES!$C:$C,BALANCES!$A:$A,$B$58,BALANCES!$B:$B,$T69,BALANCES!$D:$D,V$62)+SUMIFS(FLOWS!$C:$C,FLOWS!$A:$A,$B$58,FLOWS!$E:$E,$T69,FLOWS!$D:$D,V$62,FLOWS!$H:$H,"&lt;="&amp;$U$60)+SUM(SUMIFS(DEALS!$J:$J,DEALS!$A:$A,{"*REFUND*","*EXECUTED*"},DEALS!$G:$G,$B$58,DEALS!$E:$E,"&lt;="&amp;$U$60,DEALS!$K:$K,V$62,DEALS!$M:$M,$T69,DEALS!$N:$N,"&lt;&gt;*RECEIVED*",DEALS!$N:$N,"&lt;&gt;*EXECUTED*"))+SUM(SUMIFS(DEALS!$R:$R,DEALS!$A:$A,{"*REFUND*","*EXECUTED*"},DEALS!$O:$O,$B$58,DEALS!$E:$E,"&lt;="&amp;$U$60,DEALS!$S:$S,V$62,DEALS!$U:$U,$T69,DEALS!$V:$V,"&lt;&gt;*RECEIVED*",DEALS!$V:$V,"&lt;&gt;*EXECUTED*"))</f>
        <v>0</v>
      </c>
      <c r="W69" s="29" cm="1">
        <f t="array" ref="W69">SUMIFS(BALANCES!$C:$C,BALANCES!$A:$A,$B$58,BALANCES!$B:$B,$T69,BALANCES!$D:$D,W$62)+SUMIFS(FLOWS!$C:$C,FLOWS!$A:$A,$B$58,FLOWS!$E:$E,$T69,FLOWS!$D:$D,W$62,FLOWS!$H:$H,"&lt;="&amp;$U$60)+SUM(SUMIFS(DEALS!$J:$J,DEALS!$A:$A,{"*REFUND*","*EXECUTED*"},DEALS!$G:$G,$B$58,DEALS!$E:$E,"&lt;="&amp;$U$60,DEALS!$K:$K,W$62,DEALS!$M:$M,$T69,DEALS!$N:$N,"&lt;&gt;*RECEIVED*",DEALS!$N:$N,"&lt;&gt;*EXECUTED*"))+SUM(SUMIFS(DEALS!$R:$R,DEALS!$A:$A,{"*REFUND*","*EXECUTED*"},DEALS!$O:$O,$B$58,DEALS!$E:$E,"&lt;="&amp;$U$60,DEALS!$S:$S,W$62,DEALS!$U:$U,$T69,DEALS!$V:$V,"&lt;&gt;*RECEIVED*",DEALS!$V:$V,"&lt;&gt;*EXECUTED*"))</f>
        <v>0</v>
      </c>
      <c r="X69" s="29" cm="1">
        <f t="array" ref="X69">SUMIFS(BALANCES!$C:$C,BALANCES!$A:$A,$B$58,BALANCES!$B:$B,$T69,BALANCES!$D:$D,X$62)+SUMIFS(FLOWS!$C:$C,FLOWS!$A:$A,$B$58,FLOWS!$E:$E,$T69,FLOWS!$D:$D,X$62,FLOWS!$H:$H,"&lt;="&amp;$U$60)+SUM(SUMIFS(DEALS!$J:$J,DEALS!$A:$A,{"*REFUND*","*EXECUTED*"},DEALS!$G:$G,$B$58,DEALS!$E:$E,"&lt;="&amp;$U$60,DEALS!$K:$K,X$62,DEALS!$M:$M,$T69,DEALS!$N:$N,"&lt;&gt;*RECEIVED*",DEALS!$N:$N,"&lt;&gt;*EXECUTED*"))+SUM(SUMIFS(DEALS!$R:$R,DEALS!$A:$A,{"*REFUND*","*EXECUTED*"},DEALS!$O:$O,$B$58,DEALS!$E:$E,"&lt;="&amp;$U$60,DEALS!$S:$S,X$62,DEALS!$U:$U,$T69,DEALS!$V:$V,"&lt;&gt;*RECEIVED*",DEALS!$V:$V,"&lt;&gt;*EXECUTED*"))</f>
        <v>0</v>
      </c>
      <c r="Y69" s="29" cm="1">
        <f t="array" ref="Y69">SUMIFS(BALANCES!$C:$C,BALANCES!$A:$A,$B$58,BALANCES!$B:$B,$T69,BALANCES!$D:$D,Y$62)+SUMIFS(FLOWS!$C:$C,FLOWS!$A:$A,$B$58,FLOWS!$E:$E,$T69,FLOWS!$D:$D,Y$62,FLOWS!$H:$H,"&lt;="&amp;$U$60)+SUM(SUMIFS(DEALS!$J:$J,DEALS!$A:$A,{"*REFUND*","*EXECUTED*"},DEALS!$G:$G,$B$58,DEALS!$E:$E,"&lt;="&amp;$U$60,DEALS!$K:$K,Y$62,DEALS!$M:$M,$T69,DEALS!$N:$N,"&lt;&gt;*RECEIVED*",DEALS!$N:$N,"&lt;&gt;*EXECUTED*"))+SUM(SUMIFS(DEALS!$R:$R,DEALS!$A:$A,{"*REFUND*","*EXECUTED*"},DEALS!$O:$O,$B$58,DEALS!$E:$E,"&lt;="&amp;$U$60,DEALS!$S:$S,Y$62,DEALS!$U:$U,$T69,DEALS!$V:$V,"&lt;&gt;*RECEIVED*",DEALS!$V:$V,"&lt;&gt;*EXECUTED*"))</f>
        <v>0</v>
      </c>
      <c r="Z69" s="29" cm="1">
        <f t="array" ref="Z69">SUMIFS(BALANCES!$C:$C,BALANCES!$A:$A,$B$58,BALANCES!$B:$B,$T69,BALANCES!$D:$D,Z$62)+SUMIFS(FLOWS!$C:$C,FLOWS!$A:$A,$B$58,FLOWS!$E:$E,$T69,FLOWS!$D:$D,Z$62,FLOWS!$H:$H,"&lt;="&amp;$U$60)+SUM(SUMIFS(DEALS!$J:$J,DEALS!$A:$A,{"*REFUND*","*EXECUTED*"},DEALS!$G:$G,$B$58,DEALS!$E:$E,"&lt;="&amp;$U$60,DEALS!$K:$K,Z$62,DEALS!$M:$M,$T69,DEALS!$N:$N,"&lt;&gt;*RECEIVED*",DEALS!$N:$N,"&lt;&gt;*EXECUTED*"))+SUM(SUMIFS(DEALS!$R:$R,DEALS!$A:$A,{"*REFUND*","*EXECUTED*"},DEALS!$O:$O,$B$58,DEALS!$E:$E,"&lt;="&amp;$U$60,DEALS!$S:$S,Z$62,DEALS!$U:$U,$T69,DEALS!$V:$V,"&lt;&gt;*RECEIVED*",DEALS!$V:$V,"&lt;&gt;*EXECUTED*"))</f>
        <v>0</v>
      </c>
      <c r="AA69" s="30">
        <f ca="1">U69*VLOOKUP(U$62,'FX RATES'!$E$1:$F$50,2,FALSE)+V69*VLOOKUP(V$62,'FX RATES'!$E$1:$F$50,2,FALSE)+W69*VLOOKUP(W$62,'FX RATES'!$E$1:$F$50,2,FALSE)+X69*VLOOKUP(X$62,'FX RATES'!$E$1:$F$50,2,FALSE)+Y69*VLOOKUP(Y$62,'FX RATES'!$E$1:$F$50,2,FALSE)+Z69*VLOOKUP(Z$62,'FX RATES'!$E$1:$F$50,2,FALSE)</f>
        <v>0</v>
      </c>
      <c r="AC69" s="139">
        <f t="shared" ca="1" si="26"/>
        <v>0</v>
      </c>
    </row>
    <row r="70" spans="2:29" ht="19" hidden="1">
      <c r="B70" s="31"/>
      <c r="C70" s="32" cm="1">
        <f t="array" ref="C70">SUMIFS(BALANCES!$C:$C,BALANCES!$A:$A,$B$58,BALANCES!$B:$B,$B70,BALANCES!$D:$D,C$62)+SUMIFS(FLOWS!$C:$C,FLOWS!$A:$A,$B$58,FLOWS!$E:$E,$B70,FLOWS!$D:$D,C$62,FLOWS!$H:$H,"&lt;"&amp;$C$60)+SUM(SUMIFS(DEALS!$J:$J,DEALS!$A:$A,{"*REFUND*","*EXECUTED*"},DEALS!$G:$G,$B$58,DEALS!$E:$E,"&lt;"&amp;$C$60,DEALS!$K:$K,C$62,DEALS!$M:$M,$B70,DEALS!$N:$N,"&lt;&gt;*RECEIVED*",DEALS!$N:$N,"&lt;&gt;*EXECUTED*"))+SUM(SUMIFS(DEALS!$R:$R,DEALS!$A:$A,{"*REFUND*","*EXECUTED*"},DEALS!$O:$O,$B$58,DEALS!$E:$E,"&lt;"&amp;$C$60,DEALS!$S:$S,C$62,DEALS!$U:$U,$B70,DEALS!$V:$V,"&lt;&gt;*RECEIVED*",DEALS!$V:$V,"&lt;&gt;*EXECUTED*"))</f>
        <v>0</v>
      </c>
      <c r="D70" s="32" cm="1">
        <f t="array" ref="D70">SUMIFS(BALANCES!$C:$C,BALANCES!$A:$A,$B$58,BALANCES!$B:$B,$B70,BALANCES!$D:$D,D$62)+SUMIFS(FLOWS!$C:$C,FLOWS!$A:$A,$B$58,FLOWS!$E:$E,$B70,FLOWS!$D:$D,D$62,FLOWS!$H:$H,"&lt;"&amp;$C$60)+SUM(SUMIFS(DEALS!$J:$J,DEALS!$A:$A,{"*REFUND*","*EXECUTED*"},DEALS!$G:$G,$B$58,DEALS!$E:$E,"&lt;"&amp;$C$60,DEALS!$K:$K,D$62,DEALS!$M:$M,$B70,DEALS!$N:$N,"&lt;&gt;*RECEIVED*",DEALS!$N:$N,"&lt;&gt;*EXECUTED*"))+SUM(SUMIFS(DEALS!$R:$R,DEALS!$A:$A,{"*REFUND*","*EXECUTED*"},DEALS!$O:$O,$B$58,DEALS!$E:$E,"&lt;"&amp;$C$60,DEALS!$S:$S,D$62,DEALS!$U:$U,$B70,DEALS!$V:$V,"&lt;&gt;*RECEIVED*",DEALS!$V:$V,"&lt;&gt;*EXECUTED*"))</f>
        <v>0</v>
      </c>
      <c r="E70" s="32" cm="1">
        <f t="array" ref="E70">SUMIFS(BALANCES!$C:$C,BALANCES!$A:$A,$B$58,BALANCES!$B:$B,$B70,BALANCES!$D:$D,E$62)+SUMIFS(FLOWS!$C:$C,FLOWS!$A:$A,$B$58,FLOWS!$E:$E,$B70,FLOWS!$D:$D,E$62,FLOWS!$H:$H,"&lt;"&amp;$C$60)+SUM(SUMIFS(DEALS!$J:$J,DEALS!$A:$A,{"*REFUND*","*EXECUTED*"},DEALS!$G:$G,$B$58,DEALS!$E:$E,"&lt;"&amp;$C$60,DEALS!$K:$K,E$62,DEALS!$M:$M,$B70,DEALS!$N:$N,"&lt;&gt;*RECEIVED*",DEALS!$N:$N,"&lt;&gt;*EXECUTED*"))+SUM(SUMIFS(DEALS!$R:$R,DEALS!$A:$A,{"*REFUND*","*EXECUTED*"},DEALS!$O:$O,$B$58,DEALS!$E:$E,"&lt;"&amp;$C$60,DEALS!$S:$S,E$62,DEALS!$U:$U,$B70,DEALS!$V:$V,"&lt;&gt;*RECEIVED*",DEALS!$V:$V,"&lt;&gt;*EXECUTED*"))</f>
        <v>0</v>
      </c>
      <c r="F70" s="32" cm="1">
        <f t="array" ref="F70">SUMIFS(BALANCES!$C:$C,BALANCES!$A:$A,$B$58,BALANCES!$B:$B,$B70,BALANCES!$D:$D,F$62)+SUMIFS(FLOWS!$C:$C,FLOWS!$A:$A,$B$58,FLOWS!$E:$E,$B70,FLOWS!$D:$D,F$62,FLOWS!$H:$H,"&lt;"&amp;$C$60)+SUM(SUMIFS(DEALS!$J:$J,DEALS!$A:$A,{"*REFUND*","*EXECUTED*"},DEALS!$G:$G,$B$58,DEALS!$E:$E,"&lt;"&amp;$C$60,DEALS!$K:$K,F$62,DEALS!$M:$M,$B70,DEALS!$N:$N,"&lt;&gt;*RECEIVED*",DEALS!$N:$N,"&lt;&gt;*EXECUTED*"))+SUM(SUMIFS(DEALS!$R:$R,DEALS!$A:$A,{"*REFUND*","*EXECUTED*"},DEALS!$O:$O,$B$58,DEALS!$E:$E,"&lt;"&amp;$C$60,DEALS!$S:$S,F$62,DEALS!$U:$U,$B70,DEALS!$V:$V,"&lt;&gt;*RECEIVED*",DEALS!$V:$V,"&lt;&gt;*EXECUTED*"))</f>
        <v>0</v>
      </c>
      <c r="G70" s="32" cm="1">
        <f t="array" ref="G70">SUMIFS(BALANCES!$C:$C,BALANCES!$A:$A,$B$58,BALANCES!$B:$B,$B70,BALANCES!$D:$D,G$62)+SUMIFS(FLOWS!$C:$C,FLOWS!$A:$A,$B$58,FLOWS!$E:$E,$B70,FLOWS!$D:$D,G$62,FLOWS!$H:$H,"&lt;"&amp;$C$60)+SUM(SUMIFS(DEALS!$J:$J,DEALS!$A:$A,{"*REFUND*","*EXECUTED*"},DEALS!$G:$G,$B$58,DEALS!$E:$E,"&lt;"&amp;$C$60,DEALS!$K:$K,G$62,DEALS!$M:$M,$B70,DEALS!$N:$N,"&lt;&gt;*RECEIVED*",DEALS!$N:$N,"&lt;&gt;*EXECUTED*"))+SUM(SUMIFS(DEALS!$R:$R,DEALS!$A:$A,{"*REFUND*","*EXECUTED*"},DEALS!$O:$O,$B$58,DEALS!$E:$E,"&lt;"&amp;$C$60,DEALS!$S:$S,G$62,DEALS!$U:$U,$B70,DEALS!$V:$V,"&lt;&gt;*RECEIVED*",DEALS!$V:$V,"&lt;&gt;*EXECUTED*"))</f>
        <v>0</v>
      </c>
      <c r="H70" s="32" cm="1">
        <f t="array" ref="H70">SUMIFS(BALANCES!$C:$C,BALANCES!$A:$A,$B$58,BALANCES!$B:$B,$B70,BALANCES!$D:$D,H$62)+SUMIFS(FLOWS!$C:$C,FLOWS!$A:$A,$B$58,FLOWS!$E:$E,$B70,FLOWS!$D:$D,H$62,FLOWS!$H:$H,"&lt;"&amp;$C$60)+SUM(SUMIFS(DEALS!$J:$J,DEALS!$A:$A,{"*REFUND*","*EXECUTED*"},DEALS!$G:$G,$B$58,DEALS!$E:$E,"&lt;"&amp;$C$60,DEALS!$K:$K,H$62,DEALS!$M:$M,$B70,DEALS!$N:$N,"&lt;&gt;*RECEIVED*",DEALS!$N:$N,"&lt;&gt;*EXECUTED*"))+SUM(SUMIFS(DEALS!$R:$R,DEALS!$A:$A,{"*REFUND*","*EXECUTED*"},DEALS!$O:$O,$B$58,DEALS!$E:$E,"&lt;"&amp;$C$60,DEALS!$S:$S,H$62,DEALS!$U:$U,$B70,DEALS!$V:$V,"&lt;&gt;*RECEIVED*",DEALS!$V:$V,"&lt;&gt;*EXECUTED*"))</f>
        <v>0</v>
      </c>
      <c r="I70" s="33">
        <f ca="1">C70*VLOOKUP(C$62,'FX RATES'!$E$1:$F$50,2,FALSE)+D70*VLOOKUP(D$62,'FX RATES'!$E$1:$F$50,2,FALSE)+E70*VLOOKUP(E$62,'FX RATES'!$E$1:$F$50,2,FALSE)+F70*VLOOKUP(F$62,'FX RATES'!$E$1:$F$50,2,FALSE)+G70*VLOOKUP(G$62,'FX RATES'!$E$1:$F$50,2,FALSE)+H70*VLOOKUP(H$62,'FX RATES'!$E$1:$F$50,2,FALSE)</f>
        <v>0</v>
      </c>
      <c r="J70" s="145"/>
      <c r="K70" s="31">
        <f t="shared" si="24"/>
        <v>0</v>
      </c>
      <c r="L70" s="32" cm="1">
        <f t="array" ref="L70">SUMIFS(FLOWS!$C:$C,FLOWS!$A:$A,$B$58,FLOWS!$E:$E,$K70,FLOWS!$D:$D,L$62,FLOWS!$H:$H,"&gt;="&amp;$C$60,FLOWS!$H:$H,"&lt;="&amp;$U$60)+SUM(SUMIFS(DEALS!$J:$J,DEALS!$A:$A,{"*REFUND*","*EXECUTED*"},DEALS!$G:$G,$B$58,DEALS!$E:$E,"&gt;="&amp;$C$60,DEALS!$E:$E,"&lt;="&amp;$U$60,DEALS!$K:$K,L$62,DEALS!$M:$M,$K70,DEALS!$N:$N,"&lt;&gt;*RECEIVED*",DEALS!$N:$N,"&lt;&gt;*EXECUTED*"))+SUM(SUMIFS(DEALS!$R:$R,DEALS!$A:$A,{"*REFUND*","*EXECUTED*"},DEALS!$O:$O,$B$58,DEALS!$E:$E,"&gt;="&amp;$C$60,DEALS!$E:$E,"&lt;="&amp;$U$60,DEALS!$S:$S,L$62,DEALS!$U:$U,$K70,DEALS!$V:$V,"&lt;&gt;*RECEIVED*",DEALS!$V:$V,"&lt;&gt;*EXECUTED*"))</f>
        <v>0</v>
      </c>
      <c r="M70" s="32" cm="1">
        <f t="array" ref="M70">SUMIFS(FLOWS!$C:$C,FLOWS!$A:$A,$B$58,FLOWS!$E:$E,$K70,FLOWS!$D:$D,M$62,FLOWS!$H:$H,"&gt;="&amp;$C$60,FLOWS!$H:$H,"&lt;="&amp;$U$60)+SUM(SUMIFS(DEALS!$J:$J,DEALS!$A:$A,{"*REFUND*","*EXECUTED*"},DEALS!$G:$G,$B$58,DEALS!$E:$E,"&gt;="&amp;$C$60,DEALS!$E:$E,"&lt;="&amp;$U$60,DEALS!$K:$K,M$62,DEALS!$M:$M,$K70,DEALS!$N:$N,"&lt;&gt;*RECEIVED*",DEALS!$N:$N,"&lt;&gt;*EXECUTED*"))+SUM(SUMIFS(DEALS!$R:$R,DEALS!$A:$A,{"*REFUND*","*EXECUTED*"},DEALS!$O:$O,$B$58,DEALS!$E:$E,"&gt;="&amp;$C$60,DEALS!$E:$E,"&lt;="&amp;$U$60,DEALS!$S:$S,M$62,DEALS!$U:$U,$K70,DEALS!$V:$V,"&lt;&gt;*RECEIVED*",DEALS!$V:$V,"&lt;&gt;*EXECUTED*"))</f>
        <v>0</v>
      </c>
      <c r="N70" s="32" cm="1">
        <f t="array" ref="N70">SUMIFS(FLOWS!$C:$C,FLOWS!$A:$A,$B$58,FLOWS!$E:$E,$K70,FLOWS!$D:$D,N$62,FLOWS!$H:$H,"&gt;="&amp;$C$60,FLOWS!$H:$H,"&lt;="&amp;$U$60)+SUM(SUMIFS(DEALS!$J:$J,DEALS!$A:$A,{"*REFUND*","*EXECUTED*"},DEALS!$G:$G,$B$58,DEALS!$E:$E,"&gt;="&amp;$C$60,DEALS!$E:$E,"&lt;="&amp;$U$60,DEALS!$K:$K,N$62,DEALS!$M:$M,$K70,DEALS!$N:$N,"&lt;&gt;*RECEIVED*",DEALS!$N:$N,"&lt;&gt;*EXECUTED*"))+SUM(SUMIFS(DEALS!$R:$R,DEALS!$A:$A,{"*REFUND*","*EXECUTED*"},DEALS!$O:$O,$B$58,DEALS!$E:$E,"&gt;="&amp;$C$60,DEALS!$E:$E,"&lt;="&amp;$U$60,DEALS!$S:$S,N$62,DEALS!$U:$U,$K70,DEALS!$V:$V,"&lt;&gt;*RECEIVED*",DEALS!$V:$V,"&lt;&gt;*EXECUTED*"))</f>
        <v>0</v>
      </c>
      <c r="O70" s="32" cm="1">
        <f t="array" ref="O70">SUMIFS(FLOWS!$C:$C,FLOWS!$A:$A,$B$58,FLOWS!$E:$E,$K70,FLOWS!$D:$D,O$62,FLOWS!$H:$H,"&gt;="&amp;$C$60,FLOWS!$H:$H,"&lt;="&amp;$U$60)+SUM(SUMIFS(DEALS!$J:$J,DEALS!$A:$A,{"*REFUND*","*EXECUTED*"},DEALS!$G:$G,$B$58,DEALS!$E:$E,"&gt;="&amp;$C$60,DEALS!$E:$E,"&lt;="&amp;$U$60,DEALS!$K:$K,O$62,DEALS!$M:$M,$K70,DEALS!$N:$N,"&lt;&gt;*RECEIVED*",DEALS!$N:$N,"&lt;&gt;*EXECUTED*"))+SUM(SUMIFS(DEALS!$R:$R,DEALS!$A:$A,{"*REFUND*","*EXECUTED*"},DEALS!$O:$O,$B$58,DEALS!$E:$E,"&gt;="&amp;$C$60,DEALS!$E:$E,"&lt;="&amp;$U$60,DEALS!$S:$S,O$62,DEALS!$U:$U,$K70,DEALS!$V:$V,"&lt;&gt;*RECEIVED*",DEALS!$V:$V,"&lt;&gt;*EXECUTED*"))</f>
        <v>0</v>
      </c>
      <c r="P70" s="32" cm="1">
        <f t="array" ref="P70">SUMIFS(FLOWS!$C:$C,FLOWS!$A:$A,$B$58,FLOWS!$E:$E,$K70,FLOWS!$D:$D,P$62,FLOWS!$H:$H,"&gt;="&amp;$C$60,FLOWS!$H:$H,"&lt;="&amp;$U$60)+SUM(SUMIFS(DEALS!$J:$J,DEALS!$A:$A,{"*REFUND*","*EXECUTED*"},DEALS!$G:$G,$B$58,DEALS!$E:$E,"&gt;="&amp;$C$60,DEALS!$E:$E,"&lt;="&amp;$U$60,DEALS!$K:$K,P$62,DEALS!$M:$M,$K70,DEALS!$N:$N,"&lt;&gt;*RECEIVED*",DEALS!$N:$N,"&lt;&gt;*EXECUTED*"))+SUM(SUMIFS(DEALS!$R:$R,DEALS!$A:$A,{"*REFUND*","*EXECUTED*"},DEALS!$O:$O,$B$58,DEALS!$E:$E,"&gt;="&amp;$C$60,DEALS!$E:$E,"&lt;="&amp;$U$60,DEALS!$S:$S,P$62,DEALS!$U:$U,$K70,DEALS!$V:$V,"&lt;&gt;*RECEIVED*",DEALS!$V:$V,"&lt;&gt;*EXECUTED*"))</f>
        <v>0</v>
      </c>
      <c r="Q70" s="32" cm="1">
        <f t="array" ref="Q70">SUMIFS(FLOWS!$C:$C,FLOWS!$A:$A,$B$58,FLOWS!$E:$E,$K70,FLOWS!$D:$D,Q$62,FLOWS!$H:$H,"&gt;="&amp;$C$60,FLOWS!$H:$H,"&lt;="&amp;$U$60)+SUM(SUMIFS(DEALS!$J:$J,DEALS!$A:$A,{"*REFUND*","*EXECUTED*"},DEALS!$G:$G,$B$58,DEALS!$E:$E,"&gt;="&amp;$C$60,DEALS!$E:$E,"&lt;="&amp;$U$60,DEALS!$K:$K,Q$62,DEALS!$M:$M,$K70,DEALS!$N:$N,"&lt;&gt;*RECEIVED*",DEALS!$N:$N,"&lt;&gt;*EXECUTED*"))+SUM(SUMIFS(DEALS!$R:$R,DEALS!$A:$A,{"*REFUND*","*EXECUTED*"},DEALS!$O:$O,$B$58,DEALS!$E:$E,"&gt;="&amp;$C$60,DEALS!$E:$E,"&lt;="&amp;$U$60,DEALS!$S:$S,Q$62,DEALS!$U:$U,$K70,DEALS!$V:$V,"&lt;&gt;*RECEIVED*",DEALS!$V:$V,"&lt;&gt;*EXECUTED*"))</f>
        <v>0</v>
      </c>
      <c r="R70" s="33">
        <f ca="1">L70*VLOOKUP(L$62,'FX RATES'!$E$1:$F$50,2,FALSE)+M70*VLOOKUP(M$62,'FX RATES'!$E$1:$F$50,2,FALSE)+N70*VLOOKUP(N$62,'FX RATES'!$E$1:$F$50,2,FALSE)+O70*VLOOKUP(O$62,'FX RATES'!$E$1:$F$50,2,FALSE)+P70*VLOOKUP(P$62,'FX RATES'!$E$1:$F$50,2,FALSE)+Q70*VLOOKUP(Q$62,'FX RATES'!$E$1:$F$50,2,FALSE)</f>
        <v>0</v>
      </c>
      <c r="T70" s="31">
        <f t="shared" si="25"/>
        <v>0</v>
      </c>
      <c r="U70" s="32" cm="1">
        <f t="array" ref="U70">SUMIFS(BALANCES!$C:$C,BALANCES!$A:$A,$B$58,BALANCES!$B:$B,$T70,BALANCES!$D:$D,U$62)+SUMIFS(FLOWS!$C:$C,FLOWS!$A:$A,$B$58,FLOWS!$E:$E,$T70,FLOWS!$D:$D,U$62,FLOWS!$H:$H,"&lt;="&amp;$U$60)+SUM(SUMIFS(DEALS!$J:$J,DEALS!$A:$A,{"*REFUND*","*EXECUTED*"},DEALS!$G:$G,$B$58,DEALS!$E:$E,"&lt;="&amp;$U$60,DEALS!$K:$K,U$62,DEALS!$M:$M,$T70,DEALS!$N:$N,"&lt;&gt;*RECEIVED*",DEALS!$N:$N,"&lt;&gt;*EXECUTED*"))+SUM(SUMIFS(DEALS!$R:$R,DEALS!$A:$A,{"*REFUND*","*EXECUTED*"},DEALS!$O:$O,$B$58,DEALS!$E:$E,"&lt;="&amp;$U$60,DEALS!$S:$S,U$62,DEALS!$U:$U,$T70,DEALS!$V:$V,"&lt;&gt;*RECEIVED*",DEALS!$V:$V,"&lt;&gt;*EXECUTED*"))</f>
        <v>0</v>
      </c>
      <c r="V70" s="32" cm="1">
        <f t="array" ref="V70">SUMIFS(BALANCES!$C:$C,BALANCES!$A:$A,$B$58,BALANCES!$B:$B,$T70,BALANCES!$D:$D,V$62)+SUMIFS(FLOWS!$C:$C,FLOWS!$A:$A,$B$58,FLOWS!$E:$E,$T70,FLOWS!$D:$D,V$62,FLOWS!$H:$H,"&lt;="&amp;$U$60)+SUM(SUMIFS(DEALS!$J:$J,DEALS!$A:$A,{"*REFUND*","*EXECUTED*"},DEALS!$G:$G,$B$58,DEALS!$E:$E,"&lt;="&amp;$U$60,DEALS!$K:$K,V$62,DEALS!$M:$M,$T70,DEALS!$N:$N,"&lt;&gt;*RECEIVED*",DEALS!$N:$N,"&lt;&gt;*EXECUTED*"))+SUM(SUMIFS(DEALS!$R:$R,DEALS!$A:$A,{"*REFUND*","*EXECUTED*"},DEALS!$O:$O,$B$58,DEALS!$E:$E,"&lt;="&amp;$U$60,DEALS!$S:$S,V$62,DEALS!$U:$U,$T70,DEALS!$V:$V,"&lt;&gt;*RECEIVED*",DEALS!$V:$V,"&lt;&gt;*EXECUTED*"))</f>
        <v>0</v>
      </c>
      <c r="W70" s="32" cm="1">
        <f t="array" ref="W70">SUMIFS(BALANCES!$C:$C,BALANCES!$A:$A,$B$58,BALANCES!$B:$B,$T70,BALANCES!$D:$D,W$62)+SUMIFS(FLOWS!$C:$C,FLOWS!$A:$A,$B$58,FLOWS!$E:$E,$T70,FLOWS!$D:$D,W$62,FLOWS!$H:$H,"&lt;="&amp;$U$60)+SUM(SUMIFS(DEALS!$J:$J,DEALS!$A:$A,{"*REFUND*","*EXECUTED*"},DEALS!$G:$G,$B$58,DEALS!$E:$E,"&lt;="&amp;$U$60,DEALS!$K:$K,W$62,DEALS!$M:$M,$T70,DEALS!$N:$N,"&lt;&gt;*RECEIVED*",DEALS!$N:$N,"&lt;&gt;*EXECUTED*"))+SUM(SUMIFS(DEALS!$R:$R,DEALS!$A:$A,{"*REFUND*","*EXECUTED*"},DEALS!$O:$O,$B$58,DEALS!$E:$E,"&lt;="&amp;$U$60,DEALS!$S:$S,W$62,DEALS!$U:$U,$T70,DEALS!$V:$V,"&lt;&gt;*RECEIVED*",DEALS!$V:$V,"&lt;&gt;*EXECUTED*"))</f>
        <v>0</v>
      </c>
      <c r="X70" s="32" cm="1">
        <f t="array" ref="X70">SUMIFS(BALANCES!$C:$C,BALANCES!$A:$A,$B$58,BALANCES!$B:$B,$T70,BALANCES!$D:$D,X$62)+SUMIFS(FLOWS!$C:$C,FLOWS!$A:$A,$B$58,FLOWS!$E:$E,$T70,FLOWS!$D:$D,X$62,FLOWS!$H:$H,"&lt;="&amp;$U$60)+SUM(SUMIFS(DEALS!$J:$J,DEALS!$A:$A,{"*REFUND*","*EXECUTED*"},DEALS!$G:$G,$B$58,DEALS!$E:$E,"&lt;="&amp;$U$60,DEALS!$K:$K,X$62,DEALS!$M:$M,$T70,DEALS!$N:$N,"&lt;&gt;*RECEIVED*",DEALS!$N:$N,"&lt;&gt;*EXECUTED*"))+SUM(SUMIFS(DEALS!$R:$R,DEALS!$A:$A,{"*REFUND*","*EXECUTED*"},DEALS!$O:$O,$B$58,DEALS!$E:$E,"&lt;="&amp;$U$60,DEALS!$S:$S,X$62,DEALS!$U:$U,$T70,DEALS!$V:$V,"&lt;&gt;*RECEIVED*",DEALS!$V:$V,"&lt;&gt;*EXECUTED*"))</f>
        <v>0</v>
      </c>
      <c r="Y70" s="32" cm="1">
        <f t="array" ref="Y70">SUMIFS(BALANCES!$C:$C,BALANCES!$A:$A,$B$58,BALANCES!$B:$B,$T70,BALANCES!$D:$D,Y$62)+SUMIFS(FLOWS!$C:$C,FLOWS!$A:$A,$B$58,FLOWS!$E:$E,$T70,FLOWS!$D:$D,Y$62,FLOWS!$H:$H,"&lt;="&amp;$U$60)+SUM(SUMIFS(DEALS!$J:$J,DEALS!$A:$A,{"*REFUND*","*EXECUTED*"},DEALS!$G:$G,$B$58,DEALS!$E:$E,"&lt;="&amp;$U$60,DEALS!$K:$K,Y$62,DEALS!$M:$M,$T70,DEALS!$N:$N,"&lt;&gt;*RECEIVED*",DEALS!$N:$N,"&lt;&gt;*EXECUTED*"))+SUM(SUMIFS(DEALS!$R:$R,DEALS!$A:$A,{"*REFUND*","*EXECUTED*"},DEALS!$O:$O,$B$58,DEALS!$E:$E,"&lt;="&amp;$U$60,DEALS!$S:$S,Y$62,DEALS!$U:$U,$T70,DEALS!$V:$V,"&lt;&gt;*RECEIVED*",DEALS!$V:$V,"&lt;&gt;*EXECUTED*"))</f>
        <v>0</v>
      </c>
      <c r="Z70" s="32" cm="1">
        <f t="array" ref="Z70">SUMIFS(BALANCES!$C:$C,BALANCES!$A:$A,$B$58,BALANCES!$B:$B,$T70,BALANCES!$D:$D,Z$62)+SUMIFS(FLOWS!$C:$C,FLOWS!$A:$A,$B$58,FLOWS!$E:$E,$T70,FLOWS!$D:$D,Z$62,FLOWS!$H:$H,"&lt;="&amp;$U$60)+SUM(SUMIFS(DEALS!$J:$J,DEALS!$A:$A,{"*REFUND*","*EXECUTED*"},DEALS!$G:$G,$B$58,DEALS!$E:$E,"&lt;="&amp;$U$60,DEALS!$K:$K,Z$62,DEALS!$M:$M,$T70,DEALS!$N:$N,"&lt;&gt;*RECEIVED*",DEALS!$N:$N,"&lt;&gt;*EXECUTED*"))+SUM(SUMIFS(DEALS!$R:$R,DEALS!$A:$A,{"*REFUND*","*EXECUTED*"},DEALS!$O:$O,$B$58,DEALS!$E:$E,"&lt;="&amp;$U$60,DEALS!$S:$S,Z$62,DEALS!$U:$U,$T70,DEALS!$V:$V,"&lt;&gt;*RECEIVED*",DEALS!$V:$V,"&lt;&gt;*EXECUTED*"))</f>
        <v>0</v>
      </c>
      <c r="AA70" s="33">
        <f ca="1">U70*VLOOKUP(U$62,'FX RATES'!$E$1:$F$50,2,FALSE)+V70*VLOOKUP(V$62,'FX RATES'!$E$1:$F$50,2,FALSE)+W70*VLOOKUP(W$62,'FX RATES'!$E$1:$F$50,2,FALSE)+X70*VLOOKUP(X$62,'FX RATES'!$E$1:$F$50,2,FALSE)+Y70*VLOOKUP(Y$62,'FX RATES'!$E$1:$F$50,2,FALSE)+Z70*VLOOKUP(Z$62,'FX RATES'!$E$1:$F$50,2,FALSE)</f>
        <v>0</v>
      </c>
      <c r="AC70" s="139">
        <f t="shared" ca="1" si="26"/>
        <v>0</v>
      </c>
    </row>
    <row r="71" spans="2:29" ht="19" hidden="1">
      <c r="B71" s="28"/>
      <c r="C71" s="29" cm="1">
        <f t="array" ref="C71">SUMIFS(BALANCES!$C:$C,BALANCES!$A:$A,$B$58,BALANCES!$B:$B,$B71,BALANCES!$D:$D,C$62)+SUMIFS(FLOWS!$C:$C,FLOWS!$A:$A,$B$58,FLOWS!$E:$E,$B71,FLOWS!$D:$D,C$62,FLOWS!$H:$H,"&lt;"&amp;$C$60)+SUM(SUMIFS(DEALS!$J:$J,DEALS!$A:$A,{"*REFUND*","*EXECUTED*"},DEALS!$G:$G,$B$58,DEALS!$E:$E,"&lt;"&amp;$C$60,DEALS!$K:$K,C$62,DEALS!$M:$M,$B71,DEALS!$N:$N,"&lt;&gt;*RECEIVED*",DEALS!$N:$N,"&lt;&gt;*EXECUTED*"))+SUM(SUMIFS(DEALS!$R:$R,DEALS!$A:$A,{"*REFUND*","*EXECUTED*"},DEALS!$O:$O,$B$58,DEALS!$E:$E,"&lt;"&amp;$C$60,DEALS!$S:$S,C$62,DEALS!$U:$U,$B71,DEALS!$V:$V,"&lt;&gt;*RECEIVED*",DEALS!$V:$V,"&lt;&gt;*EXECUTED*"))</f>
        <v>0</v>
      </c>
      <c r="D71" s="29" cm="1">
        <f t="array" ref="D71">SUMIFS(BALANCES!$C:$C,BALANCES!$A:$A,$B$58,BALANCES!$B:$B,$B71,BALANCES!$D:$D,D$62)+SUMIFS(FLOWS!$C:$C,FLOWS!$A:$A,$B$58,FLOWS!$E:$E,$B71,FLOWS!$D:$D,D$62,FLOWS!$H:$H,"&lt;"&amp;$C$60)+SUM(SUMIFS(DEALS!$J:$J,DEALS!$A:$A,{"*REFUND*","*EXECUTED*"},DEALS!$G:$G,$B$58,DEALS!$E:$E,"&lt;"&amp;$C$60,DEALS!$K:$K,D$62,DEALS!$M:$M,$B71,DEALS!$N:$N,"&lt;&gt;*RECEIVED*",DEALS!$N:$N,"&lt;&gt;*EXECUTED*"))+SUM(SUMIFS(DEALS!$R:$R,DEALS!$A:$A,{"*REFUND*","*EXECUTED*"},DEALS!$O:$O,$B$58,DEALS!$E:$E,"&lt;"&amp;$C$60,DEALS!$S:$S,D$62,DEALS!$U:$U,$B71,DEALS!$V:$V,"&lt;&gt;*RECEIVED*",DEALS!$V:$V,"&lt;&gt;*EXECUTED*"))</f>
        <v>0</v>
      </c>
      <c r="E71" s="29" cm="1">
        <f t="array" ref="E71">SUMIFS(BALANCES!$C:$C,BALANCES!$A:$A,$B$58,BALANCES!$B:$B,$B71,BALANCES!$D:$D,E$62)+SUMIFS(FLOWS!$C:$C,FLOWS!$A:$A,$B$58,FLOWS!$E:$E,$B71,FLOWS!$D:$D,E$62,FLOWS!$H:$H,"&lt;"&amp;$C$60)+SUM(SUMIFS(DEALS!$J:$J,DEALS!$A:$A,{"*REFUND*","*EXECUTED*"},DEALS!$G:$G,$B$58,DEALS!$E:$E,"&lt;"&amp;$C$60,DEALS!$K:$K,E$62,DEALS!$M:$M,$B71,DEALS!$N:$N,"&lt;&gt;*RECEIVED*",DEALS!$N:$N,"&lt;&gt;*EXECUTED*"))+SUM(SUMIFS(DEALS!$R:$R,DEALS!$A:$A,{"*REFUND*","*EXECUTED*"},DEALS!$O:$O,$B$58,DEALS!$E:$E,"&lt;"&amp;$C$60,DEALS!$S:$S,E$62,DEALS!$U:$U,$B71,DEALS!$V:$V,"&lt;&gt;*RECEIVED*",DEALS!$V:$V,"&lt;&gt;*EXECUTED*"))</f>
        <v>0</v>
      </c>
      <c r="F71" s="29" cm="1">
        <f t="array" ref="F71">SUMIFS(BALANCES!$C:$C,BALANCES!$A:$A,$B$58,BALANCES!$B:$B,$B71,BALANCES!$D:$D,F$62)+SUMIFS(FLOWS!$C:$C,FLOWS!$A:$A,$B$58,FLOWS!$E:$E,$B71,FLOWS!$D:$D,F$62,FLOWS!$H:$H,"&lt;"&amp;$C$60)+SUM(SUMIFS(DEALS!$J:$J,DEALS!$A:$A,{"*REFUND*","*EXECUTED*"},DEALS!$G:$G,$B$58,DEALS!$E:$E,"&lt;"&amp;$C$60,DEALS!$K:$K,F$62,DEALS!$M:$M,$B71,DEALS!$N:$N,"&lt;&gt;*RECEIVED*",DEALS!$N:$N,"&lt;&gt;*EXECUTED*"))+SUM(SUMIFS(DEALS!$R:$R,DEALS!$A:$A,{"*REFUND*","*EXECUTED*"},DEALS!$O:$O,$B$58,DEALS!$E:$E,"&lt;"&amp;$C$60,DEALS!$S:$S,F$62,DEALS!$U:$U,$B71,DEALS!$V:$V,"&lt;&gt;*RECEIVED*",DEALS!$V:$V,"&lt;&gt;*EXECUTED*"))</f>
        <v>0</v>
      </c>
      <c r="G71" s="29" cm="1">
        <f t="array" ref="G71">SUMIFS(BALANCES!$C:$C,BALANCES!$A:$A,$B$58,BALANCES!$B:$B,$B71,BALANCES!$D:$D,G$62)+SUMIFS(FLOWS!$C:$C,FLOWS!$A:$A,$B$58,FLOWS!$E:$E,$B71,FLOWS!$D:$D,G$62,FLOWS!$H:$H,"&lt;"&amp;$C$60)+SUM(SUMIFS(DEALS!$J:$J,DEALS!$A:$A,{"*REFUND*","*EXECUTED*"},DEALS!$G:$G,$B$58,DEALS!$E:$E,"&lt;"&amp;$C$60,DEALS!$K:$K,G$62,DEALS!$M:$M,$B71,DEALS!$N:$N,"&lt;&gt;*RECEIVED*",DEALS!$N:$N,"&lt;&gt;*EXECUTED*"))+SUM(SUMIFS(DEALS!$R:$R,DEALS!$A:$A,{"*REFUND*","*EXECUTED*"},DEALS!$O:$O,$B$58,DEALS!$E:$E,"&lt;"&amp;$C$60,DEALS!$S:$S,G$62,DEALS!$U:$U,$B71,DEALS!$V:$V,"&lt;&gt;*RECEIVED*",DEALS!$V:$V,"&lt;&gt;*EXECUTED*"))</f>
        <v>0</v>
      </c>
      <c r="H71" s="29" cm="1">
        <f t="array" ref="H71">SUMIFS(BALANCES!$C:$C,BALANCES!$A:$A,$B$58,BALANCES!$B:$B,$B71,BALANCES!$D:$D,H$62)+SUMIFS(FLOWS!$C:$C,FLOWS!$A:$A,$B$58,FLOWS!$E:$E,$B71,FLOWS!$D:$D,H$62,FLOWS!$H:$H,"&lt;"&amp;$C$60)+SUM(SUMIFS(DEALS!$J:$J,DEALS!$A:$A,{"*REFUND*","*EXECUTED*"},DEALS!$G:$G,$B$58,DEALS!$E:$E,"&lt;"&amp;$C$60,DEALS!$K:$K,H$62,DEALS!$M:$M,$B71,DEALS!$N:$N,"&lt;&gt;*RECEIVED*",DEALS!$N:$N,"&lt;&gt;*EXECUTED*"))+SUM(SUMIFS(DEALS!$R:$R,DEALS!$A:$A,{"*REFUND*","*EXECUTED*"},DEALS!$O:$O,$B$58,DEALS!$E:$E,"&lt;"&amp;$C$60,DEALS!$S:$S,H$62,DEALS!$U:$U,$B71,DEALS!$V:$V,"&lt;&gt;*RECEIVED*",DEALS!$V:$V,"&lt;&gt;*EXECUTED*"))</f>
        <v>0</v>
      </c>
      <c r="I71" s="30">
        <f ca="1">C71*VLOOKUP(C$62,'FX RATES'!$E$1:$F$50,2,FALSE)+D71*VLOOKUP(D$62,'FX RATES'!$E$1:$F$50,2,FALSE)+E71*VLOOKUP(E$62,'FX RATES'!$E$1:$F$50,2,FALSE)+F71*VLOOKUP(F$62,'FX RATES'!$E$1:$F$50,2,FALSE)+G71*VLOOKUP(G$62,'FX RATES'!$E$1:$F$50,2,FALSE)+H71*VLOOKUP(H$62,'FX RATES'!$E$1:$F$50,2,FALSE)</f>
        <v>0</v>
      </c>
      <c r="K71" s="28">
        <f t="shared" si="24"/>
        <v>0</v>
      </c>
      <c r="L71" s="29" cm="1">
        <f t="array" ref="L71">SUMIFS(FLOWS!$C:$C,FLOWS!$A:$A,$B$58,FLOWS!$E:$E,$K71,FLOWS!$D:$D,L$62,FLOWS!$H:$H,"&gt;="&amp;$C$60,FLOWS!$H:$H,"&lt;="&amp;$U$60)+SUM(SUMIFS(DEALS!$J:$J,DEALS!$A:$A,{"*REFUND*","*EXECUTED*"},DEALS!$G:$G,$B$58,DEALS!$E:$E,"&gt;="&amp;$C$60,DEALS!$E:$E,"&lt;="&amp;$U$60,DEALS!$K:$K,L$62,DEALS!$M:$M,$K71,DEALS!$N:$N,"&lt;&gt;*RECEIVED*",DEALS!$N:$N,"&lt;&gt;*EXECUTED*"))+SUM(SUMIFS(DEALS!$R:$R,DEALS!$A:$A,{"*REFUND*","*EXECUTED*"},DEALS!$O:$O,$B$58,DEALS!$E:$E,"&gt;="&amp;$C$60,DEALS!$E:$E,"&lt;="&amp;$U$60,DEALS!$S:$S,L$62,DEALS!$U:$U,$K71,DEALS!$V:$V,"&lt;&gt;*RECEIVED*",DEALS!$V:$V,"&lt;&gt;*EXECUTED*"))</f>
        <v>0</v>
      </c>
      <c r="M71" s="29" cm="1">
        <f t="array" ref="M71">SUMIFS(FLOWS!$C:$C,FLOWS!$A:$A,$B$58,FLOWS!$E:$E,$K71,FLOWS!$D:$D,M$62,FLOWS!$H:$H,"&gt;="&amp;$C$60,FLOWS!$H:$H,"&lt;="&amp;$U$60)+SUM(SUMIFS(DEALS!$J:$J,DEALS!$A:$A,{"*REFUND*","*EXECUTED*"},DEALS!$G:$G,$B$58,DEALS!$E:$E,"&gt;="&amp;$C$60,DEALS!$E:$E,"&lt;="&amp;$U$60,DEALS!$K:$K,M$62,DEALS!$M:$M,$K71,DEALS!$N:$N,"&lt;&gt;*RECEIVED*",DEALS!$N:$N,"&lt;&gt;*EXECUTED*"))+SUM(SUMIFS(DEALS!$R:$R,DEALS!$A:$A,{"*REFUND*","*EXECUTED*"},DEALS!$O:$O,$B$58,DEALS!$E:$E,"&gt;="&amp;$C$60,DEALS!$E:$E,"&lt;="&amp;$U$60,DEALS!$S:$S,M$62,DEALS!$U:$U,$K71,DEALS!$V:$V,"&lt;&gt;*RECEIVED*",DEALS!$V:$V,"&lt;&gt;*EXECUTED*"))</f>
        <v>0</v>
      </c>
      <c r="N71" s="29" cm="1">
        <f t="array" ref="N71">SUMIFS(FLOWS!$C:$C,FLOWS!$A:$A,$B$58,FLOWS!$E:$E,$K71,FLOWS!$D:$D,N$62,FLOWS!$H:$H,"&gt;="&amp;$C$60,FLOWS!$H:$H,"&lt;="&amp;$U$60)+SUM(SUMIFS(DEALS!$J:$J,DEALS!$A:$A,{"*REFUND*","*EXECUTED*"},DEALS!$G:$G,$B$58,DEALS!$E:$E,"&gt;="&amp;$C$60,DEALS!$E:$E,"&lt;="&amp;$U$60,DEALS!$K:$K,N$62,DEALS!$M:$M,$K71,DEALS!$N:$N,"&lt;&gt;*RECEIVED*",DEALS!$N:$N,"&lt;&gt;*EXECUTED*"))+SUM(SUMIFS(DEALS!$R:$R,DEALS!$A:$A,{"*REFUND*","*EXECUTED*"},DEALS!$O:$O,$B$58,DEALS!$E:$E,"&gt;="&amp;$C$60,DEALS!$E:$E,"&lt;="&amp;$U$60,DEALS!$S:$S,N$62,DEALS!$U:$U,$K71,DEALS!$V:$V,"&lt;&gt;*RECEIVED*",DEALS!$V:$V,"&lt;&gt;*EXECUTED*"))</f>
        <v>0</v>
      </c>
      <c r="O71" s="29" cm="1">
        <f t="array" ref="O71">SUMIFS(FLOWS!$C:$C,FLOWS!$A:$A,$B$58,FLOWS!$E:$E,$K71,FLOWS!$D:$D,O$62,FLOWS!$H:$H,"&gt;="&amp;$C$60,FLOWS!$H:$H,"&lt;="&amp;$U$60)+SUM(SUMIFS(DEALS!$J:$J,DEALS!$A:$A,{"*REFUND*","*EXECUTED*"},DEALS!$G:$G,$B$58,DEALS!$E:$E,"&gt;="&amp;$C$60,DEALS!$E:$E,"&lt;="&amp;$U$60,DEALS!$K:$K,O$62,DEALS!$M:$M,$K71,DEALS!$N:$N,"&lt;&gt;*RECEIVED*",DEALS!$N:$N,"&lt;&gt;*EXECUTED*"))+SUM(SUMIFS(DEALS!$R:$R,DEALS!$A:$A,{"*REFUND*","*EXECUTED*"},DEALS!$O:$O,$B$58,DEALS!$E:$E,"&gt;="&amp;$C$60,DEALS!$E:$E,"&lt;="&amp;$U$60,DEALS!$S:$S,O$62,DEALS!$U:$U,$K71,DEALS!$V:$V,"&lt;&gt;*RECEIVED*",DEALS!$V:$V,"&lt;&gt;*EXECUTED*"))</f>
        <v>0</v>
      </c>
      <c r="P71" s="29" cm="1">
        <f t="array" ref="P71">SUMIFS(FLOWS!$C:$C,FLOWS!$A:$A,$B$58,FLOWS!$E:$E,$K71,FLOWS!$D:$D,P$62,FLOWS!$H:$H,"&gt;="&amp;$C$60,FLOWS!$H:$H,"&lt;="&amp;$U$60)+SUM(SUMIFS(DEALS!$J:$J,DEALS!$A:$A,{"*REFUND*","*EXECUTED*"},DEALS!$G:$G,$B$58,DEALS!$E:$E,"&gt;="&amp;$C$60,DEALS!$E:$E,"&lt;="&amp;$U$60,DEALS!$K:$K,P$62,DEALS!$M:$M,$K71,DEALS!$N:$N,"&lt;&gt;*RECEIVED*",DEALS!$N:$N,"&lt;&gt;*EXECUTED*"))+SUM(SUMIFS(DEALS!$R:$R,DEALS!$A:$A,{"*REFUND*","*EXECUTED*"},DEALS!$O:$O,$B$58,DEALS!$E:$E,"&gt;="&amp;$C$60,DEALS!$E:$E,"&lt;="&amp;$U$60,DEALS!$S:$S,P$62,DEALS!$U:$U,$K71,DEALS!$V:$V,"&lt;&gt;*RECEIVED*",DEALS!$V:$V,"&lt;&gt;*EXECUTED*"))</f>
        <v>0</v>
      </c>
      <c r="Q71" s="29" cm="1">
        <f t="array" ref="Q71">SUMIFS(FLOWS!$C:$C,FLOWS!$A:$A,$B$58,FLOWS!$E:$E,$K71,FLOWS!$D:$D,Q$62,FLOWS!$H:$H,"&gt;="&amp;$C$60,FLOWS!$H:$H,"&lt;="&amp;$U$60)+SUM(SUMIFS(DEALS!$J:$J,DEALS!$A:$A,{"*REFUND*","*EXECUTED*"},DEALS!$G:$G,$B$58,DEALS!$E:$E,"&gt;="&amp;$C$60,DEALS!$E:$E,"&lt;="&amp;$U$60,DEALS!$K:$K,Q$62,DEALS!$M:$M,$K71,DEALS!$N:$N,"&lt;&gt;*RECEIVED*",DEALS!$N:$N,"&lt;&gt;*EXECUTED*"))+SUM(SUMIFS(DEALS!$R:$R,DEALS!$A:$A,{"*REFUND*","*EXECUTED*"},DEALS!$O:$O,$B$58,DEALS!$E:$E,"&gt;="&amp;$C$60,DEALS!$E:$E,"&lt;="&amp;$U$60,DEALS!$S:$S,Q$62,DEALS!$U:$U,$K71,DEALS!$V:$V,"&lt;&gt;*RECEIVED*",DEALS!$V:$V,"&lt;&gt;*EXECUTED*"))</f>
        <v>0</v>
      </c>
      <c r="R71" s="30">
        <f ca="1">L71*VLOOKUP(L$62,'FX RATES'!$E$1:$F$50,2,FALSE)+M71*VLOOKUP(M$62,'FX RATES'!$E$1:$F$50,2,FALSE)+N71*VLOOKUP(N$62,'FX RATES'!$E$1:$F$50,2,FALSE)+O71*VLOOKUP(O$62,'FX RATES'!$E$1:$F$50,2,FALSE)+P71*VLOOKUP(P$62,'FX RATES'!$E$1:$F$50,2,FALSE)+Q71*VLOOKUP(Q$62,'FX RATES'!$E$1:$F$50,2,FALSE)</f>
        <v>0</v>
      </c>
      <c r="T71" s="28">
        <f t="shared" si="25"/>
        <v>0</v>
      </c>
      <c r="U71" s="29" cm="1">
        <f t="array" ref="U71">SUMIFS(BALANCES!$C:$C,BALANCES!$A:$A,$B$58,BALANCES!$B:$B,$T71,BALANCES!$D:$D,U$62)+SUMIFS(FLOWS!$C:$C,FLOWS!$A:$A,$B$58,FLOWS!$E:$E,$T71,FLOWS!$D:$D,U$62,FLOWS!$H:$H,"&lt;="&amp;$U$60)+SUM(SUMIFS(DEALS!$J:$J,DEALS!$A:$A,{"*REFUND*","*EXECUTED*"},DEALS!$G:$G,$B$58,DEALS!$E:$E,"&lt;="&amp;$U$60,DEALS!$K:$K,U$62,DEALS!$M:$M,$T71,DEALS!$N:$N,"&lt;&gt;*RECEIVED*",DEALS!$N:$N,"&lt;&gt;*EXECUTED*"))+SUM(SUMIFS(DEALS!$R:$R,DEALS!$A:$A,{"*REFUND*","*EXECUTED*"},DEALS!$O:$O,$B$58,DEALS!$E:$E,"&lt;="&amp;$U$60,DEALS!$S:$S,U$62,DEALS!$U:$U,$T71,DEALS!$V:$V,"&lt;&gt;*RECEIVED*",DEALS!$V:$V,"&lt;&gt;*EXECUTED*"))</f>
        <v>0</v>
      </c>
      <c r="V71" s="29" cm="1">
        <f t="array" ref="V71">SUMIFS(BALANCES!$C:$C,BALANCES!$A:$A,$B$58,BALANCES!$B:$B,$T71,BALANCES!$D:$D,V$62)+SUMIFS(FLOWS!$C:$C,FLOWS!$A:$A,$B$58,FLOWS!$E:$E,$T71,FLOWS!$D:$D,V$62,FLOWS!$H:$H,"&lt;="&amp;$U$60)+SUM(SUMIFS(DEALS!$J:$J,DEALS!$A:$A,{"*REFUND*","*EXECUTED*"},DEALS!$G:$G,$B$58,DEALS!$E:$E,"&lt;="&amp;$U$60,DEALS!$K:$K,V$62,DEALS!$M:$M,$T71,DEALS!$N:$N,"&lt;&gt;*RECEIVED*",DEALS!$N:$N,"&lt;&gt;*EXECUTED*"))+SUM(SUMIFS(DEALS!$R:$R,DEALS!$A:$A,{"*REFUND*","*EXECUTED*"},DEALS!$O:$O,$B$58,DEALS!$E:$E,"&lt;="&amp;$U$60,DEALS!$S:$S,V$62,DEALS!$U:$U,$T71,DEALS!$V:$V,"&lt;&gt;*RECEIVED*",DEALS!$V:$V,"&lt;&gt;*EXECUTED*"))</f>
        <v>0</v>
      </c>
      <c r="W71" s="29" cm="1">
        <f t="array" ref="W71">SUMIFS(BALANCES!$C:$C,BALANCES!$A:$A,$B$58,BALANCES!$B:$B,$T71,BALANCES!$D:$D,W$62)+SUMIFS(FLOWS!$C:$C,FLOWS!$A:$A,$B$58,FLOWS!$E:$E,$T71,FLOWS!$D:$D,W$62,FLOWS!$H:$H,"&lt;="&amp;$U$60)+SUM(SUMIFS(DEALS!$J:$J,DEALS!$A:$A,{"*REFUND*","*EXECUTED*"},DEALS!$G:$G,$B$58,DEALS!$E:$E,"&lt;="&amp;$U$60,DEALS!$K:$K,W$62,DEALS!$M:$M,$T71,DEALS!$N:$N,"&lt;&gt;*RECEIVED*",DEALS!$N:$N,"&lt;&gt;*EXECUTED*"))+SUM(SUMIFS(DEALS!$R:$R,DEALS!$A:$A,{"*REFUND*","*EXECUTED*"},DEALS!$O:$O,$B$58,DEALS!$E:$E,"&lt;="&amp;$U$60,DEALS!$S:$S,W$62,DEALS!$U:$U,$T71,DEALS!$V:$V,"&lt;&gt;*RECEIVED*",DEALS!$V:$V,"&lt;&gt;*EXECUTED*"))</f>
        <v>0</v>
      </c>
      <c r="X71" s="29" cm="1">
        <f t="array" ref="X71">SUMIFS(BALANCES!$C:$C,BALANCES!$A:$A,$B$58,BALANCES!$B:$B,$T71,BALANCES!$D:$D,X$62)+SUMIFS(FLOWS!$C:$C,FLOWS!$A:$A,$B$58,FLOWS!$E:$E,$T71,FLOWS!$D:$D,X$62,FLOWS!$H:$H,"&lt;="&amp;$U$60)+SUM(SUMIFS(DEALS!$J:$J,DEALS!$A:$A,{"*REFUND*","*EXECUTED*"},DEALS!$G:$G,$B$58,DEALS!$E:$E,"&lt;="&amp;$U$60,DEALS!$K:$K,X$62,DEALS!$M:$M,$T71,DEALS!$N:$N,"&lt;&gt;*RECEIVED*",DEALS!$N:$N,"&lt;&gt;*EXECUTED*"))+SUM(SUMIFS(DEALS!$R:$R,DEALS!$A:$A,{"*REFUND*","*EXECUTED*"},DEALS!$O:$O,$B$58,DEALS!$E:$E,"&lt;="&amp;$U$60,DEALS!$S:$S,X$62,DEALS!$U:$U,$T71,DEALS!$V:$V,"&lt;&gt;*RECEIVED*",DEALS!$V:$V,"&lt;&gt;*EXECUTED*"))</f>
        <v>0</v>
      </c>
      <c r="Y71" s="29" cm="1">
        <f t="array" ref="Y71">SUMIFS(BALANCES!$C:$C,BALANCES!$A:$A,$B$58,BALANCES!$B:$B,$T71,BALANCES!$D:$D,Y$62)+SUMIFS(FLOWS!$C:$C,FLOWS!$A:$A,$B$58,FLOWS!$E:$E,$T71,FLOWS!$D:$D,Y$62,FLOWS!$H:$H,"&lt;="&amp;$U$60)+SUM(SUMIFS(DEALS!$J:$J,DEALS!$A:$A,{"*REFUND*","*EXECUTED*"},DEALS!$G:$G,$B$58,DEALS!$E:$E,"&lt;="&amp;$U$60,DEALS!$K:$K,Y$62,DEALS!$M:$M,$T71,DEALS!$N:$N,"&lt;&gt;*RECEIVED*",DEALS!$N:$N,"&lt;&gt;*EXECUTED*"))+SUM(SUMIFS(DEALS!$R:$R,DEALS!$A:$A,{"*REFUND*","*EXECUTED*"},DEALS!$O:$O,$B$58,DEALS!$E:$E,"&lt;="&amp;$U$60,DEALS!$S:$S,Y$62,DEALS!$U:$U,$T71,DEALS!$V:$V,"&lt;&gt;*RECEIVED*",DEALS!$V:$V,"&lt;&gt;*EXECUTED*"))</f>
        <v>0</v>
      </c>
      <c r="Z71" s="29" cm="1">
        <f t="array" ref="Z71">SUMIFS(BALANCES!$C:$C,BALANCES!$A:$A,$B$58,BALANCES!$B:$B,$T71,BALANCES!$D:$D,Z$62)+SUMIFS(FLOWS!$C:$C,FLOWS!$A:$A,$B$58,FLOWS!$E:$E,$T71,FLOWS!$D:$D,Z$62,FLOWS!$H:$H,"&lt;="&amp;$U$60)+SUM(SUMIFS(DEALS!$J:$J,DEALS!$A:$A,{"*REFUND*","*EXECUTED*"},DEALS!$G:$G,$B$58,DEALS!$E:$E,"&lt;="&amp;$U$60,DEALS!$K:$K,Z$62,DEALS!$M:$M,$T71,DEALS!$N:$N,"&lt;&gt;*RECEIVED*",DEALS!$N:$N,"&lt;&gt;*EXECUTED*"))+SUM(SUMIFS(DEALS!$R:$R,DEALS!$A:$A,{"*REFUND*","*EXECUTED*"},DEALS!$O:$O,$B$58,DEALS!$E:$E,"&lt;="&amp;$U$60,DEALS!$S:$S,Z$62,DEALS!$U:$U,$T71,DEALS!$V:$V,"&lt;&gt;*RECEIVED*",DEALS!$V:$V,"&lt;&gt;*EXECUTED*"))</f>
        <v>0</v>
      </c>
      <c r="AA71" s="30">
        <f ca="1">U71*VLOOKUP(U$62,'FX RATES'!$E$1:$F$50,2,FALSE)+V71*VLOOKUP(V$62,'FX RATES'!$E$1:$F$50,2,FALSE)+W71*VLOOKUP(W$62,'FX RATES'!$E$1:$F$50,2,FALSE)+X71*VLOOKUP(X$62,'FX RATES'!$E$1:$F$50,2,FALSE)+Y71*VLOOKUP(Y$62,'FX RATES'!$E$1:$F$50,2,FALSE)+Z71*VLOOKUP(Z$62,'FX RATES'!$E$1:$F$50,2,FALSE)</f>
        <v>0</v>
      </c>
      <c r="AC71" s="139">
        <f t="shared" ca="1" si="26"/>
        <v>0</v>
      </c>
    </row>
    <row r="72" spans="2:29" ht="19" hidden="1">
      <c r="B72" s="31"/>
      <c r="C72" s="32" cm="1">
        <f t="array" ref="C72">SUMIFS(BALANCES!$C:$C,BALANCES!$A:$A,$B$58,BALANCES!$B:$B,$B72,BALANCES!$D:$D,C$62)+SUMIFS(FLOWS!$C:$C,FLOWS!$A:$A,$B$58,FLOWS!$E:$E,$B72,FLOWS!$D:$D,C$62,FLOWS!$H:$H,"&lt;"&amp;$C$60)+SUM(SUMIFS(DEALS!$J:$J,DEALS!$A:$A,{"*REFUND*","*EXECUTED*"},DEALS!$G:$G,$B$58,DEALS!$E:$E,"&lt;"&amp;$C$60,DEALS!$K:$K,C$62,DEALS!$M:$M,$B72,DEALS!$N:$N,"&lt;&gt;*RECEIVED*",DEALS!$N:$N,"&lt;&gt;*EXECUTED*"))+SUM(SUMIFS(DEALS!$R:$R,DEALS!$A:$A,{"*REFUND*","*EXECUTED*"},DEALS!$O:$O,$B$58,DEALS!$E:$E,"&lt;"&amp;$C$60,DEALS!$S:$S,C$62,DEALS!$U:$U,$B72,DEALS!$V:$V,"&lt;&gt;*RECEIVED*",DEALS!$V:$V,"&lt;&gt;*EXECUTED*"))</f>
        <v>0</v>
      </c>
      <c r="D72" s="32" cm="1">
        <f t="array" ref="D72">SUMIFS(BALANCES!$C:$C,BALANCES!$A:$A,$B$58,BALANCES!$B:$B,$B72,BALANCES!$D:$D,D$62)+SUMIFS(FLOWS!$C:$C,FLOWS!$A:$A,$B$58,FLOWS!$E:$E,$B72,FLOWS!$D:$D,D$62,FLOWS!$H:$H,"&lt;"&amp;$C$60)+SUM(SUMIFS(DEALS!$J:$J,DEALS!$A:$A,{"*REFUND*","*EXECUTED*"},DEALS!$G:$G,$B$58,DEALS!$E:$E,"&lt;"&amp;$C$60,DEALS!$K:$K,D$62,DEALS!$M:$M,$B72,DEALS!$N:$N,"&lt;&gt;*RECEIVED*",DEALS!$N:$N,"&lt;&gt;*EXECUTED*"))+SUM(SUMIFS(DEALS!$R:$R,DEALS!$A:$A,{"*REFUND*","*EXECUTED*"},DEALS!$O:$O,$B$58,DEALS!$E:$E,"&lt;"&amp;$C$60,DEALS!$S:$S,D$62,DEALS!$U:$U,$B72,DEALS!$V:$V,"&lt;&gt;*RECEIVED*",DEALS!$V:$V,"&lt;&gt;*EXECUTED*"))</f>
        <v>0</v>
      </c>
      <c r="E72" s="32" cm="1">
        <f t="array" ref="E72">SUMIFS(BALANCES!$C:$C,BALANCES!$A:$A,$B$58,BALANCES!$B:$B,$B72,BALANCES!$D:$D,E$62)+SUMIFS(FLOWS!$C:$C,FLOWS!$A:$A,$B$58,FLOWS!$E:$E,$B72,FLOWS!$D:$D,E$62,FLOWS!$H:$H,"&lt;"&amp;$C$60)+SUM(SUMIFS(DEALS!$J:$J,DEALS!$A:$A,{"*REFUND*","*EXECUTED*"},DEALS!$G:$G,$B$58,DEALS!$E:$E,"&lt;"&amp;$C$60,DEALS!$K:$K,E$62,DEALS!$M:$M,$B72,DEALS!$N:$N,"&lt;&gt;*RECEIVED*",DEALS!$N:$N,"&lt;&gt;*EXECUTED*"))+SUM(SUMIFS(DEALS!$R:$R,DEALS!$A:$A,{"*REFUND*","*EXECUTED*"},DEALS!$O:$O,$B$58,DEALS!$E:$E,"&lt;"&amp;$C$60,DEALS!$S:$S,E$62,DEALS!$U:$U,$B72,DEALS!$V:$V,"&lt;&gt;*RECEIVED*",DEALS!$V:$V,"&lt;&gt;*EXECUTED*"))</f>
        <v>0</v>
      </c>
      <c r="F72" s="32" cm="1">
        <f t="array" ref="F72">SUMIFS(BALANCES!$C:$C,BALANCES!$A:$A,$B$58,BALANCES!$B:$B,$B72,BALANCES!$D:$D,F$62)+SUMIFS(FLOWS!$C:$C,FLOWS!$A:$A,$B$58,FLOWS!$E:$E,$B72,FLOWS!$D:$D,F$62,FLOWS!$H:$H,"&lt;"&amp;$C$60)+SUM(SUMIFS(DEALS!$J:$J,DEALS!$A:$A,{"*REFUND*","*EXECUTED*"},DEALS!$G:$G,$B$58,DEALS!$E:$E,"&lt;"&amp;$C$60,DEALS!$K:$K,F$62,DEALS!$M:$M,$B72,DEALS!$N:$N,"&lt;&gt;*RECEIVED*",DEALS!$N:$N,"&lt;&gt;*EXECUTED*"))+SUM(SUMIFS(DEALS!$R:$R,DEALS!$A:$A,{"*REFUND*","*EXECUTED*"},DEALS!$O:$O,$B$58,DEALS!$E:$E,"&lt;"&amp;$C$60,DEALS!$S:$S,F$62,DEALS!$U:$U,$B72,DEALS!$V:$V,"&lt;&gt;*RECEIVED*",DEALS!$V:$V,"&lt;&gt;*EXECUTED*"))</f>
        <v>0</v>
      </c>
      <c r="G72" s="32" cm="1">
        <f t="array" ref="G72">SUMIFS(BALANCES!$C:$C,BALANCES!$A:$A,$B$58,BALANCES!$B:$B,$B72,BALANCES!$D:$D,G$62)+SUMIFS(FLOWS!$C:$C,FLOWS!$A:$A,$B$58,FLOWS!$E:$E,$B72,FLOWS!$D:$D,G$62,FLOWS!$H:$H,"&lt;"&amp;$C$60)+SUM(SUMIFS(DEALS!$J:$J,DEALS!$A:$A,{"*REFUND*","*EXECUTED*"},DEALS!$G:$G,$B$58,DEALS!$E:$E,"&lt;"&amp;$C$60,DEALS!$K:$K,G$62,DEALS!$M:$M,$B72,DEALS!$N:$N,"&lt;&gt;*RECEIVED*",DEALS!$N:$N,"&lt;&gt;*EXECUTED*"))+SUM(SUMIFS(DEALS!$R:$R,DEALS!$A:$A,{"*REFUND*","*EXECUTED*"},DEALS!$O:$O,$B$58,DEALS!$E:$E,"&lt;"&amp;$C$60,DEALS!$S:$S,G$62,DEALS!$U:$U,$B72,DEALS!$V:$V,"&lt;&gt;*RECEIVED*",DEALS!$V:$V,"&lt;&gt;*EXECUTED*"))</f>
        <v>0</v>
      </c>
      <c r="H72" s="32" cm="1">
        <f t="array" ref="H72">SUMIFS(BALANCES!$C:$C,BALANCES!$A:$A,$B$58,BALANCES!$B:$B,$B72,BALANCES!$D:$D,H$62)+SUMIFS(FLOWS!$C:$C,FLOWS!$A:$A,$B$58,FLOWS!$E:$E,$B72,FLOWS!$D:$D,H$62,FLOWS!$H:$H,"&lt;"&amp;$C$60)+SUM(SUMIFS(DEALS!$J:$J,DEALS!$A:$A,{"*REFUND*","*EXECUTED*"},DEALS!$G:$G,$B$58,DEALS!$E:$E,"&lt;"&amp;$C$60,DEALS!$K:$K,H$62,DEALS!$M:$M,$B72,DEALS!$N:$N,"&lt;&gt;*RECEIVED*",DEALS!$N:$N,"&lt;&gt;*EXECUTED*"))+SUM(SUMIFS(DEALS!$R:$R,DEALS!$A:$A,{"*REFUND*","*EXECUTED*"},DEALS!$O:$O,$B$58,DEALS!$E:$E,"&lt;"&amp;$C$60,DEALS!$S:$S,H$62,DEALS!$U:$U,$B72,DEALS!$V:$V,"&lt;&gt;*RECEIVED*",DEALS!$V:$V,"&lt;&gt;*EXECUTED*"))</f>
        <v>0</v>
      </c>
      <c r="I72" s="33">
        <f ca="1">C72*VLOOKUP(C$62,'FX RATES'!$E$1:$F$50,2,FALSE)+D72*VLOOKUP(D$62,'FX RATES'!$E$1:$F$50,2,FALSE)+E72*VLOOKUP(E$62,'FX RATES'!$E$1:$F$50,2,FALSE)+F72*VLOOKUP(F$62,'FX RATES'!$E$1:$F$50,2,FALSE)+G72*VLOOKUP(G$62,'FX RATES'!$E$1:$F$50,2,FALSE)+H72*VLOOKUP(H$62,'FX RATES'!$E$1:$F$50,2,FALSE)</f>
        <v>0</v>
      </c>
      <c r="K72" s="31">
        <f t="shared" si="24"/>
        <v>0</v>
      </c>
      <c r="L72" s="32" cm="1">
        <f t="array" ref="L72">SUMIFS(FLOWS!$C:$C,FLOWS!$A:$A,$B$58,FLOWS!$E:$E,$K72,FLOWS!$D:$D,L$62,FLOWS!$H:$H,"&gt;="&amp;$C$60,FLOWS!$H:$H,"&lt;="&amp;$U$60)+SUM(SUMIFS(DEALS!$J:$J,DEALS!$A:$A,{"*REFUND*","*EXECUTED*"},DEALS!$G:$G,$B$58,DEALS!$E:$E,"&gt;="&amp;$C$60,DEALS!$E:$E,"&lt;="&amp;$U$60,DEALS!$K:$K,L$62,DEALS!$M:$M,$K72,DEALS!$N:$N,"&lt;&gt;*RECEIVED*",DEALS!$N:$N,"&lt;&gt;*EXECUTED*"))+SUM(SUMIFS(DEALS!$R:$R,DEALS!$A:$A,{"*REFUND*","*EXECUTED*"},DEALS!$O:$O,$B$58,DEALS!$E:$E,"&gt;="&amp;$C$60,DEALS!$E:$E,"&lt;="&amp;$U$60,DEALS!$S:$S,L$62,DEALS!$U:$U,$K72,DEALS!$V:$V,"&lt;&gt;*RECEIVED*",DEALS!$V:$V,"&lt;&gt;*EXECUTED*"))</f>
        <v>0</v>
      </c>
      <c r="M72" s="32" cm="1">
        <f t="array" ref="M72">SUMIFS(FLOWS!$C:$C,FLOWS!$A:$A,$B$58,FLOWS!$E:$E,$K72,FLOWS!$D:$D,M$62,FLOWS!$H:$H,"&gt;="&amp;$C$60,FLOWS!$H:$H,"&lt;="&amp;$U$60)+SUM(SUMIFS(DEALS!$J:$J,DEALS!$A:$A,{"*REFUND*","*EXECUTED*"},DEALS!$G:$G,$B$58,DEALS!$E:$E,"&gt;="&amp;$C$60,DEALS!$E:$E,"&lt;="&amp;$U$60,DEALS!$K:$K,M$62,DEALS!$M:$M,$K72,DEALS!$N:$N,"&lt;&gt;*RECEIVED*",DEALS!$N:$N,"&lt;&gt;*EXECUTED*"))+SUM(SUMIFS(DEALS!$R:$R,DEALS!$A:$A,{"*REFUND*","*EXECUTED*"},DEALS!$O:$O,$B$58,DEALS!$E:$E,"&gt;="&amp;$C$60,DEALS!$E:$E,"&lt;="&amp;$U$60,DEALS!$S:$S,M$62,DEALS!$U:$U,$K72,DEALS!$V:$V,"&lt;&gt;*RECEIVED*",DEALS!$V:$V,"&lt;&gt;*EXECUTED*"))</f>
        <v>0</v>
      </c>
      <c r="N72" s="32" cm="1">
        <f t="array" ref="N72">SUMIFS(FLOWS!$C:$C,FLOWS!$A:$A,$B$58,FLOWS!$E:$E,$K72,FLOWS!$D:$D,N$62,FLOWS!$H:$H,"&gt;="&amp;$C$60,FLOWS!$H:$H,"&lt;="&amp;$U$60)+SUM(SUMIFS(DEALS!$J:$J,DEALS!$A:$A,{"*REFUND*","*EXECUTED*"},DEALS!$G:$G,$B$58,DEALS!$E:$E,"&gt;="&amp;$C$60,DEALS!$E:$E,"&lt;="&amp;$U$60,DEALS!$K:$K,N$62,DEALS!$M:$M,$K72,DEALS!$N:$N,"&lt;&gt;*RECEIVED*",DEALS!$N:$N,"&lt;&gt;*EXECUTED*"))+SUM(SUMIFS(DEALS!$R:$R,DEALS!$A:$A,{"*REFUND*","*EXECUTED*"},DEALS!$O:$O,$B$58,DEALS!$E:$E,"&gt;="&amp;$C$60,DEALS!$E:$E,"&lt;="&amp;$U$60,DEALS!$S:$S,N$62,DEALS!$U:$U,$K72,DEALS!$V:$V,"&lt;&gt;*RECEIVED*",DEALS!$V:$V,"&lt;&gt;*EXECUTED*"))</f>
        <v>0</v>
      </c>
      <c r="O72" s="32" cm="1">
        <f t="array" ref="O72">SUMIFS(FLOWS!$C:$C,FLOWS!$A:$A,$B$58,FLOWS!$E:$E,$K72,FLOWS!$D:$D,O$62,FLOWS!$H:$H,"&gt;="&amp;$C$60,FLOWS!$H:$H,"&lt;="&amp;$U$60)+SUM(SUMIFS(DEALS!$J:$J,DEALS!$A:$A,{"*REFUND*","*EXECUTED*"},DEALS!$G:$G,$B$58,DEALS!$E:$E,"&gt;="&amp;$C$60,DEALS!$E:$E,"&lt;="&amp;$U$60,DEALS!$K:$K,O$62,DEALS!$M:$M,$K72,DEALS!$N:$N,"&lt;&gt;*RECEIVED*",DEALS!$N:$N,"&lt;&gt;*EXECUTED*"))+SUM(SUMIFS(DEALS!$R:$R,DEALS!$A:$A,{"*REFUND*","*EXECUTED*"},DEALS!$O:$O,$B$58,DEALS!$E:$E,"&gt;="&amp;$C$60,DEALS!$E:$E,"&lt;="&amp;$U$60,DEALS!$S:$S,O$62,DEALS!$U:$U,$K72,DEALS!$V:$V,"&lt;&gt;*RECEIVED*",DEALS!$V:$V,"&lt;&gt;*EXECUTED*"))</f>
        <v>0</v>
      </c>
      <c r="P72" s="32" cm="1">
        <f t="array" ref="P72">SUMIFS(FLOWS!$C:$C,FLOWS!$A:$A,$B$58,FLOWS!$E:$E,$K72,FLOWS!$D:$D,P$62,FLOWS!$H:$H,"&gt;="&amp;$C$60,FLOWS!$H:$H,"&lt;="&amp;$U$60)+SUM(SUMIFS(DEALS!$J:$J,DEALS!$A:$A,{"*REFUND*","*EXECUTED*"},DEALS!$G:$G,$B$58,DEALS!$E:$E,"&gt;="&amp;$C$60,DEALS!$E:$E,"&lt;="&amp;$U$60,DEALS!$K:$K,P$62,DEALS!$M:$M,$K72,DEALS!$N:$N,"&lt;&gt;*RECEIVED*",DEALS!$N:$N,"&lt;&gt;*EXECUTED*"))+SUM(SUMIFS(DEALS!$R:$R,DEALS!$A:$A,{"*REFUND*","*EXECUTED*"},DEALS!$O:$O,$B$58,DEALS!$E:$E,"&gt;="&amp;$C$60,DEALS!$E:$E,"&lt;="&amp;$U$60,DEALS!$S:$S,P$62,DEALS!$U:$U,$K72,DEALS!$V:$V,"&lt;&gt;*RECEIVED*",DEALS!$V:$V,"&lt;&gt;*EXECUTED*"))</f>
        <v>0</v>
      </c>
      <c r="Q72" s="32" cm="1">
        <f t="array" ref="Q72">SUMIFS(FLOWS!$C:$C,FLOWS!$A:$A,$B$58,FLOWS!$E:$E,$K72,FLOWS!$D:$D,Q$62,FLOWS!$H:$H,"&gt;="&amp;$C$60,FLOWS!$H:$H,"&lt;="&amp;$U$60)+SUM(SUMIFS(DEALS!$J:$J,DEALS!$A:$A,{"*REFUND*","*EXECUTED*"},DEALS!$G:$G,$B$58,DEALS!$E:$E,"&gt;="&amp;$C$60,DEALS!$E:$E,"&lt;="&amp;$U$60,DEALS!$K:$K,Q$62,DEALS!$M:$M,$K72,DEALS!$N:$N,"&lt;&gt;*RECEIVED*",DEALS!$N:$N,"&lt;&gt;*EXECUTED*"))+SUM(SUMIFS(DEALS!$R:$R,DEALS!$A:$A,{"*REFUND*","*EXECUTED*"},DEALS!$O:$O,$B$58,DEALS!$E:$E,"&gt;="&amp;$C$60,DEALS!$E:$E,"&lt;="&amp;$U$60,DEALS!$S:$S,Q$62,DEALS!$U:$U,$K72,DEALS!$V:$V,"&lt;&gt;*RECEIVED*",DEALS!$V:$V,"&lt;&gt;*EXECUTED*"))</f>
        <v>0</v>
      </c>
      <c r="R72" s="33">
        <f ca="1">L72*VLOOKUP(L$62,'FX RATES'!$E$1:$F$50,2,FALSE)+M72*VLOOKUP(M$62,'FX RATES'!$E$1:$F$50,2,FALSE)+N72*VLOOKUP(N$62,'FX RATES'!$E$1:$F$50,2,FALSE)+O72*VLOOKUP(O$62,'FX RATES'!$E$1:$F$50,2,FALSE)+P72*VLOOKUP(P$62,'FX RATES'!$E$1:$F$50,2,FALSE)+Q72*VLOOKUP(Q$62,'FX RATES'!$E$1:$F$50,2,FALSE)</f>
        <v>0</v>
      </c>
      <c r="T72" s="31">
        <f t="shared" si="25"/>
        <v>0</v>
      </c>
      <c r="U72" s="32" cm="1">
        <f t="array" ref="U72">SUMIFS(BALANCES!$C:$C,BALANCES!$A:$A,$B$58,BALANCES!$B:$B,$T72,BALANCES!$D:$D,U$62)+SUMIFS(FLOWS!$C:$C,FLOWS!$A:$A,$B$58,FLOWS!$E:$E,$T72,FLOWS!$D:$D,U$62,FLOWS!$H:$H,"&lt;="&amp;$U$60)+SUM(SUMIFS(DEALS!$J:$J,DEALS!$A:$A,{"*REFUND*","*EXECUTED*"},DEALS!$G:$G,$B$58,DEALS!$E:$E,"&lt;="&amp;$U$60,DEALS!$K:$K,U$62,DEALS!$M:$M,$T72,DEALS!$N:$N,"&lt;&gt;*RECEIVED*",DEALS!$N:$N,"&lt;&gt;*EXECUTED*"))+SUM(SUMIFS(DEALS!$R:$R,DEALS!$A:$A,{"*REFUND*","*EXECUTED*"},DEALS!$O:$O,$B$58,DEALS!$E:$E,"&lt;="&amp;$U$60,DEALS!$S:$S,U$62,DEALS!$U:$U,$T72,DEALS!$V:$V,"&lt;&gt;*RECEIVED*",DEALS!$V:$V,"&lt;&gt;*EXECUTED*"))</f>
        <v>0</v>
      </c>
      <c r="V72" s="32" cm="1">
        <f t="array" ref="V72">SUMIFS(BALANCES!$C:$C,BALANCES!$A:$A,$B$58,BALANCES!$B:$B,$T72,BALANCES!$D:$D,V$62)+SUMIFS(FLOWS!$C:$C,FLOWS!$A:$A,$B$58,FLOWS!$E:$E,$T72,FLOWS!$D:$D,V$62,FLOWS!$H:$H,"&lt;="&amp;$U$60)+SUM(SUMIFS(DEALS!$J:$J,DEALS!$A:$A,{"*REFUND*","*EXECUTED*"},DEALS!$G:$G,$B$58,DEALS!$E:$E,"&lt;="&amp;$U$60,DEALS!$K:$K,V$62,DEALS!$M:$M,$T72,DEALS!$N:$N,"&lt;&gt;*RECEIVED*",DEALS!$N:$N,"&lt;&gt;*EXECUTED*"))+SUM(SUMIFS(DEALS!$R:$R,DEALS!$A:$A,{"*REFUND*","*EXECUTED*"},DEALS!$O:$O,$B$58,DEALS!$E:$E,"&lt;="&amp;$U$60,DEALS!$S:$S,V$62,DEALS!$U:$U,$T72,DEALS!$V:$V,"&lt;&gt;*RECEIVED*",DEALS!$V:$V,"&lt;&gt;*EXECUTED*"))</f>
        <v>0</v>
      </c>
      <c r="W72" s="32" cm="1">
        <f t="array" ref="W72">SUMIFS(BALANCES!$C:$C,BALANCES!$A:$A,$B$58,BALANCES!$B:$B,$T72,BALANCES!$D:$D,W$62)+SUMIFS(FLOWS!$C:$C,FLOWS!$A:$A,$B$58,FLOWS!$E:$E,$T72,FLOWS!$D:$D,W$62,FLOWS!$H:$H,"&lt;="&amp;$U$60)+SUM(SUMIFS(DEALS!$J:$J,DEALS!$A:$A,{"*REFUND*","*EXECUTED*"},DEALS!$G:$G,$B$58,DEALS!$E:$E,"&lt;="&amp;$U$60,DEALS!$K:$K,W$62,DEALS!$M:$M,$T72,DEALS!$N:$N,"&lt;&gt;*RECEIVED*",DEALS!$N:$N,"&lt;&gt;*EXECUTED*"))+SUM(SUMIFS(DEALS!$R:$R,DEALS!$A:$A,{"*REFUND*","*EXECUTED*"},DEALS!$O:$O,$B$58,DEALS!$E:$E,"&lt;="&amp;$U$60,DEALS!$S:$S,W$62,DEALS!$U:$U,$T72,DEALS!$V:$V,"&lt;&gt;*RECEIVED*",DEALS!$V:$V,"&lt;&gt;*EXECUTED*"))</f>
        <v>0</v>
      </c>
      <c r="X72" s="32" cm="1">
        <f t="array" ref="X72">SUMIFS(BALANCES!$C:$C,BALANCES!$A:$A,$B$58,BALANCES!$B:$B,$T72,BALANCES!$D:$D,X$62)+SUMIFS(FLOWS!$C:$C,FLOWS!$A:$A,$B$58,FLOWS!$E:$E,$T72,FLOWS!$D:$D,X$62,FLOWS!$H:$H,"&lt;="&amp;$U$60)+SUM(SUMIFS(DEALS!$J:$J,DEALS!$A:$A,{"*REFUND*","*EXECUTED*"},DEALS!$G:$G,$B$58,DEALS!$E:$E,"&lt;="&amp;$U$60,DEALS!$K:$K,X$62,DEALS!$M:$M,$T72,DEALS!$N:$N,"&lt;&gt;*RECEIVED*",DEALS!$N:$N,"&lt;&gt;*EXECUTED*"))+SUM(SUMIFS(DEALS!$R:$R,DEALS!$A:$A,{"*REFUND*","*EXECUTED*"},DEALS!$O:$O,$B$58,DEALS!$E:$E,"&lt;="&amp;$U$60,DEALS!$S:$S,X$62,DEALS!$U:$U,$T72,DEALS!$V:$V,"&lt;&gt;*RECEIVED*",DEALS!$V:$V,"&lt;&gt;*EXECUTED*"))</f>
        <v>0</v>
      </c>
      <c r="Y72" s="32" cm="1">
        <f t="array" ref="Y72">SUMIFS(BALANCES!$C:$C,BALANCES!$A:$A,$B$58,BALANCES!$B:$B,$T72,BALANCES!$D:$D,Y$62)+SUMIFS(FLOWS!$C:$C,FLOWS!$A:$A,$B$58,FLOWS!$E:$E,$T72,FLOWS!$D:$D,Y$62,FLOWS!$H:$H,"&lt;="&amp;$U$60)+SUM(SUMIFS(DEALS!$J:$J,DEALS!$A:$A,{"*REFUND*","*EXECUTED*"},DEALS!$G:$G,$B$58,DEALS!$E:$E,"&lt;="&amp;$U$60,DEALS!$K:$K,Y$62,DEALS!$M:$M,$T72,DEALS!$N:$N,"&lt;&gt;*RECEIVED*",DEALS!$N:$N,"&lt;&gt;*EXECUTED*"))+SUM(SUMIFS(DEALS!$R:$R,DEALS!$A:$A,{"*REFUND*","*EXECUTED*"},DEALS!$O:$O,$B$58,DEALS!$E:$E,"&lt;="&amp;$U$60,DEALS!$S:$S,Y$62,DEALS!$U:$U,$T72,DEALS!$V:$V,"&lt;&gt;*RECEIVED*",DEALS!$V:$V,"&lt;&gt;*EXECUTED*"))</f>
        <v>0</v>
      </c>
      <c r="Z72" s="32" cm="1">
        <f t="array" ref="Z72">SUMIFS(BALANCES!$C:$C,BALANCES!$A:$A,$B$58,BALANCES!$B:$B,$T72,BALANCES!$D:$D,Z$62)+SUMIFS(FLOWS!$C:$C,FLOWS!$A:$A,$B$58,FLOWS!$E:$E,$T72,FLOWS!$D:$D,Z$62,FLOWS!$H:$H,"&lt;="&amp;$U$60)+SUM(SUMIFS(DEALS!$J:$J,DEALS!$A:$A,{"*REFUND*","*EXECUTED*"},DEALS!$G:$G,$B$58,DEALS!$E:$E,"&lt;="&amp;$U$60,DEALS!$K:$K,Z$62,DEALS!$M:$M,$T72,DEALS!$N:$N,"&lt;&gt;*RECEIVED*",DEALS!$N:$N,"&lt;&gt;*EXECUTED*"))+SUM(SUMIFS(DEALS!$R:$R,DEALS!$A:$A,{"*REFUND*","*EXECUTED*"},DEALS!$O:$O,$B$58,DEALS!$E:$E,"&lt;="&amp;$U$60,DEALS!$S:$S,Z$62,DEALS!$U:$U,$T72,DEALS!$V:$V,"&lt;&gt;*RECEIVED*",DEALS!$V:$V,"&lt;&gt;*EXECUTED*"))</f>
        <v>0</v>
      </c>
      <c r="AA72" s="33">
        <f ca="1">U72*VLOOKUP(U$62,'FX RATES'!$E$1:$F$50,2,FALSE)+V72*VLOOKUP(V$62,'FX RATES'!$E$1:$F$50,2,FALSE)+W72*VLOOKUP(W$62,'FX RATES'!$E$1:$F$50,2,FALSE)+X72*VLOOKUP(X$62,'FX RATES'!$E$1:$F$50,2,FALSE)+Y72*VLOOKUP(Y$62,'FX RATES'!$E$1:$F$50,2,FALSE)+Z72*VLOOKUP(Z$62,'FX RATES'!$E$1:$F$50,2,FALSE)</f>
        <v>0</v>
      </c>
      <c r="AC72" s="139">
        <f t="shared" ca="1" si="26"/>
        <v>0</v>
      </c>
    </row>
    <row r="73" spans="2:29" ht="19" hidden="1">
      <c r="B73" s="28"/>
      <c r="C73" s="29" cm="1">
        <f t="array" ref="C73">SUMIFS(BALANCES!$C:$C,BALANCES!$A:$A,$B$58,BALANCES!$B:$B,$B73,BALANCES!$D:$D,C$62)+SUMIFS(FLOWS!$C:$C,FLOWS!$A:$A,$B$58,FLOWS!$E:$E,$B73,FLOWS!$D:$D,C$62,FLOWS!$H:$H,"&lt;"&amp;$C$60)+SUM(SUMIFS(DEALS!$J:$J,DEALS!$A:$A,{"*REFUND*","*EXECUTED*"},DEALS!$G:$G,$B$58,DEALS!$E:$E,"&lt;"&amp;$C$60,DEALS!$K:$K,C$62,DEALS!$M:$M,$B73,DEALS!$N:$N,"&lt;&gt;*RECEIVED*",DEALS!$N:$N,"&lt;&gt;*EXECUTED*"))+SUM(SUMIFS(DEALS!$R:$R,DEALS!$A:$A,{"*REFUND*","*EXECUTED*"},DEALS!$O:$O,$B$58,DEALS!$E:$E,"&lt;"&amp;$C$60,DEALS!$S:$S,C$62,DEALS!$U:$U,$B73,DEALS!$V:$V,"&lt;&gt;*RECEIVED*",DEALS!$V:$V,"&lt;&gt;*EXECUTED*"))</f>
        <v>0</v>
      </c>
      <c r="D73" s="29" cm="1">
        <f t="array" ref="D73">SUMIFS(BALANCES!$C:$C,BALANCES!$A:$A,$B$58,BALANCES!$B:$B,$B73,BALANCES!$D:$D,D$62)+SUMIFS(FLOWS!$C:$C,FLOWS!$A:$A,$B$58,FLOWS!$E:$E,$B73,FLOWS!$D:$D,D$62,FLOWS!$H:$H,"&lt;"&amp;$C$60)+SUM(SUMIFS(DEALS!$J:$J,DEALS!$A:$A,{"*REFUND*","*EXECUTED*"},DEALS!$G:$G,$B$58,DEALS!$E:$E,"&lt;"&amp;$C$60,DEALS!$K:$K,D$62,DEALS!$M:$M,$B73,DEALS!$N:$N,"&lt;&gt;*RECEIVED*",DEALS!$N:$N,"&lt;&gt;*EXECUTED*"))+SUM(SUMIFS(DEALS!$R:$R,DEALS!$A:$A,{"*REFUND*","*EXECUTED*"},DEALS!$O:$O,$B$58,DEALS!$E:$E,"&lt;"&amp;$C$60,DEALS!$S:$S,D$62,DEALS!$U:$U,$B73,DEALS!$V:$V,"&lt;&gt;*RECEIVED*",DEALS!$V:$V,"&lt;&gt;*EXECUTED*"))</f>
        <v>0</v>
      </c>
      <c r="E73" s="29" cm="1">
        <f t="array" ref="E73">SUMIFS(BALANCES!$C:$C,BALANCES!$A:$A,$B$58,BALANCES!$B:$B,$B73,BALANCES!$D:$D,E$62)+SUMIFS(FLOWS!$C:$C,FLOWS!$A:$A,$B$58,FLOWS!$E:$E,$B73,FLOWS!$D:$D,E$62,FLOWS!$H:$H,"&lt;"&amp;$C$60)+SUM(SUMIFS(DEALS!$J:$J,DEALS!$A:$A,{"*REFUND*","*EXECUTED*"},DEALS!$G:$G,$B$58,DEALS!$E:$E,"&lt;"&amp;$C$60,DEALS!$K:$K,E$62,DEALS!$M:$M,$B73,DEALS!$N:$N,"&lt;&gt;*RECEIVED*",DEALS!$N:$N,"&lt;&gt;*EXECUTED*"))+SUM(SUMIFS(DEALS!$R:$R,DEALS!$A:$A,{"*REFUND*","*EXECUTED*"},DEALS!$O:$O,$B$58,DEALS!$E:$E,"&lt;"&amp;$C$60,DEALS!$S:$S,E$62,DEALS!$U:$U,$B73,DEALS!$V:$V,"&lt;&gt;*RECEIVED*",DEALS!$V:$V,"&lt;&gt;*EXECUTED*"))</f>
        <v>0</v>
      </c>
      <c r="F73" s="29" cm="1">
        <f t="array" ref="F73">SUMIFS(BALANCES!$C:$C,BALANCES!$A:$A,$B$58,BALANCES!$B:$B,$B73,BALANCES!$D:$D,F$62)+SUMIFS(FLOWS!$C:$C,FLOWS!$A:$A,$B$58,FLOWS!$E:$E,$B73,FLOWS!$D:$D,F$62,FLOWS!$H:$H,"&lt;"&amp;$C$60)+SUM(SUMIFS(DEALS!$J:$J,DEALS!$A:$A,{"*REFUND*","*EXECUTED*"},DEALS!$G:$G,$B$58,DEALS!$E:$E,"&lt;"&amp;$C$60,DEALS!$K:$K,F$62,DEALS!$M:$M,$B73,DEALS!$N:$N,"&lt;&gt;*RECEIVED*",DEALS!$N:$N,"&lt;&gt;*EXECUTED*"))+SUM(SUMIFS(DEALS!$R:$R,DEALS!$A:$A,{"*REFUND*","*EXECUTED*"},DEALS!$O:$O,$B$58,DEALS!$E:$E,"&lt;"&amp;$C$60,DEALS!$S:$S,F$62,DEALS!$U:$U,$B73,DEALS!$V:$V,"&lt;&gt;*RECEIVED*",DEALS!$V:$V,"&lt;&gt;*EXECUTED*"))</f>
        <v>0</v>
      </c>
      <c r="G73" s="29" cm="1">
        <f t="array" ref="G73">SUMIFS(BALANCES!$C:$C,BALANCES!$A:$A,$B$58,BALANCES!$B:$B,$B73,BALANCES!$D:$D,G$62)+SUMIFS(FLOWS!$C:$C,FLOWS!$A:$A,$B$58,FLOWS!$E:$E,$B73,FLOWS!$D:$D,G$62,FLOWS!$H:$H,"&lt;"&amp;$C$60)+SUM(SUMIFS(DEALS!$J:$J,DEALS!$A:$A,{"*REFUND*","*EXECUTED*"},DEALS!$G:$G,$B$58,DEALS!$E:$E,"&lt;"&amp;$C$60,DEALS!$K:$K,G$62,DEALS!$M:$M,$B73,DEALS!$N:$N,"&lt;&gt;*RECEIVED*",DEALS!$N:$N,"&lt;&gt;*EXECUTED*"))+SUM(SUMIFS(DEALS!$R:$R,DEALS!$A:$A,{"*REFUND*","*EXECUTED*"},DEALS!$O:$O,$B$58,DEALS!$E:$E,"&lt;"&amp;$C$60,DEALS!$S:$S,G$62,DEALS!$U:$U,$B73,DEALS!$V:$V,"&lt;&gt;*RECEIVED*",DEALS!$V:$V,"&lt;&gt;*EXECUTED*"))</f>
        <v>0</v>
      </c>
      <c r="H73" s="29" cm="1">
        <f t="array" ref="H73">SUMIFS(BALANCES!$C:$C,BALANCES!$A:$A,$B$58,BALANCES!$B:$B,$B73,BALANCES!$D:$D,H$62)+SUMIFS(FLOWS!$C:$C,FLOWS!$A:$A,$B$58,FLOWS!$E:$E,$B73,FLOWS!$D:$D,H$62,FLOWS!$H:$H,"&lt;"&amp;$C$60)+SUM(SUMIFS(DEALS!$J:$J,DEALS!$A:$A,{"*REFUND*","*EXECUTED*"},DEALS!$G:$G,$B$58,DEALS!$E:$E,"&lt;"&amp;$C$60,DEALS!$K:$K,H$62,DEALS!$M:$M,$B73,DEALS!$N:$N,"&lt;&gt;*RECEIVED*",DEALS!$N:$N,"&lt;&gt;*EXECUTED*"))+SUM(SUMIFS(DEALS!$R:$R,DEALS!$A:$A,{"*REFUND*","*EXECUTED*"},DEALS!$O:$O,$B$58,DEALS!$E:$E,"&lt;"&amp;$C$60,DEALS!$S:$S,H$62,DEALS!$U:$U,$B73,DEALS!$V:$V,"&lt;&gt;*RECEIVED*",DEALS!$V:$V,"&lt;&gt;*EXECUTED*"))</f>
        <v>0</v>
      </c>
      <c r="I73" s="30">
        <f ca="1">C73*VLOOKUP(C$62,'FX RATES'!$E$1:$F$50,2,FALSE)+D73*VLOOKUP(D$62,'FX RATES'!$E$1:$F$50,2,FALSE)+E73*VLOOKUP(E$62,'FX RATES'!$E$1:$F$50,2,FALSE)+F73*VLOOKUP(F$62,'FX RATES'!$E$1:$F$50,2,FALSE)+G73*VLOOKUP(G$62,'FX RATES'!$E$1:$F$50,2,FALSE)+H73*VLOOKUP(H$62,'FX RATES'!$E$1:$F$50,2,FALSE)</f>
        <v>0</v>
      </c>
      <c r="K73" s="28">
        <f t="shared" si="24"/>
        <v>0</v>
      </c>
      <c r="L73" s="29" cm="1">
        <f t="array" ref="L73">SUMIFS(FLOWS!$C:$C,FLOWS!$A:$A,$B$58,FLOWS!$E:$E,$K73,FLOWS!$D:$D,L$62,FLOWS!$H:$H,"&gt;="&amp;$C$60,FLOWS!$H:$H,"&lt;="&amp;$U$60)+SUM(SUMIFS(DEALS!$J:$J,DEALS!$A:$A,{"*REFUND*","*EXECUTED*"},DEALS!$G:$G,$B$58,DEALS!$E:$E,"&gt;="&amp;$C$60,DEALS!$E:$E,"&lt;="&amp;$U$60,DEALS!$K:$K,L$62,DEALS!$M:$M,$K73,DEALS!$N:$N,"&lt;&gt;*RECEIVED*",DEALS!$N:$N,"&lt;&gt;*EXECUTED*"))+SUM(SUMIFS(DEALS!$R:$R,DEALS!$A:$A,{"*REFUND*","*EXECUTED*"},DEALS!$O:$O,$B$58,DEALS!$E:$E,"&gt;="&amp;$C$60,DEALS!$E:$E,"&lt;="&amp;$U$60,DEALS!$S:$S,L$62,DEALS!$U:$U,$K73,DEALS!$V:$V,"&lt;&gt;*RECEIVED*",DEALS!$V:$V,"&lt;&gt;*EXECUTED*"))</f>
        <v>0</v>
      </c>
      <c r="M73" s="29" cm="1">
        <f t="array" ref="M73">SUMIFS(FLOWS!$C:$C,FLOWS!$A:$A,$B$58,FLOWS!$E:$E,$K73,FLOWS!$D:$D,M$62,FLOWS!$H:$H,"&gt;="&amp;$C$60,FLOWS!$H:$H,"&lt;="&amp;$U$60)+SUM(SUMIFS(DEALS!$J:$J,DEALS!$A:$A,{"*REFUND*","*EXECUTED*"},DEALS!$G:$G,$B$58,DEALS!$E:$E,"&gt;="&amp;$C$60,DEALS!$E:$E,"&lt;="&amp;$U$60,DEALS!$K:$K,M$62,DEALS!$M:$M,$K73,DEALS!$N:$N,"&lt;&gt;*RECEIVED*",DEALS!$N:$N,"&lt;&gt;*EXECUTED*"))+SUM(SUMIFS(DEALS!$R:$R,DEALS!$A:$A,{"*REFUND*","*EXECUTED*"},DEALS!$O:$O,$B$58,DEALS!$E:$E,"&gt;="&amp;$C$60,DEALS!$E:$E,"&lt;="&amp;$U$60,DEALS!$S:$S,M$62,DEALS!$U:$U,$K73,DEALS!$V:$V,"&lt;&gt;*RECEIVED*",DEALS!$V:$V,"&lt;&gt;*EXECUTED*"))</f>
        <v>0</v>
      </c>
      <c r="N73" s="29" cm="1">
        <f t="array" ref="N73">SUMIFS(FLOWS!$C:$C,FLOWS!$A:$A,$B$58,FLOWS!$E:$E,$K73,FLOWS!$D:$D,N$62,FLOWS!$H:$H,"&gt;="&amp;$C$60,FLOWS!$H:$H,"&lt;="&amp;$U$60)+SUM(SUMIFS(DEALS!$J:$J,DEALS!$A:$A,{"*REFUND*","*EXECUTED*"},DEALS!$G:$G,$B$58,DEALS!$E:$E,"&gt;="&amp;$C$60,DEALS!$E:$E,"&lt;="&amp;$U$60,DEALS!$K:$K,N$62,DEALS!$M:$M,$K73,DEALS!$N:$N,"&lt;&gt;*RECEIVED*",DEALS!$N:$N,"&lt;&gt;*EXECUTED*"))+SUM(SUMIFS(DEALS!$R:$R,DEALS!$A:$A,{"*REFUND*","*EXECUTED*"},DEALS!$O:$O,$B$58,DEALS!$E:$E,"&gt;="&amp;$C$60,DEALS!$E:$E,"&lt;="&amp;$U$60,DEALS!$S:$S,N$62,DEALS!$U:$U,$K73,DEALS!$V:$V,"&lt;&gt;*RECEIVED*",DEALS!$V:$V,"&lt;&gt;*EXECUTED*"))</f>
        <v>0</v>
      </c>
      <c r="O73" s="29" cm="1">
        <f t="array" ref="O73">SUMIFS(FLOWS!$C:$C,FLOWS!$A:$A,$B$58,FLOWS!$E:$E,$K73,FLOWS!$D:$D,O$62,FLOWS!$H:$H,"&gt;="&amp;$C$60,FLOWS!$H:$H,"&lt;="&amp;$U$60)+SUM(SUMIFS(DEALS!$J:$J,DEALS!$A:$A,{"*REFUND*","*EXECUTED*"},DEALS!$G:$G,$B$58,DEALS!$E:$E,"&gt;="&amp;$C$60,DEALS!$E:$E,"&lt;="&amp;$U$60,DEALS!$K:$K,O$62,DEALS!$M:$M,$K73,DEALS!$N:$N,"&lt;&gt;*RECEIVED*",DEALS!$N:$N,"&lt;&gt;*EXECUTED*"))+SUM(SUMIFS(DEALS!$R:$R,DEALS!$A:$A,{"*REFUND*","*EXECUTED*"},DEALS!$O:$O,$B$58,DEALS!$E:$E,"&gt;="&amp;$C$60,DEALS!$E:$E,"&lt;="&amp;$U$60,DEALS!$S:$S,O$62,DEALS!$U:$U,$K73,DEALS!$V:$V,"&lt;&gt;*RECEIVED*",DEALS!$V:$V,"&lt;&gt;*EXECUTED*"))</f>
        <v>0</v>
      </c>
      <c r="P73" s="29" cm="1">
        <f t="array" ref="P73">SUMIFS(FLOWS!$C:$C,FLOWS!$A:$A,$B$58,FLOWS!$E:$E,$K73,FLOWS!$D:$D,P$62,FLOWS!$H:$H,"&gt;="&amp;$C$60,FLOWS!$H:$H,"&lt;="&amp;$U$60)+SUM(SUMIFS(DEALS!$J:$J,DEALS!$A:$A,{"*REFUND*","*EXECUTED*"},DEALS!$G:$G,$B$58,DEALS!$E:$E,"&gt;="&amp;$C$60,DEALS!$E:$E,"&lt;="&amp;$U$60,DEALS!$K:$K,P$62,DEALS!$M:$M,$K73,DEALS!$N:$N,"&lt;&gt;*RECEIVED*",DEALS!$N:$N,"&lt;&gt;*EXECUTED*"))+SUM(SUMIFS(DEALS!$R:$R,DEALS!$A:$A,{"*REFUND*","*EXECUTED*"},DEALS!$O:$O,$B$58,DEALS!$E:$E,"&gt;="&amp;$C$60,DEALS!$E:$E,"&lt;="&amp;$U$60,DEALS!$S:$S,P$62,DEALS!$U:$U,$K73,DEALS!$V:$V,"&lt;&gt;*RECEIVED*",DEALS!$V:$V,"&lt;&gt;*EXECUTED*"))</f>
        <v>0</v>
      </c>
      <c r="Q73" s="29" cm="1">
        <f t="array" ref="Q73">SUMIFS(FLOWS!$C:$C,FLOWS!$A:$A,$B$58,FLOWS!$E:$E,$K73,FLOWS!$D:$D,Q$62,FLOWS!$H:$H,"&gt;="&amp;$C$60,FLOWS!$H:$H,"&lt;="&amp;$U$60)+SUM(SUMIFS(DEALS!$J:$J,DEALS!$A:$A,{"*REFUND*","*EXECUTED*"},DEALS!$G:$G,$B$58,DEALS!$E:$E,"&gt;="&amp;$C$60,DEALS!$E:$E,"&lt;="&amp;$U$60,DEALS!$K:$K,Q$62,DEALS!$M:$M,$K73,DEALS!$N:$N,"&lt;&gt;*RECEIVED*",DEALS!$N:$N,"&lt;&gt;*EXECUTED*"))+SUM(SUMIFS(DEALS!$R:$R,DEALS!$A:$A,{"*REFUND*","*EXECUTED*"},DEALS!$O:$O,$B$58,DEALS!$E:$E,"&gt;="&amp;$C$60,DEALS!$E:$E,"&lt;="&amp;$U$60,DEALS!$S:$S,Q$62,DEALS!$U:$U,$K73,DEALS!$V:$V,"&lt;&gt;*RECEIVED*",DEALS!$V:$V,"&lt;&gt;*EXECUTED*"))</f>
        <v>0</v>
      </c>
      <c r="R73" s="30">
        <f ca="1">L73*VLOOKUP(L$62,'FX RATES'!$E$1:$F$50,2,FALSE)+M73*VLOOKUP(M$62,'FX RATES'!$E$1:$F$50,2,FALSE)+N73*VLOOKUP(N$62,'FX RATES'!$E$1:$F$50,2,FALSE)+O73*VLOOKUP(O$62,'FX RATES'!$E$1:$F$50,2,FALSE)+P73*VLOOKUP(P$62,'FX RATES'!$E$1:$F$50,2,FALSE)+Q73*VLOOKUP(Q$62,'FX RATES'!$E$1:$F$50,2,FALSE)</f>
        <v>0</v>
      </c>
      <c r="T73" s="28">
        <f t="shared" si="25"/>
        <v>0</v>
      </c>
      <c r="U73" s="29" cm="1">
        <f t="array" ref="U73">SUMIFS(BALANCES!$C:$C,BALANCES!$A:$A,$B$58,BALANCES!$B:$B,$T73,BALANCES!$D:$D,U$62)+SUMIFS(FLOWS!$C:$C,FLOWS!$A:$A,$B$58,FLOWS!$E:$E,$T73,FLOWS!$D:$D,U$62,FLOWS!$H:$H,"&lt;="&amp;$U$60)+SUM(SUMIFS(DEALS!$J:$J,DEALS!$A:$A,{"*REFUND*","*EXECUTED*"},DEALS!$G:$G,$B$58,DEALS!$E:$E,"&lt;="&amp;$U$60,DEALS!$K:$K,U$62,DEALS!$M:$M,$T73,DEALS!$N:$N,"&lt;&gt;*RECEIVED*",DEALS!$N:$N,"&lt;&gt;*EXECUTED*"))+SUM(SUMIFS(DEALS!$R:$R,DEALS!$A:$A,{"*REFUND*","*EXECUTED*"},DEALS!$O:$O,$B$58,DEALS!$E:$E,"&lt;="&amp;$U$60,DEALS!$S:$S,U$62,DEALS!$U:$U,$T73,DEALS!$V:$V,"&lt;&gt;*RECEIVED*",DEALS!$V:$V,"&lt;&gt;*EXECUTED*"))</f>
        <v>0</v>
      </c>
      <c r="V73" s="29" cm="1">
        <f t="array" ref="V73">SUMIFS(BALANCES!$C:$C,BALANCES!$A:$A,$B$58,BALANCES!$B:$B,$T73,BALANCES!$D:$D,V$62)+SUMIFS(FLOWS!$C:$C,FLOWS!$A:$A,$B$58,FLOWS!$E:$E,$T73,FLOWS!$D:$D,V$62,FLOWS!$H:$H,"&lt;="&amp;$U$60)+SUM(SUMIFS(DEALS!$J:$J,DEALS!$A:$A,{"*REFUND*","*EXECUTED*"},DEALS!$G:$G,$B$58,DEALS!$E:$E,"&lt;="&amp;$U$60,DEALS!$K:$K,V$62,DEALS!$M:$M,$T73,DEALS!$N:$N,"&lt;&gt;*RECEIVED*",DEALS!$N:$N,"&lt;&gt;*EXECUTED*"))+SUM(SUMIFS(DEALS!$R:$R,DEALS!$A:$A,{"*REFUND*","*EXECUTED*"},DEALS!$O:$O,$B$58,DEALS!$E:$E,"&lt;="&amp;$U$60,DEALS!$S:$S,V$62,DEALS!$U:$U,$T73,DEALS!$V:$V,"&lt;&gt;*RECEIVED*",DEALS!$V:$V,"&lt;&gt;*EXECUTED*"))</f>
        <v>0</v>
      </c>
      <c r="W73" s="29" cm="1">
        <f t="array" ref="W73">SUMIFS(BALANCES!$C:$C,BALANCES!$A:$A,$B$58,BALANCES!$B:$B,$T73,BALANCES!$D:$D,W$62)+SUMIFS(FLOWS!$C:$C,FLOWS!$A:$A,$B$58,FLOWS!$E:$E,$T73,FLOWS!$D:$D,W$62,FLOWS!$H:$H,"&lt;="&amp;$U$60)+SUM(SUMIFS(DEALS!$J:$J,DEALS!$A:$A,{"*REFUND*","*EXECUTED*"},DEALS!$G:$G,$B$58,DEALS!$E:$E,"&lt;="&amp;$U$60,DEALS!$K:$K,W$62,DEALS!$M:$M,$T73,DEALS!$N:$N,"&lt;&gt;*RECEIVED*",DEALS!$N:$N,"&lt;&gt;*EXECUTED*"))+SUM(SUMIFS(DEALS!$R:$R,DEALS!$A:$A,{"*REFUND*","*EXECUTED*"},DEALS!$O:$O,$B$58,DEALS!$E:$E,"&lt;="&amp;$U$60,DEALS!$S:$S,W$62,DEALS!$U:$U,$T73,DEALS!$V:$V,"&lt;&gt;*RECEIVED*",DEALS!$V:$V,"&lt;&gt;*EXECUTED*"))</f>
        <v>0</v>
      </c>
      <c r="X73" s="29" cm="1">
        <f t="array" ref="X73">SUMIFS(BALANCES!$C:$C,BALANCES!$A:$A,$B$58,BALANCES!$B:$B,$T73,BALANCES!$D:$D,X$62)+SUMIFS(FLOWS!$C:$C,FLOWS!$A:$A,$B$58,FLOWS!$E:$E,$T73,FLOWS!$D:$D,X$62,FLOWS!$H:$H,"&lt;="&amp;$U$60)+SUM(SUMIFS(DEALS!$J:$J,DEALS!$A:$A,{"*REFUND*","*EXECUTED*"},DEALS!$G:$G,$B$58,DEALS!$E:$E,"&lt;="&amp;$U$60,DEALS!$K:$K,X$62,DEALS!$M:$M,$T73,DEALS!$N:$N,"&lt;&gt;*RECEIVED*",DEALS!$N:$N,"&lt;&gt;*EXECUTED*"))+SUM(SUMIFS(DEALS!$R:$R,DEALS!$A:$A,{"*REFUND*","*EXECUTED*"},DEALS!$O:$O,$B$58,DEALS!$E:$E,"&lt;="&amp;$U$60,DEALS!$S:$S,X$62,DEALS!$U:$U,$T73,DEALS!$V:$V,"&lt;&gt;*RECEIVED*",DEALS!$V:$V,"&lt;&gt;*EXECUTED*"))</f>
        <v>0</v>
      </c>
      <c r="Y73" s="29" cm="1">
        <f t="array" ref="Y73">SUMIFS(BALANCES!$C:$C,BALANCES!$A:$A,$B$58,BALANCES!$B:$B,$T73,BALANCES!$D:$D,Y$62)+SUMIFS(FLOWS!$C:$C,FLOWS!$A:$A,$B$58,FLOWS!$E:$E,$T73,FLOWS!$D:$D,Y$62,FLOWS!$H:$H,"&lt;="&amp;$U$60)+SUM(SUMIFS(DEALS!$J:$J,DEALS!$A:$A,{"*REFUND*","*EXECUTED*"},DEALS!$G:$G,$B$58,DEALS!$E:$E,"&lt;="&amp;$U$60,DEALS!$K:$K,Y$62,DEALS!$M:$M,$T73,DEALS!$N:$N,"&lt;&gt;*RECEIVED*",DEALS!$N:$N,"&lt;&gt;*EXECUTED*"))+SUM(SUMIFS(DEALS!$R:$R,DEALS!$A:$A,{"*REFUND*","*EXECUTED*"},DEALS!$O:$O,$B$58,DEALS!$E:$E,"&lt;="&amp;$U$60,DEALS!$S:$S,Y$62,DEALS!$U:$U,$T73,DEALS!$V:$V,"&lt;&gt;*RECEIVED*",DEALS!$V:$V,"&lt;&gt;*EXECUTED*"))</f>
        <v>0</v>
      </c>
      <c r="Z73" s="29" cm="1">
        <f t="array" ref="Z73">SUMIFS(BALANCES!$C:$C,BALANCES!$A:$A,$B$58,BALANCES!$B:$B,$T73,BALANCES!$D:$D,Z$62)+SUMIFS(FLOWS!$C:$C,FLOWS!$A:$A,$B$58,FLOWS!$E:$E,$T73,FLOWS!$D:$D,Z$62,FLOWS!$H:$H,"&lt;="&amp;$U$60)+SUM(SUMIFS(DEALS!$J:$J,DEALS!$A:$A,{"*REFUND*","*EXECUTED*"},DEALS!$G:$G,$B$58,DEALS!$E:$E,"&lt;="&amp;$U$60,DEALS!$K:$K,Z$62,DEALS!$M:$M,$T73,DEALS!$N:$N,"&lt;&gt;*RECEIVED*",DEALS!$N:$N,"&lt;&gt;*EXECUTED*"))+SUM(SUMIFS(DEALS!$R:$R,DEALS!$A:$A,{"*REFUND*","*EXECUTED*"},DEALS!$O:$O,$B$58,DEALS!$E:$E,"&lt;="&amp;$U$60,DEALS!$S:$S,Z$62,DEALS!$U:$U,$T73,DEALS!$V:$V,"&lt;&gt;*RECEIVED*",DEALS!$V:$V,"&lt;&gt;*EXECUTED*"))</f>
        <v>0</v>
      </c>
      <c r="AA73" s="30">
        <f ca="1">U73*VLOOKUP(U$62,'FX RATES'!$E$1:$F$50,2,FALSE)+V73*VLOOKUP(V$62,'FX RATES'!$E$1:$F$50,2,FALSE)+W73*VLOOKUP(W$62,'FX RATES'!$E$1:$F$50,2,FALSE)+X73*VLOOKUP(X$62,'FX RATES'!$E$1:$F$50,2,FALSE)+Y73*VLOOKUP(Y$62,'FX RATES'!$E$1:$F$50,2,FALSE)+Z73*VLOOKUP(Z$62,'FX RATES'!$E$1:$F$50,2,FALSE)</f>
        <v>0</v>
      </c>
      <c r="AC73" s="139">
        <f t="shared" ca="1" si="26"/>
        <v>0</v>
      </c>
    </row>
    <row r="74" spans="2:29" ht="19" hidden="1">
      <c r="B74" s="31"/>
      <c r="C74" s="32" cm="1">
        <f t="array" ref="C74">SUMIFS(BALANCES!$C:$C,BALANCES!$A:$A,$B$58,BALANCES!$B:$B,$B74,BALANCES!$D:$D,C$62)+SUMIFS(FLOWS!$C:$C,FLOWS!$A:$A,$B$58,FLOWS!$E:$E,$B74,FLOWS!$D:$D,C$62,FLOWS!$H:$H,"&lt;"&amp;$C$60)+SUM(SUMIFS(DEALS!$J:$J,DEALS!$A:$A,{"*REFUND*","*EXECUTED*"},DEALS!$G:$G,$B$58,DEALS!$E:$E,"&lt;"&amp;$C$60,DEALS!$K:$K,C$62,DEALS!$M:$M,$B74,DEALS!$N:$N,"&lt;&gt;*RECEIVED*",DEALS!$N:$N,"&lt;&gt;*EXECUTED*"))+SUM(SUMIFS(DEALS!$R:$R,DEALS!$A:$A,{"*REFUND*","*EXECUTED*"},DEALS!$O:$O,$B$58,DEALS!$E:$E,"&lt;"&amp;$C$60,DEALS!$S:$S,C$62,DEALS!$U:$U,$B74,DEALS!$V:$V,"&lt;&gt;*RECEIVED*",DEALS!$V:$V,"&lt;&gt;*EXECUTED*"))</f>
        <v>0</v>
      </c>
      <c r="D74" s="32" cm="1">
        <f t="array" ref="D74">SUMIFS(BALANCES!$C:$C,BALANCES!$A:$A,$B$58,BALANCES!$B:$B,$B74,BALANCES!$D:$D,D$62)+SUMIFS(FLOWS!$C:$C,FLOWS!$A:$A,$B$58,FLOWS!$E:$E,$B74,FLOWS!$D:$D,D$62,FLOWS!$H:$H,"&lt;"&amp;$C$60)+SUM(SUMIFS(DEALS!$J:$J,DEALS!$A:$A,{"*REFUND*","*EXECUTED*"},DEALS!$G:$G,$B$58,DEALS!$E:$E,"&lt;"&amp;$C$60,DEALS!$K:$K,D$62,DEALS!$M:$M,$B74,DEALS!$N:$N,"&lt;&gt;*RECEIVED*",DEALS!$N:$N,"&lt;&gt;*EXECUTED*"))+SUM(SUMIFS(DEALS!$R:$R,DEALS!$A:$A,{"*REFUND*","*EXECUTED*"},DEALS!$O:$O,$B$58,DEALS!$E:$E,"&lt;"&amp;$C$60,DEALS!$S:$S,D$62,DEALS!$U:$U,$B74,DEALS!$V:$V,"&lt;&gt;*RECEIVED*",DEALS!$V:$V,"&lt;&gt;*EXECUTED*"))</f>
        <v>0</v>
      </c>
      <c r="E74" s="32" cm="1">
        <f t="array" ref="E74">SUMIFS(BALANCES!$C:$C,BALANCES!$A:$A,$B$58,BALANCES!$B:$B,$B74,BALANCES!$D:$D,E$62)+SUMIFS(FLOWS!$C:$C,FLOWS!$A:$A,$B$58,FLOWS!$E:$E,$B74,FLOWS!$D:$D,E$62,FLOWS!$H:$H,"&lt;"&amp;$C$60)+SUM(SUMIFS(DEALS!$J:$J,DEALS!$A:$A,{"*REFUND*","*EXECUTED*"},DEALS!$G:$G,$B$58,DEALS!$E:$E,"&lt;"&amp;$C$60,DEALS!$K:$K,E$62,DEALS!$M:$M,$B74,DEALS!$N:$N,"&lt;&gt;*RECEIVED*",DEALS!$N:$N,"&lt;&gt;*EXECUTED*"))+SUM(SUMIFS(DEALS!$R:$R,DEALS!$A:$A,{"*REFUND*","*EXECUTED*"},DEALS!$O:$O,$B$58,DEALS!$E:$E,"&lt;"&amp;$C$60,DEALS!$S:$S,E$62,DEALS!$U:$U,$B74,DEALS!$V:$V,"&lt;&gt;*RECEIVED*",DEALS!$V:$V,"&lt;&gt;*EXECUTED*"))</f>
        <v>0</v>
      </c>
      <c r="F74" s="32" cm="1">
        <f t="array" ref="F74">SUMIFS(BALANCES!$C:$C,BALANCES!$A:$A,$B$58,BALANCES!$B:$B,$B74,BALANCES!$D:$D,F$62)+SUMIFS(FLOWS!$C:$C,FLOWS!$A:$A,$B$58,FLOWS!$E:$E,$B74,FLOWS!$D:$D,F$62,FLOWS!$H:$H,"&lt;"&amp;$C$60)+SUM(SUMIFS(DEALS!$J:$J,DEALS!$A:$A,{"*REFUND*","*EXECUTED*"},DEALS!$G:$G,$B$58,DEALS!$E:$E,"&lt;"&amp;$C$60,DEALS!$K:$K,F$62,DEALS!$M:$M,$B74,DEALS!$N:$N,"&lt;&gt;*RECEIVED*",DEALS!$N:$N,"&lt;&gt;*EXECUTED*"))+SUM(SUMIFS(DEALS!$R:$R,DEALS!$A:$A,{"*REFUND*","*EXECUTED*"},DEALS!$O:$O,$B$58,DEALS!$E:$E,"&lt;"&amp;$C$60,DEALS!$S:$S,F$62,DEALS!$U:$U,$B74,DEALS!$V:$V,"&lt;&gt;*RECEIVED*",DEALS!$V:$V,"&lt;&gt;*EXECUTED*"))</f>
        <v>0</v>
      </c>
      <c r="G74" s="32" cm="1">
        <f t="array" ref="G74">SUMIFS(BALANCES!$C:$C,BALANCES!$A:$A,$B$58,BALANCES!$B:$B,$B74,BALANCES!$D:$D,G$62)+SUMIFS(FLOWS!$C:$C,FLOWS!$A:$A,$B$58,FLOWS!$E:$E,$B74,FLOWS!$D:$D,G$62,FLOWS!$H:$H,"&lt;"&amp;$C$60)+SUM(SUMIFS(DEALS!$J:$J,DEALS!$A:$A,{"*REFUND*","*EXECUTED*"},DEALS!$G:$G,$B$58,DEALS!$E:$E,"&lt;"&amp;$C$60,DEALS!$K:$K,G$62,DEALS!$M:$M,$B74,DEALS!$N:$N,"&lt;&gt;*RECEIVED*",DEALS!$N:$N,"&lt;&gt;*EXECUTED*"))+SUM(SUMIFS(DEALS!$R:$R,DEALS!$A:$A,{"*REFUND*","*EXECUTED*"},DEALS!$O:$O,$B$58,DEALS!$E:$E,"&lt;"&amp;$C$60,DEALS!$S:$S,G$62,DEALS!$U:$U,$B74,DEALS!$V:$V,"&lt;&gt;*RECEIVED*",DEALS!$V:$V,"&lt;&gt;*EXECUTED*"))</f>
        <v>0</v>
      </c>
      <c r="H74" s="32" cm="1">
        <f t="array" ref="H74">SUMIFS(BALANCES!$C:$C,BALANCES!$A:$A,$B$58,BALANCES!$B:$B,$B74,BALANCES!$D:$D,H$62)+SUMIFS(FLOWS!$C:$C,FLOWS!$A:$A,$B$58,FLOWS!$E:$E,$B74,FLOWS!$D:$D,H$62,FLOWS!$H:$H,"&lt;"&amp;$C$60)+SUM(SUMIFS(DEALS!$J:$J,DEALS!$A:$A,{"*REFUND*","*EXECUTED*"},DEALS!$G:$G,$B$58,DEALS!$E:$E,"&lt;"&amp;$C$60,DEALS!$K:$K,H$62,DEALS!$M:$M,$B74,DEALS!$N:$N,"&lt;&gt;*RECEIVED*",DEALS!$N:$N,"&lt;&gt;*EXECUTED*"))+SUM(SUMIFS(DEALS!$R:$R,DEALS!$A:$A,{"*REFUND*","*EXECUTED*"},DEALS!$O:$O,$B$58,DEALS!$E:$E,"&lt;"&amp;$C$60,DEALS!$S:$S,H$62,DEALS!$U:$U,$B74,DEALS!$V:$V,"&lt;&gt;*RECEIVED*",DEALS!$V:$V,"&lt;&gt;*EXECUTED*"))</f>
        <v>0</v>
      </c>
      <c r="I74" s="33">
        <f ca="1">C74*VLOOKUP(C$62,'FX RATES'!$E$1:$F$50,2,FALSE)+D74*VLOOKUP(D$62,'FX RATES'!$E$1:$F$50,2,FALSE)+E74*VLOOKUP(E$62,'FX RATES'!$E$1:$F$50,2,FALSE)+F74*VLOOKUP(F$62,'FX RATES'!$E$1:$F$50,2,FALSE)+G74*VLOOKUP(G$62,'FX RATES'!$E$1:$F$50,2,FALSE)+H74*VLOOKUP(H$62,'FX RATES'!$E$1:$F$50,2,FALSE)</f>
        <v>0</v>
      </c>
      <c r="K74" s="31">
        <f t="shared" si="24"/>
        <v>0</v>
      </c>
      <c r="L74" s="32" cm="1">
        <f t="array" ref="L74">SUMIFS(FLOWS!$C:$C,FLOWS!$A:$A,$B$58,FLOWS!$E:$E,$K74,FLOWS!$D:$D,L$62,FLOWS!$H:$H,"&gt;="&amp;$C$60,FLOWS!$H:$H,"&lt;="&amp;$U$60)+SUM(SUMIFS(DEALS!$J:$J,DEALS!$A:$A,{"*REFUND*","*EXECUTED*"},DEALS!$G:$G,$B$58,DEALS!$E:$E,"&gt;="&amp;$C$60,DEALS!$E:$E,"&lt;="&amp;$U$60,DEALS!$K:$K,L$62,DEALS!$M:$M,$K74,DEALS!$N:$N,"&lt;&gt;*RECEIVED*",DEALS!$N:$N,"&lt;&gt;*EXECUTED*"))+SUM(SUMIFS(DEALS!$R:$R,DEALS!$A:$A,{"*REFUND*","*EXECUTED*"},DEALS!$O:$O,$B$58,DEALS!$E:$E,"&gt;="&amp;$C$60,DEALS!$E:$E,"&lt;="&amp;$U$60,DEALS!$S:$S,L$62,DEALS!$U:$U,$K74,DEALS!$V:$V,"&lt;&gt;*RECEIVED*",DEALS!$V:$V,"&lt;&gt;*EXECUTED*"))</f>
        <v>0</v>
      </c>
      <c r="M74" s="32" cm="1">
        <f t="array" ref="M74">SUMIFS(FLOWS!$C:$C,FLOWS!$A:$A,$B$58,FLOWS!$E:$E,$K74,FLOWS!$D:$D,M$62,FLOWS!$H:$H,"&gt;="&amp;$C$60,FLOWS!$H:$H,"&lt;="&amp;$U$60)+SUM(SUMIFS(DEALS!$J:$J,DEALS!$A:$A,{"*REFUND*","*EXECUTED*"},DEALS!$G:$G,$B$58,DEALS!$E:$E,"&gt;="&amp;$C$60,DEALS!$E:$E,"&lt;="&amp;$U$60,DEALS!$K:$K,M$62,DEALS!$M:$M,$K74,DEALS!$N:$N,"&lt;&gt;*RECEIVED*",DEALS!$N:$N,"&lt;&gt;*EXECUTED*"))+SUM(SUMIFS(DEALS!$R:$R,DEALS!$A:$A,{"*REFUND*","*EXECUTED*"},DEALS!$O:$O,$B$58,DEALS!$E:$E,"&gt;="&amp;$C$60,DEALS!$E:$E,"&lt;="&amp;$U$60,DEALS!$S:$S,M$62,DEALS!$U:$U,$K74,DEALS!$V:$V,"&lt;&gt;*RECEIVED*",DEALS!$V:$V,"&lt;&gt;*EXECUTED*"))</f>
        <v>0</v>
      </c>
      <c r="N74" s="32" cm="1">
        <f t="array" ref="N74">SUMIFS(FLOWS!$C:$C,FLOWS!$A:$A,$B$58,FLOWS!$E:$E,$K74,FLOWS!$D:$D,N$62,FLOWS!$H:$H,"&gt;="&amp;$C$60,FLOWS!$H:$H,"&lt;="&amp;$U$60)+SUM(SUMIFS(DEALS!$J:$J,DEALS!$A:$A,{"*REFUND*","*EXECUTED*"},DEALS!$G:$G,$B$58,DEALS!$E:$E,"&gt;="&amp;$C$60,DEALS!$E:$E,"&lt;="&amp;$U$60,DEALS!$K:$K,N$62,DEALS!$M:$M,$K74,DEALS!$N:$N,"&lt;&gt;*RECEIVED*",DEALS!$N:$N,"&lt;&gt;*EXECUTED*"))+SUM(SUMIFS(DEALS!$R:$R,DEALS!$A:$A,{"*REFUND*","*EXECUTED*"},DEALS!$O:$O,$B$58,DEALS!$E:$E,"&gt;="&amp;$C$60,DEALS!$E:$E,"&lt;="&amp;$U$60,DEALS!$S:$S,N$62,DEALS!$U:$U,$K74,DEALS!$V:$V,"&lt;&gt;*RECEIVED*",DEALS!$V:$V,"&lt;&gt;*EXECUTED*"))</f>
        <v>0</v>
      </c>
      <c r="O74" s="32" cm="1">
        <f t="array" ref="O74">SUMIFS(FLOWS!$C:$C,FLOWS!$A:$A,$B$58,FLOWS!$E:$E,$K74,FLOWS!$D:$D,O$62,FLOWS!$H:$H,"&gt;="&amp;$C$60,FLOWS!$H:$H,"&lt;="&amp;$U$60)+SUM(SUMIFS(DEALS!$J:$J,DEALS!$A:$A,{"*REFUND*","*EXECUTED*"},DEALS!$G:$G,$B$58,DEALS!$E:$E,"&gt;="&amp;$C$60,DEALS!$E:$E,"&lt;="&amp;$U$60,DEALS!$K:$K,O$62,DEALS!$M:$M,$K74,DEALS!$N:$N,"&lt;&gt;*RECEIVED*",DEALS!$N:$N,"&lt;&gt;*EXECUTED*"))+SUM(SUMIFS(DEALS!$R:$R,DEALS!$A:$A,{"*REFUND*","*EXECUTED*"},DEALS!$O:$O,$B$58,DEALS!$E:$E,"&gt;="&amp;$C$60,DEALS!$E:$E,"&lt;="&amp;$U$60,DEALS!$S:$S,O$62,DEALS!$U:$U,$K74,DEALS!$V:$V,"&lt;&gt;*RECEIVED*",DEALS!$V:$V,"&lt;&gt;*EXECUTED*"))</f>
        <v>0</v>
      </c>
      <c r="P74" s="32" cm="1">
        <f t="array" ref="P74">SUMIFS(FLOWS!$C:$C,FLOWS!$A:$A,$B$58,FLOWS!$E:$E,$K74,FLOWS!$D:$D,P$62,FLOWS!$H:$H,"&gt;="&amp;$C$60,FLOWS!$H:$H,"&lt;="&amp;$U$60)+SUM(SUMIFS(DEALS!$J:$J,DEALS!$A:$A,{"*REFUND*","*EXECUTED*"},DEALS!$G:$G,$B$58,DEALS!$E:$E,"&gt;="&amp;$C$60,DEALS!$E:$E,"&lt;="&amp;$U$60,DEALS!$K:$K,P$62,DEALS!$M:$M,$K74,DEALS!$N:$N,"&lt;&gt;*RECEIVED*",DEALS!$N:$N,"&lt;&gt;*EXECUTED*"))+SUM(SUMIFS(DEALS!$R:$R,DEALS!$A:$A,{"*REFUND*","*EXECUTED*"},DEALS!$O:$O,$B$58,DEALS!$E:$E,"&gt;="&amp;$C$60,DEALS!$E:$E,"&lt;="&amp;$U$60,DEALS!$S:$S,P$62,DEALS!$U:$U,$K74,DEALS!$V:$V,"&lt;&gt;*RECEIVED*",DEALS!$V:$V,"&lt;&gt;*EXECUTED*"))</f>
        <v>0</v>
      </c>
      <c r="Q74" s="32" cm="1">
        <f t="array" ref="Q74">SUMIFS(FLOWS!$C:$C,FLOWS!$A:$A,$B$58,FLOWS!$E:$E,$K74,FLOWS!$D:$D,Q$62,FLOWS!$H:$H,"&gt;="&amp;$C$60,FLOWS!$H:$H,"&lt;="&amp;$U$60)+SUM(SUMIFS(DEALS!$J:$J,DEALS!$A:$A,{"*REFUND*","*EXECUTED*"},DEALS!$G:$G,$B$58,DEALS!$E:$E,"&gt;="&amp;$C$60,DEALS!$E:$E,"&lt;="&amp;$U$60,DEALS!$K:$K,Q$62,DEALS!$M:$M,$K74,DEALS!$N:$N,"&lt;&gt;*RECEIVED*",DEALS!$N:$N,"&lt;&gt;*EXECUTED*"))+SUM(SUMIFS(DEALS!$R:$R,DEALS!$A:$A,{"*REFUND*","*EXECUTED*"},DEALS!$O:$O,$B$58,DEALS!$E:$E,"&gt;="&amp;$C$60,DEALS!$E:$E,"&lt;="&amp;$U$60,DEALS!$S:$S,Q$62,DEALS!$U:$U,$K74,DEALS!$V:$V,"&lt;&gt;*RECEIVED*",DEALS!$V:$V,"&lt;&gt;*EXECUTED*"))</f>
        <v>0</v>
      </c>
      <c r="R74" s="33">
        <f ca="1">L74*VLOOKUP(L$62,'FX RATES'!$E$1:$F$50,2,FALSE)+M74*VLOOKUP(M$62,'FX RATES'!$E$1:$F$50,2,FALSE)+N74*VLOOKUP(N$62,'FX RATES'!$E$1:$F$50,2,FALSE)+O74*VLOOKUP(O$62,'FX RATES'!$E$1:$F$50,2,FALSE)+P74*VLOOKUP(P$62,'FX RATES'!$E$1:$F$50,2,FALSE)+Q74*VLOOKUP(Q$62,'FX RATES'!$E$1:$F$50,2,FALSE)</f>
        <v>0</v>
      </c>
      <c r="T74" s="31">
        <f t="shared" si="25"/>
        <v>0</v>
      </c>
      <c r="U74" s="32" cm="1">
        <f t="array" ref="U74">SUMIFS(BALANCES!$C:$C,BALANCES!$A:$A,$B$58,BALANCES!$B:$B,$T74,BALANCES!$D:$D,U$62)+SUMIFS(FLOWS!$C:$C,FLOWS!$A:$A,$B$58,FLOWS!$E:$E,$T74,FLOWS!$D:$D,U$62,FLOWS!$H:$H,"&lt;="&amp;$U$60)+SUM(SUMIFS(DEALS!$J:$J,DEALS!$A:$A,{"*REFUND*","*EXECUTED*"},DEALS!$G:$G,$B$58,DEALS!$E:$E,"&lt;="&amp;$U$60,DEALS!$K:$K,U$62,DEALS!$M:$M,$T74,DEALS!$N:$N,"&lt;&gt;*RECEIVED*",DEALS!$N:$N,"&lt;&gt;*EXECUTED*"))+SUM(SUMIFS(DEALS!$R:$R,DEALS!$A:$A,{"*REFUND*","*EXECUTED*"},DEALS!$O:$O,$B$58,DEALS!$E:$E,"&lt;="&amp;$U$60,DEALS!$S:$S,U$62,DEALS!$U:$U,$T74,DEALS!$V:$V,"&lt;&gt;*RECEIVED*",DEALS!$V:$V,"&lt;&gt;*EXECUTED*"))</f>
        <v>0</v>
      </c>
      <c r="V74" s="32" cm="1">
        <f t="array" ref="V74">SUMIFS(BALANCES!$C:$C,BALANCES!$A:$A,$B$58,BALANCES!$B:$B,$T74,BALANCES!$D:$D,V$62)+SUMIFS(FLOWS!$C:$C,FLOWS!$A:$A,$B$58,FLOWS!$E:$E,$T74,FLOWS!$D:$D,V$62,FLOWS!$H:$H,"&lt;="&amp;$U$60)+SUM(SUMIFS(DEALS!$J:$J,DEALS!$A:$A,{"*REFUND*","*EXECUTED*"},DEALS!$G:$G,$B$58,DEALS!$E:$E,"&lt;="&amp;$U$60,DEALS!$K:$K,V$62,DEALS!$M:$M,$T74,DEALS!$N:$N,"&lt;&gt;*RECEIVED*",DEALS!$N:$N,"&lt;&gt;*EXECUTED*"))+SUM(SUMIFS(DEALS!$R:$R,DEALS!$A:$A,{"*REFUND*","*EXECUTED*"},DEALS!$O:$O,$B$58,DEALS!$E:$E,"&lt;="&amp;$U$60,DEALS!$S:$S,V$62,DEALS!$U:$U,$T74,DEALS!$V:$V,"&lt;&gt;*RECEIVED*",DEALS!$V:$V,"&lt;&gt;*EXECUTED*"))</f>
        <v>0</v>
      </c>
      <c r="W74" s="32" cm="1">
        <f t="array" ref="W74">SUMIFS(BALANCES!$C:$C,BALANCES!$A:$A,$B$58,BALANCES!$B:$B,$T74,BALANCES!$D:$D,W$62)+SUMIFS(FLOWS!$C:$C,FLOWS!$A:$A,$B$58,FLOWS!$E:$E,$T74,FLOWS!$D:$D,W$62,FLOWS!$H:$H,"&lt;="&amp;$U$60)+SUM(SUMIFS(DEALS!$J:$J,DEALS!$A:$A,{"*REFUND*","*EXECUTED*"},DEALS!$G:$G,$B$58,DEALS!$E:$E,"&lt;="&amp;$U$60,DEALS!$K:$K,W$62,DEALS!$M:$M,$T74,DEALS!$N:$N,"&lt;&gt;*RECEIVED*",DEALS!$N:$N,"&lt;&gt;*EXECUTED*"))+SUM(SUMIFS(DEALS!$R:$R,DEALS!$A:$A,{"*REFUND*","*EXECUTED*"},DEALS!$O:$O,$B$58,DEALS!$E:$E,"&lt;="&amp;$U$60,DEALS!$S:$S,W$62,DEALS!$U:$U,$T74,DEALS!$V:$V,"&lt;&gt;*RECEIVED*",DEALS!$V:$V,"&lt;&gt;*EXECUTED*"))</f>
        <v>0</v>
      </c>
      <c r="X74" s="32" cm="1">
        <f t="array" ref="X74">SUMIFS(BALANCES!$C:$C,BALANCES!$A:$A,$B$58,BALANCES!$B:$B,$T74,BALANCES!$D:$D,X$62)+SUMIFS(FLOWS!$C:$C,FLOWS!$A:$A,$B$58,FLOWS!$E:$E,$T74,FLOWS!$D:$D,X$62,FLOWS!$H:$H,"&lt;="&amp;$U$60)+SUM(SUMIFS(DEALS!$J:$J,DEALS!$A:$A,{"*REFUND*","*EXECUTED*"},DEALS!$G:$G,$B$58,DEALS!$E:$E,"&lt;="&amp;$U$60,DEALS!$K:$K,X$62,DEALS!$M:$M,$T74,DEALS!$N:$N,"&lt;&gt;*RECEIVED*",DEALS!$N:$N,"&lt;&gt;*EXECUTED*"))+SUM(SUMIFS(DEALS!$R:$R,DEALS!$A:$A,{"*REFUND*","*EXECUTED*"},DEALS!$O:$O,$B$58,DEALS!$E:$E,"&lt;="&amp;$U$60,DEALS!$S:$S,X$62,DEALS!$U:$U,$T74,DEALS!$V:$V,"&lt;&gt;*RECEIVED*",DEALS!$V:$V,"&lt;&gt;*EXECUTED*"))</f>
        <v>0</v>
      </c>
      <c r="Y74" s="32" cm="1">
        <f t="array" ref="Y74">SUMIFS(BALANCES!$C:$C,BALANCES!$A:$A,$B$58,BALANCES!$B:$B,$T74,BALANCES!$D:$D,Y$62)+SUMIFS(FLOWS!$C:$C,FLOWS!$A:$A,$B$58,FLOWS!$E:$E,$T74,FLOWS!$D:$D,Y$62,FLOWS!$H:$H,"&lt;="&amp;$U$60)+SUM(SUMIFS(DEALS!$J:$J,DEALS!$A:$A,{"*REFUND*","*EXECUTED*"},DEALS!$G:$G,$B$58,DEALS!$E:$E,"&lt;="&amp;$U$60,DEALS!$K:$K,Y$62,DEALS!$M:$M,$T74,DEALS!$N:$N,"&lt;&gt;*RECEIVED*",DEALS!$N:$N,"&lt;&gt;*EXECUTED*"))+SUM(SUMIFS(DEALS!$R:$R,DEALS!$A:$A,{"*REFUND*","*EXECUTED*"},DEALS!$O:$O,$B$58,DEALS!$E:$E,"&lt;="&amp;$U$60,DEALS!$S:$S,Y$62,DEALS!$U:$U,$T74,DEALS!$V:$V,"&lt;&gt;*RECEIVED*",DEALS!$V:$V,"&lt;&gt;*EXECUTED*"))</f>
        <v>0</v>
      </c>
      <c r="Z74" s="32" cm="1">
        <f t="array" ref="Z74">SUMIFS(BALANCES!$C:$C,BALANCES!$A:$A,$B$58,BALANCES!$B:$B,$T74,BALANCES!$D:$D,Z$62)+SUMIFS(FLOWS!$C:$C,FLOWS!$A:$A,$B$58,FLOWS!$E:$E,$T74,FLOWS!$D:$D,Z$62,FLOWS!$H:$H,"&lt;="&amp;$U$60)+SUM(SUMIFS(DEALS!$J:$J,DEALS!$A:$A,{"*REFUND*","*EXECUTED*"},DEALS!$G:$G,$B$58,DEALS!$E:$E,"&lt;="&amp;$U$60,DEALS!$K:$K,Z$62,DEALS!$M:$M,$T74,DEALS!$N:$N,"&lt;&gt;*RECEIVED*",DEALS!$N:$N,"&lt;&gt;*EXECUTED*"))+SUM(SUMIFS(DEALS!$R:$R,DEALS!$A:$A,{"*REFUND*","*EXECUTED*"},DEALS!$O:$O,$B$58,DEALS!$E:$E,"&lt;="&amp;$U$60,DEALS!$S:$S,Z$62,DEALS!$U:$U,$T74,DEALS!$V:$V,"&lt;&gt;*RECEIVED*",DEALS!$V:$V,"&lt;&gt;*EXECUTED*"))</f>
        <v>0</v>
      </c>
      <c r="AA74" s="33">
        <f ca="1">U74*VLOOKUP(U$62,'FX RATES'!$E$1:$F$50,2,FALSE)+V74*VLOOKUP(V$62,'FX RATES'!$E$1:$F$50,2,FALSE)+W74*VLOOKUP(W$62,'FX RATES'!$E$1:$F$50,2,FALSE)+X74*VLOOKUP(X$62,'FX RATES'!$E$1:$F$50,2,FALSE)+Y74*VLOOKUP(Y$62,'FX RATES'!$E$1:$F$50,2,FALSE)+Z74*VLOOKUP(Z$62,'FX RATES'!$E$1:$F$50,2,FALSE)</f>
        <v>0</v>
      </c>
      <c r="AC74" s="139">
        <f t="shared" ca="1" si="26"/>
        <v>0</v>
      </c>
    </row>
    <row r="75" spans="2:29" ht="19" hidden="1">
      <c r="B75" s="28"/>
      <c r="C75" s="29" cm="1">
        <f t="array" ref="C75">SUMIFS(BALANCES!$C:$C,BALANCES!$A:$A,$B$58,BALANCES!$B:$B,$B75,BALANCES!$D:$D,C$62)+SUMIFS(FLOWS!$C:$C,FLOWS!$A:$A,$B$58,FLOWS!$E:$E,$B75,FLOWS!$D:$D,C$62,FLOWS!$H:$H,"&lt;"&amp;$C$60)+SUM(SUMIFS(DEALS!$J:$J,DEALS!$A:$A,{"*REFUND*","*EXECUTED*"},DEALS!$G:$G,$B$58,DEALS!$E:$E,"&lt;"&amp;$C$60,DEALS!$K:$K,C$62,DEALS!$M:$M,$B75,DEALS!$N:$N,"&lt;&gt;*RECEIVED*",DEALS!$N:$N,"&lt;&gt;*EXECUTED*"))+SUM(SUMIFS(DEALS!$R:$R,DEALS!$A:$A,{"*REFUND*","*EXECUTED*"},DEALS!$O:$O,$B$58,DEALS!$E:$E,"&lt;"&amp;$C$60,DEALS!$S:$S,C$62,DEALS!$U:$U,$B75,DEALS!$V:$V,"&lt;&gt;*RECEIVED*",DEALS!$V:$V,"&lt;&gt;*EXECUTED*"))</f>
        <v>0</v>
      </c>
      <c r="D75" s="29" cm="1">
        <f t="array" ref="D75">SUMIFS(BALANCES!$C:$C,BALANCES!$A:$A,$B$58,BALANCES!$B:$B,$B75,BALANCES!$D:$D,D$62)+SUMIFS(FLOWS!$C:$C,FLOWS!$A:$A,$B$58,FLOWS!$E:$E,$B75,FLOWS!$D:$D,D$62,FLOWS!$H:$H,"&lt;"&amp;$C$60)+SUM(SUMIFS(DEALS!$J:$J,DEALS!$A:$A,{"*REFUND*","*EXECUTED*"},DEALS!$G:$G,$B$58,DEALS!$E:$E,"&lt;"&amp;$C$60,DEALS!$K:$K,D$62,DEALS!$M:$M,$B75,DEALS!$N:$N,"&lt;&gt;*RECEIVED*",DEALS!$N:$N,"&lt;&gt;*EXECUTED*"))+SUM(SUMIFS(DEALS!$R:$R,DEALS!$A:$A,{"*REFUND*","*EXECUTED*"},DEALS!$O:$O,$B$58,DEALS!$E:$E,"&lt;"&amp;$C$60,DEALS!$S:$S,D$62,DEALS!$U:$U,$B75,DEALS!$V:$V,"&lt;&gt;*RECEIVED*",DEALS!$V:$V,"&lt;&gt;*EXECUTED*"))</f>
        <v>0</v>
      </c>
      <c r="E75" s="29" cm="1">
        <f t="array" ref="E75">SUMIFS(BALANCES!$C:$C,BALANCES!$A:$A,$B$58,BALANCES!$B:$B,$B75,BALANCES!$D:$D,E$62)+SUMIFS(FLOWS!$C:$C,FLOWS!$A:$A,$B$58,FLOWS!$E:$E,$B75,FLOWS!$D:$D,E$62,FLOWS!$H:$H,"&lt;"&amp;$C$60)+SUM(SUMIFS(DEALS!$J:$J,DEALS!$A:$A,{"*REFUND*","*EXECUTED*"},DEALS!$G:$G,$B$58,DEALS!$E:$E,"&lt;"&amp;$C$60,DEALS!$K:$K,E$62,DEALS!$M:$M,$B75,DEALS!$N:$N,"&lt;&gt;*RECEIVED*",DEALS!$N:$N,"&lt;&gt;*EXECUTED*"))+SUM(SUMIFS(DEALS!$R:$R,DEALS!$A:$A,{"*REFUND*","*EXECUTED*"},DEALS!$O:$O,$B$58,DEALS!$E:$E,"&lt;"&amp;$C$60,DEALS!$S:$S,E$62,DEALS!$U:$U,$B75,DEALS!$V:$V,"&lt;&gt;*RECEIVED*",DEALS!$V:$V,"&lt;&gt;*EXECUTED*"))</f>
        <v>0</v>
      </c>
      <c r="F75" s="29" cm="1">
        <f t="array" ref="F75">SUMIFS(BALANCES!$C:$C,BALANCES!$A:$A,$B$58,BALANCES!$B:$B,$B75,BALANCES!$D:$D,F$62)+SUMIFS(FLOWS!$C:$C,FLOWS!$A:$A,$B$58,FLOWS!$E:$E,$B75,FLOWS!$D:$D,F$62,FLOWS!$H:$H,"&lt;"&amp;$C$60)+SUM(SUMIFS(DEALS!$J:$J,DEALS!$A:$A,{"*REFUND*","*EXECUTED*"},DEALS!$G:$G,$B$58,DEALS!$E:$E,"&lt;"&amp;$C$60,DEALS!$K:$K,F$62,DEALS!$M:$M,$B75,DEALS!$N:$N,"&lt;&gt;*RECEIVED*",DEALS!$N:$N,"&lt;&gt;*EXECUTED*"))+SUM(SUMIFS(DEALS!$R:$R,DEALS!$A:$A,{"*REFUND*","*EXECUTED*"},DEALS!$O:$O,$B$58,DEALS!$E:$E,"&lt;"&amp;$C$60,DEALS!$S:$S,F$62,DEALS!$U:$U,$B75,DEALS!$V:$V,"&lt;&gt;*RECEIVED*",DEALS!$V:$V,"&lt;&gt;*EXECUTED*"))</f>
        <v>0</v>
      </c>
      <c r="G75" s="29" cm="1">
        <f t="array" ref="G75">SUMIFS(BALANCES!$C:$C,BALANCES!$A:$A,$B$58,BALANCES!$B:$B,$B75,BALANCES!$D:$D,G$62)+SUMIFS(FLOWS!$C:$C,FLOWS!$A:$A,$B$58,FLOWS!$E:$E,$B75,FLOWS!$D:$D,G$62,FLOWS!$H:$H,"&lt;"&amp;$C$60)+SUM(SUMIFS(DEALS!$J:$J,DEALS!$A:$A,{"*REFUND*","*EXECUTED*"},DEALS!$G:$G,$B$58,DEALS!$E:$E,"&lt;"&amp;$C$60,DEALS!$K:$K,G$62,DEALS!$M:$M,$B75,DEALS!$N:$N,"&lt;&gt;*RECEIVED*",DEALS!$N:$N,"&lt;&gt;*EXECUTED*"))+SUM(SUMIFS(DEALS!$R:$R,DEALS!$A:$A,{"*REFUND*","*EXECUTED*"},DEALS!$O:$O,$B$58,DEALS!$E:$E,"&lt;"&amp;$C$60,DEALS!$S:$S,G$62,DEALS!$U:$U,$B75,DEALS!$V:$V,"&lt;&gt;*RECEIVED*",DEALS!$V:$V,"&lt;&gt;*EXECUTED*"))</f>
        <v>0</v>
      </c>
      <c r="H75" s="29" cm="1">
        <f t="array" ref="H75">SUMIFS(BALANCES!$C:$C,BALANCES!$A:$A,$B$58,BALANCES!$B:$B,$B75,BALANCES!$D:$D,H$62)+SUMIFS(FLOWS!$C:$C,FLOWS!$A:$A,$B$58,FLOWS!$E:$E,$B75,FLOWS!$D:$D,H$62,FLOWS!$H:$H,"&lt;"&amp;$C$60)+SUM(SUMIFS(DEALS!$J:$J,DEALS!$A:$A,{"*REFUND*","*EXECUTED*"},DEALS!$G:$G,$B$58,DEALS!$E:$E,"&lt;"&amp;$C$60,DEALS!$K:$K,H$62,DEALS!$M:$M,$B75,DEALS!$N:$N,"&lt;&gt;*RECEIVED*",DEALS!$N:$N,"&lt;&gt;*EXECUTED*"))+SUM(SUMIFS(DEALS!$R:$R,DEALS!$A:$A,{"*REFUND*","*EXECUTED*"},DEALS!$O:$O,$B$58,DEALS!$E:$E,"&lt;"&amp;$C$60,DEALS!$S:$S,H$62,DEALS!$U:$U,$B75,DEALS!$V:$V,"&lt;&gt;*RECEIVED*",DEALS!$V:$V,"&lt;&gt;*EXECUTED*"))</f>
        <v>0</v>
      </c>
      <c r="I75" s="30">
        <f ca="1">C75*VLOOKUP(C$62,'FX RATES'!$E$1:$F$50,2,FALSE)+D75*VLOOKUP(D$62,'FX RATES'!$E$1:$F$50,2,FALSE)+E75*VLOOKUP(E$62,'FX RATES'!$E$1:$F$50,2,FALSE)+F75*VLOOKUP(F$62,'FX RATES'!$E$1:$F$50,2,FALSE)+G75*VLOOKUP(G$62,'FX RATES'!$E$1:$F$50,2,FALSE)+H75*VLOOKUP(H$62,'FX RATES'!$E$1:$F$50,2,FALSE)</f>
        <v>0</v>
      </c>
      <c r="K75" s="28">
        <f t="shared" si="24"/>
        <v>0</v>
      </c>
      <c r="L75" s="29" cm="1">
        <f t="array" ref="L75">SUMIFS(FLOWS!$C:$C,FLOWS!$A:$A,$B$58,FLOWS!$E:$E,$K75,FLOWS!$D:$D,L$62,FLOWS!$H:$H,"&gt;="&amp;$C$60,FLOWS!$H:$H,"&lt;="&amp;$U$60)+SUM(SUMIFS(DEALS!$J:$J,DEALS!$A:$A,{"*REFUND*","*EXECUTED*"},DEALS!$G:$G,$B$58,DEALS!$E:$E,"&gt;="&amp;$C$60,DEALS!$E:$E,"&lt;="&amp;$U$60,DEALS!$K:$K,L$62,DEALS!$M:$M,$K75,DEALS!$N:$N,"&lt;&gt;*RECEIVED*",DEALS!$N:$N,"&lt;&gt;*EXECUTED*"))+SUM(SUMIFS(DEALS!$R:$R,DEALS!$A:$A,{"*REFUND*","*EXECUTED*"},DEALS!$O:$O,$B$58,DEALS!$E:$E,"&gt;="&amp;$C$60,DEALS!$E:$E,"&lt;="&amp;$U$60,DEALS!$S:$S,L$62,DEALS!$U:$U,$K75,DEALS!$V:$V,"&lt;&gt;*RECEIVED*",DEALS!$V:$V,"&lt;&gt;*EXECUTED*"))</f>
        <v>0</v>
      </c>
      <c r="M75" s="29" cm="1">
        <f t="array" ref="M75">SUMIFS(FLOWS!$C:$C,FLOWS!$A:$A,$B$58,FLOWS!$E:$E,$K75,FLOWS!$D:$D,M$62,FLOWS!$H:$H,"&gt;="&amp;$C$60,FLOWS!$H:$H,"&lt;="&amp;$U$60)+SUM(SUMIFS(DEALS!$J:$J,DEALS!$A:$A,{"*REFUND*","*EXECUTED*"},DEALS!$G:$G,$B$58,DEALS!$E:$E,"&gt;="&amp;$C$60,DEALS!$E:$E,"&lt;="&amp;$U$60,DEALS!$K:$K,M$62,DEALS!$M:$M,$K75,DEALS!$N:$N,"&lt;&gt;*RECEIVED*",DEALS!$N:$N,"&lt;&gt;*EXECUTED*"))+SUM(SUMIFS(DEALS!$R:$R,DEALS!$A:$A,{"*REFUND*","*EXECUTED*"},DEALS!$O:$O,$B$58,DEALS!$E:$E,"&gt;="&amp;$C$60,DEALS!$E:$E,"&lt;="&amp;$U$60,DEALS!$S:$S,M$62,DEALS!$U:$U,$K75,DEALS!$V:$V,"&lt;&gt;*RECEIVED*",DEALS!$V:$V,"&lt;&gt;*EXECUTED*"))</f>
        <v>0</v>
      </c>
      <c r="N75" s="29" cm="1">
        <f t="array" ref="N75">SUMIFS(FLOWS!$C:$C,FLOWS!$A:$A,$B$58,FLOWS!$E:$E,$K75,FLOWS!$D:$D,N$62,FLOWS!$H:$H,"&gt;="&amp;$C$60,FLOWS!$H:$H,"&lt;="&amp;$U$60)+SUM(SUMIFS(DEALS!$J:$J,DEALS!$A:$A,{"*REFUND*","*EXECUTED*"},DEALS!$G:$G,$B$58,DEALS!$E:$E,"&gt;="&amp;$C$60,DEALS!$E:$E,"&lt;="&amp;$U$60,DEALS!$K:$K,N$62,DEALS!$M:$M,$K75,DEALS!$N:$N,"&lt;&gt;*RECEIVED*",DEALS!$N:$N,"&lt;&gt;*EXECUTED*"))+SUM(SUMIFS(DEALS!$R:$R,DEALS!$A:$A,{"*REFUND*","*EXECUTED*"},DEALS!$O:$O,$B$58,DEALS!$E:$E,"&gt;="&amp;$C$60,DEALS!$E:$E,"&lt;="&amp;$U$60,DEALS!$S:$S,N$62,DEALS!$U:$U,$K75,DEALS!$V:$V,"&lt;&gt;*RECEIVED*",DEALS!$V:$V,"&lt;&gt;*EXECUTED*"))</f>
        <v>0</v>
      </c>
      <c r="O75" s="29" cm="1">
        <f t="array" ref="O75">SUMIFS(FLOWS!$C:$C,FLOWS!$A:$A,$B$58,FLOWS!$E:$E,$K75,FLOWS!$D:$D,O$62,FLOWS!$H:$H,"&gt;="&amp;$C$60,FLOWS!$H:$H,"&lt;="&amp;$U$60)+SUM(SUMIFS(DEALS!$J:$J,DEALS!$A:$A,{"*REFUND*","*EXECUTED*"},DEALS!$G:$G,$B$58,DEALS!$E:$E,"&gt;="&amp;$C$60,DEALS!$E:$E,"&lt;="&amp;$U$60,DEALS!$K:$K,O$62,DEALS!$M:$M,$K75,DEALS!$N:$N,"&lt;&gt;*RECEIVED*",DEALS!$N:$N,"&lt;&gt;*EXECUTED*"))+SUM(SUMIFS(DEALS!$R:$R,DEALS!$A:$A,{"*REFUND*","*EXECUTED*"},DEALS!$O:$O,$B$58,DEALS!$E:$E,"&gt;="&amp;$C$60,DEALS!$E:$E,"&lt;="&amp;$U$60,DEALS!$S:$S,O$62,DEALS!$U:$U,$K75,DEALS!$V:$V,"&lt;&gt;*RECEIVED*",DEALS!$V:$V,"&lt;&gt;*EXECUTED*"))</f>
        <v>0</v>
      </c>
      <c r="P75" s="29" cm="1">
        <f t="array" ref="P75">SUMIFS(FLOWS!$C:$C,FLOWS!$A:$A,$B$58,FLOWS!$E:$E,$K75,FLOWS!$D:$D,P$62,FLOWS!$H:$H,"&gt;="&amp;$C$60,FLOWS!$H:$H,"&lt;="&amp;$U$60)+SUM(SUMIFS(DEALS!$J:$J,DEALS!$A:$A,{"*REFUND*","*EXECUTED*"},DEALS!$G:$G,$B$58,DEALS!$E:$E,"&gt;="&amp;$C$60,DEALS!$E:$E,"&lt;="&amp;$U$60,DEALS!$K:$K,P$62,DEALS!$M:$M,$K75,DEALS!$N:$N,"&lt;&gt;*RECEIVED*",DEALS!$N:$N,"&lt;&gt;*EXECUTED*"))+SUM(SUMIFS(DEALS!$R:$R,DEALS!$A:$A,{"*REFUND*","*EXECUTED*"},DEALS!$O:$O,$B$58,DEALS!$E:$E,"&gt;="&amp;$C$60,DEALS!$E:$E,"&lt;="&amp;$U$60,DEALS!$S:$S,P$62,DEALS!$U:$U,$K75,DEALS!$V:$V,"&lt;&gt;*RECEIVED*",DEALS!$V:$V,"&lt;&gt;*EXECUTED*"))</f>
        <v>0</v>
      </c>
      <c r="Q75" s="29" cm="1">
        <f t="array" ref="Q75">SUMIFS(FLOWS!$C:$C,FLOWS!$A:$A,$B$58,FLOWS!$E:$E,$K75,FLOWS!$D:$D,Q$62,FLOWS!$H:$H,"&gt;="&amp;$C$60,FLOWS!$H:$H,"&lt;="&amp;$U$60)+SUM(SUMIFS(DEALS!$J:$J,DEALS!$A:$A,{"*REFUND*","*EXECUTED*"},DEALS!$G:$G,$B$58,DEALS!$E:$E,"&gt;="&amp;$C$60,DEALS!$E:$E,"&lt;="&amp;$U$60,DEALS!$K:$K,Q$62,DEALS!$M:$M,$K75,DEALS!$N:$N,"&lt;&gt;*RECEIVED*",DEALS!$N:$N,"&lt;&gt;*EXECUTED*"))+SUM(SUMIFS(DEALS!$R:$R,DEALS!$A:$A,{"*REFUND*","*EXECUTED*"},DEALS!$O:$O,$B$58,DEALS!$E:$E,"&gt;="&amp;$C$60,DEALS!$E:$E,"&lt;="&amp;$U$60,DEALS!$S:$S,Q$62,DEALS!$U:$U,$K75,DEALS!$V:$V,"&lt;&gt;*RECEIVED*",DEALS!$V:$V,"&lt;&gt;*EXECUTED*"))</f>
        <v>0</v>
      </c>
      <c r="R75" s="30">
        <f ca="1">L75*VLOOKUP(L$62,'FX RATES'!$E$1:$F$50,2,FALSE)+M75*VLOOKUP(M$62,'FX RATES'!$E$1:$F$50,2,FALSE)+N75*VLOOKUP(N$62,'FX RATES'!$E$1:$F$50,2,FALSE)+O75*VLOOKUP(O$62,'FX RATES'!$E$1:$F$50,2,FALSE)+P75*VLOOKUP(P$62,'FX RATES'!$E$1:$F$50,2,FALSE)+Q75*VLOOKUP(Q$62,'FX RATES'!$E$1:$F$50,2,FALSE)</f>
        <v>0</v>
      </c>
      <c r="T75" s="28">
        <f t="shared" si="25"/>
        <v>0</v>
      </c>
      <c r="U75" s="29" cm="1">
        <f t="array" ref="U75">SUMIFS(BALANCES!$C:$C,BALANCES!$A:$A,$B$58,BALANCES!$B:$B,$T75,BALANCES!$D:$D,U$62)+SUMIFS(FLOWS!$C:$C,FLOWS!$A:$A,$B$58,FLOWS!$E:$E,$T75,FLOWS!$D:$D,U$62,FLOWS!$H:$H,"&lt;="&amp;$U$60)+SUM(SUMIFS(DEALS!$J:$J,DEALS!$A:$A,{"*REFUND*","*EXECUTED*"},DEALS!$G:$G,$B$58,DEALS!$E:$E,"&lt;="&amp;$U$60,DEALS!$K:$K,U$62,DEALS!$M:$M,$T75,DEALS!$N:$N,"&lt;&gt;*RECEIVED*",DEALS!$N:$N,"&lt;&gt;*EXECUTED*"))+SUM(SUMIFS(DEALS!$R:$R,DEALS!$A:$A,{"*REFUND*","*EXECUTED*"},DEALS!$O:$O,$B$58,DEALS!$E:$E,"&lt;="&amp;$U$60,DEALS!$S:$S,U$62,DEALS!$U:$U,$T75,DEALS!$V:$V,"&lt;&gt;*RECEIVED*",DEALS!$V:$V,"&lt;&gt;*EXECUTED*"))</f>
        <v>0</v>
      </c>
      <c r="V75" s="29" cm="1">
        <f t="array" ref="V75">SUMIFS(BALANCES!$C:$C,BALANCES!$A:$A,$B$58,BALANCES!$B:$B,$T75,BALANCES!$D:$D,V$62)+SUMIFS(FLOWS!$C:$C,FLOWS!$A:$A,$B$58,FLOWS!$E:$E,$T75,FLOWS!$D:$D,V$62,FLOWS!$H:$H,"&lt;="&amp;$U$60)+SUM(SUMIFS(DEALS!$J:$J,DEALS!$A:$A,{"*REFUND*","*EXECUTED*"},DEALS!$G:$G,$B$58,DEALS!$E:$E,"&lt;="&amp;$U$60,DEALS!$K:$K,V$62,DEALS!$M:$M,$T75,DEALS!$N:$N,"&lt;&gt;*RECEIVED*",DEALS!$N:$N,"&lt;&gt;*EXECUTED*"))+SUM(SUMIFS(DEALS!$R:$R,DEALS!$A:$A,{"*REFUND*","*EXECUTED*"},DEALS!$O:$O,$B$58,DEALS!$E:$E,"&lt;="&amp;$U$60,DEALS!$S:$S,V$62,DEALS!$U:$U,$T75,DEALS!$V:$V,"&lt;&gt;*RECEIVED*",DEALS!$V:$V,"&lt;&gt;*EXECUTED*"))</f>
        <v>0</v>
      </c>
      <c r="W75" s="29" cm="1">
        <f t="array" ref="W75">SUMIFS(BALANCES!$C:$C,BALANCES!$A:$A,$B$58,BALANCES!$B:$B,$T75,BALANCES!$D:$D,W$62)+SUMIFS(FLOWS!$C:$C,FLOWS!$A:$A,$B$58,FLOWS!$E:$E,$T75,FLOWS!$D:$D,W$62,FLOWS!$H:$H,"&lt;="&amp;$U$60)+SUM(SUMIFS(DEALS!$J:$J,DEALS!$A:$A,{"*REFUND*","*EXECUTED*"},DEALS!$G:$G,$B$58,DEALS!$E:$E,"&lt;="&amp;$U$60,DEALS!$K:$K,W$62,DEALS!$M:$M,$T75,DEALS!$N:$N,"&lt;&gt;*RECEIVED*",DEALS!$N:$N,"&lt;&gt;*EXECUTED*"))+SUM(SUMIFS(DEALS!$R:$R,DEALS!$A:$A,{"*REFUND*","*EXECUTED*"},DEALS!$O:$O,$B$58,DEALS!$E:$E,"&lt;="&amp;$U$60,DEALS!$S:$S,W$62,DEALS!$U:$U,$T75,DEALS!$V:$V,"&lt;&gt;*RECEIVED*",DEALS!$V:$V,"&lt;&gt;*EXECUTED*"))</f>
        <v>0</v>
      </c>
      <c r="X75" s="29" cm="1">
        <f t="array" ref="X75">SUMIFS(BALANCES!$C:$C,BALANCES!$A:$A,$B$58,BALANCES!$B:$B,$T75,BALANCES!$D:$D,X$62)+SUMIFS(FLOWS!$C:$C,FLOWS!$A:$A,$B$58,FLOWS!$E:$E,$T75,FLOWS!$D:$D,X$62,FLOWS!$H:$H,"&lt;="&amp;$U$60)+SUM(SUMIFS(DEALS!$J:$J,DEALS!$A:$A,{"*REFUND*","*EXECUTED*"},DEALS!$G:$G,$B$58,DEALS!$E:$E,"&lt;="&amp;$U$60,DEALS!$K:$K,X$62,DEALS!$M:$M,$T75,DEALS!$N:$N,"&lt;&gt;*RECEIVED*",DEALS!$N:$N,"&lt;&gt;*EXECUTED*"))+SUM(SUMIFS(DEALS!$R:$R,DEALS!$A:$A,{"*REFUND*","*EXECUTED*"},DEALS!$O:$O,$B$58,DEALS!$E:$E,"&lt;="&amp;$U$60,DEALS!$S:$S,X$62,DEALS!$U:$U,$T75,DEALS!$V:$V,"&lt;&gt;*RECEIVED*",DEALS!$V:$V,"&lt;&gt;*EXECUTED*"))</f>
        <v>0</v>
      </c>
      <c r="Y75" s="29" cm="1">
        <f t="array" ref="Y75">SUMIFS(BALANCES!$C:$C,BALANCES!$A:$A,$B$58,BALANCES!$B:$B,$T75,BALANCES!$D:$D,Y$62)+SUMIFS(FLOWS!$C:$C,FLOWS!$A:$A,$B$58,FLOWS!$E:$E,$T75,FLOWS!$D:$D,Y$62,FLOWS!$H:$H,"&lt;="&amp;$U$60)+SUM(SUMIFS(DEALS!$J:$J,DEALS!$A:$A,{"*REFUND*","*EXECUTED*"},DEALS!$G:$G,$B$58,DEALS!$E:$E,"&lt;="&amp;$U$60,DEALS!$K:$K,Y$62,DEALS!$M:$M,$T75,DEALS!$N:$N,"&lt;&gt;*RECEIVED*",DEALS!$N:$N,"&lt;&gt;*EXECUTED*"))+SUM(SUMIFS(DEALS!$R:$R,DEALS!$A:$A,{"*REFUND*","*EXECUTED*"},DEALS!$O:$O,$B$58,DEALS!$E:$E,"&lt;="&amp;$U$60,DEALS!$S:$S,Y$62,DEALS!$U:$U,$T75,DEALS!$V:$V,"&lt;&gt;*RECEIVED*",DEALS!$V:$V,"&lt;&gt;*EXECUTED*"))</f>
        <v>0</v>
      </c>
      <c r="Z75" s="29" cm="1">
        <f t="array" ref="Z75">SUMIFS(BALANCES!$C:$C,BALANCES!$A:$A,$B$58,BALANCES!$B:$B,$T75,BALANCES!$D:$D,Z$62)+SUMIFS(FLOWS!$C:$C,FLOWS!$A:$A,$B$58,FLOWS!$E:$E,$T75,FLOWS!$D:$D,Z$62,FLOWS!$H:$H,"&lt;="&amp;$U$60)+SUM(SUMIFS(DEALS!$J:$J,DEALS!$A:$A,{"*REFUND*","*EXECUTED*"},DEALS!$G:$G,$B$58,DEALS!$E:$E,"&lt;="&amp;$U$60,DEALS!$K:$K,Z$62,DEALS!$M:$M,$T75,DEALS!$N:$N,"&lt;&gt;*RECEIVED*",DEALS!$N:$N,"&lt;&gt;*EXECUTED*"))+SUM(SUMIFS(DEALS!$R:$R,DEALS!$A:$A,{"*REFUND*","*EXECUTED*"},DEALS!$O:$O,$B$58,DEALS!$E:$E,"&lt;="&amp;$U$60,DEALS!$S:$S,Z$62,DEALS!$U:$U,$T75,DEALS!$V:$V,"&lt;&gt;*RECEIVED*",DEALS!$V:$V,"&lt;&gt;*EXECUTED*"))</f>
        <v>0</v>
      </c>
      <c r="AA75" s="30">
        <f ca="1">U75*VLOOKUP(U$62,'FX RATES'!$E$1:$F$50,2,FALSE)+V75*VLOOKUP(V$62,'FX RATES'!$E$1:$F$50,2,FALSE)+W75*VLOOKUP(W$62,'FX RATES'!$E$1:$F$50,2,FALSE)+X75*VLOOKUP(X$62,'FX RATES'!$E$1:$F$50,2,FALSE)+Y75*VLOOKUP(Y$62,'FX RATES'!$E$1:$F$50,2,FALSE)+Z75*VLOOKUP(Z$62,'FX RATES'!$E$1:$F$50,2,FALSE)</f>
        <v>0</v>
      </c>
      <c r="AC75" s="139">
        <f t="shared" ca="1" si="26"/>
        <v>0</v>
      </c>
    </row>
    <row r="76" spans="2:29" ht="19" hidden="1">
      <c r="B76" s="31"/>
      <c r="C76" s="32" cm="1">
        <f t="array" ref="C76">SUMIFS(BALANCES!$C:$C,BALANCES!$A:$A,$B$58,BALANCES!$B:$B,$B76,BALANCES!$D:$D,C$62)+SUMIFS(FLOWS!$C:$C,FLOWS!$A:$A,$B$58,FLOWS!$E:$E,$B76,FLOWS!$D:$D,C$62,FLOWS!$H:$H,"&lt;"&amp;$C$60)+SUM(SUMIFS(DEALS!$J:$J,DEALS!$A:$A,{"*REFUND*","*EXECUTED*"},DEALS!$G:$G,$B$58,DEALS!$E:$E,"&lt;"&amp;$C$60,DEALS!$K:$K,C$62,DEALS!$M:$M,$B76,DEALS!$N:$N,"&lt;&gt;*RECEIVED*",DEALS!$N:$N,"&lt;&gt;*EXECUTED*"))+SUM(SUMIFS(DEALS!$R:$R,DEALS!$A:$A,{"*REFUND*","*EXECUTED*"},DEALS!$O:$O,$B$58,DEALS!$E:$E,"&lt;"&amp;$C$60,DEALS!$S:$S,C$62,DEALS!$U:$U,$B76,DEALS!$V:$V,"&lt;&gt;*RECEIVED*",DEALS!$V:$V,"&lt;&gt;*EXECUTED*"))</f>
        <v>0</v>
      </c>
      <c r="D76" s="32" cm="1">
        <f t="array" ref="D76">SUMIFS(BALANCES!$C:$C,BALANCES!$A:$A,$B$58,BALANCES!$B:$B,$B76,BALANCES!$D:$D,D$62)+SUMIFS(FLOWS!$C:$C,FLOWS!$A:$A,$B$58,FLOWS!$E:$E,$B76,FLOWS!$D:$D,D$62,FLOWS!$H:$H,"&lt;"&amp;$C$60)+SUM(SUMIFS(DEALS!$J:$J,DEALS!$A:$A,{"*REFUND*","*EXECUTED*"},DEALS!$G:$G,$B$58,DEALS!$E:$E,"&lt;"&amp;$C$60,DEALS!$K:$K,D$62,DEALS!$M:$M,$B76,DEALS!$N:$N,"&lt;&gt;*RECEIVED*",DEALS!$N:$N,"&lt;&gt;*EXECUTED*"))+SUM(SUMIFS(DEALS!$R:$R,DEALS!$A:$A,{"*REFUND*","*EXECUTED*"},DEALS!$O:$O,$B$58,DEALS!$E:$E,"&lt;"&amp;$C$60,DEALS!$S:$S,D$62,DEALS!$U:$U,$B76,DEALS!$V:$V,"&lt;&gt;*RECEIVED*",DEALS!$V:$V,"&lt;&gt;*EXECUTED*"))</f>
        <v>0</v>
      </c>
      <c r="E76" s="32" cm="1">
        <f t="array" ref="E76">SUMIFS(BALANCES!$C:$C,BALANCES!$A:$A,$B$58,BALANCES!$B:$B,$B76,BALANCES!$D:$D,E$62)+SUMIFS(FLOWS!$C:$C,FLOWS!$A:$A,$B$58,FLOWS!$E:$E,$B76,FLOWS!$D:$D,E$62,FLOWS!$H:$H,"&lt;"&amp;$C$60)+SUM(SUMIFS(DEALS!$J:$J,DEALS!$A:$A,{"*REFUND*","*EXECUTED*"},DEALS!$G:$G,$B$58,DEALS!$E:$E,"&lt;"&amp;$C$60,DEALS!$K:$K,E$62,DEALS!$M:$M,$B76,DEALS!$N:$N,"&lt;&gt;*RECEIVED*",DEALS!$N:$N,"&lt;&gt;*EXECUTED*"))+SUM(SUMIFS(DEALS!$R:$R,DEALS!$A:$A,{"*REFUND*","*EXECUTED*"},DEALS!$O:$O,$B$58,DEALS!$E:$E,"&lt;"&amp;$C$60,DEALS!$S:$S,E$62,DEALS!$U:$U,$B76,DEALS!$V:$V,"&lt;&gt;*RECEIVED*",DEALS!$V:$V,"&lt;&gt;*EXECUTED*"))</f>
        <v>0</v>
      </c>
      <c r="F76" s="32" cm="1">
        <f t="array" ref="F76">SUMIFS(BALANCES!$C:$C,BALANCES!$A:$A,$B$58,BALANCES!$B:$B,$B76,BALANCES!$D:$D,F$62)+SUMIFS(FLOWS!$C:$C,FLOWS!$A:$A,$B$58,FLOWS!$E:$E,$B76,FLOWS!$D:$D,F$62,FLOWS!$H:$H,"&lt;"&amp;$C$60)+SUM(SUMIFS(DEALS!$J:$J,DEALS!$A:$A,{"*REFUND*","*EXECUTED*"},DEALS!$G:$G,$B$58,DEALS!$E:$E,"&lt;"&amp;$C$60,DEALS!$K:$K,F$62,DEALS!$M:$M,$B76,DEALS!$N:$N,"&lt;&gt;*RECEIVED*",DEALS!$N:$N,"&lt;&gt;*EXECUTED*"))+SUM(SUMIFS(DEALS!$R:$R,DEALS!$A:$A,{"*REFUND*","*EXECUTED*"},DEALS!$O:$O,$B$58,DEALS!$E:$E,"&lt;"&amp;$C$60,DEALS!$S:$S,F$62,DEALS!$U:$U,$B76,DEALS!$V:$V,"&lt;&gt;*RECEIVED*",DEALS!$V:$V,"&lt;&gt;*EXECUTED*"))</f>
        <v>0</v>
      </c>
      <c r="G76" s="32" cm="1">
        <f t="array" ref="G76">SUMIFS(BALANCES!$C:$C,BALANCES!$A:$A,$B$58,BALANCES!$B:$B,$B76,BALANCES!$D:$D,G$62)+SUMIFS(FLOWS!$C:$C,FLOWS!$A:$A,$B$58,FLOWS!$E:$E,$B76,FLOWS!$D:$D,G$62,FLOWS!$H:$H,"&lt;"&amp;$C$60)+SUM(SUMIFS(DEALS!$J:$J,DEALS!$A:$A,{"*REFUND*","*EXECUTED*"},DEALS!$G:$G,$B$58,DEALS!$E:$E,"&lt;"&amp;$C$60,DEALS!$K:$K,G$62,DEALS!$M:$M,$B76,DEALS!$N:$N,"&lt;&gt;*RECEIVED*",DEALS!$N:$N,"&lt;&gt;*EXECUTED*"))+SUM(SUMIFS(DEALS!$R:$R,DEALS!$A:$A,{"*REFUND*","*EXECUTED*"},DEALS!$O:$O,$B$58,DEALS!$E:$E,"&lt;"&amp;$C$60,DEALS!$S:$S,G$62,DEALS!$U:$U,$B76,DEALS!$V:$V,"&lt;&gt;*RECEIVED*",DEALS!$V:$V,"&lt;&gt;*EXECUTED*"))</f>
        <v>0</v>
      </c>
      <c r="H76" s="32" cm="1">
        <f t="array" ref="H76">SUMIFS(BALANCES!$C:$C,BALANCES!$A:$A,$B$58,BALANCES!$B:$B,$B76,BALANCES!$D:$D,H$62)+SUMIFS(FLOWS!$C:$C,FLOWS!$A:$A,$B$58,FLOWS!$E:$E,$B76,FLOWS!$D:$D,H$62,FLOWS!$H:$H,"&lt;"&amp;$C$60)+SUM(SUMIFS(DEALS!$J:$J,DEALS!$A:$A,{"*REFUND*","*EXECUTED*"},DEALS!$G:$G,$B$58,DEALS!$E:$E,"&lt;"&amp;$C$60,DEALS!$K:$K,H$62,DEALS!$M:$M,$B76,DEALS!$N:$N,"&lt;&gt;*RECEIVED*",DEALS!$N:$N,"&lt;&gt;*EXECUTED*"))+SUM(SUMIFS(DEALS!$R:$R,DEALS!$A:$A,{"*REFUND*","*EXECUTED*"},DEALS!$O:$O,$B$58,DEALS!$E:$E,"&lt;"&amp;$C$60,DEALS!$S:$S,H$62,DEALS!$U:$U,$B76,DEALS!$V:$V,"&lt;&gt;*RECEIVED*",DEALS!$V:$V,"&lt;&gt;*EXECUTED*"))</f>
        <v>0</v>
      </c>
      <c r="I76" s="33">
        <f ca="1">C76*VLOOKUP(C$62,'FX RATES'!$E$1:$F$50,2,FALSE)+D76*VLOOKUP(D$62,'FX RATES'!$E$1:$F$50,2,FALSE)+E76*VLOOKUP(E$62,'FX RATES'!$E$1:$F$50,2,FALSE)+F76*VLOOKUP(F$62,'FX RATES'!$E$1:$F$50,2,FALSE)+G76*VLOOKUP(G$62,'FX RATES'!$E$1:$F$50,2,FALSE)+H76*VLOOKUP(H$62,'FX RATES'!$E$1:$F$50,2,FALSE)</f>
        <v>0</v>
      </c>
      <c r="J76" s="18"/>
      <c r="K76" s="31">
        <f t="shared" si="24"/>
        <v>0</v>
      </c>
      <c r="L76" s="32" cm="1">
        <f t="array" ref="L76">SUMIFS(FLOWS!$C:$C,FLOWS!$A:$A,$B$58,FLOWS!$E:$E,$K76,FLOWS!$D:$D,L$62,FLOWS!$H:$H,"&gt;="&amp;$C$60,FLOWS!$H:$H,"&lt;="&amp;$U$60)+SUM(SUMIFS(DEALS!$J:$J,DEALS!$A:$A,{"*REFUND*","*EXECUTED*"},DEALS!$G:$G,$B$58,DEALS!$E:$E,"&gt;="&amp;$C$60,DEALS!$E:$E,"&lt;="&amp;$U$60,DEALS!$K:$K,L$62,DEALS!$M:$M,$K76,DEALS!$N:$N,"&lt;&gt;*RECEIVED*",DEALS!$N:$N,"&lt;&gt;*EXECUTED*"))+SUM(SUMIFS(DEALS!$R:$R,DEALS!$A:$A,{"*REFUND*","*EXECUTED*"},DEALS!$O:$O,$B$58,DEALS!$E:$E,"&gt;="&amp;$C$60,DEALS!$E:$E,"&lt;="&amp;$U$60,DEALS!$S:$S,L$62,DEALS!$U:$U,$K76,DEALS!$V:$V,"&lt;&gt;*RECEIVED*",DEALS!$V:$V,"&lt;&gt;*EXECUTED*"))</f>
        <v>0</v>
      </c>
      <c r="M76" s="32" cm="1">
        <f t="array" ref="M76">SUMIFS(FLOWS!$C:$C,FLOWS!$A:$A,$B$58,FLOWS!$E:$E,$K76,FLOWS!$D:$D,M$62,FLOWS!$H:$H,"&gt;="&amp;$C$60,FLOWS!$H:$H,"&lt;="&amp;$U$60)+SUM(SUMIFS(DEALS!$J:$J,DEALS!$A:$A,{"*REFUND*","*EXECUTED*"},DEALS!$G:$G,$B$58,DEALS!$E:$E,"&gt;="&amp;$C$60,DEALS!$E:$E,"&lt;="&amp;$U$60,DEALS!$K:$K,M$62,DEALS!$M:$M,$K76,DEALS!$N:$N,"&lt;&gt;*RECEIVED*",DEALS!$N:$N,"&lt;&gt;*EXECUTED*"))+SUM(SUMIFS(DEALS!$R:$R,DEALS!$A:$A,{"*REFUND*","*EXECUTED*"},DEALS!$O:$O,$B$58,DEALS!$E:$E,"&gt;="&amp;$C$60,DEALS!$E:$E,"&lt;="&amp;$U$60,DEALS!$S:$S,M$62,DEALS!$U:$U,$K76,DEALS!$V:$V,"&lt;&gt;*RECEIVED*",DEALS!$V:$V,"&lt;&gt;*EXECUTED*"))</f>
        <v>0</v>
      </c>
      <c r="N76" s="32" cm="1">
        <f t="array" ref="N76">SUMIFS(FLOWS!$C:$C,FLOWS!$A:$A,$B$58,FLOWS!$E:$E,$K76,FLOWS!$D:$D,N$62,FLOWS!$H:$H,"&gt;="&amp;$C$60,FLOWS!$H:$H,"&lt;="&amp;$U$60)+SUM(SUMIFS(DEALS!$J:$J,DEALS!$A:$A,{"*REFUND*","*EXECUTED*"},DEALS!$G:$G,$B$58,DEALS!$E:$E,"&gt;="&amp;$C$60,DEALS!$E:$E,"&lt;="&amp;$U$60,DEALS!$K:$K,N$62,DEALS!$M:$M,$K76,DEALS!$N:$N,"&lt;&gt;*RECEIVED*",DEALS!$N:$N,"&lt;&gt;*EXECUTED*"))+SUM(SUMIFS(DEALS!$R:$R,DEALS!$A:$A,{"*REFUND*","*EXECUTED*"},DEALS!$O:$O,$B$58,DEALS!$E:$E,"&gt;="&amp;$C$60,DEALS!$E:$E,"&lt;="&amp;$U$60,DEALS!$S:$S,N$62,DEALS!$U:$U,$K76,DEALS!$V:$V,"&lt;&gt;*RECEIVED*",DEALS!$V:$V,"&lt;&gt;*EXECUTED*"))</f>
        <v>0</v>
      </c>
      <c r="O76" s="32" cm="1">
        <f t="array" ref="O76">SUMIFS(FLOWS!$C:$C,FLOWS!$A:$A,$B$58,FLOWS!$E:$E,$K76,FLOWS!$D:$D,O$62,FLOWS!$H:$H,"&gt;="&amp;$C$60,FLOWS!$H:$H,"&lt;="&amp;$U$60)+SUM(SUMIFS(DEALS!$J:$J,DEALS!$A:$A,{"*REFUND*","*EXECUTED*"},DEALS!$G:$G,$B$58,DEALS!$E:$E,"&gt;="&amp;$C$60,DEALS!$E:$E,"&lt;="&amp;$U$60,DEALS!$K:$K,O$62,DEALS!$M:$M,$K76,DEALS!$N:$N,"&lt;&gt;*RECEIVED*",DEALS!$N:$N,"&lt;&gt;*EXECUTED*"))+SUM(SUMIFS(DEALS!$R:$R,DEALS!$A:$A,{"*REFUND*","*EXECUTED*"},DEALS!$O:$O,$B$58,DEALS!$E:$E,"&gt;="&amp;$C$60,DEALS!$E:$E,"&lt;="&amp;$U$60,DEALS!$S:$S,O$62,DEALS!$U:$U,$K76,DEALS!$V:$V,"&lt;&gt;*RECEIVED*",DEALS!$V:$V,"&lt;&gt;*EXECUTED*"))</f>
        <v>0</v>
      </c>
      <c r="P76" s="32" cm="1">
        <f t="array" ref="P76">SUMIFS(FLOWS!$C:$C,FLOWS!$A:$A,$B$58,FLOWS!$E:$E,$K76,FLOWS!$D:$D,P$62,FLOWS!$H:$H,"&gt;="&amp;$C$60,FLOWS!$H:$H,"&lt;="&amp;$U$60)+SUM(SUMIFS(DEALS!$J:$J,DEALS!$A:$A,{"*REFUND*","*EXECUTED*"},DEALS!$G:$G,$B$58,DEALS!$E:$E,"&gt;="&amp;$C$60,DEALS!$E:$E,"&lt;="&amp;$U$60,DEALS!$K:$K,P$62,DEALS!$M:$M,$K76,DEALS!$N:$N,"&lt;&gt;*RECEIVED*",DEALS!$N:$N,"&lt;&gt;*EXECUTED*"))+SUM(SUMIFS(DEALS!$R:$R,DEALS!$A:$A,{"*REFUND*","*EXECUTED*"},DEALS!$O:$O,$B$58,DEALS!$E:$E,"&gt;="&amp;$C$60,DEALS!$E:$E,"&lt;="&amp;$U$60,DEALS!$S:$S,P$62,DEALS!$U:$U,$K76,DEALS!$V:$V,"&lt;&gt;*RECEIVED*",DEALS!$V:$V,"&lt;&gt;*EXECUTED*"))</f>
        <v>0</v>
      </c>
      <c r="Q76" s="32" cm="1">
        <f t="array" ref="Q76">SUMIFS(FLOWS!$C:$C,FLOWS!$A:$A,$B$58,FLOWS!$E:$E,$K76,FLOWS!$D:$D,Q$62,FLOWS!$H:$H,"&gt;="&amp;$C$60,FLOWS!$H:$H,"&lt;="&amp;$U$60)+SUM(SUMIFS(DEALS!$J:$J,DEALS!$A:$A,{"*REFUND*","*EXECUTED*"},DEALS!$G:$G,$B$58,DEALS!$E:$E,"&gt;="&amp;$C$60,DEALS!$E:$E,"&lt;="&amp;$U$60,DEALS!$K:$K,Q$62,DEALS!$M:$M,$K76,DEALS!$N:$N,"&lt;&gt;*RECEIVED*",DEALS!$N:$N,"&lt;&gt;*EXECUTED*"))+SUM(SUMIFS(DEALS!$R:$R,DEALS!$A:$A,{"*REFUND*","*EXECUTED*"},DEALS!$O:$O,$B$58,DEALS!$E:$E,"&gt;="&amp;$C$60,DEALS!$E:$E,"&lt;="&amp;$U$60,DEALS!$S:$S,Q$62,DEALS!$U:$U,$K76,DEALS!$V:$V,"&lt;&gt;*RECEIVED*",DEALS!$V:$V,"&lt;&gt;*EXECUTED*"))</f>
        <v>0</v>
      </c>
      <c r="R76" s="33">
        <f ca="1">L76*VLOOKUP(L$62,'FX RATES'!$E$1:$F$50,2,FALSE)+M76*VLOOKUP(M$62,'FX RATES'!$E$1:$F$50,2,FALSE)+N76*VLOOKUP(N$62,'FX RATES'!$E$1:$F$50,2,FALSE)+O76*VLOOKUP(O$62,'FX RATES'!$E$1:$F$50,2,FALSE)+P76*VLOOKUP(P$62,'FX RATES'!$E$1:$F$50,2,FALSE)+Q76*VLOOKUP(Q$62,'FX RATES'!$E$1:$F$50,2,FALSE)</f>
        <v>0</v>
      </c>
      <c r="T76" s="31">
        <f t="shared" si="25"/>
        <v>0</v>
      </c>
      <c r="U76" s="32" cm="1">
        <f t="array" ref="U76">SUMIFS(BALANCES!$C:$C,BALANCES!$A:$A,$B$58,BALANCES!$B:$B,$T76,BALANCES!$D:$D,U$62)+SUMIFS(FLOWS!$C:$C,FLOWS!$A:$A,$B$58,FLOWS!$E:$E,$T76,FLOWS!$D:$D,U$62,FLOWS!$H:$H,"&lt;="&amp;$U$60)+SUM(SUMIFS(DEALS!$J:$J,DEALS!$A:$A,{"*REFUND*","*EXECUTED*"},DEALS!$G:$G,$B$58,DEALS!$E:$E,"&lt;="&amp;$U$60,DEALS!$K:$K,U$62,DEALS!$M:$M,$T76,DEALS!$N:$N,"&lt;&gt;*RECEIVED*",DEALS!$N:$N,"&lt;&gt;*EXECUTED*"))+SUM(SUMIFS(DEALS!$R:$R,DEALS!$A:$A,{"*REFUND*","*EXECUTED*"},DEALS!$O:$O,$B$58,DEALS!$E:$E,"&lt;="&amp;$U$60,DEALS!$S:$S,U$62,DEALS!$U:$U,$T76,DEALS!$V:$V,"&lt;&gt;*RECEIVED*",DEALS!$V:$V,"&lt;&gt;*EXECUTED*"))</f>
        <v>0</v>
      </c>
      <c r="V76" s="32" cm="1">
        <f t="array" ref="V76">SUMIFS(BALANCES!$C:$C,BALANCES!$A:$A,$B$58,BALANCES!$B:$B,$T76,BALANCES!$D:$D,V$62)+SUMIFS(FLOWS!$C:$C,FLOWS!$A:$A,$B$58,FLOWS!$E:$E,$T76,FLOWS!$D:$D,V$62,FLOWS!$H:$H,"&lt;="&amp;$U$60)+SUM(SUMIFS(DEALS!$J:$J,DEALS!$A:$A,{"*REFUND*","*EXECUTED*"},DEALS!$G:$G,$B$58,DEALS!$E:$E,"&lt;="&amp;$U$60,DEALS!$K:$K,V$62,DEALS!$M:$M,$T76,DEALS!$N:$N,"&lt;&gt;*RECEIVED*",DEALS!$N:$N,"&lt;&gt;*EXECUTED*"))+SUM(SUMIFS(DEALS!$R:$R,DEALS!$A:$A,{"*REFUND*","*EXECUTED*"},DEALS!$O:$O,$B$58,DEALS!$E:$E,"&lt;="&amp;$U$60,DEALS!$S:$S,V$62,DEALS!$U:$U,$T76,DEALS!$V:$V,"&lt;&gt;*RECEIVED*",DEALS!$V:$V,"&lt;&gt;*EXECUTED*"))</f>
        <v>0</v>
      </c>
      <c r="W76" s="32" cm="1">
        <f t="array" ref="W76">SUMIFS(BALANCES!$C:$C,BALANCES!$A:$A,$B$58,BALANCES!$B:$B,$T76,BALANCES!$D:$D,W$62)+SUMIFS(FLOWS!$C:$C,FLOWS!$A:$A,$B$58,FLOWS!$E:$E,$T76,FLOWS!$D:$D,W$62,FLOWS!$H:$H,"&lt;="&amp;$U$60)+SUM(SUMIFS(DEALS!$J:$J,DEALS!$A:$A,{"*REFUND*","*EXECUTED*"},DEALS!$G:$G,$B$58,DEALS!$E:$E,"&lt;="&amp;$U$60,DEALS!$K:$K,W$62,DEALS!$M:$M,$T76,DEALS!$N:$N,"&lt;&gt;*RECEIVED*",DEALS!$N:$N,"&lt;&gt;*EXECUTED*"))+SUM(SUMIFS(DEALS!$R:$R,DEALS!$A:$A,{"*REFUND*","*EXECUTED*"},DEALS!$O:$O,$B$58,DEALS!$E:$E,"&lt;="&amp;$U$60,DEALS!$S:$S,W$62,DEALS!$U:$U,$T76,DEALS!$V:$V,"&lt;&gt;*RECEIVED*",DEALS!$V:$V,"&lt;&gt;*EXECUTED*"))</f>
        <v>0</v>
      </c>
      <c r="X76" s="32" cm="1">
        <f t="array" ref="X76">SUMIFS(BALANCES!$C:$C,BALANCES!$A:$A,$B$58,BALANCES!$B:$B,$T76,BALANCES!$D:$D,X$62)+SUMIFS(FLOWS!$C:$C,FLOWS!$A:$A,$B$58,FLOWS!$E:$E,$T76,FLOWS!$D:$D,X$62,FLOWS!$H:$H,"&lt;="&amp;$U$60)+SUM(SUMIFS(DEALS!$J:$J,DEALS!$A:$A,{"*REFUND*","*EXECUTED*"},DEALS!$G:$G,$B$58,DEALS!$E:$E,"&lt;="&amp;$U$60,DEALS!$K:$K,X$62,DEALS!$M:$M,$T76,DEALS!$N:$N,"&lt;&gt;*RECEIVED*",DEALS!$N:$N,"&lt;&gt;*EXECUTED*"))+SUM(SUMIFS(DEALS!$R:$R,DEALS!$A:$A,{"*REFUND*","*EXECUTED*"},DEALS!$O:$O,$B$58,DEALS!$E:$E,"&lt;="&amp;$U$60,DEALS!$S:$S,X$62,DEALS!$U:$U,$T76,DEALS!$V:$V,"&lt;&gt;*RECEIVED*",DEALS!$V:$V,"&lt;&gt;*EXECUTED*"))</f>
        <v>0</v>
      </c>
      <c r="Y76" s="32" cm="1">
        <f t="array" ref="Y76">SUMIFS(BALANCES!$C:$C,BALANCES!$A:$A,$B$58,BALANCES!$B:$B,$T76,BALANCES!$D:$D,Y$62)+SUMIFS(FLOWS!$C:$C,FLOWS!$A:$A,$B$58,FLOWS!$E:$E,$T76,FLOWS!$D:$D,Y$62,FLOWS!$H:$H,"&lt;="&amp;$U$60)+SUM(SUMIFS(DEALS!$J:$J,DEALS!$A:$A,{"*REFUND*","*EXECUTED*"},DEALS!$G:$G,$B$58,DEALS!$E:$E,"&lt;="&amp;$U$60,DEALS!$K:$K,Y$62,DEALS!$M:$M,$T76,DEALS!$N:$N,"&lt;&gt;*RECEIVED*",DEALS!$N:$N,"&lt;&gt;*EXECUTED*"))+SUM(SUMIFS(DEALS!$R:$R,DEALS!$A:$A,{"*REFUND*","*EXECUTED*"},DEALS!$O:$O,$B$58,DEALS!$E:$E,"&lt;="&amp;$U$60,DEALS!$S:$S,Y$62,DEALS!$U:$U,$T76,DEALS!$V:$V,"&lt;&gt;*RECEIVED*",DEALS!$V:$V,"&lt;&gt;*EXECUTED*"))</f>
        <v>0</v>
      </c>
      <c r="Z76" s="32" cm="1">
        <f t="array" ref="Z76">SUMIFS(BALANCES!$C:$C,BALANCES!$A:$A,$B$58,BALANCES!$B:$B,$T76,BALANCES!$D:$D,Z$62)+SUMIFS(FLOWS!$C:$C,FLOWS!$A:$A,$B$58,FLOWS!$E:$E,$T76,FLOWS!$D:$D,Z$62,FLOWS!$H:$H,"&lt;="&amp;$U$60)+SUM(SUMIFS(DEALS!$J:$J,DEALS!$A:$A,{"*REFUND*","*EXECUTED*"},DEALS!$G:$G,$B$58,DEALS!$E:$E,"&lt;="&amp;$U$60,DEALS!$K:$K,Z$62,DEALS!$M:$M,$T76,DEALS!$N:$N,"&lt;&gt;*RECEIVED*",DEALS!$N:$N,"&lt;&gt;*EXECUTED*"))+SUM(SUMIFS(DEALS!$R:$R,DEALS!$A:$A,{"*REFUND*","*EXECUTED*"},DEALS!$O:$O,$B$58,DEALS!$E:$E,"&lt;="&amp;$U$60,DEALS!$S:$S,Z$62,DEALS!$U:$U,$T76,DEALS!$V:$V,"&lt;&gt;*RECEIVED*",DEALS!$V:$V,"&lt;&gt;*EXECUTED*"))</f>
        <v>0</v>
      </c>
      <c r="AA76" s="33">
        <f ca="1">U76*VLOOKUP(U$62,'FX RATES'!$E$1:$F$50,2,FALSE)+V76*VLOOKUP(V$62,'FX RATES'!$E$1:$F$50,2,FALSE)+W76*VLOOKUP(W$62,'FX RATES'!$E$1:$F$50,2,FALSE)+X76*VLOOKUP(X$62,'FX RATES'!$E$1:$F$50,2,FALSE)+Y76*VLOOKUP(Y$62,'FX RATES'!$E$1:$F$50,2,FALSE)+Z76*VLOOKUP(Z$62,'FX RATES'!$E$1:$F$50,2,FALSE)</f>
        <v>0</v>
      </c>
      <c r="AC76" s="139">
        <f t="shared" ca="1" si="26"/>
        <v>0</v>
      </c>
    </row>
    <row r="77" spans="2:29" ht="19" hidden="1">
      <c r="B77" s="28"/>
      <c r="C77" s="29" cm="1">
        <f t="array" ref="C77">SUMIFS(BALANCES!$C:$C,BALANCES!$A:$A,$B$58,BALANCES!$B:$B,$B77,BALANCES!$D:$D,C$62)+SUMIFS(FLOWS!$C:$C,FLOWS!$A:$A,$B$58,FLOWS!$E:$E,$B77,FLOWS!$D:$D,C$62,FLOWS!$H:$H,"&lt;"&amp;$C$60)+SUM(SUMIFS(DEALS!$J:$J,DEALS!$A:$A,{"*REFUND*","*EXECUTED*"},DEALS!$G:$G,$B$58,DEALS!$E:$E,"&lt;"&amp;$C$60,DEALS!$K:$K,C$62,DEALS!$M:$M,$B77,DEALS!$N:$N,"&lt;&gt;*RECEIVED*",DEALS!$N:$N,"&lt;&gt;*EXECUTED*"))+SUM(SUMIFS(DEALS!$R:$R,DEALS!$A:$A,{"*REFUND*","*EXECUTED*"},DEALS!$O:$O,$B$58,DEALS!$E:$E,"&lt;"&amp;$C$60,DEALS!$S:$S,C$62,DEALS!$U:$U,$B77,DEALS!$V:$V,"&lt;&gt;*RECEIVED*",DEALS!$V:$V,"&lt;&gt;*EXECUTED*"))</f>
        <v>0</v>
      </c>
      <c r="D77" s="29" cm="1">
        <f t="array" ref="D77">SUMIFS(BALANCES!$C:$C,BALANCES!$A:$A,$B$58,BALANCES!$B:$B,$B77,BALANCES!$D:$D,D$62)+SUMIFS(FLOWS!$C:$C,FLOWS!$A:$A,$B$58,FLOWS!$E:$E,$B77,FLOWS!$D:$D,D$62,FLOWS!$H:$H,"&lt;"&amp;$C$60)+SUM(SUMIFS(DEALS!$J:$J,DEALS!$A:$A,{"*REFUND*","*EXECUTED*"},DEALS!$G:$G,$B$58,DEALS!$E:$E,"&lt;"&amp;$C$60,DEALS!$K:$K,D$62,DEALS!$M:$M,$B77,DEALS!$N:$N,"&lt;&gt;*RECEIVED*",DEALS!$N:$N,"&lt;&gt;*EXECUTED*"))+SUM(SUMIFS(DEALS!$R:$R,DEALS!$A:$A,{"*REFUND*","*EXECUTED*"},DEALS!$O:$O,$B$58,DEALS!$E:$E,"&lt;"&amp;$C$60,DEALS!$S:$S,D$62,DEALS!$U:$U,$B77,DEALS!$V:$V,"&lt;&gt;*RECEIVED*",DEALS!$V:$V,"&lt;&gt;*EXECUTED*"))</f>
        <v>0</v>
      </c>
      <c r="E77" s="29" cm="1">
        <f t="array" ref="E77">SUMIFS(BALANCES!$C:$C,BALANCES!$A:$A,$B$58,BALANCES!$B:$B,$B77,BALANCES!$D:$D,E$62)+SUMIFS(FLOWS!$C:$C,FLOWS!$A:$A,$B$58,FLOWS!$E:$E,$B77,FLOWS!$D:$D,E$62,FLOWS!$H:$H,"&lt;"&amp;$C$60)+SUM(SUMIFS(DEALS!$J:$J,DEALS!$A:$A,{"*REFUND*","*EXECUTED*"},DEALS!$G:$G,$B$58,DEALS!$E:$E,"&lt;"&amp;$C$60,DEALS!$K:$K,E$62,DEALS!$M:$M,$B77,DEALS!$N:$N,"&lt;&gt;*RECEIVED*",DEALS!$N:$N,"&lt;&gt;*EXECUTED*"))+SUM(SUMIFS(DEALS!$R:$R,DEALS!$A:$A,{"*REFUND*","*EXECUTED*"},DEALS!$O:$O,$B$58,DEALS!$E:$E,"&lt;"&amp;$C$60,DEALS!$S:$S,E$62,DEALS!$U:$U,$B77,DEALS!$V:$V,"&lt;&gt;*RECEIVED*",DEALS!$V:$V,"&lt;&gt;*EXECUTED*"))</f>
        <v>0</v>
      </c>
      <c r="F77" s="29" cm="1">
        <f t="array" ref="F77">SUMIFS(BALANCES!$C:$C,BALANCES!$A:$A,$B$58,BALANCES!$B:$B,$B77,BALANCES!$D:$D,F$62)+SUMIFS(FLOWS!$C:$C,FLOWS!$A:$A,$B$58,FLOWS!$E:$E,$B77,FLOWS!$D:$D,F$62,FLOWS!$H:$H,"&lt;"&amp;$C$60)+SUM(SUMIFS(DEALS!$J:$J,DEALS!$A:$A,{"*REFUND*","*EXECUTED*"},DEALS!$G:$G,$B$58,DEALS!$E:$E,"&lt;"&amp;$C$60,DEALS!$K:$K,F$62,DEALS!$M:$M,$B77,DEALS!$N:$N,"&lt;&gt;*RECEIVED*",DEALS!$N:$N,"&lt;&gt;*EXECUTED*"))+SUM(SUMIFS(DEALS!$R:$R,DEALS!$A:$A,{"*REFUND*","*EXECUTED*"},DEALS!$O:$O,$B$58,DEALS!$E:$E,"&lt;"&amp;$C$60,DEALS!$S:$S,F$62,DEALS!$U:$U,$B77,DEALS!$V:$V,"&lt;&gt;*RECEIVED*",DEALS!$V:$V,"&lt;&gt;*EXECUTED*"))</f>
        <v>0</v>
      </c>
      <c r="G77" s="29" cm="1">
        <f t="array" ref="G77">SUMIFS(BALANCES!$C:$C,BALANCES!$A:$A,$B$58,BALANCES!$B:$B,$B77,BALANCES!$D:$D,G$62)+SUMIFS(FLOWS!$C:$C,FLOWS!$A:$A,$B$58,FLOWS!$E:$E,$B77,FLOWS!$D:$D,G$62,FLOWS!$H:$H,"&lt;"&amp;$C$60)+SUM(SUMIFS(DEALS!$J:$J,DEALS!$A:$A,{"*REFUND*","*EXECUTED*"},DEALS!$G:$G,$B$58,DEALS!$E:$E,"&lt;"&amp;$C$60,DEALS!$K:$K,G$62,DEALS!$M:$M,$B77,DEALS!$N:$N,"&lt;&gt;*RECEIVED*",DEALS!$N:$N,"&lt;&gt;*EXECUTED*"))+SUM(SUMIFS(DEALS!$R:$R,DEALS!$A:$A,{"*REFUND*","*EXECUTED*"},DEALS!$O:$O,$B$58,DEALS!$E:$E,"&lt;"&amp;$C$60,DEALS!$S:$S,G$62,DEALS!$U:$U,$B77,DEALS!$V:$V,"&lt;&gt;*RECEIVED*",DEALS!$V:$V,"&lt;&gt;*EXECUTED*"))</f>
        <v>0</v>
      </c>
      <c r="H77" s="29" cm="1">
        <f t="array" ref="H77">SUMIFS(BALANCES!$C:$C,BALANCES!$A:$A,$B$58,BALANCES!$B:$B,$B77,BALANCES!$D:$D,H$62)+SUMIFS(FLOWS!$C:$C,FLOWS!$A:$A,$B$58,FLOWS!$E:$E,$B77,FLOWS!$D:$D,H$62,FLOWS!$H:$H,"&lt;"&amp;$C$60)+SUM(SUMIFS(DEALS!$J:$J,DEALS!$A:$A,{"*REFUND*","*EXECUTED*"},DEALS!$G:$G,$B$58,DEALS!$E:$E,"&lt;"&amp;$C$60,DEALS!$K:$K,H$62,DEALS!$M:$M,$B77,DEALS!$N:$N,"&lt;&gt;*RECEIVED*",DEALS!$N:$N,"&lt;&gt;*EXECUTED*"))+SUM(SUMIFS(DEALS!$R:$R,DEALS!$A:$A,{"*REFUND*","*EXECUTED*"},DEALS!$O:$O,$B$58,DEALS!$E:$E,"&lt;"&amp;$C$60,DEALS!$S:$S,H$62,DEALS!$U:$U,$B77,DEALS!$V:$V,"&lt;&gt;*RECEIVED*",DEALS!$V:$V,"&lt;&gt;*EXECUTED*"))</f>
        <v>0</v>
      </c>
      <c r="I77" s="30">
        <f ca="1">C77*VLOOKUP(C$62,'FX RATES'!$E$1:$F$50,2,FALSE)+D77*VLOOKUP(D$62,'FX RATES'!$E$1:$F$50,2,FALSE)+E77*VLOOKUP(E$62,'FX RATES'!$E$1:$F$50,2,FALSE)+F77*VLOOKUP(F$62,'FX RATES'!$E$1:$F$50,2,FALSE)+G77*VLOOKUP(G$62,'FX RATES'!$E$1:$F$50,2,FALSE)+H77*VLOOKUP(H$62,'FX RATES'!$E$1:$F$50,2,FALSE)</f>
        <v>0</v>
      </c>
      <c r="K77" s="28">
        <f>B77</f>
        <v>0</v>
      </c>
      <c r="L77" s="29" cm="1">
        <f t="array" ref="L77">SUMIFS(FLOWS!$C:$C,FLOWS!$A:$A,$B$58,FLOWS!$E:$E,$K77,FLOWS!$D:$D,L$62,FLOWS!$H:$H,"&gt;="&amp;$C$60,FLOWS!$H:$H,"&lt;="&amp;$U$60)+SUM(SUMIFS(DEALS!$J:$J,DEALS!$A:$A,{"*REFUND*","*EXECUTED*"},DEALS!$G:$G,$B$58,DEALS!$E:$E,"&gt;="&amp;$C$60,DEALS!$E:$E,"&lt;="&amp;$U$60,DEALS!$K:$K,L$62,DEALS!$M:$M,$K77,DEALS!$N:$N,"&lt;&gt;*RECEIVED*",DEALS!$N:$N,"&lt;&gt;*EXECUTED*"))+SUM(SUMIFS(DEALS!$R:$R,DEALS!$A:$A,{"*REFUND*","*EXECUTED*"},DEALS!$O:$O,$B$58,DEALS!$E:$E,"&gt;="&amp;$C$60,DEALS!$E:$E,"&lt;="&amp;$U$60,DEALS!$S:$S,L$62,DEALS!$U:$U,$K77,DEALS!$V:$V,"&lt;&gt;*RECEIVED*",DEALS!$V:$V,"&lt;&gt;*EXECUTED*"))</f>
        <v>0</v>
      </c>
      <c r="M77" s="29" cm="1">
        <f t="array" ref="M77">SUMIFS(FLOWS!$C:$C,FLOWS!$A:$A,$B$58,FLOWS!$E:$E,$K77,FLOWS!$D:$D,M$62,FLOWS!$H:$H,"&gt;="&amp;$C$60,FLOWS!$H:$H,"&lt;="&amp;$U$60)+SUM(SUMIFS(DEALS!$J:$J,DEALS!$A:$A,{"*REFUND*","*EXECUTED*"},DEALS!$G:$G,$B$58,DEALS!$E:$E,"&gt;="&amp;$C$60,DEALS!$E:$E,"&lt;="&amp;$U$60,DEALS!$K:$K,M$62,DEALS!$M:$M,$K77,DEALS!$N:$N,"&lt;&gt;*RECEIVED*",DEALS!$N:$N,"&lt;&gt;*EXECUTED*"))+SUM(SUMIFS(DEALS!$R:$R,DEALS!$A:$A,{"*REFUND*","*EXECUTED*"},DEALS!$O:$O,$B$58,DEALS!$E:$E,"&gt;="&amp;$C$60,DEALS!$E:$E,"&lt;="&amp;$U$60,DEALS!$S:$S,M$62,DEALS!$U:$U,$K77,DEALS!$V:$V,"&lt;&gt;*RECEIVED*",DEALS!$V:$V,"&lt;&gt;*EXECUTED*"))</f>
        <v>0</v>
      </c>
      <c r="N77" s="29" cm="1">
        <f t="array" ref="N77">SUMIFS(FLOWS!$C:$C,FLOWS!$A:$A,$B$58,FLOWS!$E:$E,$K77,FLOWS!$D:$D,N$62,FLOWS!$H:$H,"&gt;="&amp;$C$60,FLOWS!$H:$H,"&lt;="&amp;$U$60)+SUM(SUMIFS(DEALS!$J:$J,DEALS!$A:$A,{"*REFUND*","*EXECUTED*"},DEALS!$G:$G,$B$58,DEALS!$E:$E,"&gt;="&amp;$C$60,DEALS!$E:$E,"&lt;="&amp;$U$60,DEALS!$K:$K,N$62,DEALS!$M:$M,$K77,DEALS!$N:$N,"&lt;&gt;*RECEIVED*",DEALS!$N:$N,"&lt;&gt;*EXECUTED*"))+SUM(SUMIFS(DEALS!$R:$R,DEALS!$A:$A,{"*REFUND*","*EXECUTED*"},DEALS!$O:$O,$B$58,DEALS!$E:$E,"&gt;="&amp;$C$60,DEALS!$E:$E,"&lt;="&amp;$U$60,DEALS!$S:$S,N$62,DEALS!$U:$U,$K77,DEALS!$V:$V,"&lt;&gt;*RECEIVED*",DEALS!$V:$V,"&lt;&gt;*EXECUTED*"))</f>
        <v>0</v>
      </c>
      <c r="O77" s="29" cm="1">
        <f t="array" ref="O77">SUMIFS(FLOWS!$C:$C,FLOWS!$A:$A,$B$58,FLOWS!$E:$E,$K77,FLOWS!$D:$D,O$62,FLOWS!$H:$H,"&gt;="&amp;$C$60,FLOWS!$H:$H,"&lt;="&amp;$U$60)+SUM(SUMIFS(DEALS!$J:$J,DEALS!$A:$A,{"*REFUND*","*EXECUTED*"},DEALS!$G:$G,$B$58,DEALS!$E:$E,"&gt;="&amp;$C$60,DEALS!$E:$E,"&lt;="&amp;$U$60,DEALS!$K:$K,O$62,DEALS!$M:$M,$K77,DEALS!$N:$N,"&lt;&gt;*RECEIVED*",DEALS!$N:$N,"&lt;&gt;*EXECUTED*"))+SUM(SUMIFS(DEALS!$R:$R,DEALS!$A:$A,{"*REFUND*","*EXECUTED*"},DEALS!$O:$O,$B$58,DEALS!$E:$E,"&gt;="&amp;$C$60,DEALS!$E:$E,"&lt;="&amp;$U$60,DEALS!$S:$S,O$62,DEALS!$U:$U,$K77,DEALS!$V:$V,"&lt;&gt;*RECEIVED*",DEALS!$V:$V,"&lt;&gt;*EXECUTED*"))</f>
        <v>0</v>
      </c>
      <c r="P77" s="29" cm="1">
        <f t="array" ref="P77">SUMIFS(FLOWS!$C:$C,FLOWS!$A:$A,$B$58,FLOWS!$E:$E,$K77,FLOWS!$D:$D,P$62,FLOWS!$H:$H,"&gt;="&amp;$C$60,FLOWS!$H:$H,"&lt;="&amp;$U$60)+SUM(SUMIFS(DEALS!$J:$J,DEALS!$A:$A,{"*REFUND*","*EXECUTED*"},DEALS!$G:$G,$B$58,DEALS!$E:$E,"&gt;="&amp;$C$60,DEALS!$E:$E,"&lt;="&amp;$U$60,DEALS!$K:$K,P$62,DEALS!$M:$M,$K77,DEALS!$N:$N,"&lt;&gt;*RECEIVED*",DEALS!$N:$N,"&lt;&gt;*EXECUTED*"))+SUM(SUMIFS(DEALS!$R:$R,DEALS!$A:$A,{"*REFUND*","*EXECUTED*"},DEALS!$O:$O,$B$58,DEALS!$E:$E,"&gt;="&amp;$C$60,DEALS!$E:$E,"&lt;="&amp;$U$60,DEALS!$S:$S,P$62,DEALS!$U:$U,$K77,DEALS!$V:$V,"&lt;&gt;*RECEIVED*",DEALS!$V:$V,"&lt;&gt;*EXECUTED*"))</f>
        <v>0</v>
      </c>
      <c r="Q77" s="29" cm="1">
        <f t="array" ref="Q77">SUMIFS(FLOWS!$C:$C,FLOWS!$A:$A,$B$58,FLOWS!$E:$E,$K77,FLOWS!$D:$D,Q$62,FLOWS!$H:$H,"&gt;="&amp;$C$60,FLOWS!$H:$H,"&lt;="&amp;$U$60)+SUM(SUMIFS(DEALS!$J:$J,DEALS!$A:$A,{"*REFUND*","*EXECUTED*"},DEALS!$G:$G,$B$58,DEALS!$E:$E,"&gt;="&amp;$C$60,DEALS!$E:$E,"&lt;="&amp;$U$60,DEALS!$K:$K,Q$62,DEALS!$M:$M,$K77,DEALS!$N:$N,"&lt;&gt;*RECEIVED*",DEALS!$N:$N,"&lt;&gt;*EXECUTED*"))+SUM(SUMIFS(DEALS!$R:$R,DEALS!$A:$A,{"*REFUND*","*EXECUTED*"},DEALS!$O:$O,$B$58,DEALS!$E:$E,"&gt;="&amp;$C$60,DEALS!$E:$E,"&lt;="&amp;$U$60,DEALS!$S:$S,Q$62,DEALS!$U:$U,$K77,DEALS!$V:$V,"&lt;&gt;*RECEIVED*",DEALS!$V:$V,"&lt;&gt;*EXECUTED*"))</f>
        <v>0</v>
      </c>
      <c r="R77" s="30">
        <f ca="1">L77*VLOOKUP(L$62,'FX RATES'!$E$1:$F$50,2,FALSE)+M77*VLOOKUP(M$62,'FX RATES'!$E$1:$F$50,2,FALSE)+N77*VLOOKUP(N$62,'FX RATES'!$E$1:$F$50,2,FALSE)+O77*VLOOKUP(O$62,'FX RATES'!$E$1:$F$50,2,FALSE)+P77*VLOOKUP(P$62,'FX RATES'!$E$1:$F$50,2,FALSE)+Q77*VLOOKUP(Q$62,'FX RATES'!$E$1:$F$50,2,FALSE)</f>
        <v>0</v>
      </c>
      <c r="T77" s="28">
        <f>B77</f>
        <v>0</v>
      </c>
      <c r="U77" s="29" cm="1">
        <f t="array" ref="U77">SUMIFS(BALANCES!$C:$C,BALANCES!$A:$A,$B$58,BALANCES!$B:$B,$T77,BALANCES!$D:$D,U$62)+SUMIFS(FLOWS!$C:$C,FLOWS!$A:$A,$B$58,FLOWS!$E:$E,$T77,FLOWS!$D:$D,U$62,FLOWS!$H:$H,"&lt;="&amp;$U$60)+SUM(SUMIFS(DEALS!$J:$J,DEALS!$A:$A,{"*REFUND*","*EXECUTED*"},DEALS!$G:$G,$B$58,DEALS!$E:$E,"&lt;="&amp;$U$60,DEALS!$K:$K,U$62,DEALS!$M:$M,$T77,DEALS!$N:$N,"&lt;&gt;*RECEIVED*",DEALS!$N:$N,"&lt;&gt;*EXECUTED*"))+SUM(SUMIFS(DEALS!$R:$R,DEALS!$A:$A,{"*REFUND*","*EXECUTED*"},DEALS!$O:$O,$B$58,DEALS!$E:$E,"&lt;="&amp;$U$60,DEALS!$S:$S,U$62,DEALS!$U:$U,$T77,DEALS!$V:$V,"&lt;&gt;*RECEIVED*",DEALS!$V:$V,"&lt;&gt;*EXECUTED*"))</f>
        <v>0</v>
      </c>
      <c r="V77" s="29" cm="1">
        <f t="array" ref="V77">SUMIFS(BALANCES!$C:$C,BALANCES!$A:$A,$B$58,BALANCES!$B:$B,$T77,BALANCES!$D:$D,V$62)+SUMIFS(FLOWS!$C:$C,FLOWS!$A:$A,$B$58,FLOWS!$E:$E,$T77,FLOWS!$D:$D,V$62,FLOWS!$H:$H,"&lt;="&amp;$U$60)+SUM(SUMIFS(DEALS!$J:$J,DEALS!$A:$A,{"*REFUND*","*EXECUTED*"},DEALS!$G:$G,$B$58,DEALS!$E:$E,"&lt;="&amp;$U$60,DEALS!$K:$K,V$62,DEALS!$M:$M,$T77,DEALS!$N:$N,"&lt;&gt;*RECEIVED*",DEALS!$N:$N,"&lt;&gt;*EXECUTED*"))+SUM(SUMIFS(DEALS!$R:$R,DEALS!$A:$A,{"*REFUND*","*EXECUTED*"},DEALS!$O:$O,$B$58,DEALS!$E:$E,"&lt;="&amp;$U$60,DEALS!$S:$S,V$62,DEALS!$U:$U,$T77,DEALS!$V:$V,"&lt;&gt;*RECEIVED*",DEALS!$V:$V,"&lt;&gt;*EXECUTED*"))</f>
        <v>0</v>
      </c>
      <c r="W77" s="29" cm="1">
        <f t="array" ref="W77">SUMIFS(BALANCES!$C:$C,BALANCES!$A:$A,$B$58,BALANCES!$B:$B,$T77,BALANCES!$D:$D,W$62)+SUMIFS(FLOWS!$C:$C,FLOWS!$A:$A,$B$58,FLOWS!$E:$E,$T77,FLOWS!$D:$D,W$62,FLOWS!$H:$H,"&lt;="&amp;$U$60)+SUM(SUMIFS(DEALS!$J:$J,DEALS!$A:$A,{"*REFUND*","*EXECUTED*"},DEALS!$G:$G,$B$58,DEALS!$E:$E,"&lt;="&amp;$U$60,DEALS!$K:$K,W$62,DEALS!$M:$M,$T77,DEALS!$N:$N,"&lt;&gt;*RECEIVED*",DEALS!$N:$N,"&lt;&gt;*EXECUTED*"))+SUM(SUMIFS(DEALS!$R:$R,DEALS!$A:$A,{"*REFUND*","*EXECUTED*"},DEALS!$O:$O,$B$58,DEALS!$E:$E,"&lt;="&amp;$U$60,DEALS!$S:$S,W$62,DEALS!$U:$U,$T77,DEALS!$V:$V,"&lt;&gt;*RECEIVED*",DEALS!$V:$V,"&lt;&gt;*EXECUTED*"))</f>
        <v>0</v>
      </c>
      <c r="X77" s="29" cm="1">
        <f t="array" ref="X77">SUMIFS(BALANCES!$C:$C,BALANCES!$A:$A,$B$58,BALANCES!$B:$B,$T77,BALANCES!$D:$D,X$62)+SUMIFS(FLOWS!$C:$C,FLOWS!$A:$A,$B$58,FLOWS!$E:$E,$T77,FLOWS!$D:$D,X$62,FLOWS!$H:$H,"&lt;="&amp;$U$60)+SUM(SUMIFS(DEALS!$J:$J,DEALS!$A:$A,{"*REFUND*","*EXECUTED*"},DEALS!$G:$G,$B$58,DEALS!$E:$E,"&lt;="&amp;$U$60,DEALS!$K:$K,X$62,DEALS!$M:$M,$T77,DEALS!$N:$N,"&lt;&gt;*RECEIVED*",DEALS!$N:$N,"&lt;&gt;*EXECUTED*"))+SUM(SUMIFS(DEALS!$R:$R,DEALS!$A:$A,{"*REFUND*","*EXECUTED*"},DEALS!$O:$O,$B$58,DEALS!$E:$E,"&lt;="&amp;$U$60,DEALS!$S:$S,X$62,DEALS!$U:$U,$T77,DEALS!$V:$V,"&lt;&gt;*RECEIVED*",DEALS!$V:$V,"&lt;&gt;*EXECUTED*"))</f>
        <v>0</v>
      </c>
      <c r="Y77" s="29" cm="1">
        <f t="array" ref="Y77">SUMIFS(BALANCES!$C:$C,BALANCES!$A:$A,$B$58,BALANCES!$B:$B,$T77,BALANCES!$D:$D,Y$62)+SUMIFS(FLOWS!$C:$C,FLOWS!$A:$A,$B$58,FLOWS!$E:$E,$T77,FLOWS!$D:$D,Y$62,FLOWS!$H:$H,"&lt;="&amp;$U$60)+SUM(SUMIFS(DEALS!$J:$J,DEALS!$A:$A,{"*REFUND*","*EXECUTED*"},DEALS!$G:$G,$B$58,DEALS!$E:$E,"&lt;="&amp;$U$60,DEALS!$K:$K,Y$62,DEALS!$M:$M,$T77,DEALS!$N:$N,"&lt;&gt;*RECEIVED*",DEALS!$N:$N,"&lt;&gt;*EXECUTED*"))+SUM(SUMIFS(DEALS!$R:$R,DEALS!$A:$A,{"*REFUND*","*EXECUTED*"},DEALS!$O:$O,$B$58,DEALS!$E:$E,"&lt;="&amp;$U$60,DEALS!$S:$S,Y$62,DEALS!$U:$U,$T77,DEALS!$V:$V,"&lt;&gt;*RECEIVED*",DEALS!$V:$V,"&lt;&gt;*EXECUTED*"))</f>
        <v>0</v>
      </c>
      <c r="Z77" s="29" cm="1">
        <f t="array" ref="Z77">SUMIFS(BALANCES!$C:$C,BALANCES!$A:$A,$B$58,BALANCES!$B:$B,$T77,BALANCES!$D:$D,Z$62)+SUMIFS(FLOWS!$C:$C,FLOWS!$A:$A,$B$58,FLOWS!$E:$E,$T77,FLOWS!$D:$D,Z$62,FLOWS!$H:$H,"&lt;="&amp;$U$60)+SUM(SUMIFS(DEALS!$J:$J,DEALS!$A:$A,{"*REFUND*","*EXECUTED*"},DEALS!$G:$G,$B$58,DEALS!$E:$E,"&lt;="&amp;$U$60,DEALS!$K:$K,Z$62,DEALS!$M:$M,$T77,DEALS!$N:$N,"&lt;&gt;*RECEIVED*",DEALS!$N:$N,"&lt;&gt;*EXECUTED*"))+SUM(SUMIFS(DEALS!$R:$R,DEALS!$A:$A,{"*REFUND*","*EXECUTED*"},DEALS!$O:$O,$B$58,DEALS!$E:$E,"&lt;="&amp;$U$60,DEALS!$S:$S,Z$62,DEALS!$U:$U,$T77,DEALS!$V:$V,"&lt;&gt;*RECEIVED*",DEALS!$V:$V,"&lt;&gt;*EXECUTED*"))</f>
        <v>0</v>
      </c>
      <c r="AA77" s="30">
        <f ca="1">U77*VLOOKUP(U$62,'FX RATES'!$E$1:$F$50,2,FALSE)+V77*VLOOKUP(V$62,'FX RATES'!$E$1:$F$50,2,FALSE)+W77*VLOOKUP(W$62,'FX RATES'!$E$1:$F$50,2,FALSE)+X77*VLOOKUP(X$62,'FX RATES'!$E$1:$F$50,2,FALSE)+Y77*VLOOKUP(Y$62,'FX RATES'!$E$1:$F$50,2,FALSE)+Z77*VLOOKUP(Z$62,'FX RATES'!$E$1:$F$50,2,FALSE)</f>
        <v>0</v>
      </c>
      <c r="AC77" s="139">
        <f ca="1">I77+R77-AA77</f>
        <v>0</v>
      </c>
    </row>
    <row r="78" spans="2:29" ht="19" hidden="1">
      <c r="B78" s="31"/>
      <c r="C78" s="32" cm="1">
        <f t="array" ref="C78">SUMIFS(BALANCES!$C:$C,BALANCES!$A:$A,$B$58,BALANCES!$B:$B,$B78,BALANCES!$D:$D,C$62)+SUMIFS(FLOWS!$C:$C,FLOWS!$A:$A,$B$58,FLOWS!$E:$E,$B78,FLOWS!$D:$D,C$62,FLOWS!$H:$H,"&lt;"&amp;$C$60)+SUM(SUMIFS(DEALS!$J:$J,DEALS!$A:$A,{"*REFUND*","*EXECUTED*"},DEALS!$G:$G,$B$58,DEALS!$E:$E,"&lt;"&amp;$C$60,DEALS!$K:$K,C$62,DEALS!$M:$M,$B78,DEALS!$N:$N,"&lt;&gt;*RECEIVED*",DEALS!$N:$N,"&lt;&gt;*EXECUTED*"))+SUM(SUMIFS(DEALS!$R:$R,DEALS!$A:$A,{"*REFUND*","*EXECUTED*"},DEALS!$O:$O,$B$58,DEALS!$E:$E,"&lt;"&amp;$C$60,DEALS!$S:$S,C$62,DEALS!$U:$U,$B78,DEALS!$V:$V,"&lt;&gt;*RECEIVED*",DEALS!$V:$V,"&lt;&gt;*EXECUTED*"))</f>
        <v>0</v>
      </c>
      <c r="D78" s="32" cm="1">
        <f t="array" ref="D78">SUMIFS(BALANCES!$C:$C,BALANCES!$A:$A,$B$58,BALANCES!$B:$B,$B78,BALANCES!$D:$D,D$62)+SUMIFS(FLOWS!$C:$C,FLOWS!$A:$A,$B$58,FLOWS!$E:$E,$B78,FLOWS!$D:$D,D$62,FLOWS!$H:$H,"&lt;"&amp;$C$60)+SUM(SUMIFS(DEALS!$J:$J,DEALS!$A:$A,{"*REFUND*","*EXECUTED*"},DEALS!$G:$G,$B$58,DEALS!$E:$E,"&lt;"&amp;$C$60,DEALS!$K:$K,D$62,DEALS!$M:$M,$B78,DEALS!$N:$N,"&lt;&gt;*RECEIVED*",DEALS!$N:$N,"&lt;&gt;*EXECUTED*"))+SUM(SUMIFS(DEALS!$R:$R,DEALS!$A:$A,{"*REFUND*","*EXECUTED*"},DEALS!$O:$O,$B$58,DEALS!$E:$E,"&lt;"&amp;$C$60,DEALS!$S:$S,D$62,DEALS!$U:$U,$B78,DEALS!$V:$V,"&lt;&gt;*RECEIVED*",DEALS!$V:$V,"&lt;&gt;*EXECUTED*"))</f>
        <v>0</v>
      </c>
      <c r="E78" s="32" cm="1">
        <f t="array" ref="E78">SUMIFS(BALANCES!$C:$C,BALANCES!$A:$A,$B$58,BALANCES!$B:$B,$B78,BALANCES!$D:$D,E$62)+SUMIFS(FLOWS!$C:$C,FLOWS!$A:$A,$B$58,FLOWS!$E:$E,$B78,FLOWS!$D:$D,E$62,FLOWS!$H:$H,"&lt;"&amp;$C$60)+SUM(SUMIFS(DEALS!$J:$J,DEALS!$A:$A,{"*REFUND*","*EXECUTED*"},DEALS!$G:$G,$B$58,DEALS!$E:$E,"&lt;"&amp;$C$60,DEALS!$K:$K,E$62,DEALS!$M:$M,$B78,DEALS!$N:$N,"&lt;&gt;*RECEIVED*",DEALS!$N:$N,"&lt;&gt;*EXECUTED*"))+SUM(SUMIFS(DEALS!$R:$R,DEALS!$A:$A,{"*REFUND*","*EXECUTED*"},DEALS!$O:$O,$B$58,DEALS!$E:$E,"&lt;"&amp;$C$60,DEALS!$S:$S,E$62,DEALS!$U:$U,$B78,DEALS!$V:$V,"&lt;&gt;*RECEIVED*",DEALS!$V:$V,"&lt;&gt;*EXECUTED*"))</f>
        <v>0</v>
      </c>
      <c r="F78" s="32" cm="1">
        <f t="array" ref="F78">SUMIFS(BALANCES!$C:$C,BALANCES!$A:$A,$B$58,BALANCES!$B:$B,$B78,BALANCES!$D:$D,F$62)+SUMIFS(FLOWS!$C:$C,FLOWS!$A:$A,$B$58,FLOWS!$E:$E,$B78,FLOWS!$D:$D,F$62,FLOWS!$H:$H,"&lt;"&amp;$C$60)+SUM(SUMIFS(DEALS!$J:$J,DEALS!$A:$A,{"*REFUND*","*EXECUTED*"},DEALS!$G:$G,$B$58,DEALS!$E:$E,"&lt;"&amp;$C$60,DEALS!$K:$K,F$62,DEALS!$M:$M,$B78,DEALS!$N:$N,"&lt;&gt;*RECEIVED*",DEALS!$N:$N,"&lt;&gt;*EXECUTED*"))+SUM(SUMIFS(DEALS!$R:$R,DEALS!$A:$A,{"*REFUND*","*EXECUTED*"},DEALS!$O:$O,$B$58,DEALS!$E:$E,"&lt;"&amp;$C$60,DEALS!$S:$S,F$62,DEALS!$U:$U,$B78,DEALS!$V:$V,"&lt;&gt;*RECEIVED*",DEALS!$V:$V,"&lt;&gt;*EXECUTED*"))</f>
        <v>0</v>
      </c>
      <c r="G78" s="32" cm="1">
        <f t="array" ref="G78">SUMIFS(BALANCES!$C:$C,BALANCES!$A:$A,$B$58,BALANCES!$B:$B,$B78,BALANCES!$D:$D,G$62)+SUMIFS(FLOWS!$C:$C,FLOWS!$A:$A,$B$58,FLOWS!$E:$E,$B78,FLOWS!$D:$D,G$62,FLOWS!$H:$H,"&lt;"&amp;$C$60)+SUM(SUMIFS(DEALS!$J:$J,DEALS!$A:$A,{"*REFUND*","*EXECUTED*"},DEALS!$G:$G,$B$58,DEALS!$E:$E,"&lt;"&amp;$C$60,DEALS!$K:$K,G$62,DEALS!$M:$M,$B78,DEALS!$N:$N,"&lt;&gt;*RECEIVED*",DEALS!$N:$N,"&lt;&gt;*EXECUTED*"))+SUM(SUMIFS(DEALS!$R:$R,DEALS!$A:$A,{"*REFUND*","*EXECUTED*"},DEALS!$O:$O,$B$58,DEALS!$E:$E,"&lt;"&amp;$C$60,DEALS!$S:$S,G$62,DEALS!$U:$U,$B78,DEALS!$V:$V,"&lt;&gt;*RECEIVED*",DEALS!$V:$V,"&lt;&gt;*EXECUTED*"))</f>
        <v>0</v>
      </c>
      <c r="H78" s="32" cm="1">
        <f t="array" ref="H78">SUMIFS(BALANCES!$C:$C,BALANCES!$A:$A,$B$58,BALANCES!$B:$B,$B78,BALANCES!$D:$D,H$62)+SUMIFS(FLOWS!$C:$C,FLOWS!$A:$A,$B$58,FLOWS!$E:$E,$B78,FLOWS!$D:$D,H$62,FLOWS!$H:$H,"&lt;"&amp;$C$60)+SUM(SUMIFS(DEALS!$J:$J,DEALS!$A:$A,{"*REFUND*","*EXECUTED*"},DEALS!$G:$G,$B$58,DEALS!$E:$E,"&lt;"&amp;$C$60,DEALS!$K:$K,H$62,DEALS!$M:$M,$B78,DEALS!$N:$N,"&lt;&gt;*RECEIVED*",DEALS!$N:$N,"&lt;&gt;*EXECUTED*"))+SUM(SUMIFS(DEALS!$R:$R,DEALS!$A:$A,{"*REFUND*","*EXECUTED*"},DEALS!$O:$O,$B$58,DEALS!$E:$E,"&lt;"&amp;$C$60,DEALS!$S:$S,H$62,DEALS!$U:$U,$B78,DEALS!$V:$V,"&lt;&gt;*RECEIVED*",DEALS!$V:$V,"&lt;&gt;*EXECUTED*"))</f>
        <v>0</v>
      </c>
      <c r="I78" s="33">
        <f ca="1">C78*VLOOKUP(C$62,'FX RATES'!$E$1:$F$50,2,FALSE)+D78*VLOOKUP(D$62,'FX RATES'!$E$1:$F$50,2,FALSE)+E78*VLOOKUP(E$62,'FX RATES'!$E$1:$F$50,2,FALSE)+F78*VLOOKUP(F$62,'FX RATES'!$E$1:$F$50,2,FALSE)+G78*VLOOKUP(G$62,'FX RATES'!$E$1:$F$50,2,FALSE)+H78*VLOOKUP(H$62,'FX RATES'!$E$1:$F$50,2,FALSE)</f>
        <v>0</v>
      </c>
      <c r="J78" s="18"/>
      <c r="K78" s="31">
        <f t="shared" si="24"/>
        <v>0</v>
      </c>
      <c r="L78" s="32" cm="1">
        <f t="array" ref="L78">SUMIFS(FLOWS!$C:$C,FLOWS!$A:$A,$B$58,FLOWS!$E:$E,$K78,FLOWS!$D:$D,L$62,FLOWS!$H:$H,"&gt;="&amp;$C$60,FLOWS!$H:$H,"&lt;="&amp;$U$60)+SUM(SUMIFS(DEALS!$J:$J,DEALS!$A:$A,{"*REFUND*","*EXECUTED*"},DEALS!$G:$G,$B$58,DEALS!$E:$E,"&gt;="&amp;$C$60,DEALS!$E:$E,"&lt;="&amp;$U$60,DEALS!$K:$K,L$62,DEALS!$M:$M,$K78,DEALS!$N:$N,"&lt;&gt;*RECEIVED*",DEALS!$N:$N,"&lt;&gt;*EXECUTED*"))+SUM(SUMIFS(DEALS!$R:$R,DEALS!$A:$A,{"*REFUND*","*EXECUTED*"},DEALS!$O:$O,$B$58,DEALS!$E:$E,"&gt;="&amp;$C$60,DEALS!$E:$E,"&lt;="&amp;$U$60,DEALS!$S:$S,L$62,DEALS!$U:$U,$K78,DEALS!$V:$V,"&lt;&gt;*RECEIVED*",DEALS!$V:$V,"&lt;&gt;*EXECUTED*"))</f>
        <v>0</v>
      </c>
      <c r="M78" s="32" cm="1">
        <f t="array" ref="M78">SUMIFS(FLOWS!$C:$C,FLOWS!$A:$A,$B$58,FLOWS!$E:$E,$K78,FLOWS!$D:$D,M$62,FLOWS!$H:$H,"&gt;="&amp;$C$60,FLOWS!$H:$H,"&lt;="&amp;$U$60)+SUM(SUMIFS(DEALS!$J:$J,DEALS!$A:$A,{"*REFUND*","*EXECUTED*"},DEALS!$G:$G,$B$58,DEALS!$E:$E,"&gt;="&amp;$C$60,DEALS!$E:$E,"&lt;="&amp;$U$60,DEALS!$K:$K,M$62,DEALS!$M:$M,$K78,DEALS!$N:$N,"&lt;&gt;*RECEIVED*",DEALS!$N:$N,"&lt;&gt;*EXECUTED*"))+SUM(SUMIFS(DEALS!$R:$R,DEALS!$A:$A,{"*REFUND*","*EXECUTED*"},DEALS!$O:$O,$B$58,DEALS!$E:$E,"&gt;="&amp;$C$60,DEALS!$E:$E,"&lt;="&amp;$U$60,DEALS!$S:$S,M$62,DEALS!$U:$U,$K78,DEALS!$V:$V,"&lt;&gt;*RECEIVED*",DEALS!$V:$V,"&lt;&gt;*EXECUTED*"))</f>
        <v>0</v>
      </c>
      <c r="N78" s="32" cm="1">
        <f t="array" ref="N78">SUMIFS(FLOWS!$C:$C,FLOWS!$A:$A,$B$58,FLOWS!$E:$E,$K78,FLOWS!$D:$D,N$62,FLOWS!$H:$H,"&gt;="&amp;$C$60,FLOWS!$H:$H,"&lt;="&amp;$U$60)+SUM(SUMIFS(DEALS!$J:$J,DEALS!$A:$A,{"*REFUND*","*EXECUTED*"},DEALS!$G:$G,$B$58,DEALS!$E:$E,"&gt;="&amp;$C$60,DEALS!$E:$E,"&lt;="&amp;$U$60,DEALS!$K:$K,N$62,DEALS!$M:$M,$K78,DEALS!$N:$N,"&lt;&gt;*RECEIVED*",DEALS!$N:$N,"&lt;&gt;*EXECUTED*"))+SUM(SUMIFS(DEALS!$R:$R,DEALS!$A:$A,{"*REFUND*","*EXECUTED*"},DEALS!$O:$O,$B$58,DEALS!$E:$E,"&gt;="&amp;$C$60,DEALS!$E:$E,"&lt;="&amp;$U$60,DEALS!$S:$S,N$62,DEALS!$U:$U,$K78,DEALS!$V:$V,"&lt;&gt;*RECEIVED*",DEALS!$V:$V,"&lt;&gt;*EXECUTED*"))</f>
        <v>0</v>
      </c>
      <c r="O78" s="32" cm="1">
        <f t="array" ref="O78">SUMIFS(FLOWS!$C:$C,FLOWS!$A:$A,$B$58,FLOWS!$E:$E,$K78,FLOWS!$D:$D,O$62,FLOWS!$H:$H,"&gt;="&amp;$C$60,FLOWS!$H:$H,"&lt;="&amp;$U$60)+SUM(SUMIFS(DEALS!$J:$J,DEALS!$A:$A,{"*REFUND*","*EXECUTED*"},DEALS!$G:$G,$B$58,DEALS!$E:$E,"&gt;="&amp;$C$60,DEALS!$E:$E,"&lt;="&amp;$U$60,DEALS!$K:$K,O$62,DEALS!$M:$M,$K78,DEALS!$N:$N,"&lt;&gt;*RECEIVED*",DEALS!$N:$N,"&lt;&gt;*EXECUTED*"))+SUM(SUMIFS(DEALS!$R:$R,DEALS!$A:$A,{"*REFUND*","*EXECUTED*"},DEALS!$O:$O,$B$58,DEALS!$E:$E,"&gt;="&amp;$C$60,DEALS!$E:$E,"&lt;="&amp;$U$60,DEALS!$S:$S,O$62,DEALS!$U:$U,$K78,DEALS!$V:$V,"&lt;&gt;*RECEIVED*",DEALS!$V:$V,"&lt;&gt;*EXECUTED*"))</f>
        <v>0</v>
      </c>
      <c r="P78" s="32" cm="1">
        <f t="array" ref="P78">SUMIFS(FLOWS!$C:$C,FLOWS!$A:$A,$B$58,FLOWS!$E:$E,$K78,FLOWS!$D:$D,P$62,FLOWS!$H:$H,"&gt;="&amp;$C$60,FLOWS!$H:$H,"&lt;="&amp;$U$60)+SUM(SUMIFS(DEALS!$J:$J,DEALS!$A:$A,{"*REFUND*","*EXECUTED*"},DEALS!$G:$G,$B$58,DEALS!$E:$E,"&gt;="&amp;$C$60,DEALS!$E:$E,"&lt;="&amp;$U$60,DEALS!$K:$K,P$62,DEALS!$M:$M,$K78,DEALS!$N:$N,"&lt;&gt;*RECEIVED*",DEALS!$N:$N,"&lt;&gt;*EXECUTED*"))+SUM(SUMIFS(DEALS!$R:$R,DEALS!$A:$A,{"*REFUND*","*EXECUTED*"},DEALS!$O:$O,$B$58,DEALS!$E:$E,"&gt;="&amp;$C$60,DEALS!$E:$E,"&lt;="&amp;$U$60,DEALS!$S:$S,P$62,DEALS!$U:$U,$K78,DEALS!$V:$V,"&lt;&gt;*RECEIVED*",DEALS!$V:$V,"&lt;&gt;*EXECUTED*"))</f>
        <v>0</v>
      </c>
      <c r="Q78" s="32" cm="1">
        <f t="array" ref="Q78">SUMIFS(FLOWS!$C:$C,FLOWS!$A:$A,$B$58,FLOWS!$E:$E,$K78,FLOWS!$D:$D,Q$62,FLOWS!$H:$H,"&gt;="&amp;$C$60,FLOWS!$H:$H,"&lt;="&amp;$U$60)+SUM(SUMIFS(DEALS!$J:$J,DEALS!$A:$A,{"*REFUND*","*EXECUTED*"},DEALS!$G:$G,$B$58,DEALS!$E:$E,"&gt;="&amp;$C$60,DEALS!$E:$E,"&lt;="&amp;$U$60,DEALS!$K:$K,Q$62,DEALS!$M:$M,$K78,DEALS!$N:$N,"&lt;&gt;*RECEIVED*",DEALS!$N:$N,"&lt;&gt;*EXECUTED*"))+SUM(SUMIFS(DEALS!$R:$R,DEALS!$A:$A,{"*REFUND*","*EXECUTED*"},DEALS!$O:$O,$B$58,DEALS!$E:$E,"&gt;="&amp;$C$60,DEALS!$E:$E,"&lt;="&amp;$U$60,DEALS!$S:$S,Q$62,DEALS!$U:$U,$K78,DEALS!$V:$V,"&lt;&gt;*RECEIVED*",DEALS!$V:$V,"&lt;&gt;*EXECUTED*"))</f>
        <v>0</v>
      </c>
      <c r="R78" s="33">
        <f ca="1">L78*VLOOKUP(L$62,'FX RATES'!$E$1:$F$50,2,FALSE)+M78*VLOOKUP(M$62,'FX RATES'!$E$1:$F$50,2,FALSE)+N78*VLOOKUP(N$62,'FX RATES'!$E$1:$F$50,2,FALSE)+O78*VLOOKUP(O$62,'FX RATES'!$E$1:$F$50,2,FALSE)+P78*VLOOKUP(P$62,'FX RATES'!$E$1:$F$50,2,FALSE)+Q78*VLOOKUP(Q$62,'FX RATES'!$E$1:$F$50,2,FALSE)</f>
        <v>0</v>
      </c>
      <c r="T78" s="31">
        <f t="shared" si="25"/>
        <v>0</v>
      </c>
      <c r="U78" s="32" cm="1">
        <f t="array" ref="U78">SUMIFS(BALANCES!$C:$C,BALANCES!$A:$A,$B$58,BALANCES!$B:$B,$T78,BALANCES!$D:$D,U$62)+SUMIFS(FLOWS!$C:$C,FLOWS!$A:$A,$B$58,FLOWS!$E:$E,$T78,FLOWS!$D:$D,U$62,FLOWS!$H:$H,"&lt;="&amp;$U$60)+SUM(SUMIFS(DEALS!$J:$J,DEALS!$A:$A,{"*REFUND*","*EXECUTED*"},DEALS!$G:$G,$B$58,DEALS!$E:$E,"&lt;="&amp;$U$60,DEALS!$K:$K,U$62,DEALS!$M:$M,$T78,DEALS!$N:$N,"&lt;&gt;*RECEIVED*",DEALS!$N:$N,"&lt;&gt;*EXECUTED*"))+SUM(SUMIFS(DEALS!$R:$R,DEALS!$A:$A,{"*REFUND*","*EXECUTED*"},DEALS!$O:$O,$B$58,DEALS!$E:$E,"&lt;="&amp;$U$60,DEALS!$S:$S,U$62,DEALS!$U:$U,$T78,DEALS!$V:$V,"&lt;&gt;*RECEIVED*",DEALS!$V:$V,"&lt;&gt;*EXECUTED*"))</f>
        <v>0</v>
      </c>
      <c r="V78" s="32" cm="1">
        <f t="array" ref="V78">SUMIFS(BALANCES!$C:$C,BALANCES!$A:$A,$B$58,BALANCES!$B:$B,$T78,BALANCES!$D:$D,V$62)+SUMIFS(FLOWS!$C:$C,FLOWS!$A:$A,$B$58,FLOWS!$E:$E,$T78,FLOWS!$D:$D,V$62,FLOWS!$H:$H,"&lt;="&amp;$U$60)+SUM(SUMIFS(DEALS!$J:$J,DEALS!$A:$A,{"*REFUND*","*EXECUTED*"},DEALS!$G:$G,$B$58,DEALS!$E:$E,"&lt;="&amp;$U$60,DEALS!$K:$K,V$62,DEALS!$M:$M,$T78,DEALS!$N:$N,"&lt;&gt;*RECEIVED*",DEALS!$N:$N,"&lt;&gt;*EXECUTED*"))+SUM(SUMIFS(DEALS!$R:$R,DEALS!$A:$A,{"*REFUND*","*EXECUTED*"},DEALS!$O:$O,$B$58,DEALS!$E:$E,"&lt;="&amp;$U$60,DEALS!$S:$S,V$62,DEALS!$U:$U,$T78,DEALS!$V:$V,"&lt;&gt;*RECEIVED*",DEALS!$V:$V,"&lt;&gt;*EXECUTED*"))</f>
        <v>0</v>
      </c>
      <c r="W78" s="32" cm="1">
        <f t="array" ref="W78">SUMIFS(BALANCES!$C:$C,BALANCES!$A:$A,$B$58,BALANCES!$B:$B,$T78,BALANCES!$D:$D,W$62)+SUMIFS(FLOWS!$C:$C,FLOWS!$A:$A,$B$58,FLOWS!$E:$E,$T78,FLOWS!$D:$D,W$62,FLOWS!$H:$H,"&lt;="&amp;$U$60)+SUM(SUMIFS(DEALS!$J:$J,DEALS!$A:$A,{"*REFUND*","*EXECUTED*"},DEALS!$G:$G,$B$58,DEALS!$E:$E,"&lt;="&amp;$U$60,DEALS!$K:$K,W$62,DEALS!$M:$M,$T78,DEALS!$N:$N,"&lt;&gt;*RECEIVED*",DEALS!$N:$N,"&lt;&gt;*EXECUTED*"))+SUM(SUMIFS(DEALS!$R:$R,DEALS!$A:$A,{"*REFUND*","*EXECUTED*"},DEALS!$O:$O,$B$58,DEALS!$E:$E,"&lt;="&amp;$U$60,DEALS!$S:$S,W$62,DEALS!$U:$U,$T78,DEALS!$V:$V,"&lt;&gt;*RECEIVED*",DEALS!$V:$V,"&lt;&gt;*EXECUTED*"))</f>
        <v>0</v>
      </c>
      <c r="X78" s="32" cm="1">
        <f t="array" ref="X78">SUMIFS(BALANCES!$C:$C,BALANCES!$A:$A,$B$58,BALANCES!$B:$B,$T78,BALANCES!$D:$D,X$62)+SUMIFS(FLOWS!$C:$C,FLOWS!$A:$A,$B$58,FLOWS!$E:$E,$T78,FLOWS!$D:$D,X$62,FLOWS!$H:$H,"&lt;="&amp;$U$60)+SUM(SUMIFS(DEALS!$J:$J,DEALS!$A:$A,{"*REFUND*","*EXECUTED*"},DEALS!$G:$G,$B$58,DEALS!$E:$E,"&lt;="&amp;$U$60,DEALS!$K:$K,X$62,DEALS!$M:$M,$T78,DEALS!$N:$N,"&lt;&gt;*RECEIVED*",DEALS!$N:$N,"&lt;&gt;*EXECUTED*"))+SUM(SUMIFS(DEALS!$R:$R,DEALS!$A:$A,{"*REFUND*","*EXECUTED*"},DEALS!$O:$O,$B$58,DEALS!$E:$E,"&lt;="&amp;$U$60,DEALS!$S:$S,X$62,DEALS!$U:$U,$T78,DEALS!$V:$V,"&lt;&gt;*RECEIVED*",DEALS!$V:$V,"&lt;&gt;*EXECUTED*"))</f>
        <v>0</v>
      </c>
      <c r="Y78" s="32" cm="1">
        <f t="array" ref="Y78">SUMIFS(BALANCES!$C:$C,BALANCES!$A:$A,$B$58,BALANCES!$B:$B,$T78,BALANCES!$D:$D,Y$62)+SUMIFS(FLOWS!$C:$C,FLOWS!$A:$A,$B$58,FLOWS!$E:$E,$T78,FLOWS!$D:$D,Y$62,FLOWS!$H:$H,"&lt;="&amp;$U$60)+SUM(SUMIFS(DEALS!$J:$J,DEALS!$A:$A,{"*REFUND*","*EXECUTED*"},DEALS!$G:$G,$B$58,DEALS!$E:$E,"&lt;="&amp;$U$60,DEALS!$K:$K,Y$62,DEALS!$M:$M,$T78,DEALS!$N:$N,"&lt;&gt;*RECEIVED*",DEALS!$N:$N,"&lt;&gt;*EXECUTED*"))+SUM(SUMIFS(DEALS!$R:$R,DEALS!$A:$A,{"*REFUND*","*EXECUTED*"},DEALS!$O:$O,$B$58,DEALS!$E:$E,"&lt;="&amp;$U$60,DEALS!$S:$S,Y$62,DEALS!$U:$U,$T78,DEALS!$V:$V,"&lt;&gt;*RECEIVED*",DEALS!$V:$V,"&lt;&gt;*EXECUTED*"))</f>
        <v>0</v>
      </c>
      <c r="Z78" s="32" cm="1">
        <f t="array" ref="Z78">SUMIFS(BALANCES!$C:$C,BALANCES!$A:$A,$B$58,BALANCES!$B:$B,$T78,BALANCES!$D:$D,Z$62)+SUMIFS(FLOWS!$C:$C,FLOWS!$A:$A,$B$58,FLOWS!$E:$E,$T78,FLOWS!$D:$D,Z$62,FLOWS!$H:$H,"&lt;="&amp;$U$60)+SUM(SUMIFS(DEALS!$J:$J,DEALS!$A:$A,{"*REFUND*","*EXECUTED*"},DEALS!$G:$G,$B$58,DEALS!$E:$E,"&lt;="&amp;$U$60,DEALS!$K:$K,Z$62,DEALS!$M:$M,$T78,DEALS!$N:$N,"&lt;&gt;*RECEIVED*",DEALS!$N:$N,"&lt;&gt;*EXECUTED*"))+SUM(SUMIFS(DEALS!$R:$R,DEALS!$A:$A,{"*REFUND*","*EXECUTED*"},DEALS!$O:$O,$B$58,DEALS!$E:$E,"&lt;="&amp;$U$60,DEALS!$S:$S,Z$62,DEALS!$U:$U,$T78,DEALS!$V:$V,"&lt;&gt;*RECEIVED*",DEALS!$V:$V,"&lt;&gt;*EXECUTED*"))</f>
        <v>0</v>
      </c>
      <c r="AA78" s="33">
        <f ca="1">U78*VLOOKUP(U$62,'FX RATES'!$E$1:$F$50,2,FALSE)+V78*VLOOKUP(V$62,'FX RATES'!$E$1:$F$50,2,FALSE)+W78*VLOOKUP(W$62,'FX RATES'!$E$1:$F$50,2,FALSE)+X78*VLOOKUP(X$62,'FX RATES'!$E$1:$F$50,2,FALSE)+Y78*VLOOKUP(Y$62,'FX RATES'!$E$1:$F$50,2,FALSE)+Z78*VLOOKUP(Z$62,'FX RATES'!$E$1:$F$50,2,FALSE)</f>
        <v>0</v>
      </c>
      <c r="AC78" s="139">
        <f t="shared" ca="1" si="26"/>
        <v>0</v>
      </c>
    </row>
    <row r="79" spans="2:29" ht="19" hidden="1">
      <c r="B79" s="28"/>
      <c r="C79" s="29" cm="1">
        <f t="array" ref="C79">SUMIFS(BALANCES!$C:$C,BALANCES!$A:$A,$B$58,BALANCES!$B:$B,$B79,BALANCES!$D:$D,C$62)+SUMIFS(FLOWS!$C:$C,FLOWS!$A:$A,$B$58,FLOWS!$E:$E,$B79,FLOWS!$D:$D,C$62,FLOWS!$H:$H,"&lt;"&amp;$C$60)+SUM(SUMIFS(DEALS!$J:$J,DEALS!$A:$A,{"*REFUND*","*EXECUTED*"},DEALS!$G:$G,$B$58,DEALS!$E:$E,"&lt;"&amp;$C$60,DEALS!$K:$K,C$62,DEALS!$M:$M,$B79,DEALS!$N:$N,"&lt;&gt;*RECEIVED*",DEALS!$N:$N,"&lt;&gt;*EXECUTED*"))+SUM(SUMIFS(DEALS!$R:$R,DEALS!$A:$A,{"*REFUND*","*EXECUTED*"},DEALS!$O:$O,$B$58,DEALS!$E:$E,"&lt;"&amp;$C$60,DEALS!$S:$S,C$62,DEALS!$U:$U,$B79,DEALS!$V:$V,"&lt;&gt;*RECEIVED*",DEALS!$V:$V,"&lt;&gt;*EXECUTED*"))</f>
        <v>0</v>
      </c>
      <c r="D79" s="29" cm="1">
        <f t="array" ref="D79">SUMIFS(BALANCES!$C:$C,BALANCES!$A:$A,$B$58,BALANCES!$B:$B,$B79,BALANCES!$D:$D,D$62)+SUMIFS(FLOWS!$C:$C,FLOWS!$A:$A,$B$58,FLOWS!$E:$E,$B79,FLOWS!$D:$D,D$62,FLOWS!$H:$H,"&lt;"&amp;$C$60)+SUM(SUMIFS(DEALS!$J:$J,DEALS!$A:$A,{"*REFUND*","*EXECUTED*"},DEALS!$G:$G,$B$58,DEALS!$E:$E,"&lt;"&amp;$C$60,DEALS!$K:$K,D$62,DEALS!$M:$M,$B79,DEALS!$N:$N,"&lt;&gt;*RECEIVED*",DEALS!$N:$N,"&lt;&gt;*EXECUTED*"))+SUM(SUMIFS(DEALS!$R:$R,DEALS!$A:$A,{"*REFUND*","*EXECUTED*"},DEALS!$O:$O,$B$58,DEALS!$E:$E,"&lt;"&amp;$C$60,DEALS!$S:$S,D$62,DEALS!$U:$U,$B79,DEALS!$V:$V,"&lt;&gt;*RECEIVED*",DEALS!$V:$V,"&lt;&gt;*EXECUTED*"))</f>
        <v>0</v>
      </c>
      <c r="E79" s="29" cm="1">
        <f t="array" ref="E79">SUMIFS(BALANCES!$C:$C,BALANCES!$A:$A,$B$58,BALANCES!$B:$B,$B79,BALANCES!$D:$D,E$62)+SUMIFS(FLOWS!$C:$C,FLOWS!$A:$A,$B$58,FLOWS!$E:$E,$B79,FLOWS!$D:$D,E$62,FLOWS!$H:$H,"&lt;"&amp;$C$60)+SUM(SUMIFS(DEALS!$J:$J,DEALS!$A:$A,{"*REFUND*","*EXECUTED*"},DEALS!$G:$G,$B$58,DEALS!$E:$E,"&lt;"&amp;$C$60,DEALS!$K:$K,E$62,DEALS!$M:$M,$B79,DEALS!$N:$N,"&lt;&gt;*RECEIVED*",DEALS!$N:$N,"&lt;&gt;*EXECUTED*"))+SUM(SUMIFS(DEALS!$R:$R,DEALS!$A:$A,{"*REFUND*","*EXECUTED*"},DEALS!$O:$O,$B$58,DEALS!$E:$E,"&lt;"&amp;$C$60,DEALS!$S:$S,E$62,DEALS!$U:$U,$B79,DEALS!$V:$V,"&lt;&gt;*RECEIVED*",DEALS!$V:$V,"&lt;&gt;*EXECUTED*"))</f>
        <v>0</v>
      </c>
      <c r="F79" s="29" cm="1">
        <f t="array" ref="F79">SUMIFS(BALANCES!$C:$C,BALANCES!$A:$A,$B$58,BALANCES!$B:$B,$B79,BALANCES!$D:$D,F$62)+SUMIFS(FLOWS!$C:$C,FLOWS!$A:$A,$B$58,FLOWS!$E:$E,$B79,FLOWS!$D:$D,F$62,FLOWS!$H:$H,"&lt;"&amp;$C$60)+SUM(SUMIFS(DEALS!$J:$J,DEALS!$A:$A,{"*REFUND*","*EXECUTED*"},DEALS!$G:$G,$B$58,DEALS!$E:$E,"&lt;"&amp;$C$60,DEALS!$K:$K,F$62,DEALS!$M:$M,$B79,DEALS!$N:$N,"&lt;&gt;*RECEIVED*",DEALS!$N:$N,"&lt;&gt;*EXECUTED*"))+SUM(SUMIFS(DEALS!$R:$R,DEALS!$A:$A,{"*REFUND*","*EXECUTED*"},DEALS!$O:$O,$B$58,DEALS!$E:$E,"&lt;"&amp;$C$60,DEALS!$S:$S,F$62,DEALS!$U:$U,$B79,DEALS!$V:$V,"&lt;&gt;*RECEIVED*",DEALS!$V:$V,"&lt;&gt;*EXECUTED*"))</f>
        <v>0</v>
      </c>
      <c r="G79" s="29" cm="1">
        <f t="array" ref="G79">SUMIFS(BALANCES!$C:$C,BALANCES!$A:$A,$B$58,BALANCES!$B:$B,$B79,BALANCES!$D:$D,G$62)+SUMIFS(FLOWS!$C:$C,FLOWS!$A:$A,$B$58,FLOWS!$E:$E,$B79,FLOWS!$D:$D,G$62,FLOWS!$H:$H,"&lt;"&amp;$C$60)+SUM(SUMIFS(DEALS!$J:$J,DEALS!$A:$A,{"*REFUND*","*EXECUTED*"},DEALS!$G:$G,$B$58,DEALS!$E:$E,"&lt;"&amp;$C$60,DEALS!$K:$K,G$62,DEALS!$M:$M,$B79,DEALS!$N:$N,"&lt;&gt;*RECEIVED*",DEALS!$N:$N,"&lt;&gt;*EXECUTED*"))+SUM(SUMIFS(DEALS!$R:$R,DEALS!$A:$A,{"*REFUND*","*EXECUTED*"},DEALS!$O:$O,$B$58,DEALS!$E:$E,"&lt;"&amp;$C$60,DEALS!$S:$S,G$62,DEALS!$U:$U,$B79,DEALS!$V:$V,"&lt;&gt;*RECEIVED*",DEALS!$V:$V,"&lt;&gt;*EXECUTED*"))</f>
        <v>0</v>
      </c>
      <c r="H79" s="29" cm="1">
        <f t="array" ref="H79">SUMIFS(BALANCES!$C:$C,BALANCES!$A:$A,$B$58,BALANCES!$B:$B,$B79,BALANCES!$D:$D,H$62)+SUMIFS(FLOWS!$C:$C,FLOWS!$A:$A,$B$58,FLOWS!$E:$E,$B79,FLOWS!$D:$D,H$62,FLOWS!$H:$H,"&lt;"&amp;$C$60)+SUM(SUMIFS(DEALS!$J:$J,DEALS!$A:$A,{"*REFUND*","*EXECUTED*"},DEALS!$G:$G,$B$58,DEALS!$E:$E,"&lt;"&amp;$C$60,DEALS!$K:$K,H$62,DEALS!$M:$M,$B79,DEALS!$N:$N,"&lt;&gt;*RECEIVED*",DEALS!$N:$N,"&lt;&gt;*EXECUTED*"))+SUM(SUMIFS(DEALS!$R:$R,DEALS!$A:$A,{"*REFUND*","*EXECUTED*"},DEALS!$O:$O,$B$58,DEALS!$E:$E,"&lt;"&amp;$C$60,DEALS!$S:$S,H$62,DEALS!$U:$U,$B79,DEALS!$V:$V,"&lt;&gt;*RECEIVED*",DEALS!$V:$V,"&lt;&gt;*EXECUTED*"))</f>
        <v>0</v>
      </c>
      <c r="I79" s="30">
        <f ca="1">C79*VLOOKUP(C$62,'FX RATES'!$E$1:$F$50,2,FALSE)+D79*VLOOKUP(D$62,'FX RATES'!$E$1:$F$50,2,FALSE)+E79*VLOOKUP(E$62,'FX RATES'!$E$1:$F$50,2,FALSE)+F79*VLOOKUP(F$62,'FX RATES'!$E$1:$F$50,2,FALSE)+G79*VLOOKUP(G$62,'FX RATES'!$E$1:$F$50,2,FALSE)+H79*VLOOKUP(H$62,'FX RATES'!$E$1:$F$50,2,FALSE)</f>
        <v>0</v>
      </c>
      <c r="J79" s="18"/>
      <c r="K79" s="28">
        <f t="shared" si="24"/>
        <v>0</v>
      </c>
      <c r="L79" s="29" cm="1">
        <f t="array" ref="L79">SUMIFS(FLOWS!$C:$C,FLOWS!$A:$A,$B$58,FLOWS!$E:$E,$K79,FLOWS!$D:$D,L$62,FLOWS!$H:$H,"&gt;="&amp;$C$60,FLOWS!$H:$H,"&lt;="&amp;$U$60)+SUM(SUMIFS(DEALS!$J:$J,DEALS!$A:$A,{"*REFUND*","*EXECUTED*"},DEALS!$G:$G,$B$58,DEALS!$E:$E,"&gt;="&amp;$C$60,DEALS!$E:$E,"&lt;="&amp;$U$60,DEALS!$K:$K,L$62,DEALS!$M:$M,$K79,DEALS!$N:$N,"&lt;&gt;*RECEIVED*",DEALS!$N:$N,"&lt;&gt;*EXECUTED*"))+SUM(SUMIFS(DEALS!$R:$R,DEALS!$A:$A,{"*REFUND*","*EXECUTED*"},DEALS!$O:$O,$B$58,DEALS!$E:$E,"&gt;="&amp;$C$60,DEALS!$E:$E,"&lt;="&amp;$U$60,DEALS!$S:$S,L$62,DEALS!$U:$U,$K79,DEALS!$V:$V,"&lt;&gt;*RECEIVED*",DEALS!$V:$V,"&lt;&gt;*EXECUTED*"))</f>
        <v>0</v>
      </c>
      <c r="M79" s="29" cm="1">
        <f t="array" ref="M79">SUMIFS(FLOWS!$C:$C,FLOWS!$A:$A,$B$58,FLOWS!$E:$E,$K79,FLOWS!$D:$D,M$62,FLOWS!$H:$H,"&gt;="&amp;$C$60,FLOWS!$H:$H,"&lt;="&amp;$U$60)+SUM(SUMIFS(DEALS!$J:$J,DEALS!$A:$A,{"*REFUND*","*EXECUTED*"},DEALS!$G:$G,$B$58,DEALS!$E:$E,"&gt;="&amp;$C$60,DEALS!$E:$E,"&lt;="&amp;$U$60,DEALS!$K:$K,M$62,DEALS!$M:$M,$K79,DEALS!$N:$N,"&lt;&gt;*RECEIVED*",DEALS!$N:$N,"&lt;&gt;*EXECUTED*"))+SUM(SUMIFS(DEALS!$R:$R,DEALS!$A:$A,{"*REFUND*","*EXECUTED*"},DEALS!$O:$O,$B$58,DEALS!$E:$E,"&gt;="&amp;$C$60,DEALS!$E:$E,"&lt;="&amp;$U$60,DEALS!$S:$S,M$62,DEALS!$U:$U,$K79,DEALS!$V:$V,"&lt;&gt;*RECEIVED*",DEALS!$V:$V,"&lt;&gt;*EXECUTED*"))</f>
        <v>0</v>
      </c>
      <c r="N79" s="29" cm="1">
        <f t="array" ref="N79">SUMIFS(FLOWS!$C:$C,FLOWS!$A:$A,$B$58,FLOWS!$E:$E,$K79,FLOWS!$D:$D,N$62,FLOWS!$H:$H,"&gt;="&amp;$C$60,FLOWS!$H:$H,"&lt;="&amp;$U$60)+SUM(SUMIFS(DEALS!$J:$J,DEALS!$A:$A,{"*REFUND*","*EXECUTED*"},DEALS!$G:$G,$B$58,DEALS!$E:$E,"&gt;="&amp;$C$60,DEALS!$E:$E,"&lt;="&amp;$U$60,DEALS!$K:$K,N$62,DEALS!$M:$M,$K79,DEALS!$N:$N,"&lt;&gt;*RECEIVED*",DEALS!$N:$N,"&lt;&gt;*EXECUTED*"))+SUM(SUMIFS(DEALS!$R:$R,DEALS!$A:$A,{"*REFUND*","*EXECUTED*"},DEALS!$O:$O,$B$58,DEALS!$E:$E,"&gt;="&amp;$C$60,DEALS!$E:$E,"&lt;="&amp;$U$60,DEALS!$S:$S,N$62,DEALS!$U:$U,$K79,DEALS!$V:$V,"&lt;&gt;*RECEIVED*",DEALS!$V:$V,"&lt;&gt;*EXECUTED*"))</f>
        <v>0</v>
      </c>
      <c r="O79" s="29" cm="1">
        <f t="array" ref="O79">SUMIFS(FLOWS!$C:$C,FLOWS!$A:$A,$B$58,FLOWS!$E:$E,$K79,FLOWS!$D:$D,O$62,FLOWS!$H:$H,"&gt;="&amp;$C$60,FLOWS!$H:$H,"&lt;="&amp;$U$60)+SUM(SUMIFS(DEALS!$J:$J,DEALS!$A:$A,{"*REFUND*","*EXECUTED*"},DEALS!$G:$G,$B$58,DEALS!$E:$E,"&gt;="&amp;$C$60,DEALS!$E:$E,"&lt;="&amp;$U$60,DEALS!$K:$K,O$62,DEALS!$M:$M,$K79,DEALS!$N:$N,"&lt;&gt;*RECEIVED*",DEALS!$N:$N,"&lt;&gt;*EXECUTED*"))+SUM(SUMIFS(DEALS!$R:$R,DEALS!$A:$A,{"*REFUND*","*EXECUTED*"},DEALS!$O:$O,$B$58,DEALS!$E:$E,"&gt;="&amp;$C$60,DEALS!$E:$E,"&lt;="&amp;$U$60,DEALS!$S:$S,O$62,DEALS!$U:$U,$K79,DEALS!$V:$V,"&lt;&gt;*RECEIVED*",DEALS!$V:$V,"&lt;&gt;*EXECUTED*"))</f>
        <v>0</v>
      </c>
      <c r="P79" s="29" cm="1">
        <f t="array" ref="P79">SUMIFS(FLOWS!$C:$C,FLOWS!$A:$A,$B$58,FLOWS!$E:$E,$K79,FLOWS!$D:$D,P$62,FLOWS!$H:$H,"&gt;="&amp;$C$60,FLOWS!$H:$H,"&lt;="&amp;$U$60)+SUM(SUMIFS(DEALS!$J:$J,DEALS!$A:$A,{"*REFUND*","*EXECUTED*"},DEALS!$G:$G,$B$58,DEALS!$E:$E,"&gt;="&amp;$C$60,DEALS!$E:$E,"&lt;="&amp;$U$60,DEALS!$K:$K,P$62,DEALS!$M:$M,$K79,DEALS!$N:$N,"&lt;&gt;*RECEIVED*",DEALS!$N:$N,"&lt;&gt;*EXECUTED*"))+SUM(SUMIFS(DEALS!$R:$R,DEALS!$A:$A,{"*REFUND*","*EXECUTED*"},DEALS!$O:$O,$B$58,DEALS!$E:$E,"&gt;="&amp;$C$60,DEALS!$E:$E,"&lt;="&amp;$U$60,DEALS!$S:$S,P$62,DEALS!$U:$U,$K79,DEALS!$V:$V,"&lt;&gt;*RECEIVED*",DEALS!$V:$V,"&lt;&gt;*EXECUTED*"))</f>
        <v>0</v>
      </c>
      <c r="Q79" s="29" cm="1">
        <f t="array" ref="Q79">SUMIFS(FLOWS!$C:$C,FLOWS!$A:$A,$B$58,FLOWS!$E:$E,$K79,FLOWS!$D:$D,Q$62,FLOWS!$H:$H,"&gt;="&amp;$C$60,FLOWS!$H:$H,"&lt;="&amp;$U$60)+SUM(SUMIFS(DEALS!$J:$J,DEALS!$A:$A,{"*REFUND*","*EXECUTED*"},DEALS!$G:$G,$B$58,DEALS!$E:$E,"&gt;="&amp;$C$60,DEALS!$E:$E,"&lt;="&amp;$U$60,DEALS!$K:$K,Q$62,DEALS!$M:$M,$K79,DEALS!$N:$N,"&lt;&gt;*RECEIVED*",DEALS!$N:$N,"&lt;&gt;*EXECUTED*"))+SUM(SUMIFS(DEALS!$R:$R,DEALS!$A:$A,{"*REFUND*","*EXECUTED*"},DEALS!$O:$O,$B$58,DEALS!$E:$E,"&gt;="&amp;$C$60,DEALS!$E:$E,"&lt;="&amp;$U$60,DEALS!$S:$S,Q$62,DEALS!$U:$U,$K79,DEALS!$V:$V,"&lt;&gt;*RECEIVED*",DEALS!$V:$V,"&lt;&gt;*EXECUTED*"))</f>
        <v>0</v>
      </c>
      <c r="R79" s="30">
        <f ca="1">L79*VLOOKUP(L$62,'FX RATES'!$E$1:$F$50,2,FALSE)+M79*VLOOKUP(M$62,'FX RATES'!$E$1:$F$50,2,FALSE)+N79*VLOOKUP(N$62,'FX RATES'!$E$1:$F$50,2,FALSE)+O79*VLOOKUP(O$62,'FX RATES'!$E$1:$F$50,2,FALSE)+P79*VLOOKUP(P$62,'FX RATES'!$E$1:$F$50,2,FALSE)+Q79*VLOOKUP(Q$62,'FX RATES'!$E$1:$F$50,2,FALSE)</f>
        <v>0</v>
      </c>
      <c r="T79" s="28">
        <f t="shared" si="25"/>
        <v>0</v>
      </c>
      <c r="U79" s="29" cm="1">
        <f t="array" ref="U79">SUMIFS(BALANCES!$C:$C,BALANCES!$A:$A,$B$58,BALANCES!$B:$B,$T79,BALANCES!$D:$D,U$62)+SUMIFS(FLOWS!$C:$C,FLOWS!$A:$A,$B$58,FLOWS!$E:$E,$T79,FLOWS!$D:$D,U$62,FLOWS!$H:$H,"&lt;="&amp;$U$60)+SUM(SUMIFS(DEALS!$J:$J,DEALS!$A:$A,{"*REFUND*","*EXECUTED*"},DEALS!$G:$G,$B$58,DEALS!$E:$E,"&lt;="&amp;$U$60,DEALS!$K:$K,U$62,DEALS!$M:$M,$T79,DEALS!$N:$N,"&lt;&gt;*RECEIVED*",DEALS!$N:$N,"&lt;&gt;*EXECUTED*"))+SUM(SUMIFS(DEALS!$R:$R,DEALS!$A:$A,{"*REFUND*","*EXECUTED*"},DEALS!$O:$O,$B$58,DEALS!$E:$E,"&lt;="&amp;$U$60,DEALS!$S:$S,U$62,DEALS!$U:$U,$T79,DEALS!$V:$V,"&lt;&gt;*RECEIVED*",DEALS!$V:$V,"&lt;&gt;*EXECUTED*"))</f>
        <v>0</v>
      </c>
      <c r="V79" s="29" cm="1">
        <f t="array" ref="V79">SUMIFS(BALANCES!$C:$C,BALANCES!$A:$A,$B$58,BALANCES!$B:$B,$T79,BALANCES!$D:$D,V$62)+SUMIFS(FLOWS!$C:$C,FLOWS!$A:$A,$B$58,FLOWS!$E:$E,$T79,FLOWS!$D:$D,V$62,FLOWS!$H:$H,"&lt;="&amp;$U$60)+SUM(SUMIFS(DEALS!$J:$J,DEALS!$A:$A,{"*REFUND*","*EXECUTED*"},DEALS!$G:$G,$B$58,DEALS!$E:$E,"&lt;="&amp;$U$60,DEALS!$K:$K,V$62,DEALS!$M:$M,$T79,DEALS!$N:$N,"&lt;&gt;*RECEIVED*",DEALS!$N:$N,"&lt;&gt;*EXECUTED*"))+SUM(SUMIFS(DEALS!$R:$R,DEALS!$A:$A,{"*REFUND*","*EXECUTED*"},DEALS!$O:$O,$B$58,DEALS!$E:$E,"&lt;="&amp;$U$60,DEALS!$S:$S,V$62,DEALS!$U:$U,$T79,DEALS!$V:$V,"&lt;&gt;*RECEIVED*",DEALS!$V:$V,"&lt;&gt;*EXECUTED*"))</f>
        <v>0</v>
      </c>
      <c r="W79" s="29" cm="1">
        <f t="array" ref="W79">SUMIFS(BALANCES!$C:$C,BALANCES!$A:$A,$B$58,BALANCES!$B:$B,$T79,BALANCES!$D:$D,W$62)+SUMIFS(FLOWS!$C:$C,FLOWS!$A:$A,$B$58,FLOWS!$E:$E,$T79,FLOWS!$D:$D,W$62,FLOWS!$H:$H,"&lt;="&amp;$U$60)+SUM(SUMIFS(DEALS!$J:$J,DEALS!$A:$A,{"*REFUND*","*EXECUTED*"},DEALS!$G:$G,$B$58,DEALS!$E:$E,"&lt;="&amp;$U$60,DEALS!$K:$K,W$62,DEALS!$M:$M,$T79,DEALS!$N:$N,"&lt;&gt;*RECEIVED*",DEALS!$N:$N,"&lt;&gt;*EXECUTED*"))+SUM(SUMIFS(DEALS!$R:$R,DEALS!$A:$A,{"*REFUND*","*EXECUTED*"},DEALS!$O:$O,$B$58,DEALS!$E:$E,"&lt;="&amp;$U$60,DEALS!$S:$S,W$62,DEALS!$U:$U,$T79,DEALS!$V:$V,"&lt;&gt;*RECEIVED*",DEALS!$V:$V,"&lt;&gt;*EXECUTED*"))</f>
        <v>0</v>
      </c>
      <c r="X79" s="29" cm="1">
        <f t="array" ref="X79">SUMIFS(BALANCES!$C:$C,BALANCES!$A:$A,$B$58,BALANCES!$B:$B,$T79,BALANCES!$D:$D,X$62)+SUMIFS(FLOWS!$C:$C,FLOWS!$A:$A,$B$58,FLOWS!$E:$E,$T79,FLOWS!$D:$D,X$62,FLOWS!$H:$H,"&lt;="&amp;$U$60)+SUM(SUMIFS(DEALS!$J:$J,DEALS!$A:$A,{"*REFUND*","*EXECUTED*"},DEALS!$G:$G,$B$58,DEALS!$E:$E,"&lt;="&amp;$U$60,DEALS!$K:$K,X$62,DEALS!$M:$M,$T79,DEALS!$N:$N,"&lt;&gt;*RECEIVED*",DEALS!$N:$N,"&lt;&gt;*EXECUTED*"))+SUM(SUMIFS(DEALS!$R:$R,DEALS!$A:$A,{"*REFUND*","*EXECUTED*"},DEALS!$O:$O,$B$58,DEALS!$E:$E,"&lt;="&amp;$U$60,DEALS!$S:$S,X$62,DEALS!$U:$U,$T79,DEALS!$V:$V,"&lt;&gt;*RECEIVED*",DEALS!$V:$V,"&lt;&gt;*EXECUTED*"))</f>
        <v>0</v>
      </c>
      <c r="Y79" s="29" cm="1">
        <f t="array" ref="Y79">SUMIFS(BALANCES!$C:$C,BALANCES!$A:$A,$B$58,BALANCES!$B:$B,$T79,BALANCES!$D:$D,Y$62)+SUMIFS(FLOWS!$C:$C,FLOWS!$A:$A,$B$58,FLOWS!$E:$E,$T79,FLOWS!$D:$D,Y$62,FLOWS!$H:$H,"&lt;="&amp;$U$60)+SUM(SUMIFS(DEALS!$J:$J,DEALS!$A:$A,{"*REFUND*","*EXECUTED*"},DEALS!$G:$G,$B$58,DEALS!$E:$E,"&lt;="&amp;$U$60,DEALS!$K:$K,Y$62,DEALS!$M:$M,$T79,DEALS!$N:$N,"&lt;&gt;*RECEIVED*",DEALS!$N:$N,"&lt;&gt;*EXECUTED*"))+SUM(SUMIFS(DEALS!$R:$R,DEALS!$A:$A,{"*REFUND*","*EXECUTED*"},DEALS!$O:$O,$B$58,DEALS!$E:$E,"&lt;="&amp;$U$60,DEALS!$S:$S,Y$62,DEALS!$U:$U,$T79,DEALS!$V:$V,"&lt;&gt;*RECEIVED*",DEALS!$V:$V,"&lt;&gt;*EXECUTED*"))</f>
        <v>0</v>
      </c>
      <c r="Z79" s="29" cm="1">
        <f t="array" ref="Z79">SUMIFS(BALANCES!$C:$C,BALANCES!$A:$A,$B$58,BALANCES!$B:$B,$T79,BALANCES!$D:$D,Z$62)+SUMIFS(FLOWS!$C:$C,FLOWS!$A:$A,$B$58,FLOWS!$E:$E,$T79,FLOWS!$D:$D,Z$62,FLOWS!$H:$H,"&lt;="&amp;$U$60)+SUM(SUMIFS(DEALS!$J:$J,DEALS!$A:$A,{"*REFUND*","*EXECUTED*"},DEALS!$G:$G,$B$58,DEALS!$E:$E,"&lt;="&amp;$U$60,DEALS!$K:$K,Z$62,DEALS!$M:$M,$T79,DEALS!$N:$N,"&lt;&gt;*RECEIVED*",DEALS!$N:$N,"&lt;&gt;*EXECUTED*"))+SUM(SUMIFS(DEALS!$R:$R,DEALS!$A:$A,{"*REFUND*","*EXECUTED*"},DEALS!$O:$O,$B$58,DEALS!$E:$E,"&lt;="&amp;$U$60,DEALS!$S:$S,Z$62,DEALS!$U:$U,$T79,DEALS!$V:$V,"&lt;&gt;*RECEIVED*",DEALS!$V:$V,"&lt;&gt;*EXECUTED*"))</f>
        <v>0</v>
      </c>
      <c r="AA79" s="30">
        <f ca="1">U79*VLOOKUP(U$62,'FX RATES'!$E$1:$F$50,2,FALSE)+V79*VLOOKUP(V$62,'FX RATES'!$E$1:$F$50,2,FALSE)+W79*VLOOKUP(W$62,'FX RATES'!$E$1:$F$50,2,FALSE)+X79*VLOOKUP(X$62,'FX RATES'!$E$1:$F$50,2,FALSE)+Y79*VLOOKUP(Y$62,'FX RATES'!$E$1:$F$50,2,FALSE)+Z79*VLOOKUP(Z$62,'FX RATES'!$E$1:$F$50,2,FALSE)</f>
        <v>0</v>
      </c>
      <c r="AC79" s="139">
        <f t="shared" ca="1" si="26"/>
        <v>0</v>
      </c>
    </row>
    <row r="80" spans="2:29" ht="20" hidden="1" thickBot="1">
      <c r="B80" s="31"/>
      <c r="C80" s="32" cm="1">
        <f t="array" ref="C80">SUMIFS(BALANCES!$C:$C,BALANCES!$A:$A,$B$58,BALANCES!$B:$B,$B80,BALANCES!$D:$D,C$62)+SUMIFS(FLOWS!$C:$C,FLOWS!$A:$A,$B$58,FLOWS!$E:$E,$B80,FLOWS!$D:$D,C$62,FLOWS!$H:$H,"&lt;"&amp;$C$60)+SUM(SUMIFS(DEALS!$J:$J,DEALS!$A:$A,{"*REFUND*","*EXECUTED*"},DEALS!$G:$G,$B$58,DEALS!$E:$E,"&lt;"&amp;$C$60,DEALS!$K:$K,C$62,DEALS!$M:$M,$B80,DEALS!$N:$N,"&lt;&gt;*RECEIVED*",DEALS!$N:$N,"&lt;&gt;*EXECUTED*"))+SUM(SUMIFS(DEALS!$R:$R,DEALS!$A:$A,{"*REFUND*","*EXECUTED*"},DEALS!$O:$O,$B$58,DEALS!$E:$E,"&lt;"&amp;$C$60,DEALS!$S:$S,C$62,DEALS!$U:$U,$B80,DEALS!$V:$V,"&lt;&gt;*RECEIVED*",DEALS!$V:$V,"&lt;&gt;*EXECUTED*"))</f>
        <v>0</v>
      </c>
      <c r="D80" s="32" cm="1">
        <f t="array" ref="D80">SUMIFS(BALANCES!$C:$C,BALANCES!$A:$A,$B$58,BALANCES!$B:$B,$B80,BALANCES!$D:$D,D$62)+SUMIFS(FLOWS!$C:$C,FLOWS!$A:$A,$B$58,FLOWS!$E:$E,$B80,FLOWS!$D:$D,D$62,FLOWS!$H:$H,"&lt;"&amp;$C$60)+SUM(SUMIFS(DEALS!$J:$J,DEALS!$A:$A,{"*REFUND*","*EXECUTED*"},DEALS!$G:$G,$B$58,DEALS!$E:$E,"&lt;"&amp;$C$60,DEALS!$K:$K,D$62,DEALS!$M:$M,$B80,DEALS!$N:$N,"&lt;&gt;*RECEIVED*",DEALS!$N:$N,"&lt;&gt;*EXECUTED*"))+SUM(SUMIFS(DEALS!$R:$R,DEALS!$A:$A,{"*REFUND*","*EXECUTED*"},DEALS!$O:$O,$B$58,DEALS!$E:$E,"&lt;"&amp;$C$60,DEALS!$S:$S,D$62,DEALS!$U:$U,$B80,DEALS!$V:$V,"&lt;&gt;*RECEIVED*",DEALS!$V:$V,"&lt;&gt;*EXECUTED*"))</f>
        <v>0</v>
      </c>
      <c r="E80" s="32" cm="1">
        <f t="array" ref="E80">SUMIFS(BALANCES!$C:$C,BALANCES!$A:$A,$B$58,BALANCES!$B:$B,$B80,BALANCES!$D:$D,E$62)+SUMIFS(FLOWS!$C:$C,FLOWS!$A:$A,$B$58,FLOWS!$E:$E,$B80,FLOWS!$D:$D,E$62,FLOWS!$H:$H,"&lt;"&amp;$C$60)+SUM(SUMIFS(DEALS!$J:$J,DEALS!$A:$A,{"*REFUND*","*EXECUTED*"},DEALS!$G:$G,$B$58,DEALS!$E:$E,"&lt;"&amp;$C$60,DEALS!$K:$K,E$62,DEALS!$M:$M,$B80,DEALS!$N:$N,"&lt;&gt;*RECEIVED*",DEALS!$N:$N,"&lt;&gt;*EXECUTED*"))+SUM(SUMIFS(DEALS!$R:$R,DEALS!$A:$A,{"*REFUND*","*EXECUTED*"},DEALS!$O:$O,$B$58,DEALS!$E:$E,"&lt;"&amp;$C$60,DEALS!$S:$S,E$62,DEALS!$U:$U,$B80,DEALS!$V:$V,"&lt;&gt;*RECEIVED*",DEALS!$V:$V,"&lt;&gt;*EXECUTED*"))</f>
        <v>0</v>
      </c>
      <c r="F80" s="32" cm="1">
        <f t="array" ref="F80">SUMIFS(BALANCES!$C:$C,BALANCES!$A:$A,$B$58,BALANCES!$B:$B,$B80,BALANCES!$D:$D,F$62)+SUMIFS(FLOWS!$C:$C,FLOWS!$A:$A,$B$58,FLOWS!$E:$E,$B80,FLOWS!$D:$D,F$62,FLOWS!$H:$H,"&lt;"&amp;$C$60)+SUM(SUMIFS(DEALS!$J:$J,DEALS!$A:$A,{"*REFUND*","*EXECUTED*"},DEALS!$G:$G,$B$58,DEALS!$E:$E,"&lt;"&amp;$C$60,DEALS!$K:$K,F$62,DEALS!$M:$M,$B80,DEALS!$N:$N,"&lt;&gt;*RECEIVED*",DEALS!$N:$N,"&lt;&gt;*EXECUTED*"))+SUM(SUMIFS(DEALS!$R:$R,DEALS!$A:$A,{"*REFUND*","*EXECUTED*"},DEALS!$O:$O,$B$58,DEALS!$E:$E,"&lt;"&amp;$C$60,DEALS!$S:$S,F$62,DEALS!$U:$U,$B80,DEALS!$V:$V,"&lt;&gt;*RECEIVED*",DEALS!$V:$V,"&lt;&gt;*EXECUTED*"))</f>
        <v>0</v>
      </c>
      <c r="G80" s="32" cm="1">
        <f t="array" ref="G80">SUMIFS(BALANCES!$C:$C,BALANCES!$A:$A,$B$58,BALANCES!$B:$B,$B80,BALANCES!$D:$D,G$62)+SUMIFS(FLOWS!$C:$C,FLOWS!$A:$A,$B$58,FLOWS!$E:$E,$B80,FLOWS!$D:$D,G$62,FLOWS!$H:$H,"&lt;"&amp;$C$60)+SUM(SUMIFS(DEALS!$J:$J,DEALS!$A:$A,{"*REFUND*","*EXECUTED*"},DEALS!$G:$G,$B$58,DEALS!$E:$E,"&lt;"&amp;$C$60,DEALS!$K:$K,G$62,DEALS!$M:$M,$B80,DEALS!$N:$N,"&lt;&gt;*RECEIVED*",DEALS!$N:$N,"&lt;&gt;*EXECUTED*"))+SUM(SUMIFS(DEALS!$R:$R,DEALS!$A:$A,{"*REFUND*","*EXECUTED*"},DEALS!$O:$O,$B$58,DEALS!$E:$E,"&lt;"&amp;$C$60,DEALS!$S:$S,G$62,DEALS!$U:$U,$B80,DEALS!$V:$V,"&lt;&gt;*RECEIVED*",DEALS!$V:$V,"&lt;&gt;*EXECUTED*"))</f>
        <v>0</v>
      </c>
      <c r="H80" s="32" cm="1">
        <f t="array" ref="H80">SUMIFS(BALANCES!$C:$C,BALANCES!$A:$A,$B$58,BALANCES!$B:$B,$B80,BALANCES!$D:$D,H$62)+SUMIFS(FLOWS!$C:$C,FLOWS!$A:$A,$B$58,FLOWS!$E:$E,$B80,FLOWS!$D:$D,H$62,FLOWS!$H:$H,"&lt;"&amp;$C$60)+SUM(SUMIFS(DEALS!$J:$J,DEALS!$A:$A,{"*REFUND*","*EXECUTED*"},DEALS!$G:$G,$B$58,DEALS!$E:$E,"&lt;"&amp;$C$60,DEALS!$K:$K,H$62,DEALS!$M:$M,$B80,DEALS!$N:$N,"&lt;&gt;*RECEIVED*",DEALS!$N:$N,"&lt;&gt;*EXECUTED*"))+SUM(SUMIFS(DEALS!$R:$R,DEALS!$A:$A,{"*REFUND*","*EXECUTED*"},DEALS!$O:$O,$B$58,DEALS!$E:$E,"&lt;"&amp;$C$60,DEALS!$S:$S,H$62,DEALS!$U:$U,$B80,DEALS!$V:$V,"&lt;&gt;*RECEIVED*",DEALS!$V:$V,"&lt;&gt;*EXECUTED*"))</f>
        <v>0</v>
      </c>
      <c r="I80" s="33">
        <f ca="1">C80*VLOOKUP(C$62,'FX RATES'!$E$1:$F$50,2,FALSE)+D80*VLOOKUP(D$62,'FX RATES'!$E$1:$F$50,2,FALSE)+E80*VLOOKUP(E$62,'FX RATES'!$E$1:$F$50,2,FALSE)+F80*VLOOKUP(F$62,'FX RATES'!$E$1:$F$50,2,FALSE)+G80*VLOOKUP(G$62,'FX RATES'!$E$1:$F$50,2,FALSE)+H80*VLOOKUP(H$62,'FX RATES'!$E$1:$F$50,2,FALSE)</f>
        <v>0</v>
      </c>
      <c r="J80" s="18"/>
      <c r="K80" s="31">
        <f t="shared" si="24"/>
        <v>0</v>
      </c>
      <c r="L80" s="32" cm="1">
        <f t="array" ref="L80">SUMIFS(FLOWS!$C:$C,FLOWS!$A:$A,$B$58,FLOWS!$E:$E,$K80,FLOWS!$D:$D,L$62,FLOWS!$H:$H,"&gt;="&amp;$C$60,FLOWS!$H:$H,"&lt;="&amp;$U$60)+SUM(SUMIFS(DEALS!$J:$J,DEALS!$A:$A,{"*REFUND*","*EXECUTED*"},DEALS!$G:$G,$B$58,DEALS!$E:$E,"&gt;="&amp;$C$60,DEALS!$E:$E,"&lt;="&amp;$U$60,DEALS!$K:$K,L$62,DEALS!$M:$M,$K80,DEALS!$N:$N,"&lt;&gt;*RECEIVED*",DEALS!$N:$N,"&lt;&gt;*EXECUTED*"))+SUM(SUMIFS(DEALS!$R:$R,DEALS!$A:$A,{"*REFUND*","*EXECUTED*"},DEALS!$O:$O,$B$58,DEALS!$E:$E,"&gt;="&amp;$C$60,DEALS!$E:$E,"&lt;="&amp;$U$60,DEALS!$S:$S,L$62,DEALS!$U:$U,$K80,DEALS!$V:$V,"&lt;&gt;*RECEIVED*",DEALS!$V:$V,"&lt;&gt;*EXECUTED*"))</f>
        <v>0</v>
      </c>
      <c r="M80" s="32" cm="1">
        <f t="array" ref="M80">SUMIFS(FLOWS!$C:$C,FLOWS!$A:$A,$B$58,FLOWS!$E:$E,$K80,FLOWS!$D:$D,M$62,FLOWS!$H:$H,"&gt;="&amp;$C$60,FLOWS!$H:$H,"&lt;="&amp;$U$60)+SUM(SUMIFS(DEALS!$J:$J,DEALS!$A:$A,{"*REFUND*","*EXECUTED*"},DEALS!$G:$G,$B$58,DEALS!$E:$E,"&gt;="&amp;$C$60,DEALS!$E:$E,"&lt;="&amp;$U$60,DEALS!$K:$K,M$62,DEALS!$M:$M,$K80,DEALS!$N:$N,"&lt;&gt;*RECEIVED*",DEALS!$N:$N,"&lt;&gt;*EXECUTED*"))+SUM(SUMIFS(DEALS!$R:$R,DEALS!$A:$A,{"*REFUND*","*EXECUTED*"},DEALS!$O:$O,$B$58,DEALS!$E:$E,"&gt;="&amp;$C$60,DEALS!$E:$E,"&lt;="&amp;$U$60,DEALS!$S:$S,M$62,DEALS!$U:$U,$K80,DEALS!$V:$V,"&lt;&gt;*RECEIVED*",DEALS!$V:$V,"&lt;&gt;*EXECUTED*"))</f>
        <v>0</v>
      </c>
      <c r="N80" s="32" cm="1">
        <f t="array" ref="N80">SUMIFS(FLOWS!$C:$C,FLOWS!$A:$A,$B$58,FLOWS!$E:$E,$K80,FLOWS!$D:$D,N$62,FLOWS!$H:$H,"&gt;="&amp;$C$60,FLOWS!$H:$H,"&lt;="&amp;$U$60)+SUM(SUMIFS(DEALS!$J:$J,DEALS!$A:$A,{"*REFUND*","*EXECUTED*"},DEALS!$G:$G,$B$58,DEALS!$E:$E,"&gt;="&amp;$C$60,DEALS!$E:$E,"&lt;="&amp;$U$60,DEALS!$K:$K,N$62,DEALS!$M:$M,$K80,DEALS!$N:$N,"&lt;&gt;*RECEIVED*",DEALS!$N:$N,"&lt;&gt;*EXECUTED*"))+SUM(SUMIFS(DEALS!$R:$R,DEALS!$A:$A,{"*REFUND*","*EXECUTED*"},DEALS!$O:$O,$B$58,DEALS!$E:$E,"&gt;="&amp;$C$60,DEALS!$E:$E,"&lt;="&amp;$U$60,DEALS!$S:$S,N$62,DEALS!$U:$U,$K80,DEALS!$V:$V,"&lt;&gt;*RECEIVED*",DEALS!$V:$V,"&lt;&gt;*EXECUTED*"))</f>
        <v>0</v>
      </c>
      <c r="O80" s="32" cm="1">
        <f t="array" ref="O80">SUMIFS(FLOWS!$C:$C,FLOWS!$A:$A,$B$58,FLOWS!$E:$E,$K80,FLOWS!$D:$D,O$62,FLOWS!$H:$H,"&gt;="&amp;$C$60,FLOWS!$H:$H,"&lt;="&amp;$U$60)+SUM(SUMIFS(DEALS!$J:$J,DEALS!$A:$A,{"*REFUND*","*EXECUTED*"},DEALS!$G:$G,$B$58,DEALS!$E:$E,"&gt;="&amp;$C$60,DEALS!$E:$E,"&lt;="&amp;$U$60,DEALS!$K:$K,O$62,DEALS!$M:$M,$K80,DEALS!$N:$N,"&lt;&gt;*RECEIVED*",DEALS!$N:$N,"&lt;&gt;*EXECUTED*"))+SUM(SUMIFS(DEALS!$R:$R,DEALS!$A:$A,{"*REFUND*","*EXECUTED*"},DEALS!$O:$O,$B$58,DEALS!$E:$E,"&gt;="&amp;$C$60,DEALS!$E:$E,"&lt;="&amp;$U$60,DEALS!$S:$S,O$62,DEALS!$U:$U,$K80,DEALS!$V:$V,"&lt;&gt;*RECEIVED*",DEALS!$V:$V,"&lt;&gt;*EXECUTED*"))</f>
        <v>0</v>
      </c>
      <c r="P80" s="32" cm="1">
        <f t="array" ref="P80">SUMIFS(FLOWS!$C:$C,FLOWS!$A:$A,$B$58,FLOWS!$E:$E,$K80,FLOWS!$D:$D,P$62,FLOWS!$H:$H,"&gt;="&amp;$C$60,FLOWS!$H:$H,"&lt;="&amp;$U$60)+SUM(SUMIFS(DEALS!$J:$J,DEALS!$A:$A,{"*REFUND*","*EXECUTED*"},DEALS!$G:$G,$B$58,DEALS!$E:$E,"&gt;="&amp;$C$60,DEALS!$E:$E,"&lt;="&amp;$U$60,DEALS!$K:$K,P$62,DEALS!$M:$M,$K80,DEALS!$N:$N,"&lt;&gt;*RECEIVED*",DEALS!$N:$N,"&lt;&gt;*EXECUTED*"))+SUM(SUMIFS(DEALS!$R:$R,DEALS!$A:$A,{"*REFUND*","*EXECUTED*"},DEALS!$O:$O,$B$58,DEALS!$E:$E,"&gt;="&amp;$C$60,DEALS!$E:$E,"&lt;="&amp;$U$60,DEALS!$S:$S,P$62,DEALS!$U:$U,$K80,DEALS!$V:$V,"&lt;&gt;*RECEIVED*",DEALS!$V:$V,"&lt;&gt;*EXECUTED*"))</f>
        <v>0</v>
      </c>
      <c r="Q80" s="32" cm="1">
        <f t="array" ref="Q80">SUMIFS(FLOWS!$C:$C,FLOWS!$A:$A,$B$58,FLOWS!$E:$E,$K80,FLOWS!$D:$D,Q$62,FLOWS!$H:$H,"&gt;="&amp;$C$60,FLOWS!$H:$H,"&lt;="&amp;$U$60)+SUM(SUMIFS(DEALS!$J:$J,DEALS!$A:$A,{"*REFUND*","*EXECUTED*"},DEALS!$G:$G,$B$58,DEALS!$E:$E,"&gt;="&amp;$C$60,DEALS!$E:$E,"&lt;="&amp;$U$60,DEALS!$K:$K,Q$62,DEALS!$M:$M,$K80,DEALS!$N:$N,"&lt;&gt;*RECEIVED*",DEALS!$N:$N,"&lt;&gt;*EXECUTED*"))+SUM(SUMIFS(DEALS!$R:$R,DEALS!$A:$A,{"*REFUND*","*EXECUTED*"},DEALS!$O:$O,$B$58,DEALS!$E:$E,"&gt;="&amp;$C$60,DEALS!$E:$E,"&lt;="&amp;$U$60,DEALS!$S:$S,Q$62,DEALS!$U:$U,$K80,DEALS!$V:$V,"&lt;&gt;*RECEIVED*",DEALS!$V:$V,"&lt;&gt;*EXECUTED*"))</f>
        <v>0</v>
      </c>
      <c r="R80" s="33">
        <f ca="1">L80*VLOOKUP(L$62,'FX RATES'!$E$1:$F$50,2,FALSE)+M80*VLOOKUP(M$62,'FX RATES'!$E$1:$F$50,2,FALSE)+N80*VLOOKUP(N$62,'FX RATES'!$E$1:$F$50,2,FALSE)+O80*VLOOKUP(O$62,'FX RATES'!$E$1:$F$50,2,FALSE)+P80*VLOOKUP(P$62,'FX RATES'!$E$1:$F$50,2,FALSE)+Q80*VLOOKUP(Q$62,'FX RATES'!$E$1:$F$50,2,FALSE)</f>
        <v>0</v>
      </c>
      <c r="T80" s="31">
        <f t="shared" si="25"/>
        <v>0</v>
      </c>
      <c r="U80" s="32" cm="1">
        <f t="array" ref="U80">SUMIFS(BALANCES!$C:$C,BALANCES!$A:$A,$B$58,BALANCES!$B:$B,$T80,BALANCES!$D:$D,U$62)+SUMIFS(FLOWS!$C:$C,FLOWS!$A:$A,$B$58,FLOWS!$E:$E,$T80,FLOWS!$D:$D,U$62,FLOWS!$H:$H,"&lt;="&amp;$U$60)+SUM(SUMIFS(DEALS!$J:$J,DEALS!$A:$A,{"*REFUND*","*EXECUTED*"},DEALS!$G:$G,$B$58,DEALS!$E:$E,"&lt;="&amp;$U$60,DEALS!$K:$K,U$62,DEALS!$M:$M,$T80,DEALS!$N:$N,"&lt;&gt;*RECEIVED*",DEALS!$N:$N,"&lt;&gt;*EXECUTED*"))+SUM(SUMIFS(DEALS!$R:$R,DEALS!$A:$A,{"*REFUND*","*EXECUTED*"},DEALS!$O:$O,$B$58,DEALS!$E:$E,"&lt;="&amp;$U$60,DEALS!$S:$S,U$62,DEALS!$U:$U,$T80,DEALS!$V:$V,"&lt;&gt;*RECEIVED*",DEALS!$V:$V,"&lt;&gt;*EXECUTED*"))</f>
        <v>0</v>
      </c>
      <c r="V80" s="32" cm="1">
        <f t="array" ref="V80">SUMIFS(BALANCES!$C:$C,BALANCES!$A:$A,$B$58,BALANCES!$B:$B,$T80,BALANCES!$D:$D,V$62)+SUMIFS(FLOWS!$C:$C,FLOWS!$A:$A,$B$58,FLOWS!$E:$E,$T80,FLOWS!$D:$D,V$62,FLOWS!$H:$H,"&lt;="&amp;$U$60)+SUM(SUMIFS(DEALS!$J:$J,DEALS!$A:$A,{"*REFUND*","*EXECUTED*"},DEALS!$G:$G,$B$58,DEALS!$E:$E,"&lt;="&amp;$U$60,DEALS!$K:$K,V$62,DEALS!$M:$M,$T80,DEALS!$N:$N,"&lt;&gt;*RECEIVED*",DEALS!$N:$N,"&lt;&gt;*EXECUTED*"))+SUM(SUMIFS(DEALS!$R:$R,DEALS!$A:$A,{"*REFUND*","*EXECUTED*"},DEALS!$O:$O,$B$58,DEALS!$E:$E,"&lt;="&amp;$U$60,DEALS!$S:$S,V$62,DEALS!$U:$U,$T80,DEALS!$V:$V,"&lt;&gt;*RECEIVED*",DEALS!$V:$V,"&lt;&gt;*EXECUTED*"))</f>
        <v>0</v>
      </c>
      <c r="W80" s="32" cm="1">
        <f t="array" ref="W80">SUMIFS(BALANCES!$C:$C,BALANCES!$A:$A,$B$58,BALANCES!$B:$B,$T80,BALANCES!$D:$D,W$62)+SUMIFS(FLOWS!$C:$C,FLOWS!$A:$A,$B$58,FLOWS!$E:$E,$T80,FLOWS!$D:$D,W$62,FLOWS!$H:$H,"&lt;="&amp;$U$60)+SUM(SUMIFS(DEALS!$J:$J,DEALS!$A:$A,{"*REFUND*","*EXECUTED*"},DEALS!$G:$G,$B$58,DEALS!$E:$E,"&lt;="&amp;$U$60,DEALS!$K:$K,W$62,DEALS!$M:$M,$T80,DEALS!$N:$N,"&lt;&gt;*RECEIVED*",DEALS!$N:$N,"&lt;&gt;*EXECUTED*"))+SUM(SUMIFS(DEALS!$R:$R,DEALS!$A:$A,{"*REFUND*","*EXECUTED*"},DEALS!$O:$O,$B$58,DEALS!$E:$E,"&lt;="&amp;$U$60,DEALS!$S:$S,W$62,DEALS!$U:$U,$T80,DEALS!$V:$V,"&lt;&gt;*RECEIVED*",DEALS!$V:$V,"&lt;&gt;*EXECUTED*"))</f>
        <v>0</v>
      </c>
      <c r="X80" s="32" cm="1">
        <f t="array" ref="X80">SUMIFS(BALANCES!$C:$C,BALANCES!$A:$A,$B$58,BALANCES!$B:$B,$T80,BALANCES!$D:$D,X$62)+SUMIFS(FLOWS!$C:$C,FLOWS!$A:$A,$B$58,FLOWS!$E:$E,$T80,FLOWS!$D:$D,X$62,FLOWS!$H:$H,"&lt;="&amp;$U$60)+SUM(SUMIFS(DEALS!$J:$J,DEALS!$A:$A,{"*REFUND*","*EXECUTED*"},DEALS!$G:$G,$B$58,DEALS!$E:$E,"&lt;="&amp;$U$60,DEALS!$K:$K,X$62,DEALS!$M:$M,$T80,DEALS!$N:$N,"&lt;&gt;*RECEIVED*",DEALS!$N:$N,"&lt;&gt;*EXECUTED*"))+SUM(SUMIFS(DEALS!$R:$R,DEALS!$A:$A,{"*REFUND*","*EXECUTED*"},DEALS!$O:$O,$B$58,DEALS!$E:$E,"&lt;="&amp;$U$60,DEALS!$S:$S,X$62,DEALS!$U:$U,$T80,DEALS!$V:$V,"&lt;&gt;*RECEIVED*",DEALS!$V:$V,"&lt;&gt;*EXECUTED*"))</f>
        <v>0</v>
      </c>
      <c r="Y80" s="32" cm="1">
        <f t="array" ref="Y80">SUMIFS(BALANCES!$C:$C,BALANCES!$A:$A,$B$58,BALANCES!$B:$B,$T80,BALANCES!$D:$D,Y$62)+SUMIFS(FLOWS!$C:$C,FLOWS!$A:$A,$B$58,FLOWS!$E:$E,$T80,FLOWS!$D:$D,Y$62,FLOWS!$H:$H,"&lt;="&amp;$U$60)+SUM(SUMIFS(DEALS!$J:$J,DEALS!$A:$A,{"*REFUND*","*EXECUTED*"},DEALS!$G:$G,$B$58,DEALS!$E:$E,"&lt;="&amp;$U$60,DEALS!$K:$K,Y$62,DEALS!$M:$M,$T80,DEALS!$N:$N,"&lt;&gt;*RECEIVED*",DEALS!$N:$N,"&lt;&gt;*EXECUTED*"))+SUM(SUMIFS(DEALS!$R:$R,DEALS!$A:$A,{"*REFUND*","*EXECUTED*"},DEALS!$O:$O,$B$58,DEALS!$E:$E,"&lt;="&amp;$U$60,DEALS!$S:$S,Y$62,DEALS!$U:$U,$T80,DEALS!$V:$V,"&lt;&gt;*RECEIVED*",DEALS!$V:$V,"&lt;&gt;*EXECUTED*"))</f>
        <v>0</v>
      </c>
      <c r="Z80" s="32" cm="1">
        <f t="array" ref="Z80">SUMIFS(BALANCES!$C:$C,BALANCES!$A:$A,$B$58,BALANCES!$B:$B,$T80,BALANCES!$D:$D,Z$62)+SUMIFS(FLOWS!$C:$C,FLOWS!$A:$A,$B$58,FLOWS!$E:$E,$T80,FLOWS!$D:$D,Z$62,FLOWS!$H:$H,"&lt;="&amp;$U$60)+SUM(SUMIFS(DEALS!$J:$J,DEALS!$A:$A,{"*REFUND*","*EXECUTED*"},DEALS!$G:$G,$B$58,DEALS!$E:$E,"&lt;="&amp;$U$60,DEALS!$K:$K,Z$62,DEALS!$M:$M,$T80,DEALS!$N:$N,"&lt;&gt;*RECEIVED*",DEALS!$N:$N,"&lt;&gt;*EXECUTED*"))+SUM(SUMIFS(DEALS!$R:$R,DEALS!$A:$A,{"*REFUND*","*EXECUTED*"},DEALS!$O:$O,$B$58,DEALS!$E:$E,"&lt;="&amp;$U$60,DEALS!$S:$S,Z$62,DEALS!$U:$U,$T80,DEALS!$V:$V,"&lt;&gt;*RECEIVED*",DEALS!$V:$V,"&lt;&gt;*EXECUTED*"))</f>
        <v>0</v>
      </c>
      <c r="AA80" s="33">
        <f ca="1">U80*VLOOKUP(U$62,'FX RATES'!$E$1:$F$50,2,FALSE)+V80*VLOOKUP(V$62,'FX RATES'!$E$1:$F$50,2,FALSE)+W80*VLOOKUP(W$62,'FX RATES'!$E$1:$F$50,2,FALSE)+X80*VLOOKUP(X$62,'FX RATES'!$E$1:$F$50,2,FALSE)+Y80*VLOOKUP(Y$62,'FX RATES'!$E$1:$F$50,2,FALSE)+Z80*VLOOKUP(Z$62,'FX RATES'!$E$1:$F$50,2,FALSE)</f>
        <v>0</v>
      </c>
      <c r="AC80" s="139">
        <f t="shared" ca="1" si="26"/>
        <v>0</v>
      </c>
    </row>
    <row r="81" spans="2:29" ht="22" thickBot="1">
      <c r="B81" s="13" t="s">
        <v>26</v>
      </c>
      <c r="C81" s="16">
        <f t="shared" ref="C81:H81" si="27">SUM(C63:C80)</f>
        <v>73965.06</v>
      </c>
      <c r="D81" s="16">
        <f t="shared" si="27"/>
        <v>956.16</v>
      </c>
      <c r="E81" s="16">
        <f t="shared" si="27"/>
        <v>0</v>
      </c>
      <c r="F81" s="16">
        <f>SUM(F63:F80)</f>
        <v>2794042.72</v>
      </c>
      <c r="G81" s="16">
        <f t="shared" si="27"/>
        <v>0</v>
      </c>
      <c r="H81" s="16">
        <f t="shared" si="27"/>
        <v>0</v>
      </c>
      <c r="I81" s="16">
        <f ca="1">SUM(I63:I80)</f>
        <v>835871.98610369989</v>
      </c>
      <c r="K81" s="13" t="s">
        <v>26</v>
      </c>
      <c r="L81" s="16">
        <f t="shared" ref="L81:R81" si="28">SUM(L63:L80)</f>
        <v>0</v>
      </c>
      <c r="M81" s="16">
        <f t="shared" si="28"/>
        <v>0</v>
      </c>
      <c r="N81" s="16">
        <f t="shared" si="28"/>
        <v>0</v>
      </c>
      <c r="O81" s="16">
        <f t="shared" si="28"/>
        <v>0</v>
      </c>
      <c r="P81" s="16">
        <f t="shared" si="28"/>
        <v>0</v>
      </c>
      <c r="Q81" s="16">
        <f t="shared" si="28"/>
        <v>0</v>
      </c>
      <c r="R81" s="16">
        <f t="shared" ca="1" si="28"/>
        <v>0</v>
      </c>
      <c r="T81" s="13" t="s">
        <v>26</v>
      </c>
      <c r="U81" s="16">
        <f t="shared" ref="U81:AA81" si="29">SUM(U63:U80)</f>
        <v>73965.06</v>
      </c>
      <c r="V81" s="16">
        <f t="shared" si="29"/>
        <v>956.16</v>
      </c>
      <c r="W81" s="16">
        <f t="shared" si="29"/>
        <v>0</v>
      </c>
      <c r="X81" s="16">
        <f t="shared" si="29"/>
        <v>2794042.72</v>
      </c>
      <c r="Y81" s="16">
        <f t="shared" si="29"/>
        <v>0</v>
      </c>
      <c r="Z81" s="16">
        <f t="shared" si="29"/>
        <v>0</v>
      </c>
      <c r="AA81" s="16">
        <f t="shared" ca="1" si="29"/>
        <v>835871.98610369989</v>
      </c>
      <c r="AC81" s="139">
        <f t="shared" ca="1" si="26"/>
        <v>0</v>
      </c>
    </row>
    <row r="82" spans="2:29" ht="22" thickBot="1">
      <c r="B82" s="10" t="s">
        <v>11</v>
      </c>
      <c r="C82" s="17">
        <f>VLOOKUP(C62,'FX RATES'!$E$1:$F$50,2,FALSE)*C81</f>
        <v>73965.06</v>
      </c>
      <c r="D82" s="17">
        <f ca="1">VLOOKUP(D62,'FX RATES'!$E$1:$F$50,2,FALSE)*D81</f>
        <v>1126.3564799999999</v>
      </c>
      <c r="E82" s="17">
        <f ca="1">VLOOKUP(E62,'FX RATES'!$E$1:$F$50,2,FALSE)*E81</f>
        <v>0</v>
      </c>
      <c r="F82" s="17">
        <f ca="1">VLOOKUP(F62,'FX RATES'!$E$1:$F$50,2,FALSE)*F81</f>
        <v>760780.56962369988</v>
      </c>
      <c r="G82" s="17">
        <f ca="1">VLOOKUP(G62,'FX RATES'!$E$1:$F$50,2,FALSE)*G81</f>
        <v>0</v>
      </c>
      <c r="H82" s="17">
        <f ca="1">VLOOKUP(H62,'FX RATES'!$E$1:$F$50,2,FALSE)*H81</f>
        <v>0</v>
      </c>
      <c r="I82" s="16">
        <f ca="1">SUM(C82:H82)</f>
        <v>835871.98610369989</v>
      </c>
      <c r="K82" s="10" t="s">
        <v>11</v>
      </c>
      <c r="L82" s="17">
        <f>VLOOKUP(L62,'FX RATES'!$E$1:$F$50,2,FALSE)*L81</f>
        <v>0</v>
      </c>
      <c r="M82" s="17">
        <f ca="1">VLOOKUP(M62,'FX RATES'!$E$1:$F$50,2,FALSE)*M81</f>
        <v>0</v>
      </c>
      <c r="N82" s="17">
        <f ca="1">VLOOKUP(N62,'FX RATES'!$E$1:$F$50,2,FALSE)*N81</f>
        <v>0</v>
      </c>
      <c r="O82" s="17">
        <f ca="1">VLOOKUP(O62,'FX RATES'!$E$1:$F$50,2,FALSE)*O81</f>
        <v>0</v>
      </c>
      <c r="P82" s="17">
        <f ca="1">VLOOKUP(P62,'FX RATES'!$E$1:$F$50,2,FALSE)*P81</f>
        <v>0</v>
      </c>
      <c r="Q82" s="17">
        <f ca="1">VLOOKUP(Q62,'FX RATES'!$E$1:$F$50,2,FALSE)*Q81</f>
        <v>0</v>
      </c>
      <c r="R82" s="16">
        <f ca="1">SUM(L82:Q82)</f>
        <v>0</v>
      </c>
      <c r="T82" s="10" t="s">
        <v>11</v>
      </c>
      <c r="U82" s="17">
        <f>VLOOKUP(U62,'FX RATES'!$E$1:$F$50,2,FALSE)*U81</f>
        <v>73965.06</v>
      </c>
      <c r="V82" s="17">
        <f ca="1">VLOOKUP(V62,'FX RATES'!$E$1:$F$50,2,FALSE)*V81</f>
        <v>1126.3564799999999</v>
      </c>
      <c r="W82" s="17">
        <f ca="1">VLOOKUP(W62,'FX RATES'!$E$1:$F$50,2,FALSE)*W81</f>
        <v>0</v>
      </c>
      <c r="X82" s="17">
        <f ca="1">VLOOKUP(X62,'FX RATES'!$E$1:$F$50,2,FALSE)*X81</f>
        <v>760780.56962369988</v>
      </c>
      <c r="Y82" s="17">
        <f ca="1">VLOOKUP(Y62,'FX RATES'!$E$1:$F$50,2,FALSE)*Y81</f>
        <v>0</v>
      </c>
      <c r="Z82" s="17">
        <f ca="1">VLOOKUP(Z62,'FX RATES'!$E$1:$F$50,2,FALSE)*Z81</f>
        <v>0</v>
      </c>
      <c r="AA82" s="16">
        <f ca="1">SUM(U82:Z82)</f>
        <v>835871.98610369989</v>
      </c>
      <c r="AC82" s="139">
        <f t="shared" ca="1" si="26"/>
        <v>0</v>
      </c>
    </row>
    <row r="86" spans="2:29" ht="25" thickBot="1">
      <c r="B86" s="593" t="s">
        <v>32</v>
      </c>
      <c r="C86" s="593"/>
      <c r="D86" s="593"/>
      <c r="E86" s="593"/>
      <c r="F86" s="593"/>
      <c r="G86" s="593"/>
      <c r="H86" s="593"/>
      <c r="I86" s="593"/>
      <c r="K86" s="593" t="str">
        <f>B86</f>
        <v>OWL+VST+AWB</v>
      </c>
      <c r="L86" s="593"/>
      <c r="M86" s="593"/>
      <c r="N86" s="593"/>
      <c r="O86" s="593"/>
      <c r="P86" s="593"/>
      <c r="Q86" s="593"/>
      <c r="R86" s="593"/>
      <c r="T86" s="593" t="str">
        <f>B86</f>
        <v>OWL+VST+AWB</v>
      </c>
      <c r="U86" s="593"/>
      <c r="V86" s="593"/>
      <c r="W86" s="593"/>
      <c r="X86" s="593"/>
      <c r="Y86" s="593"/>
      <c r="Z86" s="593"/>
      <c r="AA86" s="593"/>
    </row>
    <row r="88" spans="2:29" ht="21">
      <c r="B88" s="9" t="s">
        <v>1</v>
      </c>
      <c r="C88" s="91">
        <f>BALANCES!B1</f>
        <v>46073</v>
      </c>
      <c r="K88" s="56" t="s">
        <v>2</v>
      </c>
      <c r="L88" s="110">
        <f>C88</f>
        <v>46073</v>
      </c>
      <c r="M88" s="144" t="s">
        <v>3</v>
      </c>
      <c r="N88" s="110">
        <f>U88</f>
        <v>46081</v>
      </c>
      <c r="O88" s="140"/>
      <c r="P88" s="140"/>
      <c r="Q88" s="140"/>
      <c r="R88" s="20"/>
      <c r="T88" s="9" t="s">
        <v>1</v>
      </c>
      <c r="U88" s="90">
        <f>U4</f>
        <v>46081</v>
      </c>
    </row>
    <row r="89" spans="2:29" ht="22" thickBot="1">
      <c r="B89" s="14"/>
      <c r="C89" s="15"/>
      <c r="D89" s="15"/>
      <c r="E89" s="15"/>
      <c r="F89" s="15"/>
      <c r="G89" s="15"/>
      <c r="H89" s="15"/>
      <c r="I89" s="15"/>
      <c r="K89" s="23"/>
      <c r="L89" s="24"/>
      <c r="M89" s="24"/>
      <c r="N89" s="24"/>
      <c r="O89" s="24"/>
      <c r="P89" s="24"/>
      <c r="Q89" s="24"/>
      <c r="R89" s="25"/>
      <c r="T89" s="14"/>
      <c r="U89" s="15"/>
      <c r="V89" s="15"/>
      <c r="W89" s="15"/>
      <c r="X89" s="15"/>
      <c r="Y89" s="15"/>
      <c r="Z89" s="15"/>
      <c r="AA89" s="15"/>
    </row>
    <row r="90" spans="2:29" ht="22" thickBot="1">
      <c r="B90" s="10" t="s">
        <v>33</v>
      </c>
      <c r="C90" s="11" t="s">
        <v>5</v>
      </c>
      <c r="D90" s="11" t="s">
        <v>6</v>
      </c>
      <c r="E90" s="11" t="s">
        <v>7</v>
      </c>
      <c r="F90" s="11" t="s">
        <v>8</v>
      </c>
      <c r="G90" s="11" t="s">
        <v>9</v>
      </c>
      <c r="H90" s="11" t="s">
        <v>10</v>
      </c>
      <c r="I90" s="12" t="s">
        <v>11</v>
      </c>
      <c r="K90" s="10" t="s">
        <v>33</v>
      </c>
      <c r="L90" s="11" t="str">
        <f t="shared" ref="L90:Q90" si="30">C90</f>
        <v>USD</v>
      </c>
      <c r="M90" s="11" t="str">
        <f t="shared" si="30"/>
        <v>EUR</v>
      </c>
      <c r="N90" s="11" t="str">
        <f t="shared" si="30"/>
        <v>CNY</v>
      </c>
      <c r="O90" s="11" t="str">
        <f t="shared" si="30"/>
        <v>AED</v>
      </c>
      <c r="P90" s="11" t="str">
        <f t="shared" si="30"/>
        <v>RUB</v>
      </c>
      <c r="Q90" s="11" t="str">
        <f t="shared" si="30"/>
        <v>OMR</v>
      </c>
      <c r="R90" s="12" t="s">
        <v>11</v>
      </c>
      <c r="T90" s="10" t="s">
        <v>33</v>
      </c>
      <c r="U90" s="11" t="str">
        <f t="shared" ref="U90:Z90" si="31">C90</f>
        <v>USD</v>
      </c>
      <c r="V90" s="11" t="str">
        <f t="shared" si="31"/>
        <v>EUR</v>
      </c>
      <c r="W90" s="11" t="str">
        <f t="shared" si="31"/>
        <v>CNY</v>
      </c>
      <c r="X90" s="11" t="str">
        <f t="shared" si="31"/>
        <v>AED</v>
      </c>
      <c r="Y90" s="11" t="str">
        <f t="shared" si="31"/>
        <v>RUB</v>
      </c>
      <c r="Z90" s="11" t="str">
        <f t="shared" si="31"/>
        <v>OMR</v>
      </c>
      <c r="AA90" s="12" t="s">
        <v>11</v>
      </c>
      <c r="AC90" s="40" t="s">
        <v>12</v>
      </c>
    </row>
    <row r="91" spans="2:29" s="35" customFormat="1" ht="21">
      <c r="B91" s="141" t="s">
        <v>26</v>
      </c>
      <c r="C91" s="142">
        <f t="shared" ref="C91:I92" si="32">C25+C53+C81</f>
        <v>3643769.9149999996</v>
      </c>
      <c r="D91" s="142">
        <f t="shared" si="32"/>
        <v>14925.48</v>
      </c>
      <c r="E91" s="142">
        <f t="shared" si="32"/>
        <v>106400.20000000001</v>
      </c>
      <c r="F91" s="142">
        <f t="shared" si="32"/>
        <v>1820019.7700000005</v>
      </c>
      <c r="G91" s="142">
        <f t="shared" si="32"/>
        <v>974455.31</v>
      </c>
      <c r="H91" s="142">
        <f t="shared" si="32"/>
        <v>3172.951</v>
      </c>
      <c r="I91" s="142">
        <f t="shared" ca="1" si="32"/>
        <v>4193266.6422881116</v>
      </c>
      <c r="K91" s="141" t="s">
        <v>26</v>
      </c>
      <c r="L91" s="142">
        <f t="shared" ref="L91:R92" si="33">L25+L53+L81</f>
        <v>3012058.33</v>
      </c>
      <c r="M91" s="142">
        <f t="shared" si="33"/>
        <v>0</v>
      </c>
      <c r="N91" s="142">
        <f t="shared" si="33"/>
        <v>0</v>
      </c>
      <c r="O91" s="142">
        <f t="shared" si="33"/>
        <v>0</v>
      </c>
      <c r="P91" s="142">
        <f t="shared" si="33"/>
        <v>0</v>
      </c>
      <c r="Q91" s="142">
        <f t="shared" si="33"/>
        <v>0</v>
      </c>
      <c r="R91" s="142">
        <f t="shared" ca="1" si="33"/>
        <v>3012058.33</v>
      </c>
      <c r="T91" s="141" t="s">
        <v>26</v>
      </c>
      <c r="U91" s="142">
        <f t="shared" ref="U91:AA92" si="34">U25+U53+U81</f>
        <v>6655828.2449999992</v>
      </c>
      <c r="V91" s="142">
        <f t="shared" si="34"/>
        <v>14925.48</v>
      </c>
      <c r="W91" s="142">
        <f t="shared" si="34"/>
        <v>106400.20000000001</v>
      </c>
      <c r="X91" s="142">
        <f t="shared" si="34"/>
        <v>1820019.7700000005</v>
      </c>
      <c r="Y91" s="142">
        <f t="shared" si="34"/>
        <v>974455.31</v>
      </c>
      <c r="Z91" s="142">
        <f t="shared" si="34"/>
        <v>3172.951</v>
      </c>
      <c r="AA91" s="142">
        <f t="shared" ca="1" si="34"/>
        <v>7205324.9722881122</v>
      </c>
      <c r="AC91" s="139">
        <f ca="1">I91+R91-AA91</f>
        <v>0</v>
      </c>
    </row>
    <row r="92" spans="2:29" ht="22" thickBot="1">
      <c r="B92" s="10" t="s">
        <v>11</v>
      </c>
      <c r="C92" s="16">
        <f t="shared" si="32"/>
        <v>3643769.9149999996</v>
      </c>
      <c r="D92" s="16">
        <f t="shared" ca="1" si="32"/>
        <v>17582.215439999996</v>
      </c>
      <c r="E92" s="16">
        <f t="shared" ca="1" si="32"/>
        <v>15402.4609148813</v>
      </c>
      <c r="F92" s="16">
        <f t="shared" ca="1" si="32"/>
        <v>495567.11049392819</v>
      </c>
      <c r="G92" s="16">
        <f t="shared" ca="1" si="32"/>
        <v>12701.368082846177</v>
      </c>
      <c r="H92" s="16">
        <f t="shared" ca="1" si="32"/>
        <v>8243.5723564562213</v>
      </c>
      <c r="I92" s="16">
        <f t="shared" ca="1" si="32"/>
        <v>4193266.6422881125</v>
      </c>
      <c r="K92" s="10" t="s">
        <v>11</v>
      </c>
      <c r="L92" s="16">
        <f t="shared" si="33"/>
        <v>3012058.33</v>
      </c>
      <c r="M92" s="16">
        <f t="shared" ca="1" si="33"/>
        <v>0</v>
      </c>
      <c r="N92" s="16">
        <f t="shared" ca="1" si="33"/>
        <v>0</v>
      </c>
      <c r="O92" s="16">
        <f t="shared" ca="1" si="33"/>
        <v>0</v>
      </c>
      <c r="P92" s="16">
        <f t="shared" ca="1" si="33"/>
        <v>0</v>
      </c>
      <c r="Q92" s="16">
        <f t="shared" ca="1" si="33"/>
        <v>0</v>
      </c>
      <c r="R92" s="16">
        <f t="shared" ca="1" si="33"/>
        <v>3012058.33</v>
      </c>
      <c r="T92" s="10" t="s">
        <v>11</v>
      </c>
      <c r="U92" s="16">
        <f t="shared" si="34"/>
        <v>6655828.2449999992</v>
      </c>
      <c r="V92" s="16">
        <f t="shared" ca="1" si="34"/>
        <v>17582.215439999996</v>
      </c>
      <c r="W92" s="16">
        <f t="shared" ca="1" si="34"/>
        <v>15402.4609148813</v>
      </c>
      <c r="X92" s="16">
        <f t="shared" ca="1" si="34"/>
        <v>495567.11049392819</v>
      </c>
      <c r="Y92" s="16">
        <f t="shared" ca="1" si="34"/>
        <v>12701.368082846177</v>
      </c>
      <c r="Z92" s="16">
        <f t="shared" ca="1" si="34"/>
        <v>8243.5723564562213</v>
      </c>
      <c r="AA92" s="16">
        <f t="shared" ca="1" si="34"/>
        <v>7205324.9722881112</v>
      </c>
      <c r="AC92" s="139">
        <f ca="1">I92+R92-AA92</f>
        <v>0</v>
      </c>
    </row>
    <row r="93" spans="2:29" ht="21">
      <c r="B93" s="9"/>
      <c r="C93" s="140"/>
      <c r="D93" s="140"/>
      <c r="E93" s="140"/>
      <c r="F93" s="140"/>
      <c r="G93" s="140"/>
      <c r="H93" s="20"/>
      <c r="I93" s="20"/>
      <c r="T93" s="8"/>
    </row>
    <row r="94" spans="2:29" ht="21">
      <c r="H94" s="20"/>
      <c r="I94" s="20"/>
      <c r="T94" s="8"/>
    </row>
    <row r="95" spans="2:29" ht="21">
      <c r="I95" s="20"/>
    </row>
    <row r="96" spans="2:29" ht="25" thickBot="1">
      <c r="B96" s="593" t="s">
        <v>34</v>
      </c>
      <c r="C96" s="593"/>
      <c r="D96" s="593"/>
      <c r="E96" s="593"/>
      <c r="F96" s="593"/>
      <c r="G96" s="593"/>
      <c r="H96" s="593"/>
      <c r="I96" s="593"/>
      <c r="J96" s="137"/>
      <c r="K96" s="593" t="str">
        <f>B96</f>
        <v>NLK</v>
      </c>
      <c r="L96" s="593"/>
      <c r="M96" s="593"/>
      <c r="N96" s="593"/>
      <c r="O96" s="593"/>
      <c r="P96" s="593"/>
      <c r="Q96" s="593"/>
      <c r="R96" s="593"/>
      <c r="S96" s="137"/>
      <c r="T96" s="593" t="str">
        <f>B96</f>
        <v>NLK</v>
      </c>
      <c r="U96" s="593"/>
      <c r="V96" s="593"/>
      <c r="W96" s="593"/>
      <c r="X96" s="593"/>
      <c r="Y96" s="593"/>
      <c r="Z96" s="593"/>
      <c r="AA96" s="593"/>
    </row>
    <row r="97" spans="2:29" ht="19"/>
    <row r="98" spans="2:29" ht="21">
      <c r="B98" s="9" t="s">
        <v>1</v>
      </c>
      <c r="C98" s="91">
        <f>BALANCES!B1</f>
        <v>46073</v>
      </c>
      <c r="K98" s="56" t="s">
        <v>2</v>
      </c>
      <c r="L98" s="110">
        <f>C98</f>
        <v>46073</v>
      </c>
      <c r="M98" s="143" t="s">
        <v>3</v>
      </c>
      <c r="N98" s="110">
        <f>U98</f>
        <v>46081</v>
      </c>
      <c r="O98" s="19"/>
      <c r="P98" s="19"/>
      <c r="Q98" s="19"/>
      <c r="R98" s="20"/>
      <c r="T98" s="9" t="s">
        <v>1</v>
      </c>
      <c r="U98" s="90">
        <f>U4</f>
        <v>46081</v>
      </c>
    </row>
    <row r="100" spans="2:29" ht="22" thickBot="1">
      <c r="B100" s="10" t="s">
        <v>4</v>
      </c>
      <c r="C100" s="11" t="s">
        <v>5</v>
      </c>
      <c r="D100" s="11" t="s">
        <v>6</v>
      </c>
      <c r="E100" s="11" t="s">
        <v>7</v>
      </c>
      <c r="F100" s="11" t="s">
        <v>8</v>
      </c>
      <c r="G100" s="11" t="s">
        <v>9</v>
      </c>
      <c r="H100" s="11" t="s">
        <v>35</v>
      </c>
      <c r="I100" s="12" t="s">
        <v>11</v>
      </c>
      <c r="K100" s="10" t="s">
        <v>4</v>
      </c>
      <c r="L100" s="11" t="str">
        <f t="shared" ref="L100:Q100" si="35">C100</f>
        <v>USD</v>
      </c>
      <c r="M100" s="11" t="str">
        <f t="shared" si="35"/>
        <v>EUR</v>
      </c>
      <c r="N100" s="11" t="str">
        <f t="shared" si="35"/>
        <v>CNY</v>
      </c>
      <c r="O100" s="11" t="str">
        <f t="shared" si="35"/>
        <v>AED</v>
      </c>
      <c r="P100" s="11" t="str">
        <f t="shared" si="35"/>
        <v>RUB</v>
      </c>
      <c r="Q100" s="11" t="str">
        <f t="shared" si="35"/>
        <v>HKD</v>
      </c>
      <c r="R100" s="12" t="s">
        <v>11</v>
      </c>
      <c r="T100" s="10" t="s">
        <v>4</v>
      </c>
      <c r="U100" s="11" t="str">
        <f t="shared" ref="U100:Z100" si="36">C100</f>
        <v>USD</v>
      </c>
      <c r="V100" s="11" t="str">
        <f t="shared" si="36"/>
        <v>EUR</v>
      </c>
      <c r="W100" s="11" t="str">
        <f t="shared" si="36"/>
        <v>CNY</v>
      </c>
      <c r="X100" s="11" t="str">
        <f t="shared" si="36"/>
        <v>AED</v>
      </c>
      <c r="Y100" s="11" t="str">
        <f t="shared" si="36"/>
        <v>RUB</v>
      </c>
      <c r="Z100" s="11" t="str">
        <f t="shared" si="36"/>
        <v>HKD</v>
      </c>
      <c r="AA100" s="12" t="s">
        <v>11</v>
      </c>
      <c r="AC100" s="40" t="s">
        <v>12</v>
      </c>
    </row>
    <row r="101" spans="2:29" ht="19">
      <c r="B101" s="28" t="s">
        <v>13</v>
      </c>
      <c r="C101" s="29" cm="1">
        <f t="array" ref="C101">SUMIFS(BALANCES!$C:$C,BALANCES!$A:$A,$B$96,BALANCES!$B:$B,$B101,BALANCES!$D:$D,C$100)+SUMIFS(FLOWS!$C:$C,FLOWS!$A:$A,$B$96,FLOWS!$E:$E,$B101,FLOWS!$D:$D,C$100,FLOWS!$H:$H,"&lt;"&amp;$C$98)+SUM(SUMIFS(DEALS!$J:$J,DEALS!$A:$A,{"*REFUND*","*EXECUTED*"},DEALS!$G:$G,$B$96,DEALS!$E:$E,"&lt;"&amp;$C$98,DEALS!$K:$K,C$100,DEALS!$M:$M,$B101,DEALS!$N:$N,"&lt;&gt;*RECEIVED*",DEALS!$N:$N,"&lt;&gt;*EXECUTED*"))+SUM(SUMIFS(DEALS!$R:$R,DEALS!$A:$A,{"*REFUND*","*EXECUTED*"},DEALS!$O:$O,$B$96,DEALS!$E:$E,"&lt;"&amp;$C$98,DEALS!$S:$S,C$100,DEALS!$U:$U,$B101,DEALS!$V:$V,"&lt;&gt;*RECEIVED*",DEALS!$V:$V,"&lt;&gt;*EXECUTED*"))</f>
        <v>54688.97</v>
      </c>
      <c r="D101" s="29" cm="1">
        <f t="array" ref="D101">SUMIFS(BALANCES!$C:$C,BALANCES!$A:$A,$B$96,BALANCES!$B:$B,$B101,BALANCES!$D:$D,D$100)+SUMIFS(FLOWS!$C:$C,FLOWS!$A:$A,$B$96,FLOWS!$E:$E,$B101,FLOWS!$D:$D,D$100,FLOWS!$H:$H,"&lt;"&amp;$C$98)+SUM(SUMIFS(DEALS!$J:$J,DEALS!$A:$A,{"*REFUND*","*EXECUTED*"},DEALS!$G:$G,$B$96,DEALS!$E:$E,"&lt;"&amp;$C$98,DEALS!$K:$K,D$100,DEALS!$M:$M,$B101,DEALS!$N:$N,"&lt;&gt;*RECEIVED*",DEALS!$N:$N,"&lt;&gt;*EXECUTED*"))+SUM(SUMIFS(DEALS!$R:$R,DEALS!$A:$A,{"*REFUND*","*EXECUTED*"},DEALS!$O:$O,$B$96,DEALS!$E:$E,"&lt;"&amp;$C$98,DEALS!$S:$S,D$100,DEALS!$U:$U,$B101,DEALS!$V:$V,"&lt;&gt;*RECEIVED*",DEALS!$V:$V,"&lt;&gt;*EXECUTED*"))</f>
        <v>0</v>
      </c>
      <c r="E101" s="29" cm="1">
        <f t="array" ref="E101">SUMIFS(BALANCES!$C:$C,BALANCES!$A:$A,$B$96,BALANCES!$B:$B,$B101,BALANCES!$D:$D,E$100)+SUMIFS(FLOWS!$C:$C,FLOWS!$A:$A,$B$96,FLOWS!$E:$E,$B101,FLOWS!$D:$D,E$100,FLOWS!$H:$H,"&lt;"&amp;$C$98)+SUM(SUMIFS(DEALS!$J:$J,DEALS!$A:$A,{"*REFUND*","*EXECUTED*"},DEALS!$G:$G,$B$96,DEALS!$E:$E,"&lt;"&amp;$C$98,DEALS!$K:$K,E$100,DEALS!$M:$M,$B101,DEALS!$N:$N,"&lt;&gt;*RECEIVED*",DEALS!$N:$N,"&lt;&gt;*EXECUTED*"))+SUM(SUMIFS(DEALS!$R:$R,DEALS!$A:$A,{"*REFUND*","*EXECUTED*"},DEALS!$O:$O,$B$96,DEALS!$E:$E,"&lt;"&amp;$C$98,DEALS!$S:$S,E$100,DEALS!$U:$U,$B101,DEALS!$V:$V,"&lt;&gt;*RECEIVED*",DEALS!$V:$V,"&lt;&gt;*EXECUTED*"))</f>
        <v>0</v>
      </c>
      <c r="F101" s="29" cm="1">
        <f t="array" ref="F101">SUMIFS(BALANCES!$C:$C,BALANCES!$A:$A,$B$96,BALANCES!$B:$B,$B101,BALANCES!$D:$D,F$100)+SUMIFS(FLOWS!$C:$C,FLOWS!$A:$A,$B$96,FLOWS!$E:$E,$B101,FLOWS!$D:$D,F$100,FLOWS!$H:$H,"&lt;"&amp;$C$98)+SUM(SUMIFS(DEALS!$J:$J,DEALS!$A:$A,{"*REFUND*","*EXECUTED*"},DEALS!$G:$G,$B$96,DEALS!$E:$E,"&lt;"&amp;$C$98,DEALS!$K:$K,F$100,DEALS!$M:$M,$B101,DEALS!$N:$N,"&lt;&gt;*RECEIVED*",DEALS!$N:$N,"&lt;&gt;*EXECUTED*"))+SUM(SUMIFS(DEALS!$R:$R,DEALS!$A:$A,{"*REFUND*","*EXECUTED*"},DEALS!$O:$O,$B$96,DEALS!$E:$E,"&lt;"&amp;$C$98,DEALS!$S:$S,F$100,DEALS!$U:$U,$B101,DEALS!$V:$V,"&lt;&gt;*RECEIVED*",DEALS!$V:$V,"&lt;&gt;*EXECUTED*"))</f>
        <v>406152.88</v>
      </c>
      <c r="G101" s="29" cm="1">
        <f t="array" ref="G101">SUMIFS(BALANCES!$C:$C,BALANCES!$A:$A,$B$96,BALANCES!$B:$B,$B101,BALANCES!$D:$D,G$100)+SUMIFS(FLOWS!$C:$C,FLOWS!$A:$A,$B$96,FLOWS!$E:$E,$B101,FLOWS!$D:$D,G$100,FLOWS!$H:$H,"&lt;"&amp;$C$98)+SUM(SUMIFS(DEALS!$J:$J,DEALS!$A:$A,{"*REFUND*","*EXECUTED*"},DEALS!$G:$G,$B$96,DEALS!$E:$E,"&lt;"&amp;$C$98,DEALS!$K:$K,G$100,DEALS!$M:$M,$B101,DEALS!$N:$N,"&lt;&gt;*RECEIVED*",DEALS!$N:$N,"&lt;&gt;*EXECUTED*"))+SUM(SUMIFS(DEALS!$R:$R,DEALS!$A:$A,{"*REFUND*","*EXECUTED*"},DEALS!$O:$O,$B$96,DEALS!$E:$E,"&lt;"&amp;$C$98,DEALS!$S:$S,G$100,DEALS!$U:$U,$B101,DEALS!$V:$V,"&lt;&gt;*RECEIVED*",DEALS!$V:$V,"&lt;&gt;*EXECUTED*"))</f>
        <v>0</v>
      </c>
      <c r="H101" s="29" cm="1">
        <f t="array" ref="H101">SUMIFS(BALANCES!$C:$C,BALANCES!$A:$A,$B$96,BALANCES!$B:$B,$B101,BALANCES!$D:$D,H$100)+SUMIFS(FLOWS!$C:$C,FLOWS!$A:$A,$B$96,FLOWS!$E:$E,$B101,FLOWS!$D:$D,H$100,FLOWS!$H:$H,"&lt;"&amp;$C$98)+SUM(SUMIFS(DEALS!$J:$J,DEALS!$A:$A,{"*REFUND*","*EXECUTED*"},DEALS!$G:$G,$B$96,DEALS!$E:$E,"&lt;"&amp;$C$98,DEALS!$K:$K,H$100,DEALS!$M:$M,$B101,DEALS!$N:$N,"&lt;&gt;*RECEIVED*",DEALS!$N:$N,"&lt;&gt;*EXECUTED*"))+SUM(SUMIFS(DEALS!$R:$R,DEALS!$A:$A,{"*REFUND*","*EXECUTED*"},DEALS!$O:$O,$B$96,DEALS!$E:$E,"&lt;"&amp;$C$98,DEALS!$S:$S,H$100,DEALS!$U:$U,$B101,DEALS!$V:$V,"&lt;&gt;*RECEIVED*",DEALS!$V:$V,"&lt;&gt;*EXECUTED*"))</f>
        <v>0</v>
      </c>
      <c r="I101" s="30">
        <f ca="1">C101*VLOOKUP(C$100,'FX RATES'!$E$1:$F$50,2,FALSE)+D101*VLOOKUP(D$100,'FX RATES'!$E$1:$F$50,2,FALSE)+E101*VLOOKUP(E$100,'FX RATES'!$E$1:$F$50,2,FALSE)+F101*VLOOKUP(F$100,'FX RATES'!$E$1:$F$50,2,FALSE)+G101*VLOOKUP(G$100,'FX RATES'!$E$1:$F$50,2,FALSE)+H101*VLOOKUP(H$100,'FX RATES'!$E$1:$F$50,2,FALSE)</f>
        <v>165278.9825251865</v>
      </c>
      <c r="K101" s="28" t="str">
        <f t="shared" ref="K101:K118" si="37">B101</f>
        <v>EMLAK</v>
      </c>
      <c r="L101" s="29" cm="1">
        <f t="array" ref="L101">SUMIFS(FLOWS!$C:$C,FLOWS!$A:$A,$B$96,FLOWS!$E:$E,$K101,FLOWS!$D:$D,L$100,FLOWS!$H:$H,"&gt;="&amp;$C$98,FLOWS!$H:$H,"&lt;="&amp;$U$98)+SUM(SUMIFS(DEALS!$J:$J,DEALS!$A:$A,{"*REFUND*","*EXECUTED*"},DEALS!$G:$G,$B$96,DEALS!$E:$E,"&gt;="&amp;$C$98,DEALS!$E:$E,"&lt;="&amp;$U$98,DEALS!$K:$K,L$100,DEALS!$M:$M,$K101,DEALS!$N:$N,"&lt;&gt;*RECEIVED*",DEALS!$N:$N,"&lt;&gt;*EXECUTED*"))+SUM(SUMIFS(DEALS!$R:$R,DEALS!$A:$A,{"*REFUND*","*EXECUTED*"},DEALS!$O:$O,$B$96,DEALS!$E:$E,"&gt;="&amp;$C$98,DEALS!$E:$E,"&lt;="&amp;$U$98,DEALS!$S:$S,L$100,DEALS!$U:$U,$K101,DEALS!$V:$V,"&lt;&gt;*RECEIVED*",DEALS!$V:$V,"&lt;&gt;*EXECUTED*"))</f>
        <v>0</v>
      </c>
      <c r="M101" s="29" cm="1">
        <f t="array" ref="M101">SUMIFS(FLOWS!$C:$C,FLOWS!$A:$A,$B$96,FLOWS!$E:$E,$K101,FLOWS!$D:$D,M$100,FLOWS!$H:$H,"&gt;="&amp;$C$98,FLOWS!$H:$H,"&lt;="&amp;$U$98)+SUM(SUMIFS(DEALS!$J:$J,DEALS!$A:$A,{"*REFUND*","*EXECUTED*"},DEALS!$G:$G,$B$96,DEALS!$E:$E,"&gt;="&amp;$C$98,DEALS!$E:$E,"&lt;="&amp;$U$98,DEALS!$K:$K,M$100,DEALS!$M:$M,$K101,DEALS!$N:$N,"&lt;&gt;*RECEIVED*",DEALS!$N:$N,"&lt;&gt;*EXECUTED*"))+SUM(SUMIFS(DEALS!$R:$R,DEALS!$A:$A,{"*REFUND*","*EXECUTED*"},DEALS!$O:$O,$B$96,DEALS!$E:$E,"&gt;="&amp;$C$98,DEALS!$E:$E,"&lt;="&amp;$U$98,DEALS!$S:$S,M$100,DEALS!$U:$U,$K101,DEALS!$V:$V,"&lt;&gt;*RECEIVED*",DEALS!$V:$V,"&lt;&gt;*EXECUTED*"))</f>
        <v>0</v>
      </c>
      <c r="N101" s="29" cm="1">
        <f t="array" ref="N101">SUMIFS(FLOWS!$C:$C,FLOWS!$A:$A,$B$96,FLOWS!$E:$E,$K101,FLOWS!$D:$D,N$100,FLOWS!$H:$H,"&gt;="&amp;$C$98,FLOWS!$H:$H,"&lt;="&amp;$U$98)+SUM(SUMIFS(DEALS!$J:$J,DEALS!$A:$A,{"*REFUND*","*EXECUTED*"},DEALS!$G:$G,$B$96,DEALS!$E:$E,"&gt;="&amp;$C$98,DEALS!$E:$E,"&lt;="&amp;$U$98,DEALS!$K:$K,N$100,DEALS!$M:$M,$K101,DEALS!$N:$N,"&lt;&gt;*RECEIVED*",DEALS!$N:$N,"&lt;&gt;*EXECUTED*"))+SUM(SUMIFS(DEALS!$R:$R,DEALS!$A:$A,{"*REFUND*","*EXECUTED*"},DEALS!$O:$O,$B$96,DEALS!$E:$E,"&gt;="&amp;$C$98,DEALS!$E:$E,"&lt;="&amp;$U$98,DEALS!$S:$S,N$100,DEALS!$U:$U,$K101,DEALS!$V:$V,"&lt;&gt;*RECEIVED*",DEALS!$V:$V,"&lt;&gt;*EXECUTED*"))</f>
        <v>0</v>
      </c>
      <c r="O101" s="29" cm="1">
        <f t="array" ref="O101">SUMIFS(FLOWS!$C:$C,FLOWS!$A:$A,$B$96,FLOWS!$E:$E,$K101,FLOWS!$D:$D,O$100,FLOWS!$H:$H,"&gt;="&amp;$C$98,FLOWS!$H:$H,"&lt;="&amp;$U$98)+SUM(SUMIFS(DEALS!$J:$J,DEALS!$A:$A,{"*REFUND*","*EXECUTED*"},DEALS!$G:$G,$B$96,DEALS!$E:$E,"&gt;="&amp;$C$98,DEALS!$E:$E,"&lt;="&amp;$U$98,DEALS!$K:$K,O$100,DEALS!$M:$M,$K101,DEALS!$N:$N,"&lt;&gt;*RECEIVED*",DEALS!$N:$N,"&lt;&gt;*EXECUTED*"))+SUM(SUMIFS(DEALS!$R:$R,DEALS!$A:$A,{"*REFUND*","*EXECUTED*"},DEALS!$O:$O,$B$96,DEALS!$E:$E,"&gt;="&amp;$C$98,DEALS!$E:$E,"&lt;="&amp;$U$98,DEALS!$S:$S,O$100,DEALS!$U:$U,$K101,DEALS!$V:$V,"&lt;&gt;*RECEIVED*",DEALS!$V:$V,"&lt;&gt;*EXECUTED*"))</f>
        <v>0</v>
      </c>
      <c r="P101" s="29" cm="1">
        <f t="array" ref="P101">SUMIFS(FLOWS!$C:$C,FLOWS!$A:$A,$B$96,FLOWS!$E:$E,$K101,FLOWS!$D:$D,P$100,FLOWS!$H:$H,"&gt;="&amp;$C$98,FLOWS!$H:$H,"&lt;="&amp;$U$98)+SUM(SUMIFS(DEALS!$J:$J,DEALS!$A:$A,{"*REFUND*","*EXECUTED*"},DEALS!$G:$G,$B$96,DEALS!$E:$E,"&gt;="&amp;$C$98,DEALS!$E:$E,"&lt;="&amp;$U$98,DEALS!$K:$K,P$100,DEALS!$M:$M,$K101,DEALS!$N:$N,"&lt;&gt;*RECEIVED*",DEALS!$N:$N,"&lt;&gt;*EXECUTED*"))+SUM(SUMIFS(DEALS!$R:$R,DEALS!$A:$A,{"*REFUND*","*EXECUTED*"},DEALS!$O:$O,$B$96,DEALS!$E:$E,"&gt;="&amp;$C$98,DEALS!$E:$E,"&lt;="&amp;$U$98,DEALS!$S:$S,P$100,DEALS!$U:$U,$K101,DEALS!$V:$V,"&lt;&gt;*RECEIVED*",DEALS!$V:$V,"&lt;&gt;*EXECUTED*"))</f>
        <v>0</v>
      </c>
      <c r="Q101" s="29" cm="1">
        <f t="array" ref="Q101">SUMIFS(FLOWS!$C:$C,FLOWS!$A:$A,$B$96,FLOWS!$E:$E,$K101,FLOWS!$D:$D,Q$100,FLOWS!$H:$H,"&gt;="&amp;$C$98,FLOWS!$H:$H,"&lt;="&amp;$U$98)+SUM(SUMIFS(DEALS!$J:$J,DEALS!$A:$A,{"*REFUND*","*EXECUTED*"},DEALS!$G:$G,$B$96,DEALS!$E:$E,"&gt;="&amp;$C$98,DEALS!$E:$E,"&lt;="&amp;$U$98,DEALS!$K:$K,Q$100,DEALS!$M:$M,$K101,DEALS!$N:$N,"&lt;&gt;*RECEIVED*",DEALS!$N:$N,"&lt;&gt;*EXECUTED*"))+SUM(SUMIFS(DEALS!$R:$R,DEALS!$A:$A,{"*REFUND*","*EXECUTED*"},DEALS!$O:$O,$B$96,DEALS!$E:$E,"&gt;="&amp;$C$98,DEALS!$E:$E,"&lt;="&amp;$U$98,DEALS!$S:$S,Q$100,DEALS!$U:$U,$K101,DEALS!$V:$V,"&lt;&gt;*RECEIVED*",DEALS!$V:$V,"&lt;&gt;*EXECUTED*"))</f>
        <v>0</v>
      </c>
      <c r="R101" s="30">
        <f ca="1">L101*VLOOKUP(L$100,'FX RATES'!$E$1:$F$50,2,FALSE)+M101*VLOOKUP(M$100,'FX RATES'!$E$1:$F$50,2,FALSE)+N101*VLOOKUP(N$100,'FX RATES'!$E$1:$F$50,2,FALSE)+O101*VLOOKUP(O$100,'FX RATES'!$E$1:$F$50,2,FALSE)+P101*VLOOKUP(P$100,'FX RATES'!$E$1:$F$50,2,FALSE)+Q101*VLOOKUP(Q$100,'FX RATES'!$E$1:$F$50,2,FALSE)</f>
        <v>0</v>
      </c>
      <c r="T101" s="28" t="str">
        <f t="shared" ref="T101:T118" si="38">B101</f>
        <v>EMLAK</v>
      </c>
      <c r="U101" s="29" cm="1">
        <f t="array" ref="U101">SUMIFS(BALANCES!$C:$C,BALANCES!$A:$A,$B$96,BALANCES!$B:$B,$T101,BALANCES!$D:$D,U$100)+SUMIFS(FLOWS!$C:$C,FLOWS!$A:$A,$B$96,FLOWS!$E:$E,$T101,FLOWS!$D:$D,U$100,FLOWS!$H:$H,"&lt;="&amp;$U$98)+SUM(SUMIFS(DEALS!$J:$J,DEALS!$A:$A,{"*REFUND*","*EXECUTED*"},DEALS!$G:$G,$B$96,DEALS!$E:$E,"&lt;="&amp;$U$98,DEALS!$K:$K,U$100,DEALS!$M:$M,$T101,DEALS!$N:$N,"&lt;&gt;*RECEIVED*",DEALS!$N:$N,"&lt;&gt;*EXECUTED*"))+SUM(SUMIFS(DEALS!$R:$R,DEALS!$A:$A,{"*REFUND*","*EXECUTED*"},DEALS!$O:$O,$B$96,DEALS!$E:$E,"&lt;="&amp;$U$98,DEALS!$S:$S,U$100,DEALS!$U:$U,$T101,DEALS!$V:$V,"&lt;&gt;*RECEIVED*",DEALS!$V:$V,"&lt;&gt;*EXECUTED*"))</f>
        <v>54688.97</v>
      </c>
      <c r="V101" s="29" cm="1">
        <f t="array" ref="V101">SUMIFS(BALANCES!$C:$C,BALANCES!$A:$A,$B$96,BALANCES!$B:$B,$T101,BALANCES!$D:$D,V$100)+SUMIFS(FLOWS!$C:$C,FLOWS!$A:$A,$B$96,FLOWS!$E:$E,$T101,FLOWS!$D:$D,V$100,FLOWS!$H:$H,"&lt;="&amp;$U$98)+SUM(SUMIFS(DEALS!$J:$J,DEALS!$A:$A,{"*REFUND*","*EXECUTED*"},DEALS!$G:$G,$B$96,DEALS!$E:$E,"&lt;="&amp;$U$98,DEALS!$K:$K,V$100,DEALS!$M:$M,$T101,DEALS!$N:$N,"&lt;&gt;*RECEIVED*",DEALS!$N:$N,"&lt;&gt;*EXECUTED*"))+SUM(SUMIFS(DEALS!$R:$R,DEALS!$A:$A,{"*REFUND*","*EXECUTED*"},DEALS!$O:$O,$B$96,DEALS!$E:$E,"&lt;="&amp;$U$98,DEALS!$S:$S,V$100,DEALS!$U:$U,$T101,DEALS!$V:$V,"&lt;&gt;*RECEIVED*",DEALS!$V:$V,"&lt;&gt;*EXECUTED*"))</f>
        <v>0</v>
      </c>
      <c r="W101" s="29" cm="1">
        <f t="array" ref="W101">SUMIFS(BALANCES!$C:$C,BALANCES!$A:$A,$B$96,BALANCES!$B:$B,$T101,BALANCES!$D:$D,W$100)+SUMIFS(FLOWS!$C:$C,FLOWS!$A:$A,$B$96,FLOWS!$E:$E,$T101,FLOWS!$D:$D,W$100,FLOWS!$H:$H,"&lt;="&amp;$U$98)+SUM(SUMIFS(DEALS!$J:$J,DEALS!$A:$A,{"*REFUND*","*EXECUTED*"},DEALS!$G:$G,$B$96,DEALS!$E:$E,"&lt;="&amp;$U$98,DEALS!$K:$K,W$100,DEALS!$M:$M,$T101,DEALS!$N:$N,"&lt;&gt;*RECEIVED*",DEALS!$N:$N,"&lt;&gt;*EXECUTED*"))+SUM(SUMIFS(DEALS!$R:$R,DEALS!$A:$A,{"*REFUND*","*EXECUTED*"},DEALS!$O:$O,$B$96,DEALS!$E:$E,"&lt;="&amp;$U$98,DEALS!$S:$S,W$100,DEALS!$U:$U,$T101,DEALS!$V:$V,"&lt;&gt;*RECEIVED*",DEALS!$V:$V,"&lt;&gt;*EXECUTED*"))</f>
        <v>0</v>
      </c>
      <c r="X101" s="29" cm="1">
        <f t="array" ref="X101">SUMIFS(BALANCES!$C:$C,BALANCES!$A:$A,$B$96,BALANCES!$B:$B,$T101,BALANCES!$D:$D,X$100)+SUMIFS(FLOWS!$C:$C,FLOWS!$A:$A,$B$96,FLOWS!$E:$E,$T101,FLOWS!$D:$D,X$100,FLOWS!$H:$H,"&lt;="&amp;$U$98)+SUM(SUMIFS(DEALS!$J:$J,DEALS!$A:$A,{"*REFUND*","*EXECUTED*"},DEALS!$G:$G,$B$96,DEALS!$E:$E,"&lt;="&amp;$U$98,DEALS!$K:$K,X$100,DEALS!$M:$M,$T101,DEALS!$N:$N,"&lt;&gt;*RECEIVED*",DEALS!$N:$N,"&lt;&gt;*EXECUTED*"))+SUM(SUMIFS(DEALS!$R:$R,DEALS!$A:$A,{"*REFUND*","*EXECUTED*"},DEALS!$O:$O,$B$96,DEALS!$E:$E,"&lt;="&amp;$U$98,DEALS!$S:$S,X$100,DEALS!$U:$U,$T101,DEALS!$V:$V,"&lt;&gt;*RECEIVED*",DEALS!$V:$V,"&lt;&gt;*EXECUTED*"))</f>
        <v>406152.88</v>
      </c>
      <c r="Y101" s="29" cm="1">
        <f t="array" ref="Y101">SUMIFS(BALANCES!$C:$C,BALANCES!$A:$A,$B$96,BALANCES!$B:$B,$T101,BALANCES!$D:$D,Y$100)+SUMIFS(FLOWS!$C:$C,FLOWS!$A:$A,$B$96,FLOWS!$E:$E,$T101,FLOWS!$D:$D,Y$100,FLOWS!$H:$H,"&lt;="&amp;$U$98)+SUM(SUMIFS(DEALS!$J:$J,DEALS!$A:$A,{"*REFUND*","*EXECUTED*"},DEALS!$G:$G,$B$96,DEALS!$E:$E,"&lt;="&amp;$U$98,DEALS!$K:$K,Y$100,DEALS!$M:$M,$T101,DEALS!$N:$N,"&lt;&gt;*RECEIVED*",DEALS!$N:$N,"&lt;&gt;*EXECUTED*"))+SUM(SUMIFS(DEALS!$R:$R,DEALS!$A:$A,{"*REFUND*","*EXECUTED*"},DEALS!$O:$O,$B$96,DEALS!$E:$E,"&lt;="&amp;$U$98,DEALS!$S:$S,Y$100,DEALS!$U:$U,$T101,DEALS!$V:$V,"&lt;&gt;*RECEIVED*",DEALS!$V:$V,"&lt;&gt;*EXECUTED*"))</f>
        <v>0</v>
      </c>
      <c r="Z101" s="29" cm="1">
        <f t="array" ref="Z101">SUMIFS(BALANCES!$C:$C,BALANCES!$A:$A,$B$96,BALANCES!$B:$B,$T101,BALANCES!$D:$D,Z$100)+SUMIFS(FLOWS!$C:$C,FLOWS!$A:$A,$B$96,FLOWS!$E:$E,$T101,FLOWS!$D:$D,Z$100,FLOWS!$H:$H,"&lt;="&amp;$U$98)+SUM(SUMIFS(DEALS!$J:$J,DEALS!$A:$A,{"*REFUND*","*EXECUTED*"},DEALS!$G:$G,$B$96,DEALS!$E:$E,"&lt;="&amp;$U$98,DEALS!$K:$K,Z$100,DEALS!$M:$M,$T101,DEALS!$N:$N,"&lt;&gt;*RECEIVED*",DEALS!$N:$N,"&lt;&gt;*EXECUTED*"))+SUM(SUMIFS(DEALS!$R:$R,DEALS!$A:$A,{"*REFUND*","*EXECUTED*"},DEALS!$O:$O,$B$96,DEALS!$E:$E,"&lt;="&amp;$U$98,DEALS!$S:$S,Z$100,DEALS!$U:$U,$T101,DEALS!$V:$V,"&lt;&gt;*RECEIVED*",DEALS!$V:$V,"&lt;&gt;*EXECUTED*"))</f>
        <v>0</v>
      </c>
      <c r="AA101" s="30">
        <f ca="1">U101*VLOOKUP(U$100,'FX RATES'!$E$1:$F$50,2,FALSE)+V101*VLOOKUP(V$100,'FX RATES'!$E$1:$F$50,2,FALSE)+W101*VLOOKUP(W$100,'FX RATES'!$E$1:$F$50,2,FALSE)+X101*VLOOKUP(X$100,'FX RATES'!$E$1:$F$50,2,FALSE)+Y101*VLOOKUP(Y$100,'FX RATES'!$E$1:$F$50,2,FALSE)+Z101*VLOOKUP(Z$100,'FX RATES'!$E$1:$F$50,2,FALSE)</f>
        <v>165278.9825251865</v>
      </c>
      <c r="AC101" s="139">
        <f t="shared" ref="AC101:AC120" ca="1" si="39">I101+R101-AA101</f>
        <v>0</v>
      </c>
    </row>
    <row r="102" spans="2:29" ht="19">
      <c r="B102" s="31" t="s">
        <v>14</v>
      </c>
      <c r="C102" s="32" cm="1">
        <f t="array" ref="C102">SUMIFS(BALANCES!$C:$C,BALANCES!$A:$A,$B$96,BALANCES!$B:$B,$B102,BALANCES!$D:$D,C$100)+SUMIFS(FLOWS!$C:$C,FLOWS!$A:$A,$B$96,FLOWS!$E:$E,$B102,FLOWS!$D:$D,C$100,FLOWS!$H:$H,"&lt;"&amp;$C$98)+SUM(SUMIFS(DEALS!$J:$J,DEALS!$A:$A,{"*REFUND*","*EXECUTED*"},DEALS!$G:$G,$B$96,DEALS!$E:$E,"&lt;"&amp;$C$98,DEALS!$K:$K,C$100,DEALS!$M:$M,$B102,DEALS!$N:$N,"&lt;&gt;*RECEIVED*",DEALS!$N:$N,"&lt;&gt;*EXECUTED*"))+SUM(SUMIFS(DEALS!$R:$R,DEALS!$A:$A,{"*REFUND*","*EXECUTED*"},DEALS!$O:$O,$B$96,DEALS!$E:$E,"&lt;"&amp;$C$98,DEALS!$S:$S,C$100,DEALS!$U:$U,$B102,DEALS!$V:$V,"&lt;&gt;*RECEIVED*",DEALS!$V:$V,"&lt;&gt;*EXECUTED*"))</f>
        <v>-1091482.79</v>
      </c>
      <c r="D102" s="32" cm="1">
        <f t="array" ref="D102">SUMIFS(BALANCES!$C:$C,BALANCES!$A:$A,$B$96,BALANCES!$B:$B,$B102,BALANCES!$D:$D,D$100)+SUMIFS(FLOWS!$C:$C,FLOWS!$A:$A,$B$96,FLOWS!$E:$E,$B102,FLOWS!$D:$D,D$100,FLOWS!$H:$H,"&lt;"&amp;$C$98)+SUM(SUMIFS(DEALS!$J:$J,DEALS!$A:$A,{"*REFUND*","*EXECUTED*"},DEALS!$G:$G,$B$96,DEALS!$E:$E,"&lt;"&amp;$C$98,DEALS!$K:$K,D$100,DEALS!$M:$M,$B102,DEALS!$N:$N,"&lt;&gt;*RECEIVED*",DEALS!$N:$N,"&lt;&gt;*EXECUTED*"))+SUM(SUMIFS(DEALS!$R:$R,DEALS!$A:$A,{"*REFUND*","*EXECUTED*"},DEALS!$O:$O,$B$96,DEALS!$E:$E,"&lt;"&amp;$C$98,DEALS!$S:$S,D$100,DEALS!$U:$U,$B102,DEALS!$V:$V,"&lt;&gt;*RECEIVED*",DEALS!$V:$V,"&lt;&gt;*EXECUTED*"))</f>
        <v>0</v>
      </c>
      <c r="E102" s="32" cm="1">
        <f t="array" ref="E102">SUMIFS(BALANCES!$C:$C,BALANCES!$A:$A,$B$96,BALANCES!$B:$B,$B102,BALANCES!$D:$D,E$100)+SUMIFS(FLOWS!$C:$C,FLOWS!$A:$A,$B$96,FLOWS!$E:$E,$B102,FLOWS!$D:$D,E$100,FLOWS!$H:$H,"&lt;"&amp;$C$98)+SUM(SUMIFS(DEALS!$J:$J,DEALS!$A:$A,{"*REFUND*","*EXECUTED*"},DEALS!$G:$G,$B$96,DEALS!$E:$E,"&lt;"&amp;$C$98,DEALS!$K:$K,E$100,DEALS!$M:$M,$B102,DEALS!$N:$N,"&lt;&gt;*RECEIVED*",DEALS!$N:$N,"&lt;&gt;*EXECUTED*"))+SUM(SUMIFS(DEALS!$R:$R,DEALS!$A:$A,{"*REFUND*","*EXECUTED*"},DEALS!$O:$O,$B$96,DEALS!$E:$E,"&lt;"&amp;$C$98,DEALS!$S:$S,E$100,DEALS!$U:$U,$B102,DEALS!$V:$V,"&lt;&gt;*RECEIVED*",DEALS!$V:$V,"&lt;&gt;*EXECUTED*"))</f>
        <v>0</v>
      </c>
      <c r="F102" s="32" cm="1">
        <f t="array" ref="F102">SUMIFS(BALANCES!$C:$C,BALANCES!$A:$A,$B$96,BALANCES!$B:$B,$B102,BALANCES!$D:$D,F$100)+SUMIFS(FLOWS!$C:$C,FLOWS!$A:$A,$B$96,FLOWS!$E:$E,$B102,FLOWS!$D:$D,F$100,FLOWS!$H:$H,"&lt;"&amp;$C$98)+SUM(SUMIFS(DEALS!$J:$J,DEALS!$A:$A,{"*REFUND*","*EXECUTED*"},DEALS!$G:$G,$B$96,DEALS!$E:$E,"&lt;"&amp;$C$98,DEALS!$K:$K,F$100,DEALS!$M:$M,$B102,DEALS!$N:$N,"&lt;&gt;*RECEIVED*",DEALS!$N:$N,"&lt;&gt;*EXECUTED*"))+SUM(SUMIFS(DEALS!$R:$R,DEALS!$A:$A,{"*REFUND*","*EXECUTED*"},DEALS!$O:$O,$B$96,DEALS!$E:$E,"&lt;"&amp;$C$98,DEALS!$S:$S,F$100,DEALS!$U:$U,$B102,DEALS!$V:$V,"&lt;&gt;*RECEIVED*",DEALS!$V:$V,"&lt;&gt;*EXECUTED*"))</f>
        <v>302671.94</v>
      </c>
      <c r="G102" s="32" cm="1">
        <f t="array" ref="G102">SUMIFS(BALANCES!$C:$C,BALANCES!$A:$A,$B$96,BALANCES!$B:$B,$B102,BALANCES!$D:$D,G$100)+SUMIFS(FLOWS!$C:$C,FLOWS!$A:$A,$B$96,FLOWS!$E:$E,$B102,FLOWS!$D:$D,G$100,FLOWS!$H:$H,"&lt;"&amp;$C$98)+SUM(SUMIFS(DEALS!$J:$J,DEALS!$A:$A,{"*REFUND*","*EXECUTED*"},DEALS!$G:$G,$B$96,DEALS!$E:$E,"&lt;"&amp;$C$98,DEALS!$K:$K,G$100,DEALS!$M:$M,$B102,DEALS!$N:$N,"&lt;&gt;*RECEIVED*",DEALS!$N:$N,"&lt;&gt;*EXECUTED*"))+SUM(SUMIFS(DEALS!$R:$R,DEALS!$A:$A,{"*REFUND*","*EXECUTED*"},DEALS!$O:$O,$B$96,DEALS!$E:$E,"&lt;"&amp;$C$98,DEALS!$S:$S,G$100,DEALS!$U:$U,$B102,DEALS!$V:$V,"&lt;&gt;*RECEIVED*",DEALS!$V:$V,"&lt;&gt;*EXECUTED*"))</f>
        <v>0</v>
      </c>
      <c r="H102" s="32" cm="1">
        <f t="array" ref="H102">SUMIFS(BALANCES!$C:$C,BALANCES!$A:$A,$B$96,BALANCES!$B:$B,$B102,BALANCES!$D:$D,H$100)+SUMIFS(FLOWS!$C:$C,FLOWS!$A:$A,$B$96,FLOWS!$E:$E,$B102,FLOWS!$D:$D,H$100,FLOWS!$H:$H,"&lt;"&amp;$C$98)+SUM(SUMIFS(DEALS!$J:$J,DEALS!$A:$A,{"*REFUND*","*EXECUTED*"},DEALS!$G:$G,$B$96,DEALS!$E:$E,"&lt;"&amp;$C$98,DEALS!$K:$K,H$100,DEALS!$M:$M,$B102,DEALS!$N:$N,"&lt;&gt;*RECEIVED*",DEALS!$N:$N,"&lt;&gt;*EXECUTED*"))+SUM(SUMIFS(DEALS!$R:$R,DEALS!$A:$A,{"*REFUND*","*EXECUTED*"},DEALS!$O:$O,$B$96,DEALS!$E:$E,"&lt;"&amp;$C$98,DEALS!$S:$S,H$100,DEALS!$U:$U,$B102,DEALS!$V:$V,"&lt;&gt;*RECEIVED*",DEALS!$V:$V,"&lt;&gt;*EXECUTED*"))</f>
        <v>0</v>
      </c>
      <c r="I102" s="33">
        <f ca="1">C102*VLOOKUP(C$100,'FX RATES'!$E$1:$F$50,2,FALSE)+D102*VLOOKUP(D$100,'FX RATES'!$E$1:$F$50,2,FALSE)+E102*VLOOKUP(E$100,'FX RATES'!$E$1:$F$50,2,FALSE)+F102*VLOOKUP(F$100,'FX RATES'!$E$1:$F$50,2,FALSE)+G102*VLOOKUP(G$100,'FX RATES'!$E$1:$F$50,2,FALSE)+H102*VLOOKUP(H$100,'FX RATES'!$E$1:$F$50,2,FALSE)</f>
        <v>-1009069.2573528291</v>
      </c>
      <c r="K102" s="31" t="str">
        <f t="shared" si="37"/>
        <v>CBD</v>
      </c>
      <c r="L102" s="32" cm="1">
        <f t="array" ref="L102">SUMIFS(FLOWS!$C:$C,FLOWS!$A:$A,$B$96,FLOWS!$E:$E,$K102,FLOWS!$D:$D,L$100,FLOWS!$H:$H,"&gt;="&amp;$C$98,FLOWS!$H:$H,"&lt;="&amp;$U$98)+SUM(SUMIFS(DEALS!$J:$J,DEALS!$A:$A,{"*REFUND*","*EXECUTED*"},DEALS!$G:$G,$B$96,DEALS!$E:$E,"&gt;="&amp;$C$98,DEALS!$E:$E,"&lt;="&amp;$U$98,DEALS!$K:$K,L$100,DEALS!$M:$M,$K102,DEALS!$N:$N,"&lt;&gt;*RECEIVED*",DEALS!$N:$N,"&lt;&gt;*EXECUTED*"))+SUM(SUMIFS(DEALS!$R:$R,DEALS!$A:$A,{"*REFUND*","*EXECUTED*"},DEALS!$O:$O,$B$96,DEALS!$E:$E,"&gt;="&amp;$C$98,DEALS!$E:$E,"&lt;="&amp;$U$98,DEALS!$S:$S,L$100,DEALS!$U:$U,$K102,DEALS!$V:$V,"&lt;&gt;*RECEIVED*",DEALS!$V:$V,"&lt;&gt;*EXECUTED*"))</f>
        <v>0</v>
      </c>
      <c r="M102" s="32" cm="1">
        <f t="array" ref="M102">SUMIFS(FLOWS!$C:$C,FLOWS!$A:$A,$B$96,FLOWS!$E:$E,$K102,FLOWS!$D:$D,M$100,FLOWS!$H:$H,"&gt;="&amp;$C$98,FLOWS!$H:$H,"&lt;="&amp;$U$98)+SUM(SUMIFS(DEALS!$J:$J,DEALS!$A:$A,{"*REFUND*","*EXECUTED*"},DEALS!$G:$G,$B$96,DEALS!$E:$E,"&gt;="&amp;$C$98,DEALS!$E:$E,"&lt;="&amp;$U$98,DEALS!$K:$K,M$100,DEALS!$M:$M,$K102,DEALS!$N:$N,"&lt;&gt;*RECEIVED*",DEALS!$N:$N,"&lt;&gt;*EXECUTED*"))+SUM(SUMIFS(DEALS!$R:$R,DEALS!$A:$A,{"*REFUND*","*EXECUTED*"},DEALS!$O:$O,$B$96,DEALS!$E:$E,"&gt;="&amp;$C$98,DEALS!$E:$E,"&lt;="&amp;$U$98,DEALS!$S:$S,M$100,DEALS!$U:$U,$K102,DEALS!$V:$V,"&lt;&gt;*RECEIVED*",DEALS!$V:$V,"&lt;&gt;*EXECUTED*"))</f>
        <v>0</v>
      </c>
      <c r="N102" s="32" cm="1">
        <f t="array" ref="N102">SUMIFS(FLOWS!$C:$C,FLOWS!$A:$A,$B$96,FLOWS!$E:$E,$K102,FLOWS!$D:$D,N$100,FLOWS!$H:$H,"&gt;="&amp;$C$98,FLOWS!$H:$H,"&lt;="&amp;$U$98)+SUM(SUMIFS(DEALS!$J:$J,DEALS!$A:$A,{"*REFUND*","*EXECUTED*"},DEALS!$G:$G,$B$96,DEALS!$E:$E,"&gt;="&amp;$C$98,DEALS!$E:$E,"&lt;="&amp;$U$98,DEALS!$K:$K,N$100,DEALS!$M:$M,$K102,DEALS!$N:$N,"&lt;&gt;*RECEIVED*",DEALS!$N:$N,"&lt;&gt;*EXECUTED*"))+SUM(SUMIFS(DEALS!$R:$R,DEALS!$A:$A,{"*REFUND*","*EXECUTED*"},DEALS!$O:$O,$B$96,DEALS!$E:$E,"&gt;="&amp;$C$98,DEALS!$E:$E,"&lt;="&amp;$U$98,DEALS!$S:$S,N$100,DEALS!$U:$U,$K102,DEALS!$V:$V,"&lt;&gt;*RECEIVED*",DEALS!$V:$V,"&lt;&gt;*EXECUTED*"))</f>
        <v>0</v>
      </c>
      <c r="O102" s="32" cm="1">
        <f t="array" ref="O102">SUMIFS(FLOWS!$C:$C,FLOWS!$A:$A,$B$96,FLOWS!$E:$E,$K102,FLOWS!$D:$D,O$100,FLOWS!$H:$H,"&gt;="&amp;$C$98,FLOWS!$H:$H,"&lt;="&amp;$U$98)+SUM(SUMIFS(DEALS!$J:$J,DEALS!$A:$A,{"*REFUND*","*EXECUTED*"},DEALS!$G:$G,$B$96,DEALS!$E:$E,"&gt;="&amp;$C$98,DEALS!$E:$E,"&lt;="&amp;$U$98,DEALS!$K:$K,O$100,DEALS!$M:$M,$K102,DEALS!$N:$N,"&lt;&gt;*RECEIVED*",DEALS!$N:$N,"&lt;&gt;*EXECUTED*"))+SUM(SUMIFS(DEALS!$R:$R,DEALS!$A:$A,{"*REFUND*","*EXECUTED*"},DEALS!$O:$O,$B$96,DEALS!$E:$E,"&gt;="&amp;$C$98,DEALS!$E:$E,"&lt;="&amp;$U$98,DEALS!$S:$S,O$100,DEALS!$U:$U,$K102,DEALS!$V:$V,"&lt;&gt;*RECEIVED*",DEALS!$V:$V,"&lt;&gt;*EXECUTED*"))</f>
        <v>0</v>
      </c>
      <c r="P102" s="32" cm="1">
        <f t="array" ref="P102">SUMIFS(FLOWS!$C:$C,FLOWS!$A:$A,$B$96,FLOWS!$E:$E,$K102,FLOWS!$D:$D,P$100,FLOWS!$H:$H,"&gt;="&amp;$C$98,FLOWS!$H:$H,"&lt;="&amp;$U$98)+SUM(SUMIFS(DEALS!$J:$J,DEALS!$A:$A,{"*REFUND*","*EXECUTED*"},DEALS!$G:$G,$B$96,DEALS!$E:$E,"&gt;="&amp;$C$98,DEALS!$E:$E,"&lt;="&amp;$U$98,DEALS!$K:$K,P$100,DEALS!$M:$M,$K102,DEALS!$N:$N,"&lt;&gt;*RECEIVED*",DEALS!$N:$N,"&lt;&gt;*EXECUTED*"))+SUM(SUMIFS(DEALS!$R:$R,DEALS!$A:$A,{"*REFUND*","*EXECUTED*"},DEALS!$O:$O,$B$96,DEALS!$E:$E,"&gt;="&amp;$C$98,DEALS!$E:$E,"&lt;="&amp;$U$98,DEALS!$S:$S,P$100,DEALS!$U:$U,$K102,DEALS!$V:$V,"&lt;&gt;*RECEIVED*",DEALS!$V:$V,"&lt;&gt;*EXECUTED*"))</f>
        <v>0</v>
      </c>
      <c r="Q102" s="32" cm="1">
        <f t="array" ref="Q102">SUMIFS(FLOWS!$C:$C,FLOWS!$A:$A,$B$96,FLOWS!$E:$E,$K102,FLOWS!$D:$D,Q$100,FLOWS!$H:$H,"&gt;="&amp;$C$98,FLOWS!$H:$H,"&lt;="&amp;$U$98)+SUM(SUMIFS(DEALS!$J:$J,DEALS!$A:$A,{"*REFUND*","*EXECUTED*"},DEALS!$G:$G,$B$96,DEALS!$E:$E,"&gt;="&amp;$C$98,DEALS!$E:$E,"&lt;="&amp;$U$98,DEALS!$K:$K,Q$100,DEALS!$M:$M,$K102,DEALS!$N:$N,"&lt;&gt;*RECEIVED*",DEALS!$N:$N,"&lt;&gt;*EXECUTED*"))+SUM(SUMIFS(DEALS!$R:$R,DEALS!$A:$A,{"*REFUND*","*EXECUTED*"},DEALS!$O:$O,$B$96,DEALS!$E:$E,"&gt;="&amp;$C$98,DEALS!$E:$E,"&lt;="&amp;$U$98,DEALS!$S:$S,Q$100,DEALS!$U:$U,$K102,DEALS!$V:$V,"&lt;&gt;*RECEIVED*",DEALS!$V:$V,"&lt;&gt;*EXECUTED*"))</f>
        <v>0</v>
      </c>
      <c r="R102" s="33">
        <f ca="1">L102*VLOOKUP(L$100,'FX RATES'!$E$1:$F$50,2,FALSE)+M102*VLOOKUP(M$100,'FX RATES'!$E$1:$F$50,2,FALSE)+N102*VLOOKUP(N$100,'FX RATES'!$E$1:$F$50,2,FALSE)+O102*VLOOKUP(O$100,'FX RATES'!$E$1:$F$50,2,FALSE)+P102*VLOOKUP(P$100,'FX RATES'!$E$1:$F$50,2,FALSE)+Q102*VLOOKUP(Q$100,'FX RATES'!$E$1:$F$50,2,FALSE)</f>
        <v>0</v>
      </c>
      <c r="T102" s="31" t="str">
        <f t="shared" si="38"/>
        <v>CBD</v>
      </c>
      <c r="U102" s="32" cm="1">
        <f t="array" ref="U102">SUMIFS(BALANCES!$C:$C,BALANCES!$A:$A,$B$96,BALANCES!$B:$B,$T102,BALANCES!$D:$D,U$100)+SUMIFS(FLOWS!$C:$C,FLOWS!$A:$A,$B$96,FLOWS!$E:$E,$T102,FLOWS!$D:$D,U$100,FLOWS!$H:$H,"&lt;="&amp;$U$98)+SUM(SUMIFS(DEALS!$J:$J,DEALS!$A:$A,{"*REFUND*","*EXECUTED*"},DEALS!$G:$G,$B$96,DEALS!$E:$E,"&lt;="&amp;$U$98,DEALS!$K:$K,U$100,DEALS!$M:$M,$T102,DEALS!$N:$N,"&lt;&gt;*RECEIVED*",DEALS!$N:$N,"&lt;&gt;*EXECUTED*"))+SUM(SUMIFS(DEALS!$R:$R,DEALS!$A:$A,{"*REFUND*","*EXECUTED*"},DEALS!$O:$O,$B$96,DEALS!$E:$E,"&lt;="&amp;$U$98,DEALS!$S:$S,U$100,DEALS!$U:$U,$T102,DEALS!$V:$V,"&lt;&gt;*RECEIVED*",DEALS!$V:$V,"&lt;&gt;*EXECUTED*"))</f>
        <v>-1091482.79</v>
      </c>
      <c r="V102" s="32" cm="1">
        <f t="array" ref="V102">SUMIFS(BALANCES!$C:$C,BALANCES!$A:$A,$B$96,BALANCES!$B:$B,$T102,BALANCES!$D:$D,V$100)+SUMIFS(FLOWS!$C:$C,FLOWS!$A:$A,$B$96,FLOWS!$E:$E,$T102,FLOWS!$D:$D,V$100,FLOWS!$H:$H,"&lt;="&amp;$U$98)+SUM(SUMIFS(DEALS!$J:$J,DEALS!$A:$A,{"*REFUND*","*EXECUTED*"},DEALS!$G:$G,$B$96,DEALS!$E:$E,"&lt;="&amp;$U$98,DEALS!$K:$K,V$100,DEALS!$M:$M,$T102,DEALS!$N:$N,"&lt;&gt;*RECEIVED*",DEALS!$N:$N,"&lt;&gt;*EXECUTED*"))+SUM(SUMIFS(DEALS!$R:$R,DEALS!$A:$A,{"*REFUND*","*EXECUTED*"},DEALS!$O:$O,$B$96,DEALS!$E:$E,"&lt;="&amp;$U$98,DEALS!$S:$S,V$100,DEALS!$U:$U,$T102,DEALS!$V:$V,"&lt;&gt;*RECEIVED*",DEALS!$V:$V,"&lt;&gt;*EXECUTED*"))</f>
        <v>0</v>
      </c>
      <c r="W102" s="32" cm="1">
        <f t="array" ref="W102">SUMIFS(BALANCES!$C:$C,BALANCES!$A:$A,$B$96,BALANCES!$B:$B,$T102,BALANCES!$D:$D,W$100)+SUMIFS(FLOWS!$C:$C,FLOWS!$A:$A,$B$96,FLOWS!$E:$E,$T102,FLOWS!$D:$D,W$100,FLOWS!$H:$H,"&lt;="&amp;$U$98)+SUM(SUMIFS(DEALS!$J:$J,DEALS!$A:$A,{"*REFUND*","*EXECUTED*"},DEALS!$G:$G,$B$96,DEALS!$E:$E,"&lt;="&amp;$U$98,DEALS!$K:$K,W$100,DEALS!$M:$M,$T102,DEALS!$N:$N,"&lt;&gt;*RECEIVED*",DEALS!$N:$N,"&lt;&gt;*EXECUTED*"))+SUM(SUMIFS(DEALS!$R:$R,DEALS!$A:$A,{"*REFUND*","*EXECUTED*"},DEALS!$O:$O,$B$96,DEALS!$E:$E,"&lt;="&amp;$U$98,DEALS!$S:$S,W$100,DEALS!$U:$U,$T102,DEALS!$V:$V,"&lt;&gt;*RECEIVED*",DEALS!$V:$V,"&lt;&gt;*EXECUTED*"))</f>
        <v>0</v>
      </c>
      <c r="X102" s="32" cm="1">
        <f t="array" ref="X102">SUMIFS(BALANCES!$C:$C,BALANCES!$A:$A,$B$96,BALANCES!$B:$B,$T102,BALANCES!$D:$D,X$100)+SUMIFS(FLOWS!$C:$C,FLOWS!$A:$A,$B$96,FLOWS!$E:$E,$T102,FLOWS!$D:$D,X$100,FLOWS!$H:$H,"&lt;="&amp;$U$98)+SUM(SUMIFS(DEALS!$J:$J,DEALS!$A:$A,{"*REFUND*","*EXECUTED*"},DEALS!$G:$G,$B$96,DEALS!$E:$E,"&lt;="&amp;$U$98,DEALS!$K:$K,X$100,DEALS!$M:$M,$T102,DEALS!$N:$N,"&lt;&gt;*RECEIVED*",DEALS!$N:$N,"&lt;&gt;*EXECUTED*"))+SUM(SUMIFS(DEALS!$R:$R,DEALS!$A:$A,{"*REFUND*","*EXECUTED*"},DEALS!$O:$O,$B$96,DEALS!$E:$E,"&lt;="&amp;$U$98,DEALS!$S:$S,X$100,DEALS!$U:$U,$T102,DEALS!$V:$V,"&lt;&gt;*RECEIVED*",DEALS!$V:$V,"&lt;&gt;*EXECUTED*"))</f>
        <v>302671.94</v>
      </c>
      <c r="Y102" s="32" cm="1">
        <f t="array" ref="Y102">SUMIFS(BALANCES!$C:$C,BALANCES!$A:$A,$B$96,BALANCES!$B:$B,$T102,BALANCES!$D:$D,Y$100)+SUMIFS(FLOWS!$C:$C,FLOWS!$A:$A,$B$96,FLOWS!$E:$E,$T102,FLOWS!$D:$D,Y$100,FLOWS!$H:$H,"&lt;="&amp;$U$98)+SUM(SUMIFS(DEALS!$J:$J,DEALS!$A:$A,{"*REFUND*","*EXECUTED*"},DEALS!$G:$G,$B$96,DEALS!$E:$E,"&lt;="&amp;$U$98,DEALS!$K:$K,Y$100,DEALS!$M:$M,$T102,DEALS!$N:$N,"&lt;&gt;*RECEIVED*",DEALS!$N:$N,"&lt;&gt;*EXECUTED*"))+SUM(SUMIFS(DEALS!$R:$R,DEALS!$A:$A,{"*REFUND*","*EXECUTED*"},DEALS!$O:$O,$B$96,DEALS!$E:$E,"&lt;="&amp;$U$98,DEALS!$S:$S,Y$100,DEALS!$U:$U,$T102,DEALS!$V:$V,"&lt;&gt;*RECEIVED*",DEALS!$V:$V,"&lt;&gt;*EXECUTED*"))</f>
        <v>0</v>
      </c>
      <c r="Z102" s="32" cm="1">
        <f t="array" ref="Z102">SUMIFS(BALANCES!$C:$C,BALANCES!$A:$A,$B$96,BALANCES!$B:$B,$T102,BALANCES!$D:$D,Z$100)+SUMIFS(FLOWS!$C:$C,FLOWS!$A:$A,$B$96,FLOWS!$E:$E,$T102,FLOWS!$D:$D,Z$100,FLOWS!$H:$H,"&lt;="&amp;$U$98)+SUM(SUMIFS(DEALS!$J:$J,DEALS!$A:$A,{"*REFUND*","*EXECUTED*"},DEALS!$G:$G,$B$96,DEALS!$E:$E,"&lt;="&amp;$U$98,DEALS!$K:$K,Z$100,DEALS!$M:$M,$T102,DEALS!$N:$N,"&lt;&gt;*RECEIVED*",DEALS!$N:$N,"&lt;&gt;*EXECUTED*"))+SUM(SUMIFS(DEALS!$R:$R,DEALS!$A:$A,{"*REFUND*","*EXECUTED*"},DEALS!$O:$O,$B$96,DEALS!$E:$E,"&lt;="&amp;$U$98,DEALS!$S:$S,Z$100,DEALS!$U:$U,$T102,DEALS!$V:$V,"&lt;&gt;*RECEIVED*",DEALS!$V:$V,"&lt;&gt;*EXECUTED*"))</f>
        <v>0</v>
      </c>
      <c r="AA102" s="33">
        <f ca="1">U102*VLOOKUP(U$100,'FX RATES'!$E$1:$F$50,2,FALSE)+V102*VLOOKUP(V$100,'FX RATES'!$E$1:$F$50,2,FALSE)+W102*VLOOKUP(W$100,'FX RATES'!$E$1:$F$50,2,FALSE)+X102*VLOOKUP(X$100,'FX RATES'!$E$1:$F$50,2,FALSE)+Y102*VLOOKUP(Y$100,'FX RATES'!$E$1:$F$50,2,FALSE)+Z102*VLOOKUP(Z$100,'FX RATES'!$E$1:$F$50,2,FALSE)</f>
        <v>-1009069.2573528291</v>
      </c>
      <c r="AC102" s="139">
        <f t="shared" ca="1" si="39"/>
        <v>0</v>
      </c>
    </row>
    <row r="103" spans="2:29" ht="19">
      <c r="B103" s="28" t="s">
        <v>16</v>
      </c>
      <c r="C103" s="29" cm="1">
        <f t="array" ref="C103">SUMIFS(BALANCES!$C:$C,BALANCES!$A:$A,$B$96,BALANCES!$B:$B,$B103,BALANCES!$D:$D,C$100)+SUMIFS(FLOWS!$C:$C,FLOWS!$A:$A,$B$96,FLOWS!$E:$E,$B103,FLOWS!$D:$D,C$100,FLOWS!$H:$H,"&lt;"&amp;$C$98)+SUM(SUMIFS(DEALS!$J:$J,DEALS!$A:$A,{"*REFUND*","*EXECUTED*"},DEALS!$G:$G,$B$96,DEALS!$E:$E,"&lt;"&amp;$C$98,DEALS!$K:$K,C$100,DEALS!$M:$M,$B103,DEALS!$N:$N,"&lt;&gt;*RECEIVED*",DEALS!$N:$N,"&lt;&gt;*EXECUTED*"))+SUM(SUMIFS(DEALS!$R:$R,DEALS!$A:$A,{"*REFUND*","*EXECUTED*"},DEALS!$O:$O,$B$96,DEALS!$E:$E,"&lt;"&amp;$C$98,DEALS!$S:$S,C$100,DEALS!$U:$U,$B103,DEALS!$V:$V,"&lt;&gt;*RECEIVED*",DEALS!$V:$V,"&lt;&gt;*EXECUTED*"))</f>
        <v>14.34</v>
      </c>
      <c r="D103" s="29" cm="1">
        <f t="array" ref="D103">SUMIFS(BALANCES!$C:$C,BALANCES!$A:$A,$B$96,BALANCES!$B:$B,$B103,BALANCES!$D:$D,D$100)+SUMIFS(FLOWS!$C:$C,FLOWS!$A:$A,$B$96,FLOWS!$E:$E,$B103,FLOWS!$D:$D,D$100,FLOWS!$H:$H,"&lt;"&amp;$C$98)+SUM(SUMIFS(DEALS!$J:$J,DEALS!$A:$A,{"*REFUND*","*EXECUTED*"},DEALS!$G:$G,$B$96,DEALS!$E:$E,"&lt;"&amp;$C$98,DEALS!$K:$K,D$100,DEALS!$M:$M,$B103,DEALS!$N:$N,"&lt;&gt;*RECEIVED*",DEALS!$N:$N,"&lt;&gt;*EXECUTED*"))+SUM(SUMIFS(DEALS!$R:$R,DEALS!$A:$A,{"*REFUND*","*EXECUTED*"},DEALS!$O:$O,$B$96,DEALS!$E:$E,"&lt;"&amp;$C$98,DEALS!$S:$S,D$100,DEALS!$U:$U,$B103,DEALS!$V:$V,"&lt;&gt;*RECEIVED*",DEALS!$V:$V,"&lt;&gt;*EXECUTED*"))</f>
        <v>0</v>
      </c>
      <c r="E103" s="29" cm="1">
        <f t="array" ref="E103">SUMIFS(BALANCES!$C:$C,BALANCES!$A:$A,$B$96,BALANCES!$B:$B,$B103,BALANCES!$D:$D,E$100)+SUMIFS(FLOWS!$C:$C,FLOWS!$A:$A,$B$96,FLOWS!$E:$E,$B103,FLOWS!$D:$D,E$100,FLOWS!$H:$H,"&lt;"&amp;$C$98)+SUM(SUMIFS(DEALS!$J:$J,DEALS!$A:$A,{"*REFUND*","*EXECUTED*"},DEALS!$G:$G,$B$96,DEALS!$E:$E,"&lt;"&amp;$C$98,DEALS!$K:$K,E$100,DEALS!$M:$M,$B103,DEALS!$N:$N,"&lt;&gt;*RECEIVED*",DEALS!$N:$N,"&lt;&gt;*EXECUTED*"))+SUM(SUMIFS(DEALS!$R:$R,DEALS!$A:$A,{"*REFUND*","*EXECUTED*"},DEALS!$O:$O,$B$96,DEALS!$E:$E,"&lt;"&amp;$C$98,DEALS!$S:$S,E$100,DEALS!$U:$U,$B103,DEALS!$V:$V,"&lt;&gt;*RECEIVED*",DEALS!$V:$V,"&lt;&gt;*EXECUTED*"))</f>
        <v>0</v>
      </c>
      <c r="F103" s="29" cm="1">
        <f t="array" ref="F103">SUMIFS(BALANCES!$C:$C,BALANCES!$A:$A,$B$96,BALANCES!$B:$B,$B103,BALANCES!$D:$D,F$100)+SUMIFS(FLOWS!$C:$C,FLOWS!$A:$A,$B$96,FLOWS!$E:$E,$B103,FLOWS!$D:$D,F$100,FLOWS!$H:$H,"&lt;"&amp;$C$98)+SUM(SUMIFS(DEALS!$J:$J,DEALS!$A:$A,{"*REFUND*","*EXECUTED*"},DEALS!$G:$G,$B$96,DEALS!$E:$E,"&lt;"&amp;$C$98,DEALS!$K:$K,F$100,DEALS!$M:$M,$B103,DEALS!$N:$N,"&lt;&gt;*RECEIVED*",DEALS!$N:$N,"&lt;&gt;*EXECUTED*"))+SUM(SUMIFS(DEALS!$R:$R,DEALS!$A:$A,{"*REFUND*","*EXECUTED*"},DEALS!$O:$O,$B$96,DEALS!$E:$E,"&lt;"&amp;$C$98,DEALS!$S:$S,F$100,DEALS!$U:$U,$B103,DEALS!$V:$V,"&lt;&gt;*RECEIVED*",DEALS!$V:$V,"&lt;&gt;*EXECUTED*"))</f>
        <v>15787.75</v>
      </c>
      <c r="G103" s="29" cm="1">
        <f t="array" ref="G103">SUMIFS(BALANCES!$C:$C,BALANCES!$A:$A,$B$96,BALANCES!$B:$B,$B103,BALANCES!$D:$D,G$100)+SUMIFS(FLOWS!$C:$C,FLOWS!$A:$A,$B$96,FLOWS!$E:$E,$B103,FLOWS!$D:$D,G$100,FLOWS!$H:$H,"&lt;"&amp;$C$98)+SUM(SUMIFS(DEALS!$J:$J,DEALS!$A:$A,{"*REFUND*","*EXECUTED*"},DEALS!$G:$G,$B$96,DEALS!$E:$E,"&lt;"&amp;$C$98,DEALS!$K:$K,G$100,DEALS!$M:$M,$B103,DEALS!$N:$N,"&lt;&gt;*RECEIVED*",DEALS!$N:$N,"&lt;&gt;*EXECUTED*"))+SUM(SUMIFS(DEALS!$R:$R,DEALS!$A:$A,{"*REFUND*","*EXECUTED*"},DEALS!$O:$O,$B$96,DEALS!$E:$E,"&lt;"&amp;$C$98,DEALS!$S:$S,G$100,DEALS!$U:$U,$B103,DEALS!$V:$V,"&lt;&gt;*RECEIVED*",DEALS!$V:$V,"&lt;&gt;*EXECUTED*"))</f>
        <v>0</v>
      </c>
      <c r="H103" s="29" cm="1">
        <f t="array" ref="H103">SUMIFS(BALANCES!$C:$C,BALANCES!$A:$A,$B$96,BALANCES!$B:$B,$B103,BALANCES!$D:$D,H$100)+SUMIFS(FLOWS!$C:$C,FLOWS!$A:$A,$B$96,FLOWS!$E:$E,$B103,FLOWS!$D:$D,H$100,FLOWS!$H:$H,"&lt;"&amp;$C$98)+SUM(SUMIFS(DEALS!$J:$J,DEALS!$A:$A,{"*REFUND*","*EXECUTED*"},DEALS!$G:$G,$B$96,DEALS!$E:$E,"&lt;"&amp;$C$98,DEALS!$K:$K,H$100,DEALS!$M:$M,$B103,DEALS!$N:$N,"&lt;&gt;*RECEIVED*",DEALS!$N:$N,"&lt;&gt;*EXECUTED*"))+SUM(SUMIFS(DEALS!$R:$R,DEALS!$A:$A,{"*REFUND*","*EXECUTED*"},DEALS!$O:$O,$B$96,DEALS!$E:$E,"&lt;"&amp;$C$98,DEALS!$S:$S,H$100,DEALS!$U:$U,$B103,DEALS!$V:$V,"&lt;&gt;*RECEIVED*",DEALS!$V:$V,"&lt;&gt;*EXECUTED*"))</f>
        <v>0</v>
      </c>
      <c r="I103" s="30">
        <f ca="1">C103*VLOOKUP(C$100,'FX RATES'!$E$1:$F$50,2,FALSE)+D103*VLOOKUP(D$100,'FX RATES'!$E$1:$F$50,2,FALSE)+E103*VLOOKUP(E$100,'FX RATES'!$E$1:$F$50,2,FALSE)+F103*VLOOKUP(F$100,'FX RATES'!$E$1:$F$50,2,FALSE)+G103*VLOOKUP(G$100,'FX RATES'!$E$1:$F$50,2,FALSE)+H103*VLOOKUP(H$100,'FX RATES'!$E$1:$F$50,2,FALSE)</f>
        <v>4313.1337700811409</v>
      </c>
      <c r="K103" s="28" t="str">
        <f t="shared" si="37"/>
        <v>ADIB</v>
      </c>
      <c r="L103" s="29" cm="1">
        <f t="array" ref="L103">SUMIFS(FLOWS!$C:$C,FLOWS!$A:$A,$B$96,FLOWS!$E:$E,$K103,FLOWS!$D:$D,L$100,FLOWS!$H:$H,"&gt;="&amp;$C$98,FLOWS!$H:$H,"&lt;="&amp;$U$98)+SUM(SUMIFS(DEALS!$J:$J,DEALS!$A:$A,{"*REFUND*","*EXECUTED*"},DEALS!$G:$G,$B$96,DEALS!$E:$E,"&gt;="&amp;$C$98,DEALS!$E:$E,"&lt;="&amp;$U$98,DEALS!$K:$K,L$100,DEALS!$M:$M,$K103,DEALS!$N:$N,"&lt;&gt;*RECEIVED*",DEALS!$N:$N,"&lt;&gt;*EXECUTED*"))+SUM(SUMIFS(DEALS!$R:$R,DEALS!$A:$A,{"*REFUND*","*EXECUTED*"},DEALS!$O:$O,$B$96,DEALS!$E:$E,"&gt;="&amp;$C$98,DEALS!$E:$E,"&lt;="&amp;$U$98,DEALS!$S:$S,L$100,DEALS!$U:$U,$K103,DEALS!$V:$V,"&lt;&gt;*RECEIVED*",DEALS!$V:$V,"&lt;&gt;*EXECUTED*"))</f>
        <v>0</v>
      </c>
      <c r="M103" s="29" cm="1">
        <f t="array" ref="M103">SUMIFS(FLOWS!$C:$C,FLOWS!$A:$A,$B$96,FLOWS!$E:$E,$K103,FLOWS!$D:$D,M$100,FLOWS!$H:$H,"&gt;="&amp;$C$98,FLOWS!$H:$H,"&lt;="&amp;$U$98)+SUM(SUMIFS(DEALS!$J:$J,DEALS!$A:$A,{"*REFUND*","*EXECUTED*"},DEALS!$G:$G,$B$96,DEALS!$E:$E,"&gt;="&amp;$C$98,DEALS!$E:$E,"&lt;="&amp;$U$98,DEALS!$K:$K,M$100,DEALS!$M:$M,$K103,DEALS!$N:$N,"&lt;&gt;*RECEIVED*",DEALS!$N:$N,"&lt;&gt;*EXECUTED*"))+SUM(SUMIFS(DEALS!$R:$R,DEALS!$A:$A,{"*REFUND*","*EXECUTED*"},DEALS!$O:$O,$B$96,DEALS!$E:$E,"&gt;="&amp;$C$98,DEALS!$E:$E,"&lt;="&amp;$U$98,DEALS!$S:$S,M$100,DEALS!$U:$U,$K103,DEALS!$V:$V,"&lt;&gt;*RECEIVED*",DEALS!$V:$V,"&lt;&gt;*EXECUTED*"))</f>
        <v>0</v>
      </c>
      <c r="N103" s="29" cm="1">
        <f t="array" ref="N103">SUMIFS(FLOWS!$C:$C,FLOWS!$A:$A,$B$96,FLOWS!$E:$E,$K103,FLOWS!$D:$D,N$100,FLOWS!$H:$H,"&gt;="&amp;$C$98,FLOWS!$H:$H,"&lt;="&amp;$U$98)+SUM(SUMIFS(DEALS!$J:$J,DEALS!$A:$A,{"*REFUND*","*EXECUTED*"},DEALS!$G:$G,$B$96,DEALS!$E:$E,"&gt;="&amp;$C$98,DEALS!$E:$E,"&lt;="&amp;$U$98,DEALS!$K:$K,N$100,DEALS!$M:$M,$K103,DEALS!$N:$N,"&lt;&gt;*RECEIVED*",DEALS!$N:$N,"&lt;&gt;*EXECUTED*"))+SUM(SUMIFS(DEALS!$R:$R,DEALS!$A:$A,{"*REFUND*","*EXECUTED*"},DEALS!$O:$O,$B$96,DEALS!$E:$E,"&gt;="&amp;$C$98,DEALS!$E:$E,"&lt;="&amp;$U$98,DEALS!$S:$S,N$100,DEALS!$U:$U,$K103,DEALS!$V:$V,"&lt;&gt;*RECEIVED*",DEALS!$V:$V,"&lt;&gt;*EXECUTED*"))</f>
        <v>0</v>
      </c>
      <c r="O103" s="29" cm="1">
        <f t="array" ref="O103">SUMIFS(FLOWS!$C:$C,FLOWS!$A:$A,$B$96,FLOWS!$E:$E,$K103,FLOWS!$D:$D,O$100,FLOWS!$H:$H,"&gt;="&amp;$C$98,FLOWS!$H:$H,"&lt;="&amp;$U$98)+SUM(SUMIFS(DEALS!$J:$J,DEALS!$A:$A,{"*REFUND*","*EXECUTED*"},DEALS!$G:$G,$B$96,DEALS!$E:$E,"&gt;="&amp;$C$98,DEALS!$E:$E,"&lt;="&amp;$U$98,DEALS!$K:$K,O$100,DEALS!$M:$M,$K103,DEALS!$N:$N,"&lt;&gt;*RECEIVED*",DEALS!$N:$N,"&lt;&gt;*EXECUTED*"))+SUM(SUMIFS(DEALS!$R:$R,DEALS!$A:$A,{"*REFUND*","*EXECUTED*"},DEALS!$O:$O,$B$96,DEALS!$E:$E,"&gt;="&amp;$C$98,DEALS!$E:$E,"&lt;="&amp;$U$98,DEALS!$S:$S,O$100,DEALS!$U:$U,$K103,DEALS!$V:$V,"&lt;&gt;*RECEIVED*",DEALS!$V:$V,"&lt;&gt;*EXECUTED*"))</f>
        <v>0</v>
      </c>
      <c r="P103" s="29" cm="1">
        <f t="array" ref="P103">SUMIFS(FLOWS!$C:$C,FLOWS!$A:$A,$B$96,FLOWS!$E:$E,$K103,FLOWS!$D:$D,P$100,FLOWS!$H:$H,"&gt;="&amp;$C$98,FLOWS!$H:$H,"&lt;="&amp;$U$98)+SUM(SUMIFS(DEALS!$J:$J,DEALS!$A:$A,{"*REFUND*","*EXECUTED*"},DEALS!$G:$G,$B$96,DEALS!$E:$E,"&gt;="&amp;$C$98,DEALS!$E:$E,"&lt;="&amp;$U$98,DEALS!$K:$K,P$100,DEALS!$M:$M,$K103,DEALS!$N:$N,"&lt;&gt;*RECEIVED*",DEALS!$N:$N,"&lt;&gt;*EXECUTED*"))+SUM(SUMIFS(DEALS!$R:$R,DEALS!$A:$A,{"*REFUND*","*EXECUTED*"},DEALS!$O:$O,$B$96,DEALS!$E:$E,"&gt;="&amp;$C$98,DEALS!$E:$E,"&lt;="&amp;$U$98,DEALS!$S:$S,P$100,DEALS!$U:$U,$K103,DEALS!$V:$V,"&lt;&gt;*RECEIVED*",DEALS!$V:$V,"&lt;&gt;*EXECUTED*"))</f>
        <v>0</v>
      </c>
      <c r="Q103" s="29" cm="1">
        <f t="array" ref="Q103">SUMIFS(FLOWS!$C:$C,FLOWS!$A:$A,$B$96,FLOWS!$E:$E,$K103,FLOWS!$D:$D,Q$100,FLOWS!$H:$H,"&gt;="&amp;$C$98,FLOWS!$H:$H,"&lt;="&amp;$U$98)+SUM(SUMIFS(DEALS!$J:$J,DEALS!$A:$A,{"*REFUND*","*EXECUTED*"},DEALS!$G:$G,$B$96,DEALS!$E:$E,"&gt;="&amp;$C$98,DEALS!$E:$E,"&lt;="&amp;$U$98,DEALS!$K:$K,Q$100,DEALS!$M:$M,$K103,DEALS!$N:$N,"&lt;&gt;*RECEIVED*",DEALS!$N:$N,"&lt;&gt;*EXECUTED*"))+SUM(SUMIFS(DEALS!$R:$R,DEALS!$A:$A,{"*REFUND*","*EXECUTED*"},DEALS!$O:$O,$B$96,DEALS!$E:$E,"&gt;="&amp;$C$98,DEALS!$E:$E,"&lt;="&amp;$U$98,DEALS!$S:$S,Q$100,DEALS!$U:$U,$K103,DEALS!$V:$V,"&lt;&gt;*RECEIVED*",DEALS!$V:$V,"&lt;&gt;*EXECUTED*"))</f>
        <v>0</v>
      </c>
      <c r="R103" s="30">
        <f ca="1">L103*VLOOKUP(L$100,'FX RATES'!$E$1:$F$50,2,FALSE)+M103*VLOOKUP(M$100,'FX RATES'!$E$1:$F$50,2,FALSE)+N103*VLOOKUP(N$100,'FX RATES'!$E$1:$F$50,2,FALSE)+O103*VLOOKUP(O$100,'FX RATES'!$E$1:$F$50,2,FALSE)+P103*VLOOKUP(P$100,'FX RATES'!$E$1:$F$50,2,FALSE)+Q103*VLOOKUP(Q$100,'FX RATES'!$E$1:$F$50,2,FALSE)</f>
        <v>0</v>
      </c>
      <c r="T103" s="28" t="str">
        <f t="shared" si="38"/>
        <v>ADIB</v>
      </c>
      <c r="U103" s="29" cm="1">
        <f t="array" ref="U103">SUMIFS(BALANCES!$C:$C,BALANCES!$A:$A,$B$96,BALANCES!$B:$B,$T103,BALANCES!$D:$D,U$100)+SUMIFS(FLOWS!$C:$C,FLOWS!$A:$A,$B$96,FLOWS!$E:$E,$T103,FLOWS!$D:$D,U$100,FLOWS!$H:$H,"&lt;="&amp;$U$98)+SUM(SUMIFS(DEALS!$J:$J,DEALS!$A:$A,{"*REFUND*","*EXECUTED*"},DEALS!$G:$G,$B$96,DEALS!$E:$E,"&lt;="&amp;$U$98,DEALS!$K:$K,U$100,DEALS!$M:$M,$T103,DEALS!$N:$N,"&lt;&gt;*RECEIVED*",DEALS!$N:$N,"&lt;&gt;*EXECUTED*"))+SUM(SUMIFS(DEALS!$R:$R,DEALS!$A:$A,{"*REFUND*","*EXECUTED*"},DEALS!$O:$O,$B$96,DEALS!$E:$E,"&lt;="&amp;$U$98,DEALS!$S:$S,U$100,DEALS!$U:$U,$T103,DEALS!$V:$V,"&lt;&gt;*RECEIVED*",DEALS!$V:$V,"&lt;&gt;*EXECUTED*"))</f>
        <v>14.34</v>
      </c>
      <c r="V103" s="29" cm="1">
        <f t="array" ref="V103">SUMIFS(BALANCES!$C:$C,BALANCES!$A:$A,$B$96,BALANCES!$B:$B,$T103,BALANCES!$D:$D,V$100)+SUMIFS(FLOWS!$C:$C,FLOWS!$A:$A,$B$96,FLOWS!$E:$E,$T103,FLOWS!$D:$D,V$100,FLOWS!$H:$H,"&lt;="&amp;$U$98)+SUM(SUMIFS(DEALS!$J:$J,DEALS!$A:$A,{"*REFUND*","*EXECUTED*"},DEALS!$G:$G,$B$96,DEALS!$E:$E,"&lt;="&amp;$U$98,DEALS!$K:$K,V$100,DEALS!$M:$M,$T103,DEALS!$N:$N,"&lt;&gt;*RECEIVED*",DEALS!$N:$N,"&lt;&gt;*EXECUTED*"))+SUM(SUMIFS(DEALS!$R:$R,DEALS!$A:$A,{"*REFUND*","*EXECUTED*"},DEALS!$O:$O,$B$96,DEALS!$E:$E,"&lt;="&amp;$U$98,DEALS!$S:$S,V$100,DEALS!$U:$U,$T103,DEALS!$V:$V,"&lt;&gt;*RECEIVED*",DEALS!$V:$V,"&lt;&gt;*EXECUTED*"))</f>
        <v>0</v>
      </c>
      <c r="W103" s="29" cm="1">
        <f t="array" ref="W103">SUMIFS(BALANCES!$C:$C,BALANCES!$A:$A,$B$96,BALANCES!$B:$B,$T103,BALANCES!$D:$D,W$100)+SUMIFS(FLOWS!$C:$C,FLOWS!$A:$A,$B$96,FLOWS!$E:$E,$T103,FLOWS!$D:$D,W$100,FLOWS!$H:$H,"&lt;="&amp;$U$98)+SUM(SUMIFS(DEALS!$J:$J,DEALS!$A:$A,{"*REFUND*","*EXECUTED*"},DEALS!$G:$G,$B$96,DEALS!$E:$E,"&lt;="&amp;$U$98,DEALS!$K:$K,W$100,DEALS!$M:$M,$T103,DEALS!$N:$N,"&lt;&gt;*RECEIVED*",DEALS!$N:$N,"&lt;&gt;*EXECUTED*"))+SUM(SUMIFS(DEALS!$R:$R,DEALS!$A:$A,{"*REFUND*","*EXECUTED*"},DEALS!$O:$O,$B$96,DEALS!$E:$E,"&lt;="&amp;$U$98,DEALS!$S:$S,W$100,DEALS!$U:$U,$T103,DEALS!$V:$V,"&lt;&gt;*RECEIVED*",DEALS!$V:$V,"&lt;&gt;*EXECUTED*"))</f>
        <v>0</v>
      </c>
      <c r="X103" s="29" cm="1">
        <f t="array" ref="X103">SUMIFS(BALANCES!$C:$C,BALANCES!$A:$A,$B$96,BALANCES!$B:$B,$T103,BALANCES!$D:$D,X$100)+SUMIFS(FLOWS!$C:$C,FLOWS!$A:$A,$B$96,FLOWS!$E:$E,$T103,FLOWS!$D:$D,X$100,FLOWS!$H:$H,"&lt;="&amp;$U$98)+SUM(SUMIFS(DEALS!$J:$J,DEALS!$A:$A,{"*REFUND*","*EXECUTED*"},DEALS!$G:$G,$B$96,DEALS!$E:$E,"&lt;="&amp;$U$98,DEALS!$K:$K,X$100,DEALS!$M:$M,$T103,DEALS!$N:$N,"&lt;&gt;*RECEIVED*",DEALS!$N:$N,"&lt;&gt;*EXECUTED*"))+SUM(SUMIFS(DEALS!$R:$R,DEALS!$A:$A,{"*REFUND*","*EXECUTED*"},DEALS!$O:$O,$B$96,DEALS!$E:$E,"&lt;="&amp;$U$98,DEALS!$S:$S,X$100,DEALS!$U:$U,$T103,DEALS!$V:$V,"&lt;&gt;*RECEIVED*",DEALS!$V:$V,"&lt;&gt;*EXECUTED*"))</f>
        <v>15787.75</v>
      </c>
      <c r="Y103" s="29" cm="1">
        <f t="array" ref="Y103">SUMIFS(BALANCES!$C:$C,BALANCES!$A:$A,$B$96,BALANCES!$B:$B,$T103,BALANCES!$D:$D,Y$100)+SUMIFS(FLOWS!$C:$C,FLOWS!$A:$A,$B$96,FLOWS!$E:$E,$T103,FLOWS!$D:$D,Y$100,FLOWS!$H:$H,"&lt;="&amp;$U$98)+SUM(SUMIFS(DEALS!$J:$J,DEALS!$A:$A,{"*REFUND*","*EXECUTED*"},DEALS!$G:$G,$B$96,DEALS!$E:$E,"&lt;="&amp;$U$98,DEALS!$K:$K,Y$100,DEALS!$M:$M,$T103,DEALS!$N:$N,"&lt;&gt;*RECEIVED*",DEALS!$N:$N,"&lt;&gt;*EXECUTED*"))+SUM(SUMIFS(DEALS!$R:$R,DEALS!$A:$A,{"*REFUND*","*EXECUTED*"},DEALS!$O:$O,$B$96,DEALS!$E:$E,"&lt;="&amp;$U$98,DEALS!$S:$S,Y$100,DEALS!$U:$U,$T103,DEALS!$V:$V,"&lt;&gt;*RECEIVED*",DEALS!$V:$V,"&lt;&gt;*EXECUTED*"))</f>
        <v>0</v>
      </c>
      <c r="Z103" s="29" cm="1">
        <f t="array" ref="Z103">SUMIFS(BALANCES!$C:$C,BALANCES!$A:$A,$B$96,BALANCES!$B:$B,$T103,BALANCES!$D:$D,Z$100)+SUMIFS(FLOWS!$C:$C,FLOWS!$A:$A,$B$96,FLOWS!$E:$E,$T103,FLOWS!$D:$D,Z$100,FLOWS!$H:$H,"&lt;="&amp;$U$98)+SUM(SUMIFS(DEALS!$J:$J,DEALS!$A:$A,{"*REFUND*","*EXECUTED*"},DEALS!$G:$G,$B$96,DEALS!$E:$E,"&lt;="&amp;$U$98,DEALS!$K:$K,Z$100,DEALS!$M:$M,$T103,DEALS!$N:$N,"&lt;&gt;*RECEIVED*",DEALS!$N:$N,"&lt;&gt;*EXECUTED*"))+SUM(SUMIFS(DEALS!$R:$R,DEALS!$A:$A,{"*REFUND*","*EXECUTED*"},DEALS!$O:$O,$B$96,DEALS!$E:$E,"&lt;="&amp;$U$98,DEALS!$S:$S,Z$100,DEALS!$U:$U,$T103,DEALS!$V:$V,"&lt;&gt;*RECEIVED*",DEALS!$V:$V,"&lt;&gt;*EXECUTED*"))</f>
        <v>0</v>
      </c>
      <c r="AA103" s="30">
        <f ca="1">U103*VLOOKUP(U$100,'FX RATES'!$E$1:$F$50,2,FALSE)+V103*VLOOKUP(V$100,'FX RATES'!$E$1:$F$50,2,FALSE)+W103*VLOOKUP(W$100,'FX RATES'!$E$1:$F$50,2,FALSE)+X103*VLOOKUP(X$100,'FX RATES'!$E$1:$F$50,2,FALSE)+Y103*VLOOKUP(Y$100,'FX RATES'!$E$1:$F$50,2,FALSE)+Z103*VLOOKUP(Z$100,'FX RATES'!$E$1:$F$50,2,FALSE)</f>
        <v>4313.1337700811409</v>
      </c>
      <c r="AC103" s="139">
        <f t="shared" ca="1" si="39"/>
        <v>0</v>
      </c>
    </row>
    <row r="104" spans="2:29" ht="19">
      <c r="B104" s="31" t="s">
        <v>36</v>
      </c>
      <c r="C104" s="32" cm="1">
        <f t="array" ref="C104">SUMIFS(BALANCES!$C:$C,BALANCES!$A:$A,$B$96,BALANCES!$B:$B,$B104,BALANCES!$D:$D,C$100)+SUMIFS(FLOWS!$C:$C,FLOWS!$A:$A,$B$96,FLOWS!$E:$E,$B104,FLOWS!$D:$D,C$100,FLOWS!$H:$H,"&lt;"&amp;$C$98)+SUM(SUMIFS(DEALS!$J:$J,DEALS!$A:$A,{"*REFUND*","*EXECUTED*"},DEALS!$G:$G,$B$96,DEALS!$E:$E,"&lt;"&amp;$C$98,DEALS!$K:$K,C$100,DEALS!$M:$M,$B104,DEALS!$N:$N,"&lt;&gt;*RECEIVED*",DEALS!$N:$N,"&lt;&gt;*EXECUTED*"))+SUM(SUMIFS(DEALS!$R:$R,DEALS!$A:$A,{"*REFUND*","*EXECUTED*"},DEALS!$O:$O,$B$96,DEALS!$E:$E,"&lt;"&amp;$C$98,DEALS!$S:$S,C$100,DEALS!$U:$U,$B104,DEALS!$V:$V,"&lt;&gt;*RECEIVED*",DEALS!$V:$V,"&lt;&gt;*EXECUTED*"))</f>
        <v>0</v>
      </c>
      <c r="D104" s="32" cm="1">
        <f t="array" ref="D104">SUMIFS(BALANCES!$C:$C,BALANCES!$A:$A,$B$96,BALANCES!$B:$B,$B104,BALANCES!$D:$D,D$100)+SUMIFS(FLOWS!$C:$C,FLOWS!$A:$A,$B$96,FLOWS!$E:$E,$B104,FLOWS!$D:$D,D$100,FLOWS!$H:$H,"&lt;"&amp;$C$98)+SUM(SUMIFS(DEALS!$J:$J,DEALS!$A:$A,{"*REFUND*","*EXECUTED*"},DEALS!$G:$G,$B$96,DEALS!$E:$E,"&lt;"&amp;$C$98,DEALS!$K:$K,D$100,DEALS!$M:$M,$B104,DEALS!$N:$N,"&lt;&gt;*RECEIVED*",DEALS!$N:$N,"&lt;&gt;*EXECUTED*"))+SUM(SUMIFS(DEALS!$R:$R,DEALS!$A:$A,{"*REFUND*","*EXECUTED*"},DEALS!$O:$O,$B$96,DEALS!$E:$E,"&lt;"&amp;$C$98,DEALS!$S:$S,D$100,DEALS!$U:$U,$B104,DEALS!$V:$V,"&lt;&gt;*RECEIVED*",DEALS!$V:$V,"&lt;&gt;*EXECUTED*"))</f>
        <v>0</v>
      </c>
      <c r="E104" s="32" cm="1">
        <f t="array" ref="E104">SUMIFS(BALANCES!$C:$C,BALANCES!$A:$A,$B$96,BALANCES!$B:$B,$B104,BALANCES!$D:$D,E$100)+SUMIFS(FLOWS!$C:$C,FLOWS!$A:$A,$B$96,FLOWS!$E:$E,$B104,FLOWS!$D:$D,E$100,FLOWS!$H:$H,"&lt;"&amp;$C$98)+SUM(SUMIFS(DEALS!$J:$J,DEALS!$A:$A,{"*REFUND*","*EXECUTED*"},DEALS!$G:$G,$B$96,DEALS!$E:$E,"&lt;"&amp;$C$98,DEALS!$K:$K,E$100,DEALS!$M:$M,$B104,DEALS!$N:$N,"&lt;&gt;*RECEIVED*",DEALS!$N:$N,"&lt;&gt;*EXECUTED*"))+SUM(SUMIFS(DEALS!$R:$R,DEALS!$A:$A,{"*REFUND*","*EXECUTED*"},DEALS!$O:$O,$B$96,DEALS!$E:$E,"&lt;"&amp;$C$98,DEALS!$S:$S,E$100,DEALS!$U:$U,$B104,DEALS!$V:$V,"&lt;&gt;*RECEIVED*",DEALS!$V:$V,"&lt;&gt;*EXECUTED*"))</f>
        <v>0</v>
      </c>
      <c r="F104" s="32" cm="1">
        <f t="array" ref="F104">SUMIFS(BALANCES!$C:$C,BALANCES!$A:$A,$B$96,BALANCES!$B:$B,$B104,BALANCES!$D:$D,F$100)+SUMIFS(FLOWS!$C:$C,FLOWS!$A:$A,$B$96,FLOWS!$E:$E,$B104,FLOWS!$D:$D,F$100,FLOWS!$H:$H,"&lt;"&amp;$C$98)+SUM(SUMIFS(DEALS!$J:$J,DEALS!$A:$A,{"*REFUND*","*EXECUTED*"},DEALS!$G:$G,$B$96,DEALS!$E:$E,"&lt;"&amp;$C$98,DEALS!$K:$K,F$100,DEALS!$M:$M,$B104,DEALS!$N:$N,"&lt;&gt;*RECEIVED*",DEALS!$N:$N,"&lt;&gt;*EXECUTED*"))+SUM(SUMIFS(DEALS!$R:$R,DEALS!$A:$A,{"*REFUND*","*EXECUTED*"},DEALS!$O:$O,$B$96,DEALS!$E:$E,"&lt;"&amp;$C$98,DEALS!$S:$S,F$100,DEALS!$U:$U,$B104,DEALS!$V:$V,"&lt;&gt;*RECEIVED*",DEALS!$V:$V,"&lt;&gt;*EXECUTED*"))</f>
        <v>0</v>
      </c>
      <c r="G104" s="32" cm="1">
        <f t="array" ref="G104">SUMIFS(BALANCES!$C:$C,BALANCES!$A:$A,$B$96,BALANCES!$B:$B,$B104,BALANCES!$D:$D,G$100)+SUMIFS(FLOWS!$C:$C,FLOWS!$A:$A,$B$96,FLOWS!$E:$E,$B104,FLOWS!$D:$D,G$100,FLOWS!$H:$H,"&lt;"&amp;$C$98)+SUM(SUMIFS(DEALS!$J:$J,DEALS!$A:$A,{"*REFUND*","*EXECUTED*"},DEALS!$G:$G,$B$96,DEALS!$E:$E,"&lt;"&amp;$C$98,DEALS!$K:$K,G$100,DEALS!$M:$M,$B104,DEALS!$N:$N,"&lt;&gt;*RECEIVED*",DEALS!$N:$N,"&lt;&gt;*EXECUTED*"))+SUM(SUMIFS(DEALS!$R:$R,DEALS!$A:$A,{"*REFUND*","*EXECUTED*"},DEALS!$O:$O,$B$96,DEALS!$E:$E,"&lt;"&amp;$C$98,DEALS!$S:$S,G$100,DEALS!$U:$U,$B104,DEALS!$V:$V,"&lt;&gt;*RECEIVED*",DEALS!$V:$V,"&lt;&gt;*EXECUTED*"))</f>
        <v>0</v>
      </c>
      <c r="H104" s="32" cm="1">
        <f t="array" ref="H104">SUMIFS(BALANCES!$C:$C,BALANCES!$A:$A,$B$96,BALANCES!$B:$B,$B104,BALANCES!$D:$D,H$100)+SUMIFS(FLOWS!$C:$C,FLOWS!$A:$A,$B$96,FLOWS!$E:$E,$B104,FLOWS!$D:$D,H$100,FLOWS!$H:$H,"&lt;"&amp;$C$98)+SUM(SUMIFS(DEALS!$J:$J,DEALS!$A:$A,{"*REFUND*","*EXECUTED*"},DEALS!$G:$G,$B$96,DEALS!$E:$E,"&lt;"&amp;$C$98,DEALS!$K:$K,H$100,DEALS!$M:$M,$B104,DEALS!$N:$N,"&lt;&gt;*RECEIVED*",DEALS!$N:$N,"&lt;&gt;*EXECUTED*"))+SUM(SUMIFS(DEALS!$R:$R,DEALS!$A:$A,{"*REFUND*","*EXECUTED*"},DEALS!$O:$O,$B$96,DEALS!$E:$E,"&lt;"&amp;$C$98,DEALS!$S:$S,H$100,DEALS!$U:$U,$B104,DEALS!$V:$V,"&lt;&gt;*RECEIVED*",DEALS!$V:$V,"&lt;&gt;*EXECUTED*"))</f>
        <v>0</v>
      </c>
      <c r="I104" s="33">
        <f ca="1">C104*VLOOKUP(C$100,'FX RATES'!$E$1:$F$50,2,FALSE)+D104*VLOOKUP(D$100,'FX RATES'!$E$1:$F$50,2,FALSE)+E104*VLOOKUP(E$100,'FX RATES'!$E$1:$F$50,2,FALSE)+F104*VLOOKUP(F$100,'FX RATES'!$E$1:$F$50,2,FALSE)+G104*VLOOKUP(G$100,'FX RATES'!$E$1:$F$50,2,FALSE)+H104*VLOOKUP(H$100,'FX RATES'!$E$1:$F$50,2,FALSE)</f>
        <v>0</v>
      </c>
      <c r="K104" s="31" t="str">
        <f t="shared" si="37"/>
        <v>DIB</v>
      </c>
      <c r="L104" s="32" cm="1">
        <f t="array" ref="L104">SUMIFS(FLOWS!$C:$C,FLOWS!$A:$A,$B$96,FLOWS!$E:$E,$K104,FLOWS!$D:$D,L$100,FLOWS!$H:$H,"&gt;="&amp;$C$98,FLOWS!$H:$H,"&lt;="&amp;$U$98)+SUM(SUMIFS(DEALS!$J:$J,DEALS!$A:$A,{"*REFUND*","*EXECUTED*"},DEALS!$G:$G,$B$96,DEALS!$E:$E,"&gt;="&amp;$C$98,DEALS!$E:$E,"&lt;="&amp;$U$98,DEALS!$K:$K,L$100,DEALS!$M:$M,$K104,DEALS!$N:$N,"&lt;&gt;*RECEIVED*",DEALS!$N:$N,"&lt;&gt;*EXECUTED*"))+SUM(SUMIFS(DEALS!$R:$R,DEALS!$A:$A,{"*REFUND*","*EXECUTED*"},DEALS!$O:$O,$B$96,DEALS!$E:$E,"&gt;="&amp;$C$98,DEALS!$E:$E,"&lt;="&amp;$U$98,DEALS!$S:$S,L$100,DEALS!$U:$U,$K104,DEALS!$V:$V,"&lt;&gt;*RECEIVED*",DEALS!$V:$V,"&lt;&gt;*EXECUTED*"))</f>
        <v>0</v>
      </c>
      <c r="M104" s="32" cm="1">
        <f t="array" ref="M104">SUMIFS(FLOWS!$C:$C,FLOWS!$A:$A,$B$96,FLOWS!$E:$E,$K104,FLOWS!$D:$D,M$100,FLOWS!$H:$H,"&gt;="&amp;$C$98,FLOWS!$H:$H,"&lt;="&amp;$U$98)+SUM(SUMIFS(DEALS!$J:$J,DEALS!$A:$A,{"*REFUND*","*EXECUTED*"},DEALS!$G:$G,$B$96,DEALS!$E:$E,"&gt;="&amp;$C$98,DEALS!$E:$E,"&lt;="&amp;$U$98,DEALS!$K:$K,M$100,DEALS!$M:$M,$K104,DEALS!$N:$N,"&lt;&gt;*RECEIVED*",DEALS!$N:$N,"&lt;&gt;*EXECUTED*"))+SUM(SUMIFS(DEALS!$R:$R,DEALS!$A:$A,{"*REFUND*","*EXECUTED*"},DEALS!$O:$O,$B$96,DEALS!$E:$E,"&gt;="&amp;$C$98,DEALS!$E:$E,"&lt;="&amp;$U$98,DEALS!$S:$S,M$100,DEALS!$U:$U,$K104,DEALS!$V:$V,"&lt;&gt;*RECEIVED*",DEALS!$V:$V,"&lt;&gt;*EXECUTED*"))</f>
        <v>0</v>
      </c>
      <c r="N104" s="32" cm="1">
        <f t="array" ref="N104">SUMIFS(FLOWS!$C:$C,FLOWS!$A:$A,$B$96,FLOWS!$E:$E,$K104,FLOWS!$D:$D,N$100,FLOWS!$H:$H,"&gt;="&amp;$C$98,FLOWS!$H:$H,"&lt;="&amp;$U$98)+SUM(SUMIFS(DEALS!$J:$J,DEALS!$A:$A,{"*REFUND*","*EXECUTED*"},DEALS!$G:$G,$B$96,DEALS!$E:$E,"&gt;="&amp;$C$98,DEALS!$E:$E,"&lt;="&amp;$U$98,DEALS!$K:$K,N$100,DEALS!$M:$M,$K104,DEALS!$N:$N,"&lt;&gt;*RECEIVED*",DEALS!$N:$N,"&lt;&gt;*EXECUTED*"))+SUM(SUMIFS(DEALS!$R:$R,DEALS!$A:$A,{"*REFUND*","*EXECUTED*"},DEALS!$O:$O,$B$96,DEALS!$E:$E,"&gt;="&amp;$C$98,DEALS!$E:$E,"&lt;="&amp;$U$98,DEALS!$S:$S,N$100,DEALS!$U:$U,$K104,DEALS!$V:$V,"&lt;&gt;*RECEIVED*",DEALS!$V:$V,"&lt;&gt;*EXECUTED*"))</f>
        <v>0</v>
      </c>
      <c r="O104" s="32" cm="1">
        <f t="array" ref="O104">SUMIFS(FLOWS!$C:$C,FLOWS!$A:$A,$B$96,FLOWS!$E:$E,$K104,FLOWS!$D:$D,O$100,FLOWS!$H:$H,"&gt;="&amp;$C$98,FLOWS!$H:$H,"&lt;="&amp;$U$98)+SUM(SUMIFS(DEALS!$J:$J,DEALS!$A:$A,{"*REFUND*","*EXECUTED*"},DEALS!$G:$G,$B$96,DEALS!$E:$E,"&gt;="&amp;$C$98,DEALS!$E:$E,"&lt;="&amp;$U$98,DEALS!$K:$K,O$100,DEALS!$M:$M,$K104,DEALS!$N:$N,"&lt;&gt;*RECEIVED*",DEALS!$N:$N,"&lt;&gt;*EXECUTED*"))+SUM(SUMIFS(DEALS!$R:$R,DEALS!$A:$A,{"*REFUND*","*EXECUTED*"},DEALS!$O:$O,$B$96,DEALS!$E:$E,"&gt;="&amp;$C$98,DEALS!$E:$E,"&lt;="&amp;$U$98,DEALS!$S:$S,O$100,DEALS!$U:$U,$K104,DEALS!$V:$V,"&lt;&gt;*RECEIVED*",DEALS!$V:$V,"&lt;&gt;*EXECUTED*"))</f>
        <v>0</v>
      </c>
      <c r="P104" s="32" cm="1">
        <f t="array" ref="P104">SUMIFS(FLOWS!$C:$C,FLOWS!$A:$A,$B$96,FLOWS!$E:$E,$K104,FLOWS!$D:$D,P$100,FLOWS!$H:$H,"&gt;="&amp;$C$98,FLOWS!$H:$H,"&lt;="&amp;$U$98)+SUM(SUMIFS(DEALS!$J:$J,DEALS!$A:$A,{"*REFUND*","*EXECUTED*"},DEALS!$G:$G,$B$96,DEALS!$E:$E,"&gt;="&amp;$C$98,DEALS!$E:$E,"&lt;="&amp;$U$98,DEALS!$K:$K,P$100,DEALS!$M:$M,$K104,DEALS!$N:$N,"&lt;&gt;*RECEIVED*",DEALS!$N:$N,"&lt;&gt;*EXECUTED*"))+SUM(SUMIFS(DEALS!$R:$R,DEALS!$A:$A,{"*REFUND*","*EXECUTED*"},DEALS!$O:$O,$B$96,DEALS!$E:$E,"&gt;="&amp;$C$98,DEALS!$E:$E,"&lt;="&amp;$U$98,DEALS!$S:$S,P$100,DEALS!$U:$U,$K104,DEALS!$V:$V,"&lt;&gt;*RECEIVED*",DEALS!$V:$V,"&lt;&gt;*EXECUTED*"))</f>
        <v>0</v>
      </c>
      <c r="Q104" s="32" cm="1">
        <f t="array" ref="Q104">SUMIFS(FLOWS!$C:$C,FLOWS!$A:$A,$B$96,FLOWS!$E:$E,$K104,FLOWS!$D:$D,Q$100,FLOWS!$H:$H,"&gt;="&amp;$C$98,FLOWS!$H:$H,"&lt;="&amp;$U$98)+SUM(SUMIFS(DEALS!$J:$J,DEALS!$A:$A,{"*REFUND*","*EXECUTED*"},DEALS!$G:$G,$B$96,DEALS!$E:$E,"&gt;="&amp;$C$98,DEALS!$E:$E,"&lt;="&amp;$U$98,DEALS!$K:$K,Q$100,DEALS!$M:$M,$K104,DEALS!$N:$N,"&lt;&gt;*RECEIVED*",DEALS!$N:$N,"&lt;&gt;*EXECUTED*"))+SUM(SUMIFS(DEALS!$R:$R,DEALS!$A:$A,{"*REFUND*","*EXECUTED*"},DEALS!$O:$O,$B$96,DEALS!$E:$E,"&gt;="&amp;$C$98,DEALS!$E:$E,"&lt;="&amp;$U$98,DEALS!$S:$S,Q$100,DEALS!$U:$U,$K104,DEALS!$V:$V,"&lt;&gt;*RECEIVED*",DEALS!$V:$V,"&lt;&gt;*EXECUTED*"))</f>
        <v>0</v>
      </c>
      <c r="R104" s="33">
        <f ca="1">L104*VLOOKUP(L$100,'FX RATES'!$E$1:$F$50,2,FALSE)+M104*VLOOKUP(M$100,'FX RATES'!$E$1:$F$50,2,FALSE)+N104*VLOOKUP(N$100,'FX RATES'!$E$1:$F$50,2,FALSE)+O104*VLOOKUP(O$100,'FX RATES'!$E$1:$F$50,2,FALSE)+P104*VLOOKUP(P$100,'FX RATES'!$E$1:$F$50,2,FALSE)+Q104*VLOOKUP(Q$100,'FX RATES'!$E$1:$F$50,2,FALSE)</f>
        <v>0</v>
      </c>
      <c r="T104" s="31" t="str">
        <f t="shared" si="38"/>
        <v>DIB</v>
      </c>
      <c r="U104" s="32" cm="1">
        <f t="array" ref="U104">SUMIFS(BALANCES!$C:$C,BALANCES!$A:$A,$B$96,BALANCES!$B:$B,$T104,BALANCES!$D:$D,U$100)+SUMIFS(FLOWS!$C:$C,FLOWS!$A:$A,$B$96,FLOWS!$E:$E,$T104,FLOWS!$D:$D,U$100,FLOWS!$H:$H,"&lt;="&amp;$U$98)+SUM(SUMIFS(DEALS!$J:$J,DEALS!$A:$A,{"*REFUND*","*EXECUTED*"},DEALS!$G:$G,$B$96,DEALS!$E:$E,"&lt;="&amp;$U$98,DEALS!$K:$K,U$100,DEALS!$M:$M,$T104,DEALS!$N:$N,"&lt;&gt;*RECEIVED*",DEALS!$N:$N,"&lt;&gt;*EXECUTED*"))+SUM(SUMIFS(DEALS!$R:$R,DEALS!$A:$A,{"*REFUND*","*EXECUTED*"},DEALS!$O:$O,$B$96,DEALS!$E:$E,"&lt;="&amp;$U$98,DEALS!$S:$S,U$100,DEALS!$U:$U,$T104,DEALS!$V:$V,"&lt;&gt;*RECEIVED*",DEALS!$V:$V,"&lt;&gt;*EXECUTED*"))</f>
        <v>0</v>
      </c>
      <c r="V104" s="32" cm="1">
        <f t="array" ref="V104">SUMIFS(BALANCES!$C:$C,BALANCES!$A:$A,$B$96,BALANCES!$B:$B,$T104,BALANCES!$D:$D,V$100)+SUMIFS(FLOWS!$C:$C,FLOWS!$A:$A,$B$96,FLOWS!$E:$E,$T104,FLOWS!$D:$D,V$100,FLOWS!$H:$H,"&lt;="&amp;$U$98)+SUM(SUMIFS(DEALS!$J:$J,DEALS!$A:$A,{"*REFUND*","*EXECUTED*"},DEALS!$G:$G,$B$96,DEALS!$E:$E,"&lt;="&amp;$U$98,DEALS!$K:$K,V$100,DEALS!$M:$M,$T104,DEALS!$N:$N,"&lt;&gt;*RECEIVED*",DEALS!$N:$N,"&lt;&gt;*EXECUTED*"))+SUM(SUMIFS(DEALS!$R:$R,DEALS!$A:$A,{"*REFUND*","*EXECUTED*"},DEALS!$O:$O,$B$96,DEALS!$E:$E,"&lt;="&amp;$U$98,DEALS!$S:$S,V$100,DEALS!$U:$U,$T104,DEALS!$V:$V,"&lt;&gt;*RECEIVED*",DEALS!$V:$V,"&lt;&gt;*EXECUTED*"))</f>
        <v>0</v>
      </c>
      <c r="W104" s="32" cm="1">
        <f t="array" ref="W104">SUMIFS(BALANCES!$C:$C,BALANCES!$A:$A,$B$96,BALANCES!$B:$B,$T104,BALANCES!$D:$D,W$100)+SUMIFS(FLOWS!$C:$C,FLOWS!$A:$A,$B$96,FLOWS!$E:$E,$T104,FLOWS!$D:$D,W$100,FLOWS!$H:$H,"&lt;="&amp;$U$98)+SUM(SUMIFS(DEALS!$J:$J,DEALS!$A:$A,{"*REFUND*","*EXECUTED*"},DEALS!$G:$G,$B$96,DEALS!$E:$E,"&lt;="&amp;$U$98,DEALS!$K:$K,W$100,DEALS!$M:$M,$T104,DEALS!$N:$N,"&lt;&gt;*RECEIVED*",DEALS!$N:$N,"&lt;&gt;*EXECUTED*"))+SUM(SUMIFS(DEALS!$R:$R,DEALS!$A:$A,{"*REFUND*","*EXECUTED*"},DEALS!$O:$O,$B$96,DEALS!$E:$E,"&lt;="&amp;$U$98,DEALS!$S:$S,W$100,DEALS!$U:$U,$T104,DEALS!$V:$V,"&lt;&gt;*RECEIVED*",DEALS!$V:$V,"&lt;&gt;*EXECUTED*"))</f>
        <v>0</v>
      </c>
      <c r="X104" s="32" cm="1">
        <f t="array" ref="X104">SUMIFS(BALANCES!$C:$C,BALANCES!$A:$A,$B$96,BALANCES!$B:$B,$T104,BALANCES!$D:$D,X$100)+SUMIFS(FLOWS!$C:$C,FLOWS!$A:$A,$B$96,FLOWS!$E:$E,$T104,FLOWS!$D:$D,X$100,FLOWS!$H:$H,"&lt;="&amp;$U$98)+SUM(SUMIFS(DEALS!$J:$J,DEALS!$A:$A,{"*REFUND*","*EXECUTED*"},DEALS!$G:$G,$B$96,DEALS!$E:$E,"&lt;="&amp;$U$98,DEALS!$K:$K,X$100,DEALS!$M:$M,$T104,DEALS!$N:$N,"&lt;&gt;*RECEIVED*",DEALS!$N:$N,"&lt;&gt;*EXECUTED*"))+SUM(SUMIFS(DEALS!$R:$R,DEALS!$A:$A,{"*REFUND*","*EXECUTED*"},DEALS!$O:$O,$B$96,DEALS!$E:$E,"&lt;="&amp;$U$98,DEALS!$S:$S,X$100,DEALS!$U:$U,$T104,DEALS!$V:$V,"&lt;&gt;*RECEIVED*",DEALS!$V:$V,"&lt;&gt;*EXECUTED*"))</f>
        <v>0</v>
      </c>
      <c r="Y104" s="32" cm="1">
        <f t="array" ref="Y104">SUMIFS(BALANCES!$C:$C,BALANCES!$A:$A,$B$96,BALANCES!$B:$B,$T104,BALANCES!$D:$D,Y$100)+SUMIFS(FLOWS!$C:$C,FLOWS!$A:$A,$B$96,FLOWS!$E:$E,$T104,FLOWS!$D:$D,Y$100,FLOWS!$H:$H,"&lt;="&amp;$U$98)+SUM(SUMIFS(DEALS!$J:$J,DEALS!$A:$A,{"*REFUND*","*EXECUTED*"},DEALS!$G:$G,$B$96,DEALS!$E:$E,"&lt;="&amp;$U$98,DEALS!$K:$K,Y$100,DEALS!$M:$M,$T104,DEALS!$N:$N,"&lt;&gt;*RECEIVED*",DEALS!$N:$N,"&lt;&gt;*EXECUTED*"))+SUM(SUMIFS(DEALS!$R:$R,DEALS!$A:$A,{"*REFUND*","*EXECUTED*"},DEALS!$O:$O,$B$96,DEALS!$E:$E,"&lt;="&amp;$U$98,DEALS!$S:$S,Y$100,DEALS!$U:$U,$T104,DEALS!$V:$V,"&lt;&gt;*RECEIVED*",DEALS!$V:$V,"&lt;&gt;*EXECUTED*"))</f>
        <v>0</v>
      </c>
      <c r="Z104" s="32" cm="1">
        <f t="array" ref="Z104">SUMIFS(BALANCES!$C:$C,BALANCES!$A:$A,$B$96,BALANCES!$B:$B,$T104,BALANCES!$D:$D,Z$100)+SUMIFS(FLOWS!$C:$C,FLOWS!$A:$A,$B$96,FLOWS!$E:$E,$T104,FLOWS!$D:$D,Z$100,FLOWS!$H:$H,"&lt;="&amp;$U$98)+SUM(SUMIFS(DEALS!$J:$J,DEALS!$A:$A,{"*REFUND*","*EXECUTED*"},DEALS!$G:$G,$B$96,DEALS!$E:$E,"&lt;="&amp;$U$98,DEALS!$K:$K,Z$100,DEALS!$M:$M,$T104,DEALS!$N:$N,"&lt;&gt;*RECEIVED*",DEALS!$N:$N,"&lt;&gt;*EXECUTED*"))+SUM(SUMIFS(DEALS!$R:$R,DEALS!$A:$A,{"*REFUND*","*EXECUTED*"},DEALS!$O:$O,$B$96,DEALS!$E:$E,"&lt;="&amp;$U$98,DEALS!$S:$S,Z$100,DEALS!$U:$U,$T104,DEALS!$V:$V,"&lt;&gt;*RECEIVED*",DEALS!$V:$V,"&lt;&gt;*EXECUTED*"))</f>
        <v>0</v>
      </c>
      <c r="AA104" s="33">
        <f ca="1">U104*VLOOKUP(U$100,'FX RATES'!$E$1:$F$50,2,FALSE)+V104*VLOOKUP(V$100,'FX RATES'!$E$1:$F$50,2,FALSE)+W104*VLOOKUP(W$100,'FX RATES'!$E$1:$F$50,2,FALSE)+X104*VLOOKUP(X$100,'FX RATES'!$E$1:$F$50,2,FALSE)+Y104*VLOOKUP(Y$100,'FX RATES'!$E$1:$F$50,2,FALSE)+Z104*VLOOKUP(Z$100,'FX RATES'!$E$1:$F$50,2,FALSE)</f>
        <v>0</v>
      </c>
      <c r="AC104" s="139">
        <f t="shared" ca="1" si="39"/>
        <v>0</v>
      </c>
    </row>
    <row r="105" spans="2:29" ht="19">
      <c r="B105" s="28" t="s">
        <v>17</v>
      </c>
      <c r="C105" s="29" cm="1">
        <f t="array" ref="C105">SUMIFS(BALANCES!$C:$C,BALANCES!$A:$A,$B$96,BALANCES!$B:$B,$B105,BALANCES!$D:$D,C$100)+SUMIFS(FLOWS!$C:$C,FLOWS!$A:$A,$B$96,FLOWS!$E:$E,$B105,FLOWS!$D:$D,C$100,FLOWS!$H:$H,"&lt;"&amp;$C$98)+SUM(SUMIFS(DEALS!$J:$J,DEALS!$A:$A,{"*REFUND*","*EXECUTED*"},DEALS!$G:$G,$B$96,DEALS!$E:$E,"&lt;"&amp;$C$98,DEALS!$K:$K,C$100,DEALS!$M:$M,$B105,DEALS!$N:$N,"&lt;&gt;*RECEIVED*",DEALS!$N:$N,"&lt;&gt;*EXECUTED*"))+SUM(SUMIFS(DEALS!$R:$R,DEALS!$A:$A,{"*REFUND*","*EXECUTED*"},DEALS!$O:$O,$B$96,DEALS!$E:$E,"&lt;"&amp;$C$98,DEALS!$S:$S,C$100,DEALS!$U:$U,$B105,DEALS!$V:$V,"&lt;&gt;*RECEIVED*",DEALS!$V:$V,"&lt;&gt;*EXECUTED*"))</f>
        <v>7000</v>
      </c>
      <c r="D105" s="29" cm="1">
        <f t="array" ref="D105">SUMIFS(BALANCES!$C:$C,BALANCES!$A:$A,$B$96,BALANCES!$B:$B,$B105,BALANCES!$D:$D,D$100)+SUMIFS(FLOWS!$C:$C,FLOWS!$A:$A,$B$96,FLOWS!$E:$E,$B105,FLOWS!$D:$D,D$100,FLOWS!$H:$H,"&lt;"&amp;$C$98)+SUM(SUMIFS(DEALS!$J:$J,DEALS!$A:$A,{"*REFUND*","*EXECUTED*"},DEALS!$G:$G,$B$96,DEALS!$E:$E,"&lt;"&amp;$C$98,DEALS!$K:$K,D$100,DEALS!$M:$M,$B105,DEALS!$N:$N,"&lt;&gt;*RECEIVED*",DEALS!$N:$N,"&lt;&gt;*EXECUTED*"))+SUM(SUMIFS(DEALS!$R:$R,DEALS!$A:$A,{"*REFUND*","*EXECUTED*"},DEALS!$O:$O,$B$96,DEALS!$E:$E,"&lt;"&amp;$C$98,DEALS!$S:$S,D$100,DEALS!$U:$U,$B105,DEALS!$V:$V,"&lt;&gt;*RECEIVED*",DEALS!$V:$V,"&lt;&gt;*EXECUTED*"))</f>
        <v>0</v>
      </c>
      <c r="E105" s="29" cm="1">
        <f t="array" ref="E105">SUMIFS(BALANCES!$C:$C,BALANCES!$A:$A,$B$96,BALANCES!$B:$B,$B105,BALANCES!$D:$D,E$100)+SUMIFS(FLOWS!$C:$C,FLOWS!$A:$A,$B$96,FLOWS!$E:$E,$B105,FLOWS!$D:$D,E$100,FLOWS!$H:$H,"&lt;"&amp;$C$98)+SUM(SUMIFS(DEALS!$J:$J,DEALS!$A:$A,{"*REFUND*","*EXECUTED*"},DEALS!$G:$G,$B$96,DEALS!$E:$E,"&lt;"&amp;$C$98,DEALS!$K:$K,E$100,DEALS!$M:$M,$B105,DEALS!$N:$N,"&lt;&gt;*RECEIVED*",DEALS!$N:$N,"&lt;&gt;*EXECUTED*"))+SUM(SUMIFS(DEALS!$R:$R,DEALS!$A:$A,{"*REFUND*","*EXECUTED*"},DEALS!$O:$O,$B$96,DEALS!$E:$E,"&lt;"&amp;$C$98,DEALS!$S:$S,E$100,DEALS!$U:$U,$B105,DEALS!$V:$V,"&lt;&gt;*RECEIVED*",DEALS!$V:$V,"&lt;&gt;*EXECUTED*"))</f>
        <v>0</v>
      </c>
      <c r="F105" s="29" cm="1">
        <f t="array" ref="F105">SUMIFS(BALANCES!$C:$C,BALANCES!$A:$A,$B$96,BALANCES!$B:$B,$B105,BALANCES!$D:$D,F$100)+SUMIFS(FLOWS!$C:$C,FLOWS!$A:$A,$B$96,FLOWS!$E:$E,$B105,FLOWS!$D:$D,F$100,FLOWS!$H:$H,"&lt;"&amp;$C$98)+SUM(SUMIFS(DEALS!$J:$J,DEALS!$A:$A,{"*REFUND*","*EXECUTED*"},DEALS!$G:$G,$B$96,DEALS!$E:$E,"&lt;"&amp;$C$98,DEALS!$K:$K,F$100,DEALS!$M:$M,$B105,DEALS!$N:$N,"&lt;&gt;*RECEIVED*",DEALS!$N:$N,"&lt;&gt;*EXECUTED*"))+SUM(SUMIFS(DEALS!$R:$R,DEALS!$A:$A,{"*REFUND*","*EXECUTED*"},DEALS!$O:$O,$B$96,DEALS!$E:$E,"&lt;"&amp;$C$98,DEALS!$S:$S,F$100,DEALS!$U:$U,$B105,DEALS!$V:$V,"&lt;&gt;*RECEIVED*",DEALS!$V:$V,"&lt;&gt;*EXECUTED*"))</f>
        <v>8708098.7599999998</v>
      </c>
      <c r="G105" s="29" cm="1">
        <f t="array" ref="G105">SUMIFS(BALANCES!$C:$C,BALANCES!$A:$A,$B$96,BALANCES!$B:$B,$B105,BALANCES!$D:$D,G$100)+SUMIFS(FLOWS!$C:$C,FLOWS!$A:$A,$B$96,FLOWS!$E:$E,$B105,FLOWS!$D:$D,G$100,FLOWS!$H:$H,"&lt;"&amp;$C$98)+SUM(SUMIFS(DEALS!$J:$J,DEALS!$A:$A,{"*REFUND*","*EXECUTED*"},DEALS!$G:$G,$B$96,DEALS!$E:$E,"&lt;"&amp;$C$98,DEALS!$K:$K,G$100,DEALS!$M:$M,$B105,DEALS!$N:$N,"&lt;&gt;*RECEIVED*",DEALS!$N:$N,"&lt;&gt;*EXECUTED*"))+SUM(SUMIFS(DEALS!$R:$R,DEALS!$A:$A,{"*REFUND*","*EXECUTED*"},DEALS!$O:$O,$B$96,DEALS!$E:$E,"&lt;"&amp;$C$98,DEALS!$S:$S,G$100,DEALS!$U:$U,$B105,DEALS!$V:$V,"&lt;&gt;*RECEIVED*",DEALS!$V:$V,"&lt;&gt;*EXECUTED*"))</f>
        <v>0</v>
      </c>
      <c r="H105" s="29" cm="1">
        <f t="array" ref="H105">SUMIFS(BALANCES!$C:$C,BALANCES!$A:$A,$B$96,BALANCES!$B:$B,$B105,BALANCES!$D:$D,H$100)+SUMIFS(FLOWS!$C:$C,FLOWS!$A:$A,$B$96,FLOWS!$E:$E,$B105,FLOWS!$D:$D,H$100,FLOWS!$H:$H,"&lt;"&amp;$C$98)+SUM(SUMIFS(DEALS!$J:$J,DEALS!$A:$A,{"*REFUND*","*EXECUTED*"},DEALS!$G:$G,$B$96,DEALS!$E:$E,"&lt;"&amp;$C$98,DEALS!$K:$K,H$100,DEALS!$M:$M,$B105,DEALS!$N:$N,"&lt;&gt;*RECEIVED*",DEALS!$N:$N,"&lt;&gt;*EXECUTED*"))+SUM(SUMIFS(DEALS!$R:$R,DEALS!$A:$A,{"*REFUND*","*EXECUTED*"},DEALS!$O:$O,$B$96,DEALS!$E:$E,"&lt;"&amp;$C$98,DEALS!$S:$S,H$100,DEALS!$U:$U,$B105,DEALS!$V:$V,"&lt;&gt;*RECEIVED*",DEALS!$V:$V,"&lt;&gt;*EXECUTED*"))</f>
        <v>0</v>
      </c>
      <c r="I105" s="30">
        <f ca="1">C105*VLOOKUP(C$100,'FX RATES'!$E$1:$F$50,2,FALSE)+D105*VLOOKUP(D$100,'FX RATES'!$E$1:$F$50,2,FALSE)+E105*VLOOKUP(E$100,'FX RATES'!$E$1:$F$50,2,FALSE)+F105*VLOOKUP(F$100,'FX RATES'!$E$1:$F$50,2,FALSE)+G105*VLOOKUP(G$100,'FX RATES'!$E$1:$F$50,2,FALSE)+H105*VLOOKUP(H$100,'FX RATES'!$E$1:$F$50,2,FALSE)</f>
        <v>2378099.1559113432</v>
      </c>
      <c r="K105" s="28" t="str">
        <f t="shared" si="37"/>
        <v>UBL</v>
      </c>
      <c r="L105" s="29" cm="1">
        <f t="array" ref="L105">SUMIFS(FLOWS!$C:$C,FLOWS!$A:$A,$B$96,FLOWS!$E:$E,$K105,FLOWS!$D:$D,L$100,FLOWS!$H:$H,"&gt;="&amp;$C$98,FLOWS!$H:$H,"&lt;="&amp;$U$98)+SUM(SUMIFS(DEALS!$J:$J,DEALS!$A:$A,{"*REFUND*","*EXECUTED*"},DEALS!$G:$G,$B$96,DEALS!$E:$E,"&gt;="&amp;$C$98,DEALS!$E:$E,"&lt;="&amp;$U$98,DEALS!$K:$K,L$100,DEALS!$M:$M,$K105,DEALS!$N:$N,"&lt;&gt;*RECEIVED*",DEALS!$N:$N,"&lt;&gt;*EXECUTED*"))+SUM(SUMIFS(DEALS!$R:$R,DEALS!$A:$A,{"*REFUND*","*EXECUTED*"},DEALS!$O:$O,$B$96,DEALS!$E:$E,"&gt;="&amp;$C$98,DEALS!$E:$E,"&lt;="&amp;$U$98,DEALS!$S:$S,L$100,DEALS!$U:$U,$K105,DEALS!$V:$V,"&lt;&gt;*RECEIVED*",DEALS!$V:$V,"&lt;&gt;*EXECUTED*"))</f>
        <v>0</v>
      </c>
      <c r="M105" s="29" cm="1">
        <f t="array" ref="M105">SUMIFS(FLOWS!$C:$C,FLOWS!$A:$A,$B$96,FLOWS!$E:$E,$K105,FLOWS!$D:$D,M$100,FLOWS!$H:$H,"&gt;="&amp;$C$98,FLOWS!$H:$H,"&lt;="&amp;$U$98)+SUM(SUMIFS(DEALS!$J:$J,DEALS!$A:$A,{"*REFUND*","*EXECUTED*"},DEALS!$G:$G,$B$96,DEALS!$E:$E,"&gt;="&amp;$C$98,DEALS!$E:$E,"&lt;="&amp;$U$98,DEALS!$K:$K,M$100,DEALS!$M:$M,$K105,DEALS!$N:$N,"&lt;&gt;*RECEIVED*",DEALS!$N:$N,"&lt;&gt;*EXECUTED*"))+SUM(SUMIFS(DEALS!$R:$R,DEALS!$A:$A,{"*REFUND*","*EXECUTED*"},DEALS!$O:$O,$B$96,DEALS!$E:$E,"&gt;="&amp;$C$98,DEALS!$E:$E,"&lt;="&amp;$U$98,DEALS!$S:$S,M$100,DEALS!$U:$U,$K105,DEALS!$V:$V,"&lt;&gt;*RECEIVED*",DEALS!$V:$V,"&lt;&gt;*EXECUTED*"))</f>
        <v>0</v>
      </c>
      <c r="N105" s="29" cm="1">
        <f t="array" ref="N105">SUMIFS(FLOWS!$C:$C,FLOWS!$A:$A,$B$96,FLOWS!$E:$E,$K105,FLOWS!$D:$D,N$100,FLOWS!$H:$H,"&gt;="&amp;$C$98,FLOWS!$H:$H,"&lt;="&amp;$U$98)+SUM(SUMIFS(DEALS!$J:$J,DEALS!$A:$A,{"*REFUND*","*EXECUTED*"},DEALS!$G:$G,$B$96,DEALS!$E:$E,"&gt;="&amp;$C$98,DEALS!$E:$E,"&lt;="&amp;$U$98,DEALS!$K:$K,N$100,DEALS!$M:$M,$K105,DEALS!$N:$N,"&lt;&gt;*RECEIVED*",DEALS!$N:$N,"&lt;&gt;*EXECUTED*"))+SUM(SUMIFS(DEALS!$R:$R,DEALS!$A:$A,{"*REFUND*","*EXECUTED*"},DEALS!$O:$O,$B$96,DEALS!$E:$E,"&gt;="&amp;$C$98,DEALS!$E:$E,"&lt;="&amp;$U$98,DEALS!$S:$S,N$100,DEALS!$U:$U,$K105,DEALS!$V:$V,"&lt;&gt;*RECEIVED*",DEALS!$V:$V,"&lt;&gt;*EXECUTED*"))</f>
        <v>0</v>
      </c>
      <c r="O105" s="29" cm="1">
        <f t="array" ref="O105">SUMIFS(FLOWS!$C:$C,FLOWS!$A:$A,$B$96,FLOWS!$E:$E,$K105,FLOWS!$D:$D,O$100,FLOWS!$H:$H,"&gt;="&amp;$C$98,FLOWS!$H:$H,"&lt;="&amp;$U$98)+SUM(SUMIFS(DEALS!$J:$J,DEALS!$A:$A,{"*REFUND*","*EXECUTED*"},DEALS!$G:$G,$B$96,DEALS!$E:$E,"&gt;="&amp;$C$98,DEALS!$E:$E,"&lt;="&amp;$U$98,DEALS!$K:$K,O$100,DEALS!$M:$M,$K105,DEALS!$N:$N,"&lt;&gt;*RECEIVED*",DEALS!$N:$N,"&lt;&gt;*EXECUTED*"))+SUM(SUMIFS(DEALS!$R:$R,DEALS!$A:$A,{"*REFUND*","*EXECUTED*"},DEALS!$O:$O,$B$96,DEALS!$E:$E,"&gt;="&amp;$C$98,DEALS!$E:$E,"&lt;="&amp;$U$98,DEALS!$S:$S,O$100,DEALS!$U:$U,$K105,DEALS!$V:$V,"&lt;&gt;*RECEIVED*",DEALS!$V:$V,"&lt;&gt;*EXECUTED*"))</f>
        <v>5804163.8998118909</v>
      </c>
      <c r="P105" s="29" cm="1">
        <f t="array" ref="P105">SUMIFS(FLOWS!$C:$C,FLOWS!$A:$A,$B$96,FLOWS!$E:$E,$K105,FLOWS!$D:$D,P$100,FLOWS!$H:$H,"&gt;="&amp;$C$98,FLOWS!$H:$H,"&lt;="&amp;$U$98)+SUM(SUMIFS(DEALS!$J:$J,DEALS!$A:$A,{"*REFUND*","*EXECUTED*"},DEALS!$G:$G,$B$96,DEALS!$E:$E,"&gt;="&amp;$C$98,DEALS!$E:$E,"&lt;="&amp;$U$98,DEALS!$K:$K,P$100,DEALS!$M:$M,$K105,DEALS!$N:$N,"&lt;&gt;*RECEIVED*",DEALS!$N:$N,"&lt;&gt;*EXECUTED*"))+SUM(SUMIFS(DEALS!$R:$R,DEALS!$A:$A,{"*REFUND*","*EXECUTED*"},DEALS!$O:$O,$B$96,DEALS!$E:$E,"&gt;="&amp;$C$98,DEALS!$E:$E,"&lt;="&amp;$U$98,DEALS!$S:$S,P$100,DEALS!$U:$U,$K105,DEALS!$V:$V,"&lt;&gt;*RECEIVED*",DEALS!$V:$V,"&lt;&gt;*EXECUTED*"))</f>
        <v>0</v>
      </c>
      <c r="Q105" s="29" cm="1">
        <f t="array" ref="Q105">SUMIFS(FLOWS!$C:$C,FLOWS!$A:$A,$B$96,FLOWS!$E:$E,$K105,FLOWS!$D:$D,Q$100,FLOWS!$H:$H,"&gt;="&amp;$C$98,FLOWS!$H:$H,"&lt;="&amp;$U$98)+SUM(SUMIFS(DEALS!$J:$J,DEALS!$A:$A,{"*REFUND*","*EXECUTED*"},DEALS!$G:$G,$B$96,DEALS!$E:$E,"&gt;="&amp;$C$98,DEALS!$E:$E,"&lt;="&amp;$U$98,DEALS!$K:$K,Q$100,DEALS!$M:$M,$K105,DEALS!$N:$N,"&lt;&gt;*RECEIVED*",DEALS!$N:$N,"&lt;&gt;*EXECUTED*"))+SUM(SUMIFS(DEALS!$R:$R,DEALS!$A:$A,{"*REFUND*","*EXECUTED*"},DEALS!$O:$O,$B$96,DEALS!$E:$E,"&gt;="&amp;$C$98,DEALS!$E:$E,"&lt;="&amp;$U$98,DEALS!$S:$S,Q$100,DEALS!$U:$U,$K105,DEALS!$V:$V,"&lt;&gt;*RECEIVED*",DEALS!$V:$V,"&lt;&gt;*EXECUTED*"))</f>
        <v>0</v>
      </c>
      <c r="R105" s="30">
        <f ca="1">L105*VLOOKUP(L$100,'FX RATES'!$E$1:$F$50,2,FALSE)+M105*VLOOKUP(M$100,'FX RATES'!$E$1:$F$50,2,FALSE)+N105*VLOOKUP(N$100,'FX RATES'!$E$1:$F$50,2,FALSE)+O105*VLOOKUP(O$100,'FX RATES'!$E$1:$F$50,2,FALSE)+P105*VLOOKUP(P$100,'FX RATES'!$E$1:$F$50,2,FALSE)+Q105*VLOOKUP(Q$100,'FX RATES'!$E$1:$F$50,2,FALSE)</f>
        <v>1580396.4221020231</v>
      </c>
      <c r="T105" s="28" t="str">
        <f t="shared" si="38"/>
        <v>UBL</v>
      </c>
      <c r="U105" s="29" cm="1">
        <f t="array" ref="U105">SUMIFS(BALANCES!$C:$C,BALANCES!$A:$A,$B$96,BALANCES!$B:$B,$T105,BALANCES!$D:$D,U$100)+SUMIFS(FLOWS!$C:$C,FLOWS!$A:$A,$B$96,FLOWS!$E:$E,$T105,FLOWS!$D:$D,U$100,FLOWS!$H:$H,"&lt;="&amp;$U$98)+SUM(SUMIFS(DEALS!$J:$J,DEALS!$A:$A,{"*REFUND*","*EXECUTED*"},DEALS!$G:$G,$B$96,DEALS!$E:$E,"&lt;="&amp;$U$98,DEALS!$K:$K,U$100,DEALS!$M:$M,$T105,DEALS!$N:$N,"&lt;&gt;*RECEIVED*",DEALS!$N:$N,"&lt;&gt;*EXECUTED*"))+SUM(SUMIFS(DEALS!$R:$R,DEALS!$A:$A,{"*REFUND*","*EXECUTED*"},DEALS!$O:$O,$B$96,DEALS!$E:$E,"&lt;="&amp;$U$98,DEALS!$S:$S,U$100,DEALS!$U:$U,$T105,DEALS!$V:$V,"&lt;&gt;*RECEIVED*",DEALS!$V:$V,"&lt;&gt;*EXECUTED*"))</f>
        <v>7000</v>
      </c>
      <c r="V105" s="29" cm="1">
        <f t="array" ref="V105">SUMIFS(BALANCES!$C:$C,BALANCES!$A:$A,$B$96,BALANCES!$B:$B,$T105,BALANCES!$D:$D,V$100)+SUMIFS(FLOWS!$C:$C,FLOWS!$A:$A,$B$96,FLOWS!$E:$E,$T105,FLOWS!$D:$D,V$100,FLOWS!$H:$H,"&lt;="&amp;$U$98)+SUM(SUMIFS(DEALS!$J:$J,DEALS!$A:$A,{"*REFUND*","*EXECUTED*"},DEALS!$G:$G,$B$96,DEALS!$E:$E,"&lt;="&amp;$U$98,DEALS!$K:$K,V$100,DEALS!$M:$M,$T105,DEALS!$N:$N,"&lt;&gt;*RECEIVED*",DEALS!$N:$N,"&lt;&gt;*EXECUTED*"))+SUM(SUMIFS(DEALS!$R:$R,DEALS!$A:$A,{"*REFUND*","*EXECUTED*"},DEALS!$O:$O,$B$96,DEALS!$E:$E,"&lt;="&amp;$U$98,DEALS!$S:$S,V$100,DEALS!$U:$U,$T105,DEALS!$V:$V,"&lt;&gt;*RECEIVED*",DEALS!$V:$V,"&lt;&gt;*EXECUTED*"))</f>
        <v>0</v>
      </c>
      <c r="W105" s="29" cm="1">
        <f t="array" ref="W105">SUMIFS(BALANCES!$C:$C,BALANCES!$A:$A,$B$96,BALANCES!$B:$B,$T105,BALANCES!$D:$D,W$100)+SUMIFS(FLOWS!$C:$C,FLOWS!$A:$A,$B$96,FLOWS!$E:$E,$T105,FLOWS!$D:$D,W$100,FLOWS!$H:$H,"&lt;="&amp;$U$98)+SUM(SUMIFS(DEALS!$J:$J,DEALS!$A:$A,{"*REFUND*","*EXECUTED*"},DEALS!$G:$G,$B$96,DEALS!$E:$E,"&lt;="&amp;$U$98,DEALS!$K:$K,W$100,DEALS!$M:$M,$T105,DEALS!$N:$N,"&lt;&gt;*RECEIVED*",DEALS!$N:$N,"&lt;&gt;*EXECUTED*"))+SUM(SUMIFS(DEALS!$R:$R,DEALS!$A:$A,{"*REFUND*","*EXECUTED*"},DEALS!$O:$O,$B$96,DEALS!$E:$E,"&lt;="&amp;$U$98,DEALS!$S:$S,W$100,DEALS!$U:$U,$T105,DEALS!$V:$V,"&lt;&gt;*RECEIVED*",DEALS!$V:$V,"&lt;&gt;*EXECUTED*"))</f>
        <v>0</v>
      </c>
      <c r="X105" s="29" cm="1">
        <f t="array" ref="X105">SUMIFS(BALANCES!$C:$C,BALANCES!$A:$A,$B$96,BALANCES!$B:$B,$T105,BALANCES!$D:$D,X$100)+SUMIFS(FLOWS!$C:$C,FLOWS!$A:$A,$B$96,FLOWS!$E:$E,$T105,FLOWS!$D:$D,X$100,FLOWS!$H:$H,"&lt;="&amp;$U$98)+SUM(SUMIFS(DEALS!$J:$J,DEALS!$A:$A,{"*REFUND*","*EXECUTED*"},DEALS!$G:$G,$B$96,DEALS!$E:$E,"&lt;="&amp;$U$98,DEALS!$K:$K,X$100,DEALS!$M:$M,$T105,DEALS!$N:$N,"&lt;&gt;*RECEIVED*",DEALS!$N:$N,"&lt;&gt;*EXECUTED*"))+SUM(SUMIFS(DEALS!$R:$R,DEALS!$A:$A,{"*REFUND*","*EXECUTED*"},DEALS!$O:$O,$B$96,DEALS!$E:$E,"&lt;="&amp;$U$98,DEALS!$S:$S,X$100,DEALS!$U:$U,$T105,DEALS!$V:$V,"&lt;&gt;*RECEIVED*",DEALS!$V:$V,"&lt;&gt;*EXECUTED*"))</f>
        <v>14512262.659811892</v>
      </c>
      <c r="Y105" s="29" cm="1">
        <f t="array" ref="Y105">SUMIFS(BALANCES!$C:$C,BALANCES!$A:$A,$B$96,BALANCES!$B:$B,$T105,BALANCES!$D:$D,Y$100)+SUMIFS(FLOWS!$C:$C,FLOWS!$A:$A,$B$96,FLOWS!$E:$E,$T105,FLOWS!$D:$D,Y$100,FLOWS!$H:$H,"&lt;="&amp;$U$98)+SUM(SUMIFS(DEALS!$J:$J,DEALS!$A:$A,{"*REFUND*","*EXECUTED*"},DEALS!$G:$G,$B$96,DEALS!$E:$E,"&lt;="&amp;$U$98,DEALS!$K:$K,Y$100,DEALS!$M:$M,$T105,DEALS!$N:$N,"&lt;&gt;*RECEIVED*",DEALS!$N:$N,"&lt;&gt;*EXECUTED*"))+SUM(SUMIFS(DEALS!$R:$R,DEALS!$A:$A,{"*REFUND*","*EXECUTED*"},DEALS!$O:$O,$B$96,DEALS!$E:$E,"&lt;="&amp;$U$98,DEALS!$S:$S,Y$100,DEALS!$U:$U,$T105,DEALS!$V:$V,"&lt;&gt;*RECEIVED*",DEALS!$V:$V,"&lt;&gt;*EXECUTED*"))</f>
        <v>0</v>
      </c>
      <c r="Z105" s="29" cm="1">
        <f t="array" ref="Z105">SUMIFS(BALANCES!$C:$C,BALANCES!$A:$A,$B$96,BALANCES!$B:$B,$T105,BALANCES!$D:$D,Z$100)+SUMIFS(FLOWS!$C:$C,FLOWS!$A:$A,$B$96,FLOWS!$E:$E,$T105,FLOWS!$D:$D,Z$100,FLOWS!$H:$H,"&lt;="&amp;$U$98)+SUM(SUMIFS(DEALS!$J:$J,DEALS!$A:$A,{"*REFUND*","*EXECUTED*"},DEALS!$G:$G,$B$96,DEALS!$E:$E,"&lt;="&amp;$U$98,DEALS!$K:$K,Z$100,DEALS!$M:$M,$T105,DEALS!$N:$N,"&lt;&gt;*RECEIVED*",DEALS!$N:$N,"&lt;&gt;*EXECUTED*"))+SUM(SUMIFS(DEALS!$R:$R,DEALS!$A:$A,{"*REFUND*","*EXECUTED*"},DEALS!$O:$O,$B$96,DEALS!$E:$E,"&lt;="&amp;$U$98,DEALS!$S:$S,Z$100,DEALS!$U:$U,$T105,DEALS!$V:$V,"&lt;&gt;*RECEIVED*",DEALS!$V:$V,"&lt;&gt;*EXECUTED*"))</f>
        <v>0</v>
      </c>
      <c r="AA105" s="30">
        <f ca="1">U105*VLOOKUP(U$100,'FX RATES'!$E$1:$F$50,2,FALSE)+V105*VLOOKUP(V$100,'FX RATES'!$E$1:$F$50,2,FALSE)+W105*VLOOKUP(W$100,'FX RATES'!$E$1:$F$50,2,FALSE)+X105*VLOOKUP(X$100,'FX RATES'!$E$1:$F$50,2,FALSE)+Y105*VLOOKUP(Y$100,'FX RATES'!$E$1:$F$50,2,FALSE)+Z105*VLOOKUP(Z$100,'FX RATES'!$E$1:$F$50,2,FALSE)</f>
        <v>3958495.5780133666</v>
      </c>
      <c r="AC105" s="139">
        <f t="shared" ca="1" si="39"/>
        <v>0</v>
      </c>
    </row>
    <row r="106" spans="2:29" ht="19">
      <c r="B106" s="31" t="s">
        <v>15</v>
      </c>
      <c r="C106" s="32" cm="1">
        <f t="array" ref="C106">SUMIFS(BALANCES!$C:$C,BALANCES!$A:$A,$B$96,BALANCES!$B:$B,$B106,BALANCES!$D:$D,C$100)+SUMIFS(FLOWS!$C:$C,FLOWS!$A:$A,$B$96,FLOWS!$E:$E,$B106,FLOWS!$D:$D,C$100,FLOWS!$H:$H,"&lt;"&amp;$C$98)+SUM(SUMIFS(DEALS!$J:$J,DEALS!$A:$A,{"*REFUND*","*EXECUTED*"},DEALS!$G:$G,$B$96,DEALS!$E:$E,"&lt;"&amp;$C$98,DEALS!$K:$K,C$100,DEALS!$M:$M,$B106,DEALS!$N:$N,"&lt;&gt;*RECEIVED*",DEALS!$N:$N,"&lt;&gt;*EXECUTED*"))+SUM(SUMIFS(DEALS!$R:$R,DEALS!$A:$A,{"*REFUND*","*EXECUTED*"},DEALS!$O:$O,$B$96,DEALS!$E:$E,"&lt;"&amp;$C$98,DEALS!$S:$S,C$100,DEALS!$U:$U,$B106,DEALS!$V:$V,"&lt;&gt;*RECEIVED*",DEALS!$V:$V,"&lt;&gt;*EXECUTED*"))</f>
        <v>0</v>
      </c>
      <c r="D106" s="32" cm="1">
        <f t="array" ref="D106">SUMIFS(BALANCES!$C:$C,BALANCES!$A:$A,$B$96,BALANCES!$B:$B,$B106,BALANCES!$D:$D,D$100)+SUMIFS(FLOWS!$C:$C,FLOWS!$A:$A,$B$96,FLOWS!$E:$E,$B106,FLOWS!$D:$D,D$100,FLOWS!$H:$H,"&lt;"&amp;$C$98)+SUM(SUMIFS(DEALS!$J:$J,DEALS!$A:$A,{"*REFUND*","*EXECUTED*"},DEALS!$G:$G,$B$96,DEALS!$E:$E,"&lt;"&amp;$C$98,DEALS!$K:$K,D$100,DEALS!$M:$M,$B106,DEALS!$N:$N,"&lt;&gt;*RECEIVED*",DEALS!$N:$N,"&lt;&gt;*EXECUTED*"))+SUM(SUMIFS(DEALS!$R:$R,DEALS!$A:$A,{"*REFUND*","*EXECUTED*"},DEALS!$O:$O,$B$96,DEALS!$E:$E,"&lt;"&amp;$C$98,DEALS!$S:$S,D$100,DEALS!$U:$U,$B106,DEALS!$V:$V,"&lt;&gt;*RECEIVED*",DEALS!$V:$V,"&lt;&gt;*EXECUTED*"))</f>
        <v>0</v>
      </c>
      <c r="E106" s="32" cm="1">
        <f t="array" ref="E106">SUMIFS(BALANCES!$C:$C,BALANCES!$A:$A,$B$96,BALANCES!$B:$B,$B106,BALANCES!$D:$D,E$100)+SUMIFS(FLOWS!$C:$C,FLOWS!$A:$A,$B$96,FLOWS!$E:$E,$B106,FLOWS!$D:$D,E$100,FLOWS!$H:$H,"&lt;"&amp;$C$98)+SUM(SUMIFS(DEALS!$J:$J,DEALS!$A:$A,{"*REFUND*","*EXECUTED*"},DEALS!$G:$G,$B$96,DEALS!$E:$E,"&lt;"&amp;$C$98,DEALS!$K:$K,E$100,DEALS!$M:$M,$B106,DEALS!$N:$N,"&lt;&gt;*RECEIVED*",DEALS!$N:$N,"&lt;&gt;*EXECUTED*"))+SUM(SUMIFS(DEALS!$R:$R,DEALS!$A:$A,{"*REFUND*","*EXECUTED*"},DEALS!$O:$O,$B$96,DEALS!$E:$E,"&lt;"&amp;$C$98,DEALS!$S:$S,E$100,DEALS!$U:$U,$B106,DEALS!$V:$V,"&lt;&gt;*RECEIVED*",DEALS!$V:$V,"&lt;&gt;*EXECUTED*"))</f>
        <v>0</v>
      </c>
      <c r="F106" s="32" cm="1">
        <f t="array" ref="F106">SUMIFS(BALANCES!$C:$C,BALANCES!$A:$A,$B$96,BALANCES!$B:$B,$B106,BALANCES!$D:$D,F$100)+SUMIFS(FLOWS!$C:$C,FLOWS!$A:$A,$B$96,FLOWS!$E:$E,$B106,FLOWS!$D:$D,F$100,FLOWS!$H:$H,"&lt;"&amp;$C$98)+SUM(SUMIFS(DEALS!$J:$J,DEALS!$A:$A,{"*REFUND*","*EXECUTED*"},DEALS!$G:$G,$B$96,DEALS!$E:$E,"&lt;"&amp;$C$98,DEALS!$K:$K,F$100,DEALS!$M:$M,$B106,DEALS!$N:$N,"&lt;&gt;*RECEIVED*",DEALS!$N:$N,"&lt;&gt;*EXECUTED*"))+SUM(SUMIFS(DEALS!$R:$R,DEALS!$A:$A,{"*REFUND*","*EXECUTED*"},DEALS!$O:$O,$B$96,DEALS!$E:$E,"&lt;"&amp;$C$98,DEALS!$S:$S,F$100,DEALS!$U:$U,$B106,DEALS!$V:$V,"&lt;&gt;*RECEIVED*",DEALS!$V:$V,"&lt;&gt;*EXECUTED*"))</f>
        <v>4300.3900000000003</v>
      </c>
      <c r="G106" s="32" cm="1">
        <f t="array" ref="G106">SUMIFS(BALANCES!$C:$C,BALANCES!$A:$A,$B$96,BALANCES!$B:$B,$B106,BALANCES!$D:$D,G$100)+SUMIFS(FLOWS!$C:$C,FLOWS!$A:$A,$B$96,FLOWS!$E:$E,$B106,FLOWS!$D:$D,G$100,FLOWS!$H:$H,"&lt;"&amp;$C$98)+SUM(SUMIFS(DEALS!$J:$J,DEALS!$A:$A,{"*REFUND*","*EXECUTED*"},DEALS!$G:$G,$B$96,DEALS!$E:$E,"&lt;"&amp;$C$98,DEALS!$K:$K,G$100,DEALS!$M:$M,$B106,DEALS!$N:$N,"&lt;&gt;*RECEIVED*",DEALS!$N:$N,"&lt;&gt;*EXECUTED*"))+SUM(SUMIFS(DEALS!$R:$R,DEALS!$A:$A,{"*REFUND*","*EXECUTED*"},DEALS!$O:$O,$B$96,DEALS!$E:$E,"&lt;"&amp;$C$98,DEALS!$S:$S,G$100,DEALS!$U:$U,$B106,DEALS!$V:$V,"&lt;&gt;*RECEIVED*",DEALS!$V:$V,"&lt;&gt;*EXECUTED*"))</f>
        <v>0</v>
      </c>
      <c r="H106" s="32" cm="1">
        <f t="array" ref="H106">SUMIFS(BALANCES!$C:$C,BALANCES!$A:$A,$B$96,BALANCES!$B:$B,$B106,BALANCES!$D:$D,H$100)+SUMIFS(FLOWS!$C:$C,FLOWS!$A:$A,$B$96,FLOWS!$E:$E,$B106,FLOWS!$D:$D,H$100,FLOWS!$H:$H,"&lt;"&amp;$C$98)+SUM(SUMIFS(DEALS!$J:$J,DEALS!$A:$A,{"*REFUND*","*EXECUTED*"},DEALS!$G:$G,$B$96,DEALS!$E:$E,"&lt;"&amp;$C$98,DEALS!$K:$K,H$100,DEALS!$M:$M,$B106,DEALS!$N:$N,"&lt;&gt;*RECEIVED*",DEALS!$N:$N,"&lt;&gt;*EXECUTED*"))+SUM(SUMIFS(DEALS!$R:$R,DEALS!$A:$A,{"*REFUND*","*EXECUTED*"},DEALS!$O:$O,$B$96,DEALS!$E:$E,"&lt;"&amp;$C$98,DEALS!$S:$S,H$100,DEALS!$U:$U,$B106,DEALS!$V:$V,"&lt;&gt;*RECEIVED*",DEALS!$V:$V,"&lt;&gt;*EXECUTED*"))</f>
        <v>0</v>
      </c>
      <c r="I106" s="33">
        <f ca="1">C106*VLOOKUP(C$100,'FX RATES'!$E$1:$F$50,2,FALSE)+D106*VLOOKUP(D$100,'FX RATES'!$E$1:$F$50,2,FALSE)+E106*VLOOKUP(E$100,'FX RATES'!$E$1:$F$50,2,FALSE)+F106*VLOOKUP(F$100,'FX RATES'!$E$1:$F$50,2,FALSE)+G106*VLOOKUP(G$100,'FX RATES'!$E$1:$F$50,2,FALSE)+H106*VLOOKUP(H$100,'FX RATES'!$E$1:$F$50,2,FALSE)</f>
        <v>1170.9388444154006</v>
      </c>
      <c r="K106" s="31" t="str">
        <f t="shared" si="37"/>
        <v>MISR</v>
      </c>
      <c r="L106" s="32" cm="1">
        <f t="array" ref="L106">SUMIFS(FLOWS!$C:$C,FLOWS!$A:$A,$B$96,FLOWS!$E:$E,$K106,FLOWS!$D:$D,L$100,FLOWS!$H:$H,"&gt;="&amp;$C$98,FLOWS!$H:$H,"&lt;="&amp;$U$98)+SUM(SUMIFS(DEALS!$J:$J,DEALS!$A:$A,{"*REFUND*","*EXECUTED*"},DEALS!$G:$G,$B$96,DEALS!$E:$E,"&gt;="&amp;$C$98,DEALS!$E:$E,"&lt;="&amp;$U$98,DEALS!$K:$K,L$100,DEALS!$M:$M,$K106,DEALS!$N:$N,"&lt;&gt;*RECEIVED*",DEALS!$N:$N,"&lt;&gt;*EXECUTED*"))+SUM(SUMIFS(DEALS!$R:$R,DEALS!$A:$A,{"*REFUND*","*EXECUTED*"},DEALS!$O:$O,$B$96,DEALS!$E:$E,"&gt;="&amp;$C$98,DEALS!$E:$E,"&lt;="&amp;$U$98,DEALS!$S:$S,L$100,DEALS!$U:$U,$K106,DEALS!$V:$V,"&lt;&gt;*RECEIVED*",DEALS!$V:$V,"&lt;&gt;*EXECUTED*"))</f>
        <v>0</v>
      </c>
      <c r="M106" s="32" cm="1">
        <f t="array" ref="M106">SUMIFS(FLOWS!$C:$C,FLOWS!$A:$A,$B$96,FLOWS!$E:$E,$K106,FLOWS!$D:$D,M$100,FLOWS!$H:$H,"&gt;="&amp;$C$98,FLOWS!$H:$H,"&lt;="&amp;$U$98)+SUM(SUMIFS(DEALS!$J:$J,DEALS!$A:$A,{"*REFUND*","*EXECUTED*"},DEALS!$G:$G,$B$96,DEALS!$E:$E,"&gt;="&amp;$C$98,DEALS!$E:$E,"&lt;="&amp;$U$98,DEALS!$K:$K,M$100,DEALS!$M:$M,$K106,DEALS!$N:$N,"&lt;&gt;*RECEIVED*",DEALS!$N:$N,"&lt;&gt;*EXECUTED*"))+SUM(SUMIFS(DEALS!$R:$R,DEALS!$A:$A,{"*REFUND*","*EXECUTED*"},DEALS!$O:$O,$B$96,DEALS!$E:$E,"&gt;="&amp;$C$98,DEALS!$E:$E,"&lt;="&amp;$U$98,DEALS!$S:$S,M$100,DEALS!$U:$U,$K106,DEALS!$V:$V,"&lt;&gt;*RECEIVED*",DEALS!$V:$V,"&lt;&gt;*EXECUTED*"))</f>
        <v>0</v>
      </c>
      <c r="N106" s="32" cm="1">
        <f t="array" ref="N106">SUMIFS(FLOWS!$C:$C,FLOWS!$A:$A,$B$96,FLOWS!$E:$E,$K106,FLOWS!$D:$D,N$100,FLOWS!$H:$H,"&gt;="&amp;$C$98,FLOWS!$H:$H,"&lt;="&amp;$U$98)+SUM(SUMIFS(DEALS!$J:$J,DEALS!$A:$A,{"*REFUND*","*EXECUTED*"},DEALS!$G:$G,$B$96,DEALS!$E:$E,"&gt;="&amp;$C$98,DEALS!$E:$E,"&lt;="&amp;$U$98,DEALS!$K:$K,N$100,DEALS!$M:$M,$K106,DEALS!$N:$N,"&lt;&gt;*RECEIVED*",DEALS!$N:$N,"&lt;&gt;*EXECUTED*"))+SUM(SUMIFS(DEALS!$R:$R,DEALS!$A:$A,{"*REFUND*","*EXECUTED*"},DEALS!$O:$O,$B$96,DEALS!$E:$E,"&gt;="&amp;$C$98,DEALS!$E:$E,"&lt;="&amp;$U$98,DEALS!$S:$S,N$100,DEALS!$U:$U,$K106,DEALS!$V:$V,"&lt;&gt;*RECEIVED*",DEALS!$V:$V,"&lt;&gt;*EXECUTED*"))</f>
        <v>0</v>
      </c>
      <c r="O106" s="32" cm="1">
        <f t="array" ref="O106">SUMIFS(FLOWS!$C:$C,FLOWS!$A:$A,$B$96,FLOWS!$E:$E,$K106,FLOWS!$D:$D,O$100,FLOWS!$H:$H,"&gt;="&amp;$C$98,FLOWS!$H:$H,"&lt;="&amp;$U$98)+SUM(SUMIFS(DEALS!$J:$J,DEALS!$A:$A,{"*REFUND*","*EXECUTED*"},DEALS!$G:$G,$B$96,DEALS!$E:$E,"&gt;="&amp;$C$98,DEALS!$E:$E,"&lt;="&amp;$U$98,DEALS!$K:$K,O$100,DEALS!$M:$M,$K106,DEALS!$N:$N,"&lt;&gt;*RECEIVED*",DEALS!$N:$N,"&lt;&gt;*EXECUTED*"))+SUM(SUMIFS(DEALS!$R:$R,DEALS!$A:$A,{"*REFUND*","*EXECUTED*"},DEALS!$O:$O,$B$96,DEALS!$E:$E,"&gt;="&amp;$C$98,DEALS!$E:$E,"&lt;="&amp;$U$98,DEALS!$S:$S,O$100,DEALS!$U:$U,$K106,DEALS!$V:$V,"&lt;&gt;*RECEIVED*",DEALS!$V:$V,"&lt;&gt;*EXECUTED*"))</f>
        <v>0</v>
      </c>
      <c r="P106" s="32" cm="1">
        <f t="array" ref="P106">SUMIFS(FLOWS!$C:$C,FLOWS!$A:$A,$B$96,FLOWS!$E:$E,$K106,FLOWS!$D:$D,P$100,FLOWS!$H:$H,"&gt;="&amp;$C$98,FLOWS!$H:$H,"&lt;="&amp;$U$98)+SUM(SUMIFS(DEALS!$J:$J,DEALS!$A:$A,{"*REFUND*","*EXECUTED*"},DEALS!$G:$G,$B$96,DEALS!$E:$E,"&gt;="&amp;$C$98,DEALS!$E:$E,"&lt;="&amp;$U$98,DEALS!$K:$K,P$100,DEALS!$M:$M,$K106,DEALS!$N:$N,"&lt;&gt;*RECEIVED*",DEALS!$N:$N,"&lt;&gt;*EXECUTED*"))+SUM(SUMIFS(DEALS!$R:$R,DEALS!$A:$A,{"*REFUND*","*EXECUTED*"},DEALS!$O:$O,$B$96,DEALS!$E:$E,"&gt;="&amp;$C$98,DEALS!$E:$E,"&lt;="&amp;$U$98,DEALS!$S:$S,P$100,DEALS!$U:$U,$K106,DEALS!$V:$V,"&lt;&gt;*RECEIVED*",DEALS!$V:$V,"&lt;&gt;*EXECUTED*"))</f>
        <v>0</v>
      </c>
      <c r="Q106" s="32" cm="1">
        <f t="array" ref="Q106">SUMIFS(FLOWS!$C:$C,FLOWS!$A:$A,$B$96,FLOWS!$E:$E,$K106,FLOWS!$D:$D,Q$100,FLOWS!$H:$H,"&gt;="&amp;$C$98,FLOWS!$H:$H,"&lt;="&amp;$U$98)+SUM(SUMIFS(DEALS!$J:$J,DEALS!$A:$A,{"*REFUND*","*EXECUTED*"},DEALS!$G:$G,$B$96,DEALS!$E:$E,"&gt;="&amp;$C$98,DEALS!$E:$E,"&lt;="&amp;$U$98,DEALS!$K:$K,Q$100,DEALS!$M:$M,$K106,DEALS!$N:$N,"&lt;&gt;*RECEIVED*",DEALS!$N:$N,"&lt;&gt;*EXECUTED*"))+SUM(SUMIFS(DEALS!$R:$R,DEALS!$A:$A,{"*REFUND*","*EXECUTED*"},DEALS!$O:$O,$B$96,DEALS!$E:$E,"&gt;="&amp;$C$98,DEALS!$E:$E,"&lt;="&amp;$U$98,DEALS!$S:$S,Q$100,DEALS!$U:$U,$K106,DEALS!$V:$V,"&lt;&gt;*RECEIVED*",DEALS!$V:$V,"&lt;&gt;*EXECUTED*"))</f>
        <v>0</v>
      </c>
      <c r="R106" s="33">
        <f ca="1">L106*VLOOKUP(L$100,'FX RATES'!$E$1:$F$50,2,FALSE)+M106*VLOOKUP(M$100,'FX RATES'!$E$1:$F$50,2,FALSE)+N106*VLOOKUP(N$100,'FX RATES'!$E$1:$F$50,2,FALSE)+O106*VLOOKUP(O$100,'FX RATES'!$E$1:$F$50,2,FALSE)+P106*VLOOKUP(P$100,'FX RATES'!$E$1:$F$50,2,FALSE)+Q106*VLOOKUP(Q$100,'FX RATES'!$E$1:$F$50,2,FALSE)</f>
        <v>0</v>
      </c>
      <c r="T106" s="31" t="str">
        <f t="shared" si="38"/>
        <v>MISR</v>
      </c>
      <c r="U106" s="32" cm="1">
        <f t="array" ref="U106">SUMIFS(BALANCES!$C:$C,BALANCES!$A:$A,$B$96,BALANCES!$B:$B,$T106,BALANCES!$D:$D,U$100)+SUMIFS(FLOWS!$C:$C,FLOWS!$A:$A,$B$96,FLOWS!$E:$E,$T106,FLOWS!$D:$D,U$100,FLOWS!$H:$H,"&lt;="&amp;$U$98)+SUM(SUMIFS(DEALS!$J:$J,DEALS!$A:$A,{"*REFUND*","*EXECUTED*"},DEALS!$G:$G,$B$96,DEALS!$E:$E,"&lt;="&amp;$U$98,DEALS!$K:$K,U$100,DEALS!$M:$M,$T106,DEALS!$N:$N,"&lt;&gt;*RECEIVED*",DEALS!$N:$N,"&lt;&gt;*EXECUTED*"))+SUM(SUMIFS(DEALS!$R:$R,DEALS!$A:$A,{"*REFUND*","*EXECUTED*"},DEALS!$O:$O,$B$96,DEALS!$E:$E,"&lt;="&amp;$U$98,DEALS!$S:$S,U$100,DEALS!$U:$U,$T106,DEALS!$V:$V,"&lt;&gt;*RECEIVED*",DEALS!$V:$V,"&lt;&gt;*EXECUTED*"))</f>
        <v>0</v>
      </c>
      <c r="V106" s="32" cm="1">
        <f t="array" ref="V106">SUMIFS(BALANCES!$C:$C,BALANCES!$A:$A,$B$96,BALANCES!$B:$B,$T106,BALANCES!$D:$D,V$100)+SUMIFS(FLOWS!$C:$C,FLOWS!$A:$A,$B$96,FLOWS!$E:$E,$T106,FLOWS!$D:$D,V$100,FLOWS!$H:$H,"&lt;="&amp;$U$98)+SUM(SUMIFS(DEALS!$J:$J,DEALS!$A:$A,{"*REFUND*","*EXECUTED*"},DEALS!$G:$G,$B$96,DEALS!$E:$E,"&lt;="&amp;$U$98,DEALS!$K:$K,V$100,DEALS!$M:$M,$T106,DEALS!$N:$N,"&lt;&gt;*RECEIVED*",DEALS!$N:$N,"&lt;&gt;*EXECUTED*"))+SUM(SUMIFS(DEALS!$R:$R,DEALS!$A:$A,{"*REFUND*","*EXECUTED*"},DEALS!$O:$O,$B$96,DEALS!$E:$E,"&lt;="&amp;$U$98,DEALS!$S:$S,V$100,DEALS!$U:$U,$T106,DEALS!$V:$V,"&lt;&gt;*RECEIVED*",DEALS!$V:$V,"&lt;&gt;*EXECUTED*"))</f>
        <v>0</v>
      </c>
      <c r="W106" s="32" cm="1">
        <f t="array" ref="W106">SUMIFS(BALANCES!$C:$C,BALANCES!$A:$A,$B$96,BALANCES!$B:$B,$T106,BALANCES!$D:$D,W$100)+SUMIFS(FLOWS!$C:$C,FLOWS!$A:$A,$B$96,FLOWS!$E:$E,$T106,FLOWS!$D:$D,W$100,FLOWS!$H:$H,"&lt;="&amp;$U$98)+SUM(SUMIFS(DEALS!$J:$J,DEALS!$A:$A,{"*REFUND*","*EXECUTED*"},DEALS!$G:$G,$B$96,DEALS!$E:$E,"&lt;="&amp;$U$98,DEALS!$K:$K,W$100,DEALS!$M:$M,$T106,DEALS!$N:$N,"&lt;&gt;*RECEIVED*",DEALS!$N:$N,"&lt;&gt;*EXECUTED*"))+SUM(SUMIFS(DEALS!$R:$R,DEALS!$A:$A,{"*REFUND*","*EXECUTED*"},DEALS!$O:$O,$B$96,DEALS!$E:$E,"&lt;="&amp;$U$98,DEALS!$S:$S,W$100,DEALS!$U:$U,$T106,DEALS!$V:$V,"&lt;&gt;*RECEIVED*",DEALS!$V:$V,"&lt;&gt;*EXECUTED*"))</f>
        <v>0</v>
      </c>
      <c r="X106" s="32" cm="1">
        <f t="array" ref="X106">SUMIFS(BALANCES!$C:$C,BALANCES!$A:$A,$B$96,BALANCES!$B:$B,$T106,BALANCES!$D:$D,X$100)+SUMIFS(FLOWS!$C:$C,FLOWS!$A:$A,$B$96,FLOWS!$E:$E,$T106,FLOWS!$D:$D,X$100,FLOWS!$H:$H,"&lt;="&amp;$U$98)+SUM(SUMIFS(DEALS!$J:$J,DEALS!$A:$A,{"*REFUND*","*EXECUTED*"},DEALS!$G:$G,$B$96,DEALS!$E:$E,"&lt;="&amp;$U$98,DEALS!$K:$K,X$100,DEALS!$M:$M,$T106,DEALS!$N:$N,"&lt;&gt;*RECEIVED*",DEALS!$N:$N,"&lt;&gt;*EXECUTED*"))+SUM(SUMIFS(DEALS!$R:$R,DEALS!$A:$A,{"*REFUND*","*EXECUTED*"},DEALS!$O:$O,$B$96,DEALS!$E:$E,"&lt;="&amp;$U$98,DEALS!$S:$S,X$100,DEALS!$U:$U,$T106,DEALS!$V:$V,"&lt;&gt;*RECEIVED*",DEALS!$V:$V,"&lt;&gt;*EXECUTED*"))</f>
        <v>4300.3900000000003</v>
      </c>
      <c r="Y106" s="32" cm="1">
        <f t="array" ref="Y106">SUMIFS(BALANCES!$C:$C,BALANCES!$A:$A,$B$96,BALANCES!$B:$B,$T106,BALANCES!$D:$D,Y$100)+SUMIFS(FLOWS!$C:$C,FLOWS!$A:$A,$B$96,FLOWS!$E:$E,$T106,FLOWS!$D:$D,Y$100,FLOWS!$H:$H,"&lt;="&amp;$U$98)+SUM(SUMIFS(DEALS!$J:$J,DEALS!$A:$A,{"*REFUND*","*EXECUTED*"},DEALS!$G:$G,$B$96,DEALS!$E:$E,"&lt;="&amp;$U$98,DEALS!$K:$K,Y$100,DEALS!$M:$M,$T106,DEALS!$N:$N,"&lt;&gt;*RECEIVED*",DEALS!$N:$N,"&lt;&gt;*EXECUTED*"))+SUM(SUMIFS(DEALS!$R:$R,DEALS!$A:$A,{"*REFUND*","*EXECUTED*"},DEALS!$O:$O,$B$96,DEALS!$E:$E,"&lt;="&amp;$U$98,DEALS!$S:$S,Y$100,DEALS!$U:$U,$T106,DEALS!$V:$V,"&lt;&gt;*RECEIVED*",DEALS!$V:$V,"&lt;&gt;*EXECUTED*"))</f>
        <v>0</v>
      </c>
      <c r="Z106" s="32" cm="1">
        <f t="array" ref="Z106">SUMIFS(BALANCES!$C:$C,BALANCES!$A:$A,$B$96,BALANCES!$B:$B,$T106,BALANCES!$D:$D,Z$100)+SUMIFS(FLOWS!$C:$C,FLOWS!$A:$A,$B$96,FLOWS!$E:$E,$T106,FLOWS!$D:$D,Z$100,FLOWS!$H:$H,"&lt;="&amp;$U$98)+SUM(SUMIFS(DEALS!$J:$J,DEALS!$A:$A,{"*REFUND*","*EXECUTED*"},DEALS!$G:$G,$B$96,DEALS!$E:$E,"&lt;="&amp;$U$98,DEALS!$K:$K,Z$100,DEALS!$M:$M,$T106,DEALS!$N:$N,"&lt;&gt;*RECEIVED*",DEALS!$N:$N,"&lt;&gt;*EXECUTED*"))+SUM(SUMIFS(DEALS!$R:$R,DEALS!$A:$A,{"*REFUND*","*EXECUTED*"},DEALS!$O:$O,$B$96,DEALS!$E:$E,"&lt;="&amp;$U$98,DEALS!$S:$S,Z$100,DEALS!$U:$U,$T106,DEALS!$V:$V,"&lt;&gt;*RECEIVED*",DEALS!$V:$V,"&lt;&gt;*EXECUTED*"))</f>
        <v>0</v>
      </c>
      <c r="AA106" s="33">
        <f ca="1">U106*VLOOKUP(U$100,'FX RATES'!$E$1:$F$50,2,FALSE)+V106*VLOOKUP(V$100,'FX RATES'!$E$1:$F$50,2,FALSE)+W106*VLOOKUP(W$100,'FX RATES'!$E$1:$F$50,2,FALSE)+X106*VLOOKUP(X$100,'FX RATES'!$E$1:$F$50,2,FALSE)+Y106*VLOOKUP(Y$100,'FX RATES'!$E$1:$F$50,2,FALSE)+Z106*VLOOKUP(Z$100,'FX RATES'!$E$1:$F$50,2,FALSE)</f>
        <v>1170.9388444154006</v>
      </c>
      <c r="AC106" s="139">
        <f t="shared" ca="1" si="39"/>
        <v>0</v>
      </c>
    </row>
    <row r="107" spans="2:29" ht="19">
      <c r="B107" s="28" t="s">
        <v>20</v>
      </c>
      <c r="C107" s="29" cm="1">
        <f t="array" ref="C107">SUMIFS(BALANCES!$C:$C,BALANCES!$A:$A,$B$96,BALANCES!$B:$B,$B107,BALANCES!$D:$D,C$100)+SUMIFS(FLOWS!$C:$C,FLOWS!$A:$A,$B$96,FLOWS!$E:$E,$B107,FLOWS!$D:$D,C$100,FLOWS!$H:$H,"&lt;"&amp;$C$98)+SUM(SUMIFS(DEALS!$J:$J,DEALS!$A:$A,{"*REFUND*","*EXECUTED*"},DEALS!$G:$G,$B$96,DEALS!$E:$E,"&lt;"&amp;$C$98,DEALS!$K:$K,C$100,DEALS!$M:$M,$B107,DEALS!$N:$N,"&lt;&gt;*RECEIVED*",DEALS!$N:$N,"&lt;&gt;*EXECUTED*"))+SUM(SUMIFS(DEALS!$R:$R,DEALS!$A:$A,{"*REFUND*","*EXECUTED*"},DEALS!$O:$O,$B$96,DEALS!$E:$E,"&lt;"&amp;$C$98,DEALS!$S:$S,C$100,DEALS!$U:$U,$B107,DEALS!$V:$V,"&lt;&gt;*RECEIVED*",DEALS!$V:$V,"&lt;&gt;*EXECUTED*"))</f>
        <v>0</v>
      </c>
      <c r="D107" s="29" cm="1">
        <f t="array" ref="D107">SUMIFS(BALANCES!$C:$C,BALANCES!$A:$A,$B$96,BALANCES!$B:$B,$B107,BALANCES!$D:$D,D$100)+SUMIFS(FLOWS!$C:$C,FLOWS!$A:$A,$B$96,FLOWS!$E:$E,$B107,FLOWS!$D:$D,D$100,FLOWS!$H:$H,"&lt;"&amp;$C$98)+SUM(SUMIFS(DEALS!$J:$J,DEALS!$A:$A,{"*REFUND*","*EXECUTED*"},DEALS!$G:$G,$B$96,DEALS!$E:$E,"&lt;"&amp;$C$98,DEALS!$K:$K,D$100,DEALS!$M:$M,$B107,DEALS!$N:$N,"&lt;&gt;*RECEIVED*",DEALS!$N:$N,"&lt;&gt;*EXECUTED*"))+SUM(SUMIFS(DEALS!$R:$R,DEALS!$A:$A,{"*REFUND*","*EXECUTED*"},DEALS!$O:$O,$B$96,DEALS!$E:$E,"&lt;"&amp;$C$98,DEALS!$S:$S,D$100,DEALS!$U:$U,$B107,DEALS!$V:$V,"&lt;&gt;*RECEIVED*",DEALS!$V:$V,"&lt;&gt;*EXECUTED*"))</f>
        <v>0</v>
      </c>
      <c r="E107" s="29" cm="1">
        <f t="array" ref="E107">SUMIFS(BALANCES!$C:$C,BALANCES!$A:$A,$B$96,BALANCES!$B:$B,$B107,BALANCES!$D:$D,E$100)+SUMIFS(FLOWS!$C:$C,FLOWS!$A:$A,$B$96,FLOWS!$E:$E,$B107,FLOWS!$D:$D,E$100,FLOWS!$H:$H,"&lt;"&amp;$C$98)+SUM(SUMIFS(DEALS!$J:$J,DEALS!$A:$A,{"*REFUND*","*EXECUTED*"},DEALS!$G:$G,$B$96,DEALS!$E:$E,"&lt;"&amp;$C$98,DEALS!$K:$K,E$100,DEALS!$M:$M,$B107,DEALS!$N:$N,"&lt;&gt;*RECEIVED*",DEALS!$N:$N,"&lt;&gt;*EXECUTED*"))+SUM(SUMIFS(DEALS!$R:$R,DEALS!$A:$A,{"*REFUND*","*EXECUTED*"},DEALS!$O:$O,$B$96,DEALS!$E:$E,"&lt;"&amp;$C$98,DEALS!$S:$S,E$100,DEALS!$U:$U,$B107,DEALS!$V:$V,"&lt;&gt;*RECEIVED*",DEALS!$V:$V,"&lt;&gt;*EXECUTED*"))</f>
        <v>0</v>
      </c>
      <c r="F107" s="29" cm="1">
        <f t="array" ref="F107">SUMIFS(BALANCES!$C:$C,BALANCES!$A:$A,$B$96,BALANCES!$B:$B,$B107,BALANCES!$D:$D,F$100)+SUMIFS(FLOWS!$C:$C,FLOWS!$A:$A,$B$96,FLOWS!$E:$E,$B107,FLOWS!$D:$D,F$100,FLOWS!$H:$H,"&lt;"&amp;$C$98)+SUM(SUMIFS(DEALS!$J:$J,DEALS!$A:$A,{"*REFUND*","*EXECUTED*"},DEALS!$G:$G,$B$96,DEALS!$E:$E,"&lt;"&amp;$C$98,DEALS!$K:$K,F$100,DEALS!$M:$M,$B107,DEALS!$N:$N,"&lt;&gt;*RECEIVED*",DEALS!$N:$N,"&lt;&gt;*EXECUTED*"))+SUM(SUMIFS(DEALS!$R:$R,DEALS!$A:$A,{"*REFUND*","*EXECUTED*"},DEALS!$O:$O,$B$96,DEALS!$E:$E,"&lt;"&amp;$C$98,DEALS!$S:$S,F$100,DEALS!$U:$U,$B107,DEALS!$V:$V,"&lt;&gt;*RECEIVED*",DEALS!$V:$V,"&lt;&gt;*EXECUTED*"))</f>
        <v>25064.45</v>
      </c>
      <c r="G107" s="29" cm="1">
        <f t="array" ref="G107">SUMIFS(BALANCES!$C:$C,BALANCES!$A:$A,$B$96,BALANCES!$B:$B,$B107,BALANCES!$D:$D,G$100)+SUMIFS(FLOWS!$C:$C,FLOWS!$A:$A,$B$96,FLOWS!$E:$E,$B107,FLOWS!$D:$D,G$100,FLOWS!$H:$H,"&lt;"&amp;$C$98)+SUM(SUMIFS(DEALS!$J:$J,DEALS!$A:$A,{"*REFUND*","*EXECUTED*"},DEALS!$G:$G,$B$96,DEALS!$E:$E,"&lt;"&amp;$C$98,DEALS!$K:$K,G$100,DEALS!$M:$M,$B107,DEALS!$N:$N,"&lt;&gt;*RECEIVED*",DEALS!$N:$N,"&lt;&gt;*EXECUTED*"))+SUM(SUMIFS(DEALS!$R:$R,DEALS!$A:$A,{"*REFUND*","*EXECUTED*"},DEALS!$O:$O,$B$96,DEALS!$E:$E,"&lt;"&amp;$C$98,DEALS!$S:$S,G$100,DEALS!$U:$U,$B107,DEALS!$V:$V,"&lt;&gt;*RECEIVED*",DEALS!$V:$V,"&lt;&gt;*EXECUTED*"))</f>
        <v>0</v>
      </c>
      <c r="H107" s="29" cm="1">
        <f t="array" ref="H107">SUMIFS(BALANCES!$C:$C,BALANCES!$A:$A,$B$96,BALANCES!$B:$B,$B107,BALANCES!$D:$D,H$100)+SUMIFS(FLOWS!$C:$C,FLOWS!$A:$A,$B$96,FLOWS!$E:$E,$B107,FLOWS!$D:$D,H$100,FLOWS!$H:$H,"&lt;"&amp;$C$98)+SUM(SUMIFS(DEALS!$J:$J,DEALS!$A:$A,{"*REFUND*","*EXECUTED*"},DEALS!$G:$G,$B$96,DEALS!$E:$E,"&lt;"&amp;$C$98,DEALS!$K:$K,H$100,DEALS!$M:$M,$B107,DEALS!$N:$N,"&lt;&gt;*RECEIVED*",DEALS!$N:$N,"&lt;&gt;*EXECUTED*"))+SUM(SUMIFS(DEALS!$R:$R,DEALS!$A:$A,{"*REFUND*","*EXECUTED*"},DEALS!$O:$O,$B$96,DEALS!$E:$E,"&lt;"&amp;$C$98,DEALS!$S:$S,H$100,DEALS!$U:$U,$B107,DEALS!$V:$V,"&lt;&gt;*RECEIVED*",DEALS!$V:$V,"&lt;&gt;*EXECUTED*"))</f>
        <v>0</v>
      </c>
      <c r="I107" s="30">
        <f ca="1">C107*VLOOKUP(C$100,'FX RATES'!$E$1:$F$50,2,FALSE)+D107*VLOOKUP(D$100,'FX RATES'!$E$1:$F$50,2,FALSE)+E107*VLOOKUP(E$100,'FX RATES'!$E$1:$F$50,2,FALSE)+F107*VLOOKUP(F$100,'FX RATES'!$E$1:$F$50,2,FALSE)+G107*VLOOKUP(G$100,'FX RATES'!$E$1:$F$50,2,FALSE)+H107*VLOOKUP(H$100,'FX RATES'!$E$1:$F$50,2,FALSE)</f>
        <v>6824.7154604367479</v>
      </c>
      <c r="K107" s="28" t="str">
        <f t="shared" si="37"/>
        <v>UAB</v>
      </c>
      <c r="L107" s="29" cm="1">
        <f t="array" ref="L107">SUMIFS(FLOWS!$C:$C,FLOWS!$A:$A,$B$96,FLOWS!$E:$E,$K107,FLOWS!$D:$D,L$100,FLOWS!$H:$H,"&gt;="&amp;$C$98,FLOWS!$H:$H,"&lt;="&amp;$U$98)+SUM(SUMIFS(DEALS!$J:$J,DEALS!$A:$A,{"*REFUND*","*EXECUTED*"},DEALS!$G:$G,$B$96,DEALS!$E:$E,"&gt;="&amp;$C$98,DEALS!$E:$E,"&lt;="&amp;$U$98,DEALS!$K:$K,L$100,DEALS!$M:$M,$K107,DEALS!$N:$N,"&lt;&gt;*RECEIVED*",DEALS!$N:$N,"&lt;&gt;*EXECUTED*"))+SUM(SUMIFS(DEALS!$R:$R,DEALS!$A:$A,{"*REFUND*","*EXECUTED*"},DEALS!$O:$O,$B$96,DEALS!$E:$E,"&gt;="&amp;$C$98,DEALS!$E:$E,"&lt;="&amp;$U$98,DEALS!$S:$S,L$100,DEALS!$U:$U,$K107,DEALS!$V:$V,"&lt;&gt;*RECEIVED*",DEALS!$V:$V,"&lt;&gt;*EXECUTED*"))</f>
        <v>0</v>
      </c>
      <c r="M107" s="29" cm="1">
        <f t="array" ref="M107">SUMIFS(FLOWS!$C:$C,FLOWS!$A:$A,$B$96,FLOWS!$E:$E,$K107,FLOWS!$D:$D,M$100,FLOWS!$H:$H,"&gt;="&amp;$C$98,FLOWS!$H:$H,"&lt;="&amp;$U$98)+SUM(SUMIFS(DEALS!$J:$J,DEALS!$A:$A,{"*REFUND*","*EXECUTED*"},DEALS!$G:$G,$B$96,DEALS!$E:$E,"&gt;="&amp;$C$98,DEALS!$E:$E,"&lt;="&amp;$U$98,DEALS!$K:$K,M$100,DEALS!$M:$M,$K107,DEALS!$N:$N,"&lt;&gt;*RECEIVED*",DEALS!$N:$N,"&lt;&gt;*EXECUTED*"))+SUM(SUMIFS(DEALS!$R:$R,DEALS!$A:$A,{"*REFUND*","*EXECUTED*"},DEALS!$O:$O,$B$96,DEALS!$E:$E,"&gt;="&amp;$C$98,DEALS!$E:$E,"&lt;="&amp;$U$98,DEALS!$S:$S,M$100,DEALS!$U:$U,$K107,DEALS!$V:$V,"&lt;&gt;*RECEIVED*",DEALS!$V:$V,"&lt;&gt;*EXECUTED*"))</f>
        <v>0</v>
      </c>
      <c r="N107" s="29" cm="1">
        <f t="array" ref="N107">SUMIFS(FLOWS!$C:$C,FLOWS!$A:$A,$B$96,FLOWS!$E:$E,$K107,FLOWS!$D:$D,N$100,FLOWS!$H:$H,"&gt;="&amp;$C$98,FLOWS!$H:$H,"&lt;="&amp;$U$98)+SUM(SUMIFS(DEALS!$J:$J,DEALS!$A:$A,{"*REFUND*","*EXECUTED*"},DEALS!$G:$G,$B$96,DEALS!$E:$E,"&gt;="&amp;$C$98,DEALS!$E:$E,"&lt;="&amp;$U$98,DEALS!$K:$K,N$100,DEALS!$M:$M,$K107,DEALS!$N:$N,"&lt;&gt;*RECEIVED*",DEALS!$N:$N,"&lt;&gt;*EXECUTED*"))+SUM(SUMIFS(DEALS!$R:$R,DEALS!$A:$A,{"*REFUND*","*EXECUTED*"},DEALS!$O:$O,$B$96,DEALS!$E:$E,"&gt;="&amp;$C$98,DEALS!$E:$E,"&lt;="&amp;$U$98,DEALS!$S:$S,N$100,DEALS!$U:$U,$K107,DEALS!$V:$V,"&lt;&gt;*RECEIVED*",DEALS!$V:$V,"&lt;&gt;*EXECUTED*"))</f>
        <v>0</v>
      </c>
      <c r="O107" s="29" cm="1">
        <f t="array" ref="O107">SUMIFS(FLOWS!$C:$C,FLOWS!$A:$A,$B$96,FLOWS!$E:$E,$K107,FLOWS!$D:$D,O$100,FLOWS!$H:$H,"&gt;="&amp;$C$98,FLOWS!$H:$H,"&lt;="&amp;$U$98)+SUM(SUMIFS(DEALS!$J:$J,DEALS!$A:$A,{"*REFUND*","*EXECUTED*"},DEALS!$G:$G,$B$96,DEALS!$E:$E,"&gt;="&amp;$C$98,DEALS!$E:$E,"&lt;="&amp;$U$98,DEALS!$K:$K,O$100,DEALS!$M:$M,$K107,DEALS!$N:$N,"&lt;&gt;*RECEIVED*",DEALS!$N:$N,"&lt;&gt;*EXECUTED*"))+SUM(SUMIFS(DEALS!$R:$R,DEALS!$A:$A,{"*REFUND*","*EXECUTED*"},DEALS!$O:$O,$B$96,DEALS!$E:$E,"&gt;="&amp;$C$98,DEALS!$E:$E,"&lt;="&amp;$U$98,DEALS!$S:$S,O$100,DEALS!$U:$U,$K107,DEALS!$V:$V,"&lt;&gt;*RECEIVED*",DEALS!$V:$V,"&lt;&gt;*EXECUTED*"))</f>
        <v>0</v>
      </c>
      <c r="P107" s="29" cm="1">
        <f t="array" ref="P107">SUMIFS(FLOWS!$C:$C,FLOWS!$A:$A,$B$96,FLOWS!$E:$E,$K107,FLOWS!$D:$D,P$100,FLOWS!$H:$H,"&gt;="&amp;$C$98,FLOWS!$H:$H,"&lt;="&amp;$U$98)+SUM(SUMIFS(DEALS!$J:$J,DEALS!$A:$A,{"*REFUND*","*EXECUTED*"},DEALS!$G:$G,$B$96,DEALS!$E:$E,"&gt;="&amp;$C$98,DEALS!$E:$E,"&lt;="&amp;$U$98,DEALS!$K:$K,P$100,DEALS!$M:$M,$K107,DEALS!$N:$N,"&lt;&gt;*RECEIVED*",DEALS!$N:$N,"&lt;&gt;*EXECUTED*"))+SUM(SUMIFS(DEALS!$R:$R,DEALS!$A:$A,{"*REFUND*","*EXECUTED*"},DEALS!$O:$O,$B$96,DEALS!$E:$E,"&gt;="&amp;$C$98,DEALS!$E:$E,"&lt;="&amp;$U$98,DEALS!$S:$S,P$100,DEALS!$U:$U,$K107,DEALS!$V:$V,"&lt;&gt;*RECEIVED*",DEALS!$V:$V,"&lt;&gt;*EXECUTED*"))</f>
        <v>0</v>
      </c>
      <c r="Q107" s="29" cm="1">
        <f t="array" ref="Q107">SUMIFS(FLOWS!$C:$C,FLOWS!$A:$A,$B$96,FLOWS!$E:$E,$K107,FLOWS!$D:$D,Q$100,FLOWS!$H:$H,"&gt;="&amp;$C$98,FLOWS!$H:$H,"&lt;="&amp;$U$98)+SUM(SUMIFS(DEALS!$J:$J,DEALS!$A:$A,{"*REFUND*","*EXECUTED*"},DEALS!$G:$G,$B$96,DEALS!$E:$E,"&gt;="&amp;$C$98,DEALS!$E:$E,"&lt;="&amp;$U$98,DEALS!$K:$K,Q$100,DEALS!$M:$M,$K107,DEALS!$N:$N,"&lt;&gt;*RECEIVED*",DEALS!$N:$N,"&lt;&gt;*EXECUTED*"))+SUM(SUMIFS(DEALS!$R:$R,DEALS!$A:$A,{"*REFUND*","*EXECUTED*"},DEALS!$O:$O,$B$96,DEALS!$E:$E,"&gt;="&amp;$C$98,DEALS!$E:$E,"&lt;="&amp;$U$98,DEALS!$S:$S,Q$100,DEALS!$U:$U,$K107,DEALS!$V:$V,"&lt;&gt;*RECEIVED*",DEALS!$V:$V,"&lt;&gt;*EXECUTED*"))</f>
        <v>0</v>
      </c>
      <c r="R107" s="30">
        <f ca="1">L107*VLOOKUP(L$100,'FX RATES'!$E$1:$F$50,2,FALSE)+M107*VLOOKUP(M$100,'FX RATES'!$E$1:$F$50,2,FALSE)+N107*VLOOKUP(N$100,'FX RATES'!$E$1:$F$50,2,FALSE)+O107*VLOOKUP(O$100,'FX RATES'!$E$1:$F$50,2,FALSE)+P107*VLOOKUP(P$100,'FX RATES'!$E$1:$F$50,2,FALSE)+Q107*VLOOKUP(Q$100,'FX RATES'!$E$1:$F$50,2,FALSE)</f>
        <v>0</v>
      </c>
      <c r="T107" s="28" t="str">
        <f t="shared" si="38"/>
        <v>UAB</v>
      </c>
      <c r="U107" s="29" cm="1">
        <f t="array" ref="U107">SUMIFS(BALANCES!$C:$C,BALANCES!$A:$A,$B$96,BALANCES!$B:$B,$T107,BALANCES!$D:$D,U$100)+SUMIFS(FLOWS!$C:$C,FLOWS!$A:$A,$B$96,FLOWS!$E:$E,$T107,FLOWS!$D:$D,U$100,FLOWS!$H:$H,"&lt;="&amp;$U$98)+SUM(SUMIFS(DEALS!$J:$J,DEALS!$A:$A,{"*REFUND*","*EXECUTED*"},DEALS!$G:$G,$B$96,DEALS!$E:$E,"&lt;="&amp;$U$98,DEALS!$K:$K,U$100,DEALS!$M:$M,$T107,DEALS!$N:$N,"&lt;&gt;*RECEIVED*",DEALS!$N:$N,"&lt;&gt;*EXECUTED*"))+SUM(SUMIFS(DEALS!$R:$R,DEALS!$A:$A,{"*REFUND*","*EXECUTED*"},DEALS!$O:$O,$B$96,DEALS!$E:$E,"&lt;="&amp;$U$98,DEALS!$S:$S,U$100,DEALS!$U:$U,$T107,DEALS!$V:$V,"&lt;&gt;*RECEIVED*",DEALS!$V:$V,"&lt;&gt;*EXECUTED*"))</f>
        <v>0</v>
      </c>
      <c r="V107" s="29" cm="1">
        <f t="array" ref="V107">SUMIFS(BALANCES!$C:$C,BALANCES!$A:$A,$B$96,BALANCES!$B:$B,$T107,BALANCES!$D:$D,V$100)+SUMIFS(FLOWS!$C:$C,FLOWS!$A:$A,$B$96,FLOWS!$E:$E,$T107,FLOWS!$D:$D,V$100,FLOWS!$H:$H,"&lt;="&amp;$U$98)+SUM(SUMIFS(DEALS!$J:$J,DEALS!$A:$A,{"*REFUND*","*EXECUTED*"},DEALS!$G:$G,$B$96,DEALS!$E:$E,"&lt;="&amp;$U$98,DEALS!$K:$K,V$100,DEALS!$M:$M,$T107,DEALS!$N:$N,"&lt;&gt;*RECEIVED*",DEALS!$N:$N,"&lt;&gt;*EXECUTED*"))+SUM(SUMIFS(DEALS!$R:$R,DEALS!$A:$A,{"*REFUND*","*EXECUTED*"},DEALS!$O:$O,$B$96,DEALS!$E:$E,"&lt;="&amp;$U$98,DEALS!$S:$S,V$100,DEALS!$U:$U,$T107,DEALS!$V:$V,"&lt;&gt;*RECEIVED*",DEALS!$V:$V,"&lt;&gt;*EXECUTED*"))</f>
        <v>0</v>
      </c>
      <c r="W107" s="29" cm="1">
        <f t="array" ref="W107">SUMIFS(BALANCES!$C:$C,BALANCES!$A:$A,$B$96,BALANCES!$B:$B,$T107,BALANCES!$D:$D,W$100)+SUMIFS(FLOWS!$C:$C,FLOWS!$A:$A,$B$96,FLOWS!$E:$E,$T107,FLOWS!$D:$D,W$100,FLOWS!$H:$H,"&lt;="&amp;$U$98)+SUM(SUMIFS(DEALS!$J:$J,DEALS!$A:$A,{"*REFUND*","*EXECUTED*"},DEALS!$G:$G,$B$96,DEALS!$E:$E,"&lt;="&amp;$U$98,DEALS!$K:$K,W$100,DEALS!$M:$M,$T107,DEALS!$N:$N,"&lt;&gt;*RECEIVED*",DEALS!$N:$N,"&lt;&gt;*EXECUTED*"))+SUM(SUMIFS(DEALS!$R:$R,DEALS!$A:$A,{"*REFUND*","*EXECUTED*"},DEALS!$O:$O,$B$96,DEALS!$E:$E,"&lt;="&amp;$U$98,DEALS!$S:$S,W$100,DEALS!$U:$U,$T107,DEALS!$V:$V,"&lt;&gt;*RECEIVED*",DEALS!$V:$V,"&lt;&gt;*EXECUTED*"))</f>
        <v>0</v>
      </c>
      <c r="X107" s="29" cm="1">
        <f t="array" ref="X107">SUMIFS(BALANCES!$C:$C,BALANCES!$A:$A,$B$96,BALANCES!$B:$B,$T107,BALANCES!$D:$D,X$100)+SUMIFS(FLOWS!$C:$C,FLOWS!$A:$A,$B$96,FLOWS!$E:$E,$T107,FLOWS!$D:$D,X$100,FLOWS!$H:$H,"&lt;="&amp;$U$98)+SUM(SUMIFS(DEALS!$J:$J,DEALS!$A:$A,{"*REFUND*","*EXECUTED*"},DEALS!$G:$G,$B$96,DEALS!$E:$E,"&lt;="&amp;$U$98,DEALS!$K:$K,X$100,DEALS!$M:$M,$T107,DEALS!$N:$N,"&lt;&gt;*RECEIVED*",DEALS!$N:$N,"&lt;&gt;*EXECUTED*"))+SUM(SUMIFS(DEALS!$R:$R,DEALS!$A:$A,{"*REFUND*","*EXECUTED*"},DEALS!$O:$O,$B$96,DEALS!$E:$E,"&lt;="&amp;$U$98,DEALS!$S:$S,X$100,DEALS!$U:$U,$T107,DEALS!$V:$V,"&lt;&gt;*RECEIVED*",DEALS!$V:$V,"&lt;&gt;*EXECUTED*"))</f>
        <v>25064.45</v>
      </c>
      <c r="Y107" s="29" cm="1">
        <f t="array" ref="Y107">SUMIFS(BALANCES!$C:$C,BALANCES!$A:$A,$B$96,BALANCES!$B:$B,$T107,BALANCES!$D:$D,Y$100)+SUMIFS(FLOWS!$C:$C,FLOWS!$A:$A,$B$96,FLOWS!$E:$E,$T107,FLOWS!$D:$D,Y$100,FLOWS!$H:$H,"&lt;="&amp;$U$98)+SUM(SUMIFS(DEALS!$J:$J,DEALS!$A:$A,{"*REFUND*","*EXECUTED*"},DEALS!$G:$G,$B$96,DEALS!$E:$E,"&lt;="&amp;$U$98,DEALS!$K:$K,Y$100,DEALS!$M:$M,$T107,DEALS!$N:$N,"&lt;&gt;*RECEIVED*",DEALS!$N:$N,"&lt;&gt;*EXECUTED*"))+SUM(SUMIFS(DEALS!$R:$R,DEALS!$A:$A,{"*REFUND*","*EXECUTED*"},DEALS!$O:$O,$B$96,DEALS!$E:$E,"&lt;="&amp;$U$98,DEALS!$S:$S,Y$100,DEALS!$U:$U,$T107,DEALS!$V:$V,"&lt;&gt;*RECEIVED*",DEALS!$V:$V,"&lt;&gt;*EXECUTED*"))</f>
        <v>0</v>
      </c>
      <c r="Z107" s="29" cm="1">
        <f t="array" ref="Z107">SUMIFS(BALANCES!$C:$C,BALANCES!$A:$A,$B$96,BALANCES!$B:$B,$T107,BALANCES!$D:$D,Z$100)+SUMIFS(FLOWS!$C:$C,FLOWS!$A:$A,$B$96,FLOWS!$E:$E,$T107,FLOWS!$D:$D,Z$100,FLOWS!$H:$H,"&lt;="&amp;$U$98)+SUM(SUMIFS(DEALS!$J:$J,DEALS!$A:$A,{"*REFUND*","*EXECUTED*"},DEALS!$G:$G,$B$96,DEALS!$E:$E,"&lt;="&amp;$U$98,DEALS!$K:$K,Z$100,DEALS!$M:$M,$T107,DEALS!$N:$N,"&lt;&gt;*RECEIVED*",DEALS!$N:$N,"&lt;&gt;*EXECUTED*"))+SUM(SUMIFS(DEALS!$R:$R,DEALS!$A:$A,{"*REFUND*","*EXECUTED*"},DEALS!$O:$O,$B$96,DEALS!$E:$E,"&lt;="&amp;$U$98,DEALS!$S:$S,Z$100,DEALS!$U:$U,$T107,DEALS!$V:$V,"&lt;&gt;*RECEIVED*",DEALS!$V:$V,"&lt;&gt;*EXECUTED*"))</f>
        <v>0</v>
      </c>
      <c r="AA107" s="30">
        <f ca="1">U107*VLOOKUP(U$100,'FX RATES'!$E$1:$F$50,2,FALSE)+V107*VLOOKUP(V$100,'FX RATES'!$E$1:$F$50,2,FALSE)+W107*VLOOKUP(W$100,'FX RATES'!$E$1:$F$50,2,FALSE)+X107*VLOOKUP(X$100,'FX RATES'!$E$1:$F$50,2,FALSE)+Y107*VLOOKUP(Y$100,'FX RATES'!$E$1:$F$50,2,FALSE)+Z107*VLOOKUP(Z$100,'FX RATES'!$E$1:$F$50,2,FALSE)</f>
        <v>6824.7154604367479</v>
      </c>
      <c r="AC107" s="139">
        <f t="shared" ca="1" si="39"/>
        <v>0</v>
      </c>
    </row>
    <row r="108" spans="2:29" ht="20" thickBot="1">
      <c r="B108" s="31" t="s">
        <v>22</v>
      </c>
      <c r="C108" s="32" cm="1">
        <f t="array" ref="C108">SUMIFS(BALANCES!$C:$C,BALANCES!$A:$A,$B$96,BALANCES!$B:$B,$B108,BALANCES!$D:$D,C$100)+SUMIFS(FLOWS!$C:$C,FLOWS!$A:$A,$B$96,FLOWS!$E:$E,$B108,FLOWS!$D:$D,C$100,FLOWS!$H:$H,"&lt;"&amp;$C$98)+SUM(SUMIFS(DEALS!$J:$J,DEALS!$A:$A,{"*REFUND*","*EXECUTED*"},DEALS!$G:$G,$B$96,DEALS!$E:$E,"&lt;"&amp;$C$98,DEALS!$K:$K,C$100,DEALS!$M:$M,$B108,DEALS!$N:$N,"&lt;&gt;*RECEIVED*",DEALS!$N:$N,"&lt;&gt;*EXECUTED*"))+SUM(SUMIFS(DEALS!$R:$R,DEALS!$A:$A,{"*REFUND*","*EXECUTED*"},DEALS!$O:$O,$B$96,DEALS!$E:$E,"&lt;"&amp;$C$98,DEALS!$S:$S,C$100,DEALS!$U:$U,$B108,DEALS!$V:$V,"&lt;&gt;*RECEIVED*",DEALS!$V:$V,"&lt;&gt;*EXECUTED*"))</f>
        <v>14333.32</v>
      </c>
      <c r="D108" s="32" cm="1">
        <f t="array" ref="D108">SUMIFS(BALANCES!$C:$C,BALANCES!$A:$A,$B$96,BALANCES!$B:$B,$B108,BALANCES!$D:$D,D$100)+SUMIFS(FLOWS!$C:$C,FLOWS!$A:$A,$B$96,FLOWS!$E:$E,$B108,FLOWS!$D:$D,D$100,FLOWS!$H:$H,"&lt;"&amp;$C$98)+SUM(SUMIFS(DEALS!$J:$J,DEALS!$A:$A,{"*REFUND*","*EXECUTED*"},DEALS!$G:$G,$B$96,DEALS!$E:$E,"&lt;"&amp;$C$98,DEALS!$K:$K,D$100,DEALS!$M:$M,$B108,DEALS!$N:$N,"&lt;&gt;*RECEIVED*",DEALS!$N:$N,"&lt;&gt;*EXECUTED*"))+SUM(SUMIFS(DEALS!$R:$R,DEALS!$A:$A,{"*REFUND*","*EXECUTED*"},DEALS!$O:$O,$B$96,DEALS!$E:$E,"&lt;"&amp;$C$98,DEALS!$S:$S,D$100,DEALS!$U:$U,$B108,DEALS!$V:$V,"&lt;&gt;*RECEIVED*",DEALS!$V:$V,"&lt;&gt;*EXECUTED*"))</f>
        <v>0</v>
      </c>
      <c r="E108" s="32" cm="1">
        <f t="array" ref="E108">SUMIFS(BALANCES!$C:$C,BALANCES!$A:$A,$B$96,BALANCES!$B:$B,$B108,BALANCES!$D:$D,E$100)+SUMIFS(FLOWS!$C:$C,FLOWS!$A:$A,$B$96,FLOWS!$E:$E,$B108,FLOWS!$D:$D,E$100,FLOWS!$H:$H,"&lt;"&amp;$C$98)+SUM(SUMIFS(DEALS!$J:$J,DEALS!$A:$A,{"*REFUND*","*EXECUTED*"},DEALS!$G:$G,$B$96,DEALS!$E:$E,"&lt;"&amp;$C$98,DEALS!$K:$K,E$100,DEALS!$M:$M,$B108,DEALS!$N:$N,"&lt;&gt;*RECEIVED*",DEALS!$N:$N,"&lt;&gt;*EXECUTED*"))+SUM(SUMIFS(DEALS!$R:$R,DEALS!$A:$A,{"*REFUND*","*EXECUTED*"},DEALS!$O:$O,$B$96,DEALS!$E:$E,"&lt;"&amp;$C$98,DEALS!$S:$S,E$100,DEALS!$U:$U,$B108,DEALS!$V:$V,"&lt;&gt;*RECEIVED*",DEALS!$V:$V,"&lt;&gt;*EXECUTED*"))</f>
        <v>10000.75</v>
      </c>
      <c r="F108" s="32" cm="1">
        <f t="array" ref="F108">SUMIFS(BALANCES!$C:$C,BALANCES!$A:$A,$B$96,BALANCES!$B:$B,$B108,BALANCES!$D:$D,F$100)+SUMIFS(FLOWS!$C:$C,FLOWS!$A:$A,$B$96,FLOWS!$E:$E,$B108,FLOWS!$D:$D,F$100,FLOWS!$H:$H,"&lt;"&amp;$C$98)+SUM(SUMIFS(DEALS!$J:$J,DEALS!$A:$A,{"*REFUND*","*EXECUTED*"},DEALS!$G:$G,$B$96,DEALS!$E:$E,"&lt;"&amp;$C$98,DEALS!$K:$K,F$100,DEALS!$M:$M,$B108,DEALS!$N:$N,"&lt;&gt;*RECEIVED*",DEALS!$N:$N,"&lt;&gt;*EXECUTED*"))+SUM(SUMIFS(DEALS!$R:$R,DEALS!$A:$A,{"*REFUND*","*EXECUTED*"},DEALS!$O:$O,$B$96,DEALS!$E:$E,"&lt;"&amp;$C$98,DEALS!$S:$S,F$100,DEALS!$U:$U,$B108,DEALS!$V:$V,"&lt;&gt;*RECEIVED*",DEALS!$V:$V,"&lt;&gt;*EXECUTED*"))</f>
        <v>0</v>
      </c>
      <c r="G108" s="32" cm="1">
        <f t="array" ref="G108">SUMIFS(BALANCES!$C:$C,BALANCES!$A:$A,$B$96,BALANCES!$B:$B,$B108,BALANCES!$D:$D,G$100)+SUMIFS(FLOWS!$C:$C,FLOWS!$A:$A,$B$96,FLOWS!$E:$E,$B108,FLOWS!$D:$D,G$100,FLOWS!$H:$H,"&lt;"&amp;$C$98)+SUM(SUMIFS(DEALS!$J:$J,DEALS!$A:$A,{"*REFUND*","*EXECUTED*"},DEALS!$G:$G,$B$96,DEALS!$E:$E,"&lt;"&amp;$C$98,DEALS!$K:$K,G$100,DEALS!$M:$M,$B108,DEALS!$N:$N,"&lt;&gt;*RECEIVED*",DEALS!$N:$N,"&lt;&gt;*EXECUTED*"))+SUM(SUMIFS(DEALS!$R:$R,DEALS!$A:$A,{"*REFUND*","*EXECUTED*"},DEALS!$O:$O,$B$96,DEALS!$E:$E,"&lt;"&amp;$C$98,DEALS!$S:$S,G$100,DEALS!$U:$U,$B108,DEALS!$V:$V,"&lt;&gt;*RECEIVED*",DEALS!$V:$V,"&lt;&gt;*EXECUTED*"))</f>
        <v>0</v>
      </c>
      <c r="H108" s="32" cm="1">
        <f t="array" ref="H108">SUMIFS(BALANCES!$C:$C,BALANCES!$A:$A,$B$96,BALANCES!$B:$B,$B108,BALANCES!$D:$D,H$100)+SUMIFS(FLOWS!$C:$C,FLOWS!$A:$A,$B$96,FLOWS!$E:$E,$B108,FLOWS!$D:$D,H$100,FLOWS!$H:$H,"&lt;"&amp;$C$98)+SUM(SUMIFS(DEALS!$J:$J,DEALS!$A:$A,{"*REFUND*","*EXECUTED*"},DEALS!$G:$G,$B$96,DEALS!$E:$E,"&lt;"&amp;$C$98,DEALS!$K:$K,H$100,DEALS!$M:$M,$B108,DEALS!$N:$N,"&lt;&gt;*RECEIVED*",DEALS!$N:$N,"&lt;&gt;*EXECUTED*"))+SUM(SUMIFS(DEALS!$R:$R,DEALS!$A:$A,{"*REFUND*","*EXECUTED*"},DEALS!$O:$O,$B$96,DEALS!$E:$E,"&lt;"&amp;$C$98,DEALS!$S:$S,H$100,DEALS!$U:$U,$B108,DEALS!$V:$V,"&lt;&gt;*RECEIVED*",DEALS!$V:$V,"&lt;&gt;*EXECUTED*"))</f>
        <v>0</v>
      </c>
      <c r="I108" s="33">
        <f ca="1">C108*VLOOKUP(C$100,'FX RATES'!$E$1:$F$50,2,FALSE)+D108*VLOOKUP(D$100,'FX RATES'!$E$1:$F$50,2,FALSE)+E108*VLOOKUP(E$100,'FX RATES'!$E$1:$F$50,2,FALSE)+F108*VLOOKUP(F$100,'FX RATES'!$E$1:$F$50,2,FALSE)+G108*VLOOKUP(G$100,'FX RATES'!$E$1:$F$50,2,FALSE)+H108*VLOOKUP(H$100,'FX RATES'!$E$1:$F$50,2,FALSE)</f>
        <v>15781.025558772437</v>
      </c>
      <c r="K108" s="31" t="str">
        <f t="shared" si="37"/>
        <v>CHZH</v>
      </c>
      <c r="L108" s="32" cm="1">
        <f t="array" ref="L108">SUMIFS(FLOWS!$C:$C,FLOWS!$A:$A,$B$96,FLOWS!$E:$E,$K108,FLOWS!$D:$D,L$100,FLOWS!$H:$H,"&gt;="&amp;$C$98,FLOWS!$H:$H,"&lt;="&amp;$U$98)+SUM(SUMIFS(DEALS!$J:$J,DEALS!$A:$A,{"*REFUND*","*EXECUTED*"},DEALS!$G:$G,$B$96,DEALS!$E:$E,"&gt;="&amp;$C$98,DEALS!$E:$E,"&lt;="&amp;$U$98,DEALS!$K:$K,L$100,DEALS!$M:$M,$K108,DEALS!$N:$N,"&lt;&gt;*RECEIVED*",DEALS!$N:$N,"&lt;&gt;*EXECUTED*"))+SUM(SUMIFS(DEALS!$R:$R,DEALS!$A:$A,{"*REFUND*","*EXECUTED*"},DEALS!$O:$O,$B$96,DEALS!$E:$E,"&gt;="&amp;$C$98,DEALS!$E:$E,"&lt;="&amp;$U$98,DEALS!$S:$S,L$100,DEALS!$U:$U,$K108,DEALS!$V:$V,"&lt;&gt;*RECEIVED*",DEALS!$V:$V,"&lt;&gt;*EXECUTED*"))</f>
        <v>0</v>
      </c>
      <c r="M108" s="32" cm="1">
        <f t="array" ref="M108">SUMIFS(FLOWS!$C:$C,FLOWS!$A:$A,$B$96,FLOWS!$E:$E,$K108,FLOWS!$D:$D,M$100,FLOWS!$H:$H,"&gt;="&amp;$C$98,FLOWS!$H:$H,"&lt;="&amp;$U$98)+SUM(SUMIFS(DEALS!$J:$J,DEALS!$A:$A,{"*REFUND*","*EXECUTED*"},DEALS!$G:$G,$B$96,DEALS!$E:$E,"&gt;="&amp;$C$98,DEALS!$E:$E,"&lt;="&amp;$U$98,DEALS!$K:$K,M$100,DEALS!$M:$M,$K108,DEALS!$N:$N,"&lt;&gt;*RECEIVED*",DEALS!$N:$N,"&lt;&gt;*EXECUTED*"))+SUM(SUMIFS(DEALS!$R:$R,DEALS!$A:$A,{"*REFUND*","*EXECUTED*"},DEALS!$O:$O,$B$96,DEALS!$E:$E,"&gt;="&amp;$C$98,DEALS!$E:$E,"&lt;="&amp;$U$98,DEALS!$S:$S,M$100,DEALS!$U:$U,$K108,DEALS!$V:$V,"&lt;&gt;*RECEIVED*",DEALS!$V:$V,"&lt;&gt;*EXECUTED*"))</f>
        <v>0</v>
      </c>
      <c r="N108" s="32" cm="1">
        <f t="array" ref="N108">SUMIFS(FLOWS!$C:$C,FLOWS!$A:$A,$B$96,FLOWS!$E:$E,$K108,FLOWS!$D:$D,N$100,FLOWS!$H:$H,"&gt;="&amp;$C$98,FLOWS!$H:$H,"&lt;="&amp;$U$98)+SUM(SUMIFS(DEALS!$J:$J,DEALS!$A:$A,{"*REFUND*","*EXECUTED*"},DEALS!$G:$G,$B$96,DEALS!$E:$E,"&gt;="&amp;$C$98,DEALS!$E:$E,"&lt;="&amp;$U$98,DEALS!$K:$K,N$100,DEALS!$M:$M,$K108,DEALS!$N:$N,"&lt;&gt;*RECEIVED*",DEALS!$N:$N,"&lt;&gt;*EXECUTED*"))+SUM(SUMIFS(DEALS!$R:$R,DEALS!$A:$A,{"*REFUND*","*EXECUTED*"},DEALS!$O:$O,$B$96,DEALS!$E:$E,"&gt;="&amp;$C$98,DEALS!$E:$E,"&lt;="&amp;$U$98,DEALS!$S:$S,N$100,DEALS!$U:$U,$K108,DEALS!$V:$V,"&lt;&gt;*RECEIVED*",DEALS!$V:$V,"&lt;&gt;*EXECUTED*"))</f>
        <v>0</v>
      </c>
      <c r="O108" s="32" cm="1">
        <f t="array" ref="O108">SUMIFS(FLOWS!$C:$C,FLOWS!$A:$A,$B$96,FLOWS!$E:$E,$K108,FLOWS!$D:$D,O$100,FLOWS!$H:$H,"&gt;="&amp;$C$98,FLOWS!$H:$H,"&lt;="&amp;$U$98)+SUM(SUMIFS(DEALS!$J:$J,DEALS!$A:$A,{"*REFUND*","*EXECUTED*"},DEALS!$G:$G,$B$96,DEALS!$E:$E,"&gt;="&amp;$C$98,DEALS!$E:$E,"&lt;="&amp;$U$98,DEALS!$K:$K,O$100,DEALS!$M:$M,$K108,DEALS!$N:$N,"&lt;&gt;*RECEIVED*",DEALS!$N:$N,"&lt;&gt;*EXECUTED*"))+SUM(SUMIFS(DEALS!$R:$R,DEALS!$A:$A,{"*REFUND*","*EXECUTED*"},DEALS!$O:$O,$B$96,DEALS!$E:$E,"&gt;="&amp;$C$98,DEALS!$E:$E,"&lt;="&amp;$U$98,DEALS!$S:$S,O$100,DEALS!$U:$U,$K108,DEALS!$V:$V,"&lt;&gt;*RECEIVED*",DEALS!$V:$V,"&lt;&gt;*EXECUTED*"))</f>
        <v>0</v>
      </c>
      <c r="P108" s="32" cm="1">
        <f t="array" ref="P108">SUMIFS(FLOWS!$C:$C,FLOWS!$A:$A,$B$96,FLOWS!$E:$E,$K108,FLOWS!$D:$D,P$100,FLOWS!$H:$H,"&gt;="&amp;$C$98,FLOWS!$H:$H,"&lt;="&amp;$U$98)+SUM(SUMIFS(DEALS!$J:$J,DEALS!$A:$A,{"*REFUND*","*EXECUTED*"},DEALS!$G:$G,$B$96,DEALS!$E:$E,"&gt;="&amp;$C$98,DEALS!$E:$E,"&lt;="&amp;$U$98,DEALS!$K:$K,P$100,DEALS!$M:$M,$K108,DEALS!$N:$N,"&lt;&gt;*RECEIVED*",DEALS!$N:$N,"&lt;&gt;*EXECUTED*"))+SUM(SUMIFS(DEALS!$R:$R,DEALS!$A:$A,{"*REFUND*","*EXECUTED*"},DEALS!$O:$O,$B$96,DEALS!$E:$E,"&gt;="&amp;$C$98,DEALS!$E:$E,"&lt;="&amp;$U$98,DEALS!$S:$S,P$100,DEALS!$U:$U,$K108,DEALS!$V:$V,"&lt;&gt;*RECEIVED*",DEALS!$V:$V,"&lt;&gt;*EXECUTED*"))</f>
        <v>0</v>
      </c>
      <c r="Q108" s="32" cm="1">
        <f t="array" ref="Q108">SUMIFS(FLOWS!$C:$C,FLOWS!$A:$A,$B$96,FLOWS!$E:$E,$K108,FLOWS!$D:$D,Q$100,FLOWS!$H:$H,"&gt;="&amp;$C$98,FLOWS!$H:$H,"&lt;="&amp;$U$98)+SUM(SUMIFS(DEALS!$J:$J,DEALS!$A:$A,{"*REFUND*","*EXECUTED*"},DEALS!$G:$G,$B$96,DEALS!$E:$E,"&gt;="&amp;$C$98,DEALS!$E:$E,"&lt;="&amp;$U$98,DEALS!$K:$K,Q$100,DEALS!$M:$M,$K108,DEALS!$N:$N,"&lt;&gt;*RECEIVED*",DEALS!$N:$N,"&lt;&gt;*EXECUTED*"))+SUM(SUMIFS(DEALS!$R:$R,DEALS!$A:$A,{"*REFUND*","*EXECUTED*"},DEALS!$O:$O,$B$96,DEALS!$E:$E,"&gt;="&amp;$C$98,DEALS!$E:$E,"&lt;="&amp;$U$98,DEALS!$S:$S,Q$100,DEALS!$U:$U,$K108,DEALS!$V:$V,"&lt;&gt;*RECEIVED*",DEALS!$V:$V,"&lt;&gt;*EXECUTED*"))</f>
        <v>0</v>
      </c>
      <c r="R108" s="33">
        <f ca="1">L108*VLOOKUP(L$100,'FX RATES'!$E$1:$F$50,2,FALSE)+M108*VLOOKUP(M$100,'FX RATES'!$E$1:$F$50,2,FALSE)+N108*VLOOKUP(N$100,'FX RATES'!$E$1:$F$50,2,FALSE)+O108*VLOOKUP(O$100,'FX RATES'!$E$1:$F$50,2,FALSE)+P108*VLOOKUP(P$100,'FX RATES'!$E$1:$F$50,2,FALSE)+Q108*VLOOKUP(Q$100,'FX RATES'!$E$1:$F$50,2,FALSE)</f>
        <v>0</v>
      </c>
      <c r="T108" s="31" t="str">
        <f t="shared" si="38"/>
        <v>CHZH</v>
      </c>
      <c r="U108" s="32" cm="1">
        <f t="array" ref="U108">SUMIFS(BALANCES!$C:$C,BALANCES!$A:$A,$B$96,BALANCES!$B:$B,$T108,BALANCES!$D:$D,U$100)+SUMIFS(FLOWS!$C:$C,FLOWS!$A:$A,$B$96,FLOWS!$E:$E,$T108,FLOWS!$D:$D,U$100,FLOWS!$H:$H,"&lt;="&amp;$U$98)+SUM(SUMIFS(DEALS!$J:$J,DEALS!$A:$A,{"*REFUND*","*EXECUTED*"},DEALS!$G:$G,$B$96,DEALS!$E:$E,"&lt;="&amp;$U$98,DEALS!$K:$K,U$100,DEALS!$M:$M,$T108,DEALS!$N:$N,"&lt;&gt;*RECEIVED*",DEALS!$N:$N,"&lt;&gt;*EXECUTED*"))+SUM(SUMIFS(DEALS!$R:$R,DEALS!$A:$A,{"*REFUND*","*EXECUTED*"},DEALS!$O:$O,$B$96,DEALS!$E:$E,"&lt;="&amp;$U$98,DEALS!$S:$S,U$100,DEALS!$U:$U,$T108,DEALS!$V:$V,"&lt;&gt;*RECEIVED*",DEALS!$V:$V,"&lt;&gt;*EXECUTED*"))</f>
        <v>14333.32</v>
      </c>
      <c r="V108" s="32" cm="1">
        <f t="array" ref="V108">SUMIFS(BALANCES!$C:$C,BALANCES!$A:$A,$B$96,BALANCES!$B:$B,$T108,BALANCES!$D:$D,V$100)+SUMIFS(FLOWS!$C:$C,FLOWS!$A:$A,$B$96,FLOWS!$E:$E,$T108,FLOWS!$D:$D,V$100,FLOWS!$H:$H,"&lt;="&amp;$U$98)+SUM(SUMIFS(DEALS!$J:$J,DEALS!$A:$A,{"*REFUND*","*EXECUTED*"},DEALS!$G:$G,$B$96,DEALS!$E:$E,"&lt;="&amp;$U$98,DEALS!$K:$K,V$100,DEALS!$M:$M,$T108,DEALS!$N:$N,"&lt;&gt;*RECEIVED*",DEALS!$N:$N,"&lt;&gt;*EXECUTED*"))+SUM(SUMIFS(DEALS!$R:$R,DEALS!$A:$A,{"*REFUND*","*EXECUTED*"},DEALS!$O:$O,$B$96,DEALS!$E:$E,"&lt;="&amp;$U$98,DEALS!$S:$S,V$100,DEALS!$U:$U,$T108,DEALS!$V:$V,"&lt;&gt;*RECEIVED*",DEALS!$V:$V,"&lt;&gt;*EXECUTED*"))</f>
        <v>0</v>
      </c>
      <c r="W108" s="32" cm="1">
        <f t="array" ref="W108">SUMIFS(BALANCES!$C:$C,BALANCES!$A:$A,$B$96,BALANCES!$B:$B,$T108,BALANCES!$D:$D,W$100)+SUMIFS(FLOWS!$C:$C,FLOWS!$A:$A,$B$96,FLOWS!$E:$E,$T108,FLOWS!$D:$D,W$100,FLOWS!$H:$H,"&lt;="&amp;$U$98)+SUM(SUMIFS(DEALS!$J:$J,DEALS!$A:$A,{"*REFUND*","*EXECUTED*"},DEALS!$G:$G,$B$96,DEALS!$E:$E,"&lt;="&amp;$U$98,DEALS!$K:$K,W$100,DEALS!$M:$M,$T108,DEALS!$N:$N,"&lt;&gt;*RECEIVED*",DEALS!$N:$N,"&lt;&gt;*EXECUTED*"))+SUM(SUMIFS(DEALS!$R:$R,DEALS!$A:$A,{"*REFUND*","*EXECUTED*"},DEALS!$O:$O,$B$96,DEALS!$E:$E,"&lt;="&amp;$U$98,DEALS!$S:$S,W$100,DEALS!$U:$U,$T108,DEALS!$V:$V,"&lt;&gt;*RECEIVED*",DEALS!$V:$V,"&lt;&gt;*EXECUTED*"))</f>
        <v>10000.75</v>
      </c>
      <c r="X108" s="32" cm="1">
        <f t="array" ref="X108">SUMIFS(BALANCES!$C:$C,BALANCES!$A:$A,$B$96,BALANCES!$B:$B,$T108,BALANCES!$D:$D,X$100)+SUMIFS(FLOWS!$C:$C,FLOWS!$A:$A,$B$96,FLOWS!$E:$E,$T108,FLOWS!$D:$D,X$100,FLOWS!$H:$H,"&lt;="&amp;$U$98)+SUM(SUMIFS(DEALS!$J:$J,DEALS!$A:$A,{"*REFUND*","*EXECUTED*"},DEALS!$G:$G,$B$96,DEALS!$E:$E,"&lt;="&amp;$U$98,DEALS!$K:$K,X$100,DEALS!$M:$M,$T108,DEALS!$N:$N,"&lt;&gt;*RECEIVED*",DEALS!$N:$N,"&lt;&gt;*EXECUTED*"))+SUM(SUMIFS(DEALS!$R:$R,DEALS!$A:$A,{"*REFUND*","*EXECUTED*"},DEALS!$O:$O,$B$96,DEALS!$E:$E,"&lt;="&amp;$U$98,DEALS!$S:$S,X$100,DEALS!$U:$U,$T108,DEALS!$V:$V,"&lt;&gt;*RECEIVED*",DEALS!$V:$V,"&lt;&gt;*EXECUTED*"))</f>
        <v>0</v>
      </c>
      <c r="Y108" s="32" cm="1">
        <f t="array" ref="Y108">SUMIFS(BALANCES!$C:$C,BALANCES!$A:$A,$B$96,BALANCES!$B:$B,$T108,BALANCES!$D:$D,Y$100)+SUMIFS(FLOWS!$C:$C,FLOWS!$A:$A,$B$96,FLOWS!$E:$E,$T108,FLOWS!$D:$D,Y$100,FLOWS!$H:$H,"&lt;="&amp;$U$98)+SUM(SUMIFS(DEALS!$J:$J,DEALS!$A:$A,{"*REFUND*","*EXECUTED*"},DEALS!$G:$G,$B$96,DEALS!$E:$E,"&lt;="&amp;$U$98,DEALS!$K:$K,Y$100,DEALS!$M:$M,$T108,DEALS!$N:$N,"&lt;&gt;*RECEIVED*",DEALS!$N:$N,"&lt;&gt;*EXECUTED*"))+SUM(SUMIFS(DEALS!$R:$R,DEALS!$A:$A,{"*REFUND*","*EXECUTED*"},DEALS!$O:$O,$B$96,DEALS!$E:$E,"&lt;="&amp;$U$98,DEALS!$S:$S,Y$100,DEALS!$U:$U,$T108,DEALS!$V:$V,"&lt;&gt;*RECEIVED*",DEALS!$V:$V,"&lt;&gt;*EXECUTED*"))</f>
        <v>0</v>
      </c>
      <c r="Z108" s="32" cm="1">
        <f t="array" ref="Z108">SUMIFS(BALANCES!$C:$C,BALANCES!$A:$A,$B$96,BALANCES!$B:$B,$T108,BALANCES!$D:$D,Z$100)+SUMIFS(FLOWS!$C:$C,FLOWS!$A:$A,$B$96,FLOWS!$E:$E,$T108,FLOWS!$D:$D,Z$100,FLOWS!$H:$H,"&lt;="&amp;$U$98)+SUM(SUMIFS(DEALS!$J:$J,DEALS!$A:$A,{"*REFUND*","*EXECUTED*"},DEALS!$G:$G,$B$96,DEALS!$E:$E,"&lt;="&amp;$U$98,DEALS!$K:$K,Z$100,DEALS!$M:$M,$T108,DEALS!$N:$N,"&lt;&gt;*RECEIVED*",DEALS!$N:$N,"&lt;&gt;*EXECUTED*"))+SUM(SUMIFS(DEALS!$R:$R,DEALS!$A:$A,{"*REFUND*","*EXECUTED*"},DEALS!$O:$O,$B$96,DEALS!$E:$E,"&lt;="&amp;$U$98,DEALS!$S:$S,Z$100,DEALS!$U:$U,$T108,DEALS!$V:$V,"&lt;&gt;*RECEIVED*",DEALS!$V:$V,"&lt;&gt;*EXECUTED*"))</f>
        <v>0</v>
      </c>
      <c r="AA108" s="33">
        <f ca="1">U108*VLOOKUP(U$100,'FX RATES'!$E$1:$F$50,2,FALSE)+V108*VLOOKUP(V$100,'FX RATES'!$E$1:$F$50,2,FALSE)+W108*VLOOKUP(W$100,'FX RATES'!$E$1:$F$50,2,FALSE)+X108*VLOOKUP(X$100,'FX RATES'!$E$1:$F$50,2,FALSE)+Y108*VLOOKUP(Y$100,'FX RATES'!$E$1:$F$50,2,FALSE)+Z108*VLOOKUP(Z$100,'FX RATES'!$E$1:$F$50,2,FALSE)</f>
        <v>15781.025558772437</v>
      </c>
      <c r="AC108" s="139">
        <f t="shared" ca="1" si="39"/>
        <v>0</v>
      </c>
    </row>
    <row r="109" spans="2:29" ht="20" thickBot="1">
      <c r="B109" s="28" t="s">
        <v>37</v>
      </c>
      <c r="C109" s="29" cm="1">
        <f t="array" ref="C109">SUMIFS(BALANCES!$C:$C,BALANCES!$A:$A,$B$96,BALANCES!$B:$B,$B109,BALANCES!$D:$D,C$100)+SUMIFS(FLOWS!$C:$C,FLOWS!$A:$A,$B$96,FLOWS!$E:$E,$B109,FLOWS!$D:$D,C$100,FLOWS!$H:$H,"&lt;"&amp;$C$98)+SUM(SUMIFS(DEALS!$J:$J,DEALS!$A:$A,{"*REFUND*","*EXECUTED*"},DEALS!$G:$G,$B$96,DEALS!$E:$E,"&lt;"&amp;$C$98,DEALS!$K:$K,C$100,DEALS!$M:$M,$B109,DEALS!$N:$N,"&lt;&gt;*RECEIVED*",DEALS!$N:$N,"&lt;&gt;*EXECUTED*"))+SUM(SUMIFS(DEALS!$R:$R,DEALS!$A:$A,{"*REFUND*","*EXECUTED*"},DEALS!$O:$O,$B$96,DEALS!$E:$E,"&lt;"&amp;$C$98,DEALS!$S:$S,C$100,DEALS!$U:$U,$B109,DEALS!$V:$V,"&lt;&gt;*RECEIVED*",DEALS!$V:$V,"&lt;&gt;*EXECUTED*"))</f>
        <v>1542.22</v>
      </c>
      <c r="D109" s="29" cm="1">
        <f t="array" ref="D109">SUMIFS(BALANCES!$C:$C,BALANCES!$A:$A,$B$96,BALANCES!$B:$B,$B109,BALANCES!$D:$D,D$100)+SUMIFS(FLOWS!$C:$C,FLOWS!$A:$A,$B$96,FLOWS!$E:$E,$B109,FLOWS!$D:$D,D$100,FLOWS!$H:$H,"&lt;"&amp;$C$98)+SUM(SUMIFS(DEALS!$J:$J,DEALS!$A:$A,{"*REFUND*","*EXECUTED*"},DEALS!$G:$G,$B$96,DEALS!$E:$E,"&lt;"&amp;$C$98,DEALS!$K:$K,D$100,DEALS!$M:$M,$B109,DEALS!$N:$N,"&lt;&gt;*RECEIVED*",DEALS!$N:$N,"&lt;&gt;*EXECUTED*"))+SUM(SUMIFS(DEALS!$R:$R,DEALS!$A:$A,{"*REFUND*","*EXECUTED*"},DEALS!$O:$O,$B$96,DEALS!$E:$E,"&lt;"&amp;$C$98,DEALS!$S:$S,D$100,DEALS!$U:$U,$B109,DEALS!$V:$V,"&lt;&gt;*RECEIVED*",DEALS!$V:$V,"&lt;&gt;*EXECUTED*"))</f>
        <v>0</v>
      </c>
      <c r="E109" s="29" cm="1">
        <f t="array" ref="E109">SUMIFS(BALANCES!$C:$C,BALANCES!$A:$A,$B$96,BALANCES!$B:$B,$B109,BALANCES!$D:$D,E$100)+SUMIFS(FLOWS!$C:$C,FLOWS!$A:$A,$B$96,FLOWS!$E:$E,$B109,FLOWS!$D:$D,E$100,FLOWS!$H:$H,"&lt;"&amp;$C$98)+SUM(SUMIFS(DEALS!$J:$J,DEALS!$A:$A,{"*REFUND*","*EXECUTED*"},DEALS!$G:$G,$B$96,DEALS!$E:$E,"&lt;"&amp;$C$98,DEALS!$K:$K,E$100,DEALS!$M:$M,$B109,DEALS!$N:$N,"&lt;&gt;*RECEIVED*",DEALS!$N:$N,"&lt;&gt;*EXECUTED*"))+SUM(SUMIFS(DEALS!$R:$R,DEALS!$A:$A,{"*REFUND*","*EXECUTED*"},DEALS!$O:$O,$B$96,DEALS!$E:$E,"&lt;"&amp;$C$98,DEALS!$S:$S,E$100,DEALS!$U:$U,$B109,DEALS!$V:$V,"&lt;&gt;*RECEIVED*",DEALS!$V:$V,"&lt;&gt;*EXECUTED*"))</f>
        <v>937224.92</v>
      </c>
      <c r="F109" s="29" cm="1">
        <f t="array" ref="F109">SUMIFS(BALANCES!$C:$C,BALANCES!$A:$A,$B$96,BALANCES!$B:$B,$B109,BALANCES!$D:$D,F$100)+SUMIFS(FLOWS!$C:$C,FLOWS!$A:$A,$B$96,FLOWS!$E:$E,$B109,FLOWS!$D:$D,F$100,FLOWS!$H:$H,"&lt;"&amp;$C$98)+SUM(SUMIFS(DEALS!$J:$J,DEALS!$A:$A,{"*REFUND*","*EXECUTED*"},DEALS!$G:$G,$B$96,DEALS!$E:$E,"&lt;"&amp;$C$98,DEALS!$K:$K,F$100,DEALS!$M:$M,$B109,DEALS!$N:$N,"&lt;&gt;*RECEIVED*",DEALS!$N:$N,"&lt;&gt;*EXECUTED*"))+SUM(SUMIFS(DEALS!$R:$R,DEALS!$A:$A,{"*REFUND*","*EXECUTED*"},DEALS!$O:$O,$B$96,DEALS!$E:$E,"&lt;"&amp;$C$98,DEALS!$S:$S,F$100,DEALS!$U:$U,$B109,DEALS!$V:$V,"&lt;&gt;*RECEIVED*",DEALS!$V:$V,"&lt;&gt;*EXECUTED*"))</f>
        <v>0</v>
      </c>
      <c r="G109" s="29" cm="1">
        <f t="array" ref="G109">SUMIFS(BALANCES!$C:$C,BALANCES!$A:$A,$B$96,BALANCES!$B:$B,$B109,BALANCES!$D:$D,G$100)+SUMIFS(FLOWS!$C:$C,FLOWS!$A:$A,$B$96,FLOWS!$E:$E,$B109,FLOWS!$D:$D,G$100,FLOWS!$H:$H,"&lt;"&amp;$C$98)+SUM(SUMIFS(DEALS!$J:$J,DEALS!$A:$A,{"*REFUND*","*EXECUTED*"},DEALS!$G:$G,$B$96,DEALS!$E:$E,"&lt;"&amp;$C$98,DEALS!$K:$K,G$100,DEALS!$M:$M,$B109,DEALS!$N:$N,"&lt;&gt;*RECEIVED*",DEALS!$N:$N,"&lt;&gt;*EXECUTED*"))+SUM(SUMIFS(DEALS!$R:$R,DEALS!$A:$A,{"*REFUND*","*EXECUTED*"},DEALS!$O:$O,$B$96,DEALS!$E:$E,"&lt;"&amp;$C$98,DEALS!$S:$S,G$100,DEALS!$U:$U,$B109,DEALS!$V:$V,"&lt;&gt;*RECEIVED*",DEALS!$V:$V,"&lt;&gt;*EXECUTED*"))</f>
        <v>0</v>
      </c>
      <c r="H109" s="29" cm="1">
        <f t="array" ref="H109">SUMIFS(BALANCES!$C:$C,BALANCES!$A:$A,$B$96,BALANCES!$B:$B,$B109,BALANCES!$D:$D,H$100)+SUMIFS(FLOWS!$C:$C,FLOWS!$A:$A,$B$96,FLOWS!$E:$E,$B109,FLOWS!$D:$D,H$100,FLOWS!$H:$H,"&lt;"&amp;$C$98)+SUM(SUMIFS(DEALS!$J:$J,DEALS!$A:$A,{"*REFUND*","*EXECUTED*"},DEALS!$G:$G,$B$96,DEALS!$E:$E,"&lt;"&amp;$C$98,DEALS!$K:$K,H$100,DEALS!$M:$M,$B109,DEALS!$N:$N,"&lt;&gt;*RECEIVED*",DEALS!$N:$N,"&lt;&gt;*EXECUTED*"))+SUM(SUMIFS(DEALS!$R:$R,DEALS!$A:$A,{"*REFUND*","*EXECUTED*"},DEALS!$O:$O,$B$96,DEALS!$E:$E,"&lt;"&amp;$C$98,DEALS!$S:$S,H$100,DEALS!$U:$U,$B109,DEALS!$V:$V,"&lt;&gt;*RECEIVED*",DEALS!$V:$V,"&lt;&gt;*EXECUTED*"))</f>
        <v>0</v>
      </c>
      <c r="I109" s="30">
        <f ca="1">C109*VLOOKUP(C$100,'FX RATES'!$E$1:$F$50,2,FALSE)+D109*VLOOKUP(D$100,'FX RATES'!$E$1:$F$50,2,FALSE)+E109*VLOOKUP(E$100,'FX RATES'!$E$1:$F$50,2,FALSE)+F109*VLOOKUP(F$100,'FX RATES'!$E$1:$F$50,2,FALSE)+G109*VLOOKUP(G$100,'FX RATES'!$E$1:$F$50,2,FALSE)+H109*VLOOKUP(H$100,'FX RATES'!$E$1:$F$50,2,FALSE)</f>
        <v>137214.61722061379</v>
      </c>
      <c r="K109" s="28" t="str">
        <f t="shared" si="37"/>
        <v>PINGAN</v>
      </c>
      <c r="L109" s="29" cm="1">
        <f t="array" ref="L109">SUMIFS(FLOWS!$C:$C,FLOWS!$A:$A,$B$96,FLOWS!$E:$E,$K109,FLOWS!$D:$D,L$100,FLOWS!$H:$H,"&gt;="&amp;$C$98,FLOWS!$H:$H,"&lt;="&amp;$U$98)+SUM(SUMIFS(DEALS!$J:$J,DEALS!$A:$A,{"*REFUND*","*EXECUTED*"},DEALS!$G:$G,$B$96,DEALS!$E:$E,"&gt;="&amp;$C$98,DEALS!$E:$E,"&lt;="&amp;$U$98,DEALS!$K:$K,L$100,DEALS!$M:$M,$K109,DEALS!$N:$N,"&lt;&gt;*RECEIVED*",DEALS!$N:$N,"&lt;&gt;*EXECUTED*"))+SUM(SUMIFS(DEALS!$R:$R,DEALS!$A:$A,{"*REFUND*","*EXECUTED*"},DEALS!$O:$O,$B$96,DEALS!$E:$E,"&gt;="&amp;$C$98,DEALS!$E:$E,"&lt;="&amp;$U$98,DEALS!$S:$S,L$100,DEALS!$U:$U,$K109,DEALS!$V:$V,"&lt;&gt;*RECEIVED*",DEALS!$V:$V,"&lt;&gt;*EXECUTED*"))</f>
        <v>0</v>
      </c>
      <c r="M109" s="29" cm="1">
        <f t="array" ref="M109">SUMIFS(FLOWS!$C:$C,FLOWS!$A:$A,$B$96,FLOWS!$E:$E,$K109,FLOWS!$D:$D,M$100,FLOWS!$H:$H,"&gt;="&amp;$C$98,FLOWS!$H:$H,"&lt;="&amp;$U$98)+SUM(SUMIFS(DEALS!$J:$J,DEALS!$A:$A,{"*REFUND*","*EXECUTED*"},DEALS!$G:$G,$B$96,DEALS!$E:$E,"&gt;="&amp;$C$98,DEALS!$E:$E,"&lt;="&amp;$U$98,DEALS!$K:$K,M$100,DEALS!$M:$M,$K109,DEALS!$N:$N,"&lt;&gt;*RECEIVED*",DEALS!$N:$N,"&lt;&gt;*EXECUTED*"))+SUM(SUMIFS(DEALS!$R:$R,DEALS!$A:$A,{"*REFUND*","*EXECUTED*"},DEALS!$O:$O,$B$96,DEALS!$E:$E,"&gt;="&amp;$C$98,DEALS!$E:$E,"&lt;="&amp;$U$98,DEALS!$S:$S,M$100,DEALS!$U:$U,$K109,DEALS!$V:$V,"&lt;&gt;*RECEIVED*",DEALS!$V:$V,"&lt;&gt;*EXECUTED*"))</f>
        <v>0</v>
      </c>
      <c r="N109" s="29" cm="1">
        <f t="array" ref="N109">SUMIFS(FLOWS!$C:$C,FLOWS!$A:$A,$B$96,FLOWS!$E:$E,$K109,FLOWS!$D:$D,N$100,FLOWS!$H:$H,"&gt;="&amp;$C$98,FLOWS!$H:$H,"&lt;="&amp;$U$98)+SUM(SUMIFS(DEALS!$J:$J,DEALS!$A:$A,{"*REFUND*","*EXECUTED*"},DEALS!$G:$G,$B$96,DEALS!$E:$E,"&gt;="&amp;$C$98,DEALS!$E:$E,"&lt;="&amp;$U$98,DEALS!$K:$K,N$100,DEALS!$M:$M,$K109,DEALS!$N:$N,"&lt;&gt;*RECEIVED*",DEALS!$N:$N,"&lt;&gt;*EXECUTED*"))+SUM(SUMIFS(DEALS!$R:$R,DEALS!$A:$A,{"*REFUND*","*EXECUTED*"},DEALS!$O:$O,$B$96,DEALS!$E:$E,"&gt;="&amp;$C$98,DEALS!$E:$E,"&lt;="&amp;$U$98,DEALS!$S:$S,N$100,DEALS!$U:$U,$K109,DEALS!$V:$V,"&lt;&gt;*RECEIVED*",DEALS!$V:$V,"&lt;&gt;*EXECUTED*"))</f>
        <v>0</v>
      </c>
      <c r="O109" s="29" cm="1">
        <f t="array" ref="O109">SUMIFS(FLOWS!$C:$C,FLOWS!$A:$A,$B$96,FLOWS!$E:$E,$K109,FLOWS!$D:$D,O$100,FLOWS!$H:$H,"&gt;="&amp;$C$98,FLOWS!$H:$H,"&lt;="&amp;$U$98)+SUM(SUMIFS(DEALS!$J:$J,DEALS!$A:$A,{"*REFUND*","*EXECUTED*"},DEALS!$G:$G,$B$96,DEALS!$E:$E,"&gt;="&amp;$C$98,DEALS!$E:$E,"&lt;="&amp;$U$98,DEALS!$K:$K,O$100,DEALS!$M:$M,$K109,DEALS!$N:$N,"&lt;&gt;*RECEIVED*",DEALS!$N:$N,"&lt;&gt;*EXECUTED*"))+SUM(SUMIFS(DEALS!$R:$R,DEALS!$A:$A,{"*REFUND*","*EXECUTED*"},DEALS!$O:$O,$B$96,DEALS!$E:$E,"&gt;="&amp;$C$98,DEALS!$E:$E,"&lt;="&amp;$U$98,DEALS!$S:$S,O$100,DEALS!$U:$U,$K109,DEALS!$V:$V,"&lt;&gt;*RECEIVED*",DEALS!$V:$V,"&lt;&gt;*EXECUTED*"))</f>
        <v>0</v>
      </c>
      <c r="P109" s="29" cm="1">
        <f t="array" ref="P109">SUMIFS(FLOWS!$C:$C,FLOWS!$A:$A,$B$96,FLOWS!$E:$E,$K109,FLOWS!$D:$D,P$100,FLOWS!$H:$H,"&gt;="&amp;$C$98,FLOWS!$H:$H,"&lt;="&amp;$U$98)+SUM(SUMIFS(DEALS!$J:$J,DEALS!$A:$A,{"*REFUND*","*EXECUTED*"},DEALS!$G:$G,$B$96,DEALS!$E:$E,"&gt;="&amp;$C$98,DEALS!$E:$E,"&lt;="&amp;$U$98,DEALS!$K:$K,P$100,DEALS!$M:$M,$K109,DEALS!$N:$N,"&lt;&gt;*RECEIVED*",DEALS!$N:$N,"&lt;&gt;*EXECUTED*"))+SUM(SUMIFS(DEALS!$R:$R,DEALS!$A:$A,{"*REFUND*","*EXECUTED*"},DEALS!$O:$O,$B$96,DEALS!$E:$E,"&gt;="&amp;$C$98,DEALS!$E:$E,"&lt;="&amp;$U$98,DEALS!$S:$S,P$100,DEALS!$U:$U,$K109,DEALS!$V:$V,"&lt;&gt;*RECEIVED*",DEALS!$V:$V,"&lt;&gt;*EXECUTED*"))</f>
        <v>0</v>
      </c>
      <c r="Q109" s="29" cm="1">
        <f t="array" ref="Q109">SUMIFS(FLOWS!$C:$C,FLOWS!$A:$A,$B$96,FLOWS!$E:$E,$K109,FLOWS!$D:$D,Q$100,FLOWS!$H:$H,"&gt;="&amp;$C$98,FLOWS!$H:$H,"&lt;="&amp;$U$98)+SUM(SUMIFS(DEALS!$J:$J,DEALS!$A:$A,{"*REFUND*","*EXECUTED*"},DEALS!$G:$G,$B$96,DEALS!$E:$E,"&gt;="&amp;$C$98,DEALS!$E:$E,"&lt;="&amp;$U$98,DEALS!$K:$K,Q$100,DEALS!$M:$M,$K109,DEALS!$N:$N,"&lt;&gt;*RECEIVED*",DEALS!$N:$N,"&lt;&gt;*EXECUTED*"))+SUM(SUMIFS(DEALS!$R:$R,DEALS!$A:$A,{"*REFUND*","*EXECUTED*"},DEALS!$O:$O,$B$96,DEALS!$E:$E,"&gt;="&amp;$C$98,DEALS!$E:$E,"&lt;="&amp;$U$98,DEALS!$S:$S,Q$100,DEALS!$U:$U,$K109,DEALS!$V:$V,"&lt;&gt;*RECEIVED*",DEALS!$V:$V,"&lt;&gt;*EXECUTED*"))</f>
        <v>0</v>
      </c>
      <c r="R109" s="30">
        <f ca="1">L109*VLOOKUP(L$100,'FX RATES'!$E$1:$F$50,2,FALSE)+M109*VLOOKUP(M$100,'FX RATES'!$E$1:$F$50,2,FALSE)+N109*VLOOKUP(N$100,'FX RATES'!$E$1:$F$50,2,FALSE)+O109*VLOOKUP(O$100,'FX RATES'!$E$1:$F$50,2,FALSE)+P109*VLOOKUP(P$100,'FX RATES'!$E$1:$F$50,2,FALSE)+Q109*VLOOKUP(Q$100,'FX RATES'!$E$1:$F$50,2,FALSE)</f>
        <v>0</v>
      </c>
      <c r="T109" s="28" t="str">
        <f t="shared" si="38"/>
        <v>PINGAN</v>
      </c>
      <c r="U109" s="29" cm="1">
        <f t="array" ref="U109">SUMIFS(BALANCES!$C:$C,BALANCES!$A:$A,$B$96,BALANCES!$B:$B,$T109,BALANCES!$D:$D,U$100)+SUMIFS(FLOWS!$C:$C,FLOWS!$A:$A,$B$96,FLOWS!$E:$E,$T109,FLOWS!$D:$D,U$100,FLOWS!$H:$H,"&lt;="&amp;$U$98)+SUM(SUMIFS(DEALS!$J:$J,DEALS!$A:$A,{"*REFUND*","*EXECUTED*"},DEALS!$G:$G,$B$96,DEALS!$E:$E,"&lt;="&amp;$U$98,DEALS!$K:$K,U$100,DEALS!$M:$M,$T109,DEALS!$N:$N,"&lt;&gt;*RECEIVED*",DEALS!$N:$N,"&lt;&gt;*EXECUTED*"))+SUM(SUMIFS(DEALS!$R:$R,DEALS!$A:$A,{"*REFUND*","*EXECUTED*"},DEALS!$O:$O,$B$96,DEALS!$E:$E,"&lt;="&amp;$U$98,DEALS!$S:$S,U$100,DEALS!$U:$U,$T109,DEALS!$V:$V,"&lt;&gt;*RECEIVED*",DEALS!$V:$V,"&lt;&gt;*EXECUTED*"))</f>
        <v>1542.22</v>
      </c>
      <c r="V109" s="29" cm="1">
        <f t="array" ref="V109">SUMIFS(BALANCES!$C:$C,BALANCES!$A:$A,$B$96,BALANCES!$B:$B,$T109,BALANCES!$D:$D,V$100)+SUMIFS(FLOWS!$C:$C,FLOWS!$A:$A,$B$96,FLOWS!$E:$E,$T109,FLOWS!$D:$D,V$100,FLOWS!$H:$H,"&lt;="&amp;$U$98)+SUM(SUMIFS(DEALS!$J:$J,DEALS!$A:$A,{"*REFUND*","*EXECUTED*"},DEALS!$G:$G,$B$96,DEALS!$E:$E,"&lt;="&amp;$U$98,DEALS!$K:$K,V$100,DEALS!$M:$M,$T109,DEALS!$N:$N,"&lt;&gt;*RECEIVED*",DEALS!$N:$N,"&lt;&gt;*EXECUTED*"))+SUM(SUMIFS(DEALS!$R:$R,DEALS!$A:$A,{"*REFUND*","*EXECUTED*"},DEALS!$O:$O,$B$96,DEALS!$E:$E,"&lt;="&amp;$U$98,DEALS!$S:$S,V$100,DEALS!$U:$U,$T109,DEALS!$V:$V,"&lt;&gt;*RECEIVED*",DEALS!$V:$V,"&lt;&gt;*EXECUTED*"))</f>
        <v>0</v>
      </c>
      <c r="W109" s="29" cm="1">
        <f t="array" ref="W109">SUMIFS(BALANCES!$C:$C,BALANCES!$A:$A,$B$96,BALANCES!$B:$B,$T109,BALANCES!$D:$D,W$100)+SUMIFS(FLOWS!$C:$C,FLOWS!$A:$A,$B$96,FLOWS!$E:$E,$T109,FLOWS!$D:$D,W$100,FLOWS!$H:$H,"&lt;="&amp;$U$98)+SUM(SUMIFS(DEALS!$J:$J,DEALS!$A:$A,{"*REFUND*","*EXECUTED*"},DEALS!$G:$G,$B$96,DEALS!$E:$E,"&lt;="&amp;$U$98,DEALS!$K:$K,W$100,DEALS!$M:$M,$T109,DEALS!$N:$N,"&lt;&gt;*RECEIVED*",DEALS!$N:$N,"&lt;&gt;*EXECUTED*"))+SUM(SUMIFS(DEALS!$R:$R,DEALS!$A:$A,{"*REFUND*","*EXECUTED*"},DEALS!$O:$O,$B$96,DEALS!$E:$E,"&lt;="&amp;$U$98,DEALS!$S:$S,W$100,DEALS!$U:$U,$T109,DEALS!$V:$V,"&lt;&gt;*RECEIVED*",DEALS!$V:$V,"&lt;&gt;*EXECUTED*"))</f>
        <v>937224.92</v>
      </c>
      <c r="X109" s="29" cm="1">
        <f t="array" ref="X109">SUMIFS(BALANCES!$C:$C,BALANCES!$A:$A,$B$96,BALANCES!$B:$B,$T109,BALANCES!$D:$D,X$100)+SUMIFS(FLOWS!$C:$C,FLOWS!$A:$A,$B$96,FLOWS!$E:$E,$T109,FLOWS!$D:$D,X$100,FLOWS!$H:$H,"&lt;="&amp;$U$98)+SUM(SUMIFS(DEALS!$J:$J,DEALS!$A:$A,{"*REFUND*","*EXECUTED*"},DEALS!$G:$G,$B$96,DEALS!$E:$E,"&lt;="&amp;$U$98,DEALS!$K:$K,X$100,DEALS!$M:$M,$T109,DEALS!$N:$N,"&lt;&gt;*RECEIVED*",DEALS!$N:$N,"&lt;&gt;*EXECUTED*"))+SUM(SUMIFS(DEALS!$R:$R,DEALS!$A:$A,{"*REFUND*","*EXECUTED*"},DEALS!$O:$O,$B$96,DEALS!$E:$E,"&lt;="&amp;$U$98,DEALS!$S:$S,X$100,DEALS!$U:$U,$T109,DEALS!$V:$V,"&lt;&gt;*RECEIVED*",DEALS!$V:$V,"&lt;&gt;*EXECUTED*"))</f>
        <v>0</v>
      </c>
      <c r="Y109" s="29" cm="1">
        <f t="array" ref="Y109">SUMIFS(BALANCES!$C:$C,BALANCES!$A:$A,$B$96,BALANCES!$B:$B,$T109,BALANCES!$D:$D,Y$100)+SUMIFS(FLOWS!$C:$C,FLOWS!$A:$A,$B$96,FLOWS!$E:$E,$T109,FLOWS!$D:$D,Y$100,FLOWS!$H:$H,"&lt;="&amp;$U$98)+SUM(SUMIFS(DEALS!$J:$J,DEALS!$A:$A,{"*REFUND*","*EXECUTED*"},DEALS!$G:$G,$B$96,DEALS!$E:$E,"&lt;="&amp;$U$98,DEALS!$K:$K,Y$100,DEALS!$M:$M,$T109,DEALS!$N:$N,"&lt;&gt;*RECEIVED*",DEALS!$N:$N,"&lt;&gt;*EXECUTED*"))+SUM(SUMIFS(DEALS!$R:$R,DEALS!$A:$A,{"*REFUND*","*EXECUTED*"},DEALS!$O:$O,$B$96,DEALS!$E:$E,"&lt;="&amp;$U$98,DEALS!$S:$S,Y$100,DEALS!$U:$U,$T109,DEALS!$V:$V,"&lt;&gt;*RECEIVED*",DEALS!$V:$V,"&lt;&gt;*EXECUTED*"))</f>
        <v>0</v>
      </c>
      <c r="Z109" s="29" cm="1">
        <f t="array" ref="Z109">SUMIFS(BALANCES!$C:$C,BALANCES!$A:$A,$B$96,BALANCES!$B:$B,$T109,BALANCES!$D:$D,Z$100)+SUMIFS(FLOWS!$C:$C,FLOWS!$A:$A,$B$96,FLOWS!$E:$E,$T109,FLOWS!$D:$D,Z$100,FLOWS!$H:$H,"&lt;="&amp;$U$98)+SUM(SUMIFS(DEALS!$J:$J,DEALS!$A:$A,{"*REFUND*","*EXECUTED*"},DEALS!$G:$G,$B$96,DEALS!$E:$E,"&lt;="&amp;$U$98,DEALS!$K:$K,Z$100,DEALS!$M:$M,$T109,DEALS!$N:$N,"&lt;&gt;*RECEIVED*",DEALS!$N:$N,"&lt;&gt;*EXECUTED*"))+SUM(SUMIFS(DEALS!$R:$R,DEALS!$A:$A,{"*REFUND*","*EXECUTED*"},DEALS!$O:$O,$B$96,DEALS!$E:$E,"&lt;="&amp;$U$98,DEALS!$S:$S,Z$100,DEALS!$U:$U,$T109,DEALS!$V:$V,"&lt;&gt;*RECEIVED*",DEALS!$V:$V,"&lt;&gt;*EXECUTED*"))</f>
        <v>0</v>
      </c>
      <c r="AA109" s="30">
        <f ca="1">U109*VLOOKUP(U$100,'FX RATES'!$E$1:$F$50,2,FALSE)+V109*VLOOKUP(V$100,'FX RATES'!$E$1:$F$50,2,FALSE)+W109*VLOOKUP(W$100,'FX RATES'!$E$1:$F$50,2,FALSE)+X109*VLOOKUP(X$100,'FX RATES'!$E$1:$F$50,2,FALSE)+Y109*VLOOKUP(Y$100,'FX RATES'!$E$1:$F$50,2,FALSE)+Z109*VLOOKUP(Z$100,'FX RATES'!$E$1:$F$50,2,FALSE)</f>
        <v>137214.61722061379</v>
      </c>
      <c r="AC109" s="139">
        <f t="shared" ca="1" si="39"/>
        <v>0</v>
      </c>
    </row>
    <row r="110" spans="2:29" ht="20" thickBot="1">
      <c r="B110" s="31" t="s">
        <v>25</v>
      </c>
      <c r="C110" s="32" cm="1">
        <f t="array" ref="C110">SUMIFS(BALANCES!$C:$C,BALANCES!$A:$A,$B$96,BALANCES!$B:$B,$B110,BALANCES!$D:$D,C$100)+SUMIFS(FLOWS!$C:$C,FLOWS!$A:$A,$B$96,FLOWS!$E:$E,$B110,FLOWS!$D:$D,C$100,FLOWS!$H:$H,"&lt;"&amp;$C$98)+SUM(SUMIFS(DEALS!$J:$J,DEALS!$A:$A,{"*REFUND*","*EXECUTED*"},DEALS!$G:$G,$B$96,DEALS!$E:$E,"&lt;"&amp;$C$98,DEALS!$K:$K,C$100,DEALS!$M:$M,$B110,DEALS!$N:$N,"&lt;&gt;*RECEIVED*",DEALS!$N:$N,"&lt;&gt;*EXECUTED*"))+SUM(SUMIFS(DEALS!$R:$R,DEALS!$A:$A,{"*REFUND*","*EXECUTED*"},DEALS!$O:$O,$B$96,DEALS!$E:$E,"&lt;"&amp;$C$98,DEALS!$S:$S,C$100,DEALS!$U:$U,$B110,DEALS!$V:$V,"&lt;&gt;*RECEIVED*",DEALS!$V:$V,"&lt;&gt;*EXECUTED*"))</f>
        <v>0</v>
      </c>
      <c r="D110" s="32" cm="1">
        <f t="array" ref="D110">SUMIFS(BALANCES!$C:$C,BALANCES!$A:$A,$B$96,BALANCES!$B:$B,$B110,BALANCES!$D:$D,D$100)+SUMIFS(FLOWS!$C:$C,FLOWS!$A:$A,$B$96,FLOWS!$E:$E,$B110,FLOWS!$D:$D,D$100,FLOWS!$H:$H,"&lt;"&amp;$C$98)+SUM(SUMIFS(DEALS!$J:$J,DEALS!$A:$A,{"*REFUND*","*EXECUTED*"},DEALS!$G:$G,$B$96,DEALS!$E:$E,"&lt;"&amp;$C$98,DEALS!$K:$K,D$100,DEALS!$M:$M,$B110,DEALS!$N:$N,"&lt;&gt;*RECEIVED*",DEALS!$N:$N,"&lt;&gt;*EXECUTED*"))+SUM(SUMIFS(DEALS!$R:$R,DEALS!$A:$A,{"*REFUND*","*EXECUTED*"},DEALS!$O:$O,$B$96,DEALS!$E:$E,"&lt;"&amp;$C$98,DEALS!$S:$S,D$100,DEALS!$U:$U,$B110,DEALS!$V:$V,"&lt;&gt;*RECEIVED*",DEALS!$V:$V,"&lt;&gt;*EXECUTED*"))</f>
        <v>0</v>
      </c>
      <c r="E110" s="32" cm="1">
        <f t="array" ref="E110">SUMIFS(BALANCES!$C:$C,BALANCES!$A:$A,$B$96,BALANCES!$B:$B,$B110,BALANCES!$D:$D,E$100)+SUMIFS(FLOWS!$C:$C,FLOWS!$A:$A,$B$96,FLOWS!$E:$E,$B110,FLOWS!$D:$D,E$100,FLOWS!$H:$H,"&lt;"&amp;$C$98)+SUM(SUMIFS(DEALS!$J:$J,DEALS!$A:$A,{"*REFUND*","*EXECUTED*"},DEALS!$G:$G,$B$96,DEALS!$E:$E,"&lt;"&amp;$C$98,DEALS!$K:$K,E$100,DEALS!$M:$M,$B110,DEALS!$N:$N,"&lt;&gt;*RECEIVED*",DEALS!$N:$N,"&lt;&gt;*EXECUTED*"))+SUM(SUMIFS(DEALS!$R:$R,DEALS!$A:$A,{"*REFUND*","*EXECUTED*"},DEALS!$O:$O,$B$96,DEALS!$E:$E,"&lt;"&amp;$C$98,DEALS!$S:$S,E$100,DEALS!$U:$U,$B110,DEALS!$V:$V,"&lt;&gt;*RECEIVED*",DEALS!$V:$V,"&lt;&gt;*EXECUTED*"))</f>
        <v>0</v>
      </c>
      <c r="F110" s="32" cm="1">
        <f t="array" ref="F110">SUMIFS(BALANCES!$C:$C,BALANCES!$A:$A,$B$96,BALANCES!$B:$B,$B110,BALANCES!$D:$D,F$100)+SUMIFS(FLOWS!$C:$C,FLOWS!$A:$A,$B$96,FLOWS!$E:$E,$B110,FLOWS!$D:$D,F$100,FLOWS!$H:$H,"&lt;"&amp;$C$98)+SUM(SUMIFS(DEALS!$J:$J,DEALS!$A:$A,{"*REFUND*","*EXECUTED*"},DEALS!$G:$G,$B$96,DEALS!$E:$E,"&lt;"&amp;$C$98,DEALS!$K:$K,F$100,DEALS!$M:$M,$B110,DEALS!$N:$N,"&lt;&gt;*RECEIVED*",DEALS!$N:$N,"&lt;&gt;*EXECUTED*"))+SUM(SUMIFS(DEALS!$R:$R,DEALS!$A:$A,{"*REFUND*","*EXECUTED*"},DEALS!$O:$O,$B$96,DEALS!$E:$E,"&lt;"&amp;$C$98,DEALS!$S:$S,F$100,DEALS!$U:$U,$B110,DEALS!$V:$V,"&lt;&gt;*RECEIVED*",DEALS!$V:$V,"&lt;&gt;*EXECUTED*"))</f>
        <v>0</v>
      </c>
      <c r="G110" s="32" cm="1">
        <f t="array" ref="G110">SUMIFS(BALANCES!$C:$C,BALANCES!$A:$A,$B$96,BALANCES!$B:$B,$B110,BALANCES!$D:$D,G$100)+SUMIFS(FLOWS!$C:$C,FLOWS!$A:$A,$B$96,FLOWS!$E:$E,$B110,FLOWS!$D:$D,G$100,FLOWS!$H:$H,"&lt;"&amp;$C$98)+SUM(SUMIFS(DEALS!$J:$J,DEALS!$A:$A,{"*REFUND*","*EXECUTED*"},DEALS!$G:$G,$B$96,DEALS!$E:$E,"&lt;"&amp;$C$98,DEALS!$K:$K,G$100,DEALS!$M:$M,$B110,DEALS!$N:$N,"&lt;&gt;*RECEIVED*",DEALS!$N:$N,"&lt;&gt;*EXECUTED*"))+SUM(SUMIFS(DEALS!$R:$R,DEALS!$A:$A,{"*REFUND*","*EXECUTED*"},DEALS!$O:$O,$B$96,DEALS!$E:$E,"&lt;"&amp;$C$98,DEALS!$S:$S,G$100,DEALS!$U:$U,$B110,DEALS!$V:$V,"&lt;&gt;*RECEIVED*",DEALS!$V:$V,"&lt;&gt;*EXECUTED*"))</f>
        <v>537536.46</v>
      </c>
      <c r="H110" s="32" cm="1">
        <f t="array" ref="H110">SUMIFS(BALANCES!$C:$C,BALANCES!$A:$A,$B$96,BALANCES!$B:$B,$B110,BALANCES!$D:$D,H$100)+SUMIFS(FLOWS!$C:$C,FLOWS!$A:$A,$B$96,FLOWS!$E:$E,$B110,FLOWS!$D:$D,H$100,FLOWS!$H:$H,"&lt;"&amp;$C$98)+SUM(SUMIFS(DEALS!$J:$J,DEALS!$A:$A,{"*REFUND*","*EXECUTED*"},DEALS!$G:$G,$B$96,DEALS!$E:$E,"&lt;"&amp;$C$98,DEALS!$K:$K,H$100,DEALS!$M:$M,$B110,DEALS!$N:$N,"&lt;&gt;*RECEIVED*",DEALS!$N:$N,"&lt;&gt;*EXECUTED*"))+SUM(SUMIFS(DEALS!$R:$R,DEALS!$A:$A,{"*REFUND*","*EXECUTED*"},DEALS!$O:$O,$B$96,DEALS!$E:$E,"&lt;"&amp;$C$98,DEALS!$S:$S,H$100,DEALS!$U:$U,$B110,DEALS!$V:$V,"&lt;&gt;*RECEIVED*",DEALS!$V:$V,"&lt;&gt;*EXECUTED*"))</f>
        <v>0</v>
      </c>
      <c r="I110" s="33">
        <f ca="1">C110*VLOOKUP(C$100,'FX RATES'!$E$1:$F$50,2,FALSE)+D110*VLOOKUP(D$100,'FX RATES'!$E$1:$F$50,2,FALSE)+E110*VLOOKUP(E$100,'FX RATES'!$E$1:$F$50,2,FALSE)+F110*VLOOKUP(F$100,'FX RATES'!$E$1:$F$50,2,FALSE)+G110*VLOOKUP(G$100,'FX RATES'!$E$1:$F$50,2,FALSE)+H110*VLOOKUP(H$100,'FX RATES'!$E$1:$F$50,2,FALSE)</f>
        <v>7006.4254012943084</v>
      </c>
      <c r="K110" s="31" t="str">
        <f t="shared" si="37"/>
        <v>CEB</v>
      </c>
      <c r="L110" s="32" cm="1">
        <f t="array" ref="L110">SUMIFS(FLOWS!$C:$C,FLOWS!$A:$A,$B$96,FLOWS!$E:$E,$K110,FLOWS!$D:$D,L$100,FLOWS!$H:$H,"&gt;="&amp;$C$98,FLOWS!$H:$H,"&lt;="&amp;$U$98)+SUM(SUMIFS(DEALS!$J:$J,DEALS!$A:$A,{"*REFUND*","*EXECUTED*"},DEALS!$G:$G,$B$96,DEALS!$E:$E,"&gt;="&amp;$C$98,DEALS!$E:$E,"&lt;="&amp;$U$98,DEALS!$K:$K,L$100,DEALS!$M:$M,$K110,DEALS!$N:$N,"&lt;&gt;*RECEIVED*",DEALS!$N:$N,"&lt;&gt;*EXECUTED*"))+SUM(SUMIFS(DEALS!$R:$R,DEALS!$A:$A,{"*REFUND*","*EXECUTED*"},DEALS!$O:$O,$B$96,DEALS!$E:$E,"&gt;="&amp;$C$98,DEALS!$E:$E,"&lt;="&amp;$U$98,DEALS!$S:$S,L$100,DEALS!$U:$U,$K110,DEALS!$V:$V,"&lt;&gt;*RECEIVED*",DEALS!$V:$V,"&lt;&gt;*EXECUTED*"))</f>
        <v>0</v>
      </c>
      <c r="M110" s="32" cm="1">
        <f t="array" ref="M110">SUMIFS(FLOWS!$C:$C,FLOWS!$A:$A,$B$96,FLOWS!$E:$E,$K110,FLOWS!$D:$D,M$100,FLOWS!$H:$H,"&gt;="&amp;$C$98,FLOWS!$H:$H,"&lt;="&amp;$U$98)+SUM(SUMIFS(DEALS!$J:$J,DEALS!$A:$A,{"*REFUND*","*EXECUTED*"},DEALS!$G:$G,$B$96,DEALS!$E:$E,"&gt;="&amp;$C$98,DEALS!$E:$E,"&lt;="&amp;$U$98,DEALS!$K:$K,M$100,DEALS!$M:$M,$K110,DEALS!$N:$N,"&lt;&gt;*RECEIVED*",DEALS!$N:$N,"&lt;&gt;*EXECUTED*"))+SUM(SUMIFS(DEALS!$R:$R,DEALS!$A:$A,{"*REFUND*","*EXECUTED*"},DEALS!$O:$O,$B$96,DEALS!$E:$E,"&gt;="&amp;$C$98,DEALS!$E:$E,"&lt;="&amp;$U$98,DEALS!$S:$S,M$100,DEALS!$U:$U,$K110,DEALS!$V:$V,"&lt;&gt;*RECEIVED*",DEALS!$V:$V,"&lt;&gt;*EXECUTED*"))</f>
        <v>0</v>
      </c>
      <c r="N110" s="32" cm="1">
        <f t="array" ref="N110">SUMIFS(FLOWS!$C:$C,FLOWS!$A:$A,$B$96,FLOWS!$E:$E,$K110,FLOWS!$D:$D,N$100,FLOWS!$H:$H,"&gt;="&amp;$C$98,FLOWS!$H:$H,"&lt;="&amp;$U$98)+SUM(SUMIFS(DEALS!$J:$J,DEALS!$A:$A,{"*REFUND*","*EXECUTED*"},DEALS!$G:$G,$B$96,DEALS!$E:$E,"&gt;="&amp;$C$98,DEALS!$E:$E,"&lt;="&amp;$U$98,DEALS!$K:$K,N$100,DEALS!$M:$M,$K110,DEALS!$N:$N,"&lt;&gt;*RECEIVED*",DEALS!$N:$N,"&lt;&gt;*EXECUTED*"))+SUM(SUMIFS(DEALS!$R:$R,DEALS!$A:$A,{"*REFUND*","*EXECUTED*"},DEALS!$O:$O,$B$96,DEALS!$E:$E,"&gt;="&amp;$C$98,DEALS!$E:$E,"&lt;="&amp;$U$98,DEALS!$S:$S,N$100,DEALS!$U:$U,$K110,DEALS!$V:$V,"&lt;&gt;*RECEIVED*",DEALS!$V:$V,"&lt;&gt;*EXECUTED*"))</f>
        <v>0</v>
      </c>
      <c r="O110" s="32" cm="1">
        <f t="array" ref="O110">SUMIFS(FLOWS!$C:$C,FLOWS!$A:$A,$B$96,FLOWS!$E:$E,$K110,FLOWS!$D:$D,O$100,FLOWS!$H:$H,"&gt;="&amp;$C$98,FLOWS!$H:$H,"&lt;="&amp;$U$98)+SUM(SUMIFS(DEALS!$J:$J,DEALS!$A:$A,{"*REFUND*","*EXECUTED*"},DEALS!$G:$G,$B$96,DEALS!$E:$E,"&gt;="&amp;$C$98,DEALS!$E:$E,"&lt;="&amp;$U$98,DEALS!$K:$K,O$100,DEALS!$M:$M,$K110,DEALS!$N:$N,"&lt;&gt;*RECEIVED*",DEALS!$N:$N,"&lt;&gt;*EXECUTED*"))+SUM(SUMIFS(DEALS!$R:$R,DEALS!$A:$A,{"*REFUND*","*EXECUTED*"},DEALS!$O:$O,$B$96,DEALS!$E:$E,"&gt;="&amp;$C$98,DEALS!$E:$E,"&lt;="&amp;$U$98,DEALS!$S:$S,O$100,DEALS!$U:$U,$K110,DEALS!$V:$V,"&lt;&gt;*RECEIVED*",DEALS!$V:$V,"&lt;&gt;*EXECUTED*"))</f>
        <v>0</v>
      </c>
      <c r="P110" s="32" cm="1">
        <f t="array" ref="P110">SUMIFS(FLOWS!$C:$C,FLOWS!$A:$A,$B$96,FLOWS!$E:$E,$K110,FLOWS!$D:$D,P$100,FLOWS!$H:$H,"&gt;="&amp;$C$98,FLOWS!$H:$H,"&lt;="&amp;$U$98)+SUM(SUMIFS(DEALS!$J:$J,DEALS!$A:$A,{"*REFUND*","*EXECUTED*"},DEALS!$G:$G,$B$96,DEALS!$E:$E,"&gt;="&amp;$C$98,DEALS!$E:$E,"&lt;="&amp;$U$98,DEALS!$K:$K,P$100,DEALS!$M:$M,$K110,DEALS!$N:$N,"&lt;&gt;*RECEIVED*",DEALS!$N:$N,"&lt;&gt;*EXECUTED*"))+SUM(SUMIFS(DEALS!$R:$R,DEALS!$A:$A,{"*REFUND*","*EXECUTED*"},DEALS!$O:$O,$B$96,DEALS!$E:$E,"&gt;="&amp;$C$98,DEALS!$E:$E,"&lt;="&amp;$U$98,DEALS!$S:$S,P$100,DEALS!$U:$U,$K110,DEALS!$V:$V,"&lt;&gt;*RECEIVED*",DEALS!$V:$V,"&lt;&gt;*EXECUTED*"))</f>
        <v>0</v>
      </c>
      <c r="Q110" s="32" cm="1">
        <f t="array" ref="Q110">SUMIFS(FLOWS!$C:$C,FLOWS!$A:$A,$B$96,FLOWS!$E:$E,$K110,FLOWS!$D:$D,Q$100,FLOWS!$H:$H,"&gt;="&amp;$C$98,FLOWS!$H:$H,"&lt;="&amp;$U$98)+SUM(SUMIFS(DEALS!$J:$J,DEALS!$A:$A,{"*REFUND*","*EXECUTED*"},DEALS!$G:$G,$B$96,DEALS!$E:$E,"&gt;="&amp;$C$98,DEALS!$E:$E,"&lt;="&amp;$U$98,DEALS!$K:$K,Q$100,DEALS!$M:$M,$K110,DEALS!$N:$N,"&lt;&gt;*RECEIVED*",DEALS!$N:$N,"&lt;&gt;*EXECUTED*"))+SUM(SUMIFS(DEALS!$R:$R,DEALS!$A:$A,{"*REFUND*","*EXECUTED*"},DEALS!$O:$O,$B$96,DEALS!$E:$E,"&gt;="&amp;$C$98,DEALS!$E:$E,"&lt;="&amp;$U$98,DEALS!$S:$S,Q$100,DEALS!$U:$U,$K110,DEALS!$V:$V,"&lt;&gt;*RECEIVED*",DEALS!$V:$V,"&lt;&gt;*EXECUTED*"))</f>
        <v>0</v>
      </c>
      <c r="R110" s="33">
        <f ca="1">L110*VLOOKUP(L$100,'FX RATES'!$E$1:$F$50,2,FALSE)+M110*VLOOKUP(M$100,'FX RATES'!$E$1:$F$50,2,FALSE)+N110*VLOOKUP(N$100,'FX RATES'!$E$1:$F$50,2,FALSE)+O110*VLOOKUP(O$100,'FX RATES'!$E$1:$F$50,2,FALSE)+P110*VLOOKUP(P$100,'FX RATES'!$E$1:$F$50,2,FALSE)+Q110*VLOOKUP(Q$100,'FX RATES'!$E$1:$F$50,2,FALSE)</f>
        <v>0</v>
      </c>
      <c r="T110" s="31" t="str">
        <f t="shared" si="38"/>
        <v>CEB</v>
      </c>
      <c r="U110" s="32" cm="1">
        <f t="array" ref="U110">SUMIFS(BALANCES!$C:$C,BALANCES!$A:$A,$B$96,BALANCES!$B:$B,$T110,BALANCES!$D:$D,U$100)+SUMIFS(FLOWS!$C:$C,FLOWS!$A:$A,$B$96,FLOWS!$E:$E,$T110,FLOWS!$D:$D,U$100,FLOWS!$H:$H,"&lt;="&amp;$U$98)+SUM(SUMIFS(DEALS!$J:$J,DEALS!$A:$A,{"*REFUND*","*EXECUTED*"},DEALS!$G:$G,$B$96,DEALS!$E:$E,"&lt;="&amp;$U$98,DEALS!$K:$K,U$100,DEALS!$M:$M,$T110,DEALS!$N:$N,"&lt;&gt;*RECEIVED*",DEALS!$N:$N,"&lt;&gt;*EXECUTED*"))+SUM(SUMIFS(DEALS!$R:$R,DEALS!$A:$A,{"*REFUND*","*EXECUTED*"},DEALS!$O:$O,$B$96,DEALS!$E:$E,"&lt;="&amp;$U$98,DEALS!$S:$S,U$100,DEALS!$U:$U,$T110,DEALS!$V:$V,"&lt;&gt;*RECEIVED*",DEALS!$V:$V,"&lt;&gt;*EXECUTED*"))</f>
        <v>0</v>
      </c>
      <c r="V110" s="32" cm="1">
        <f t="array" ref="V110">SUMIFS(BALANCES!$C:$C,BALANCES!$A:$A,$B$96,BALANCES!$B:$B,$T110,BALANCES!$D:$D,V$100)+SUMIFS(FLOWS!$C:$C,FLOWS!$A:$A,$B$96,FLOWS!$E:$E,$T110,FLOWS!$D:$D,V$100,FLOWS!$H:$H,"&lt;="&amp;$U$98)+SUM(SUMIFS(DEALS!$J:$J,DEALS!$A:$A,{"*REFUND*","*EXECUTED*"},DEALS!$G:$G,$B$96,DEALS!$E:$E,"&lt;="&amp;$U$98,DEALS!$K:$K,V$100,DEALS!$M:$M,$T110,DEALS!$N:$N,"&lt;&gt;*RECEIVED*",DEALS!$N:$N,"&lt;&gt;*EXECUTED*"))+SUM(SUMIFS(DEALS!$R:$R,DEALS!$A:$A,{"*REFUND*","*EXECUTED*"},DEALS!$O:$O,$B$96,DEALS!$E:$E,"&lt;="&amp;$U$98,DEALS!$S:$S,V$100,DEALS!$U:$U,$T110,DEALS!$V:$V,"&lt;&gt;*RECEIVED*",DEALS!$V:$V,"&lt;&gt;*EXECUTED*"))</f>
        <v>0</v>
      </c>
      <c r="W110" s="32" cm="1">
        <f t="array" ref="W110">SUMIFS(BALANCES!$C:$C,BALANCES!$A:$A,$B$96,BALANCES!$B:$B,$T110,BALANCES!$D:$D,W$100)+SUMIFS(FLOWS!$C:$C,FLOWS!$A:$A,$B$96,FLOWS!$E:$E,$T110,FLOWS!$D:$D,W$100,FLOWS!$H:$H,"&lt;="&amp;$U$98)+SUM(SUMIFS(DEALS!$J:$J,DEALS!$A:$A,{"*REFUND*","*EXECUTED*"},DEALS!$G:$G,$B$96,DEALS!$E:$E,"&lt;="&amp;$U$98,DEALS!$K:$K,W$100,DEALS!$M:$M,$T110,DEALS!$N:$N,"&lt;&gt;*RECEIVED*",DEALS!$N:$N,"&lt;&gt;*EXECUTED*"))+SUM(SUMIFS(DEALS!$R:$R,DEALS!$A:$A,{"*REFUND*","*EXECUTED*"},DEALS!$O:$O,$B$96,DEALS!$E:$E,"&lt;="&amp;$U$98,DEALS!$S:$S,W$100,DEALS!$U:$U,$T110,DEALS!$V:$V,"&lt;&gt;*RECEIVED*",DEALS!$V:$V,"&lt;&gt;*EXECUTED*"))</f>
        <v>0</v>
      </c>
      <c r="X110" s="32" cm="1">
        <f t="array" ref="X110">SUMIFS(BALANCES!$C:$C,BALANCES!$A:$A,$B$96,BALANCES!$B:$B,$T110,BALANCES!$D:$D,X$100)+SUMIFS(FLOWS!$C:$C,FLOWS!$A:$A,$B$96,FLOWS!$E:$E,$T110,FLOWS!$D:$D,X$100,FLOWS!$H:$H,"&lt;="&amp;$U$98)+SUM(SUMIFS(DEALS!$J:$J,DEALS!$A:$A,{"*REFUND*","*EXECUTED*"},DEALS!$G:$G,$B$96,DEALS!$E:$E,"&lt;="&amp;$U$98,DEALS!$K:$K,X$100,DEALS!$M:$M,$T110,DEALS!$N:$N,"&lt;&gt;*RECEIVED*",DEALS!$N:$N,"&lt;&gt;*EXECUTED*"))+SUM(SUMIFS(DEALS!$R:$R,DEALS!$A:$A,{"*REFUND*","*EXECUTED*"},DEALS!$O:$O,$B$96,DEALS!$E:$E,"&lt;="&amp;$U$98,DEALS!$S:$S,X$100,DEALS!$U:$U,$T110,DEALS!$V:$V,"&lt;&gt;*RECEIVED*",DEALS!$V:$V,"&lt;&gt;*EXECUTED*"))</f>
        <v>0</v>
      </c>
      <c r="Y110" s="32" cm="1">
        <f t="array" ref="Y110">SUMIFS(BALANCES!$C:$C,BALANCES!$A:$A,$B$96,BALANCES!$B:$B,$T110,BALANCES!$D:$D,Y$100)+SUMIFS(FLOWS!$C:$C,FLOWS!$A:$A,$B$96,FLOWS!$E:$E,$T110,FLOWS!$D:$D,Y$100,FLOWS!$H:$H,"&lt;="&amp;$U$98)+SUM(SUMIFS(DEALS!$J:$J,DEALS!$A:$A,{"*REFUND*","*EXECUTED*"},DEALS!$G:$G,$B$96,DEALS!$E:$E,"&lt;="&amp;$U$98,DEALS!$K:$K,Y$100,DEALS!$M:$M,$T110,DEALS!$N:$N,"&lt;&gt;*RECEIVED*",DEALS!$N:$N,"&lt;&gt;*EXECUTED*"))+SUM(SUMIFS(DEALS!$R:$R,DEALS!$A:$A,{"*REFUND*","*EXECUTED*"},DEALS!$O:$O,$B$96,DEALS!$E:$E,"&lt;="&amp;$U$98,DEALS!$S:$S,Y$100,DEALS!$U:$U,$T110,DEALS!$V:$V,"&lt;&gt;*RECEIVED*",DEALS!$V:$V,"&lt;&gt;*EXECUTED*"))</f>
        <v>537536.46</v>
      </c>
      <c r="Z110" s="32" cm="1">
        <f t="array" ref="Z110">SUMIFS(BALANCES!$C:$C,BALANCES!$A:$A,$B$96,BALANCES!$B:$B,$T110,BALANCES!$D:$D,Z$100)+SUMIFS(FLOWS!$C:$C,FLOWS!$A:$A,$B$96,FLOWS!$E:$E,$T110,FLOWS!$D:$D,Z$100,FLOWS!$H:$H,"&lt;="&amp;$U$98)+SUM(SUMIFS(DEALS!$J:$J,DEALS!$A:$A,{"*REFUND*","*EXECUTED*"},DEALS!$G:$G,$B$96,DEALS!$E:$E,"&lt;="&amp;$U$98,DEALS!$K:$K,Z$100,DEALS!$M:$M,$T110,DEALS!$N:$N,"&lt;&gt;*RECEIVED*",DEALS!$N:$N,"&lt;&gt;*EXECUTED*"))+SUM(SUMIFS(DEALS!$R:$R,DEALS!$A:$A,{"*REFUND*","*EXECUTED*"},DEALS!$O:$O,$B$96,DEALS!$E:$E,"&lt;="&amp;$U$98,DEALS!$S:$S,Z$100,DEALS!$U:$U,$T110,DEALS!$V:$V,"&lt;&gt;*RECEIVED*",DEALS!$V:$V,"&lt;&gt;*EXECUTED*"))</f>
        <v>0</v>
      </c>
      <c r="AA110" s="33">
        <f ca="1">U110*VLOOKUP(U$100,'FX RATES'!$E$1:$F$50,2,FALSE)+V110*VLOOKUP(V$100,'FX RATES'!$E$1:$F$50,2,FALSE)+W110*VLOOKUP(W$100,'FX RATES'!$E$1:$F$50,2,FALSE)+X110*VLOOKUP(X$100,'FX RATES'!$E$1:$F$50,2,FALSE)+Y110*VLOOKUP(Y$100,'FX RATES'!$E$1:$F$50,2,FALSE)+Z110*VLOOKUP(Z$100,'FX RATES'!$E$1:$F$50,2,FALSE)</f>
        <v>7006.4254012943084</v>
      </c>
      <c r="AC110" s="139">
        <f t="shared" ca="1" si="39"/>
        <v>0</v>
      </c>
    </row>
    <row r="111" spans="2:29" ht="19" hidden="1">
      <c r="B111" s="28"/>
      <c r="C111" s="29" cm="1">
        <f t="array" ref="C111">SUMIFS(BALANCES!$C:$C,BALANCES!$A:$A,$B$96,BALANCES!$B:$B,$B111,BALANCES!$D:$D,C$100)+SUMIFS(FLOWS!$C:$C,FLOWS!$A:$A,$B$96,FLOWS!$E:$E,$B111,FLOWS!$D:$D,C$100,FLOWS!$H:$H,"&lt;"&amp;$C$98)+SUM(SUMIFS(DEALS!$J:$J,DEALS!$A:$A,{"*REFUND*","*EXECUTED*"},DEALS!$G:$G,$B$96,DEALS!$E:$E,"&lt;"&amp;$C$98,DEALS!$K:$K,C$100,DEALS!$M:$M,$B111,DEALS!$N:$N,"&lt;&gt;*RECEIVED*",DEALS!$N:$N,"&lt;&gt;*EXECUTED*"))+SUM(SUMIFS(DEALS!$R:$R,DEALS!$A:$A,{"*REFUND*","*EXECUTED*"},DEALS!$O:$O,$B$96,DEALS!$E:$E,"&lt;"&amp;$C$98,DEALS!$S:$S,C$100,DEALS!$U:$U,$B111,DEALS!$V:$V,"&lt;&gt;*RECEIVED*",DEALS!$V:$V,"&lt;&gt;*EXECUTED*"))</f>
        <v>0</v>
      </c>
      <c r="D111" s="29" cm="1">
        <f t="array" ref="D111">SUMIFS(BALANCES!$C:$C,BALANCES!$A:$A,$B$96,BALANCES!$B:$B,$B111,BALANCES!$D:$D,D$100)+SUMIFS(FLOWS!$C:$C,FLOWS!$A:$A,$B$96,FLOWS!$E:$E,$B111,FLOWS!$D:$D,D$100,FLOWS!$H:$H,"&lt;"&amp;$C$98)+SUM(SUMIFS(DEALS!$J:$J,DEALS!$A:$A,{"*REFUND*","*EXECUTED*"},DEALS!$G:$G,$B$96,DEALS!$E:$E,"&lt;"&amp;$C$98,DEALS!$K:$K,D$100,DEALS!$M:$M,$B111,DEALS!$N:$N,"&lt;&gt;*RECEIVED*",DEALS!$N:$N,"&lt;&gt;*EXECUTED*"))+SUM(SUMIFS(DEALS!$R:$R,DEALS!$A:$A,{"*REFUND*","*EXECUTED*"},DEALS!$O:$O,$B$96,DEALS!$E:$E,"&lt;"&amp;$C$98,DEALS!$S:$S,D$100,DEALS!$U:$U,$B111,DEALS!$V:$V,"&lt;&gt;*RECEIVED*",DEALS!$V:$V,"&lt;&gt;*EXECUTED*"))</f>
        <v>0</v>
      </c>
      <c r="E111" s="29" cm="1">
        <f t="array" ref="E111">SUMIFS(BALANCES!$C:$C,BALANCES!$A:$A,$B$96,BALANCES!$B:$B,$B111,BALANCES!$D:$D,E$100)+SUMIFS(FLOWS!$C:$C,FLOWS!$A:$A,$B$96,FLOWS!$E:$E,$B111,FLOWS!$D:$D,E$100,FLOWS!$H:$H,"&lt;"&amp;$C$98)+SUM(SUMIFS(DEALS!$J:$J,DEALS!$A:$A,{"*REFUND*","*EXECUTED*"},DEALS!$G:$G,$B$96,DEALS!$E:$E,"&lt;"&amp;$C$98,DEALS!$K:$K,E$100,DEALS!$M:$M,$B111,DEALS!$N:$N,"&lt;&gt;*RECEIVED*",DEALS!$N:$N,"&lt;&gt;*EXECUTED*"))+SUM(SUMIFS(DEALS!$R:$R,DEALS!$A:$A,{"*REFUND*","*EXECUTED*"},DEALS!$O:$O,$B$96,DEALS!$E:$E,"&lt;"&amp;$C$98,DEALS!$S:$S,E$100,DEALS!$U:$U,$B111,DEALS!$V:$V,"&lt;&gt;*RECEIVED*",DEALS!$V:$V,"&lt;&gt;*EXECUTED*"))</f>
        <v>0</v>
      </c>
      <c r="F111" s="29" cm="1">
        <f t="array" ref="F111">SUMIFS(BALANCES!$C:$C,BALANCES!$A:$A,$B$96,BALANCES!$B:$B,$B111,BALANCES!$D:$D,F$100)+SUMIFS(FLOWS!$C:$C,FLOWS!$A:$A,$B$96,FLOWS!$E:$E,$B111,FLOWS!$D:$D,F$100,FLOWS!$H:$H,"&lt;"&amp;$C$98)+SUM(SUMIFS(DEALS!$J:$J,DEALS!$A:$A,{"*REFUND*","*EXECUTED*"},DEALS!$G:$G,$B$96,DEALS!$E:$E,"&lt;"&amp;$C$98,DEALS!$K:$K,F$100,DEALS!$M:$M,$B111,DEALS!$N:$N,"&lt;&gt;*RECEIVED*",DEALS!$N:$N,"&lt;&gt;*EXECUTED*"))+SUM(SUMIFS(DEALS!$R:$R,DEALS!$A:$A,{"*REFUND*","*EXECUTED*"},DEALS!$O:$O,$B$96,DEALS!$E:$E,"&lt;"&amp;$C$98,DEALS!$S:$S,F$100,DEALS!$U:$U,$B111,DEALS!$V:$V,"&lt;&gt;*RECEIVED*",DEALS!$V:$V,"&lt;&gt;*EXECUTED*"))</f>
        <v>0</v>
      </c>
      <c r="G111" s="29" cm="1">
        <f t="array" ref="G111">SUMIFS(BALANCES!$C:$C,BALANCES!$A:$A,$B$96,BALANCES!$B:$B,$B111,BALANCES!$D:$D,G$100)+SUMIFS(FLOWS!$C:$C,FLOWS!$A:$A,$B$96,FLOWS!$E:$E,$B111,FLOWS!$D:$D,G$100,FLOWS!$H:$H,"&lt;"&amp;$C$98)+SUM(SUMIFS(DEALS!$J:$J,DEALS!$A:$A,{"*REFUND*","*EXECUTED*"},DEALS!$G:$G,$B$96,DEALS!$E:$E,"&lt;"&amp;$C$98,DEALS!$K:$K,G$100,DEALS!$M:$M,$B111,DEALS!$N:$N,"&lt;&gt;*RECEIVED*",DEALS!$N:$N,"&lt;&gt;*EXECUTED*"))+SUM(SUMIFS(DEALS!$R:$R,DEALS!$A:$A,{"*REFUND*","*EXECUTED*"},DEALS!$O:$O,$B$96,DEALS!$E:$E,"&lt;"&amp;$C$98,DEALS!$S:$S,G$100,DEALS!$U:$U,$B111,DEALS!$V:$V,"&lt;&gt;*RECEIVED*",DEALS!$V:$V,"&lt;&gt;*EXECUTED*"))</f>
        <v>0</v>
      </c>
      <c r="H111" s="29" cm="1">
        <f t="array" ref="H111">SUMIFS(BALANCES!$C:$C,BALANCES!$A:$A,$B$96,BALANCES!$B:$B,$B111,BALANCES!$D:$D,H$100)+SUMIFS(FLOWS!$C:$C,FLOWS!$A:$A,$B$96,FLOWS!$E:$E,$B111,FLOWS!$D:$D,H$100,FLOWS!$H:$H,"&lt;"&amp;$C$98)+SUM(SUMIFS(DEALS!$J:$J,DEALS!$A:$A,{"*REFUND*","*EXECUTED*"},DEALS!$G:$G,$B$96,DEALS!$E:$E,"&lt;"&amp;$C$98,DEALS!$K:$K,H$100,DEALS!$M:$M,$B111,DEALS!$N:$N,"&lt;&gt;*RECEIVED*",DEALS!$N:$N,"&lt;&gt;*EXECUTED*"))+SUM(SUMIFS(DEALS!$R:$R,DEALS!$A:$A,{"*REFUND*","*EXECUTED*"},DEALS!$O:$O,$B$96,DEALS!$E:$E,"&lt;"&amp;$C$98,DEALS!$S:$S,H$100,DEALS!$U:$U,$B111,DEALS!$V:$V,"&lt;&gt;*RECEIVED*",DEALS!$V:$V,"&lt;&gt;*EXECUTED*"))</f>
        <v>0</v>
      </c>
      <c r="I111" s="30">
        <f ca="1">C111*VLOOKUP(C$100,'FX RATES'!$E$1:$F$50,2,FALSE)+D111*VLOOKUP(D$100,'FX RATES'!$E$1:$F$50,2,FALSE)+E111*VLOOKUP(E$100,'FX RATES'!$E$1:$F$50,2,FALSE)+F111*VLOOKUP(F$100,'FX RATES'!$E$1:$F$50,2,FALSE)+G111*VLOOKUP(G$100,'FX RATES'!$E$1:$F$50,2,FALSE)+H111*VLOOKUP(H$100,'FX RATES'!$E$1:$F$50,2,FALSE)</f>
        <v>0</v>
      </c>
      <c r="J111" s="18"/>
      <c r="K111" s="28">
        <f t="shared" si="37"/>
        <v>0</v>
      </c>
      <c r="L111" s="29" cm="1">
        <f t="array" ref="L111">SUMIFS(FLOWS!$C:$C,FLOWS!$A:$A,$B$96,FLOWS!$E:$E,$K111,FLOWS!$D:$D,L$100,FLOWS!$H:$H,"&gt;="&amp;$C$98,FLOWS!$H:$H,"&lt;="&amp;$U$98)+SUM(SUMIFS(DEALS!$J:$J,DEALS!$A:$A,{"*REFUND*","*EXECUTED*"},DEALS!$G:$G,$B$96,DEALS!$E:$E,"&gt;="&amp;$C$98,DEALS!$E:$E,"&lt;="&amp;$U$98,DEALS!$K:$K,L$100,DEALS!$M:$M,$K111,DEALS!$N:$N,"&lt;&gt;*RECEIVED*",DEALS!$N:$N,"&lt;&gt;*EXECUTED*"))+SUM(SUMIFS(DEALS!$R:$R,DEALS!$A:$A,{"*REFUND*","*EXECUTED*"},DEALS!$O:$O,$B$96,DEALS!$E:$E,"&gt;="&amp;$C$98,DEALS!$E:$E,"&lt;="&amp;$U$98,DEALS!$S:$S,L$100,DEALS!$U:$U,$K111,DEALS!$V:$V,"&lt;&gt;*RECEIVED*",DEALS!$V:$V,"&lt;&gt;*EXECUTED*"))</f>
        <v>0</v>
      </c>
      <c r="M111" s="29" cm="1">
        <f t="array" ref="M111">SUMIFS(FLOWS!$C:$C,FLOWS!$A:$A,$B$96,FLOWS!$E:$E,$K111,FLOWS!$D:$D,M$100,FLOWS!$H:$H,"&gt;="&amp;$C$98,FLOWS!$H:$H,"&lt;="&amp;$U$98)+SUM(SUMIFS(DEALS!$J:$J,DEALS!$A:$A,{"*REFUND*","*EXECUTED*"},DEALS!$G:$G,$B$96,DEALS!$E:$E,"&gt;="&amp;$C$98,DEALS!$E:$E,"&lt;="&amp;$U$98,DEALS!$K:$K,M$100,DEALS!$M:$M,$K111,DEALS!$N:$N,"&lt;&gt;*RECEIVED*",DEALS!$N:$N,"&lt;&gt;*EXECUTED*"))+SUM(SUMIFS(DEALS!$R:$R,DEALS!$A:$A,{"*REFUND*","*EXECUTED*"},DEALS!$O:$O,$B$96,DEALS!$E:$E,"&gt;="&amp;$C$98,DEALS!$E:$E,"&lt;="&amp;$U$98,DEALS!$S:$S,M$100,DEALS!$U:$U,$K111,DEALS!$V:$V,"&lt;&gt;*RECEIVED*",DEALS!$V:$V,"&lt;&gt;*EXECUTED*"))</f>
        <v>0</v>
      </c>
      <c r="N111" s="29" cm="1">
        <f t="array" ref="N111">SUMIFS(FLOWS!$C:$C,FLOWS!$A:$A,$B$96,FLOWS!$E:$E,$K111,FLOWS!$D:$D,N$100,FLOWS!$H:$H,"&gt;="&amp;$C$98,FLOWS!$H:$H,"&lt;="&amp;$U$98)+SUM(SUMIFS(DEALS!$J:$J,DEALS!$A:$A,{"*REFUND*","*EXECUTED*"},DEALS!$G:$G,$B$96,DEALS!$E:$E,"&gt;="&amp;$C$98,DEALS!$E:$E,"&lt;="&amp;$U$98,DEALS!$K:$K,N$100,DEALS!$M:$M,$K111,DEALS!$N:$N,"&lt;&gt;*RECEIVED*",DEALS!$N:$N,"&lt;&gt;*EXECUTED*"))+SUM(SUMIFS(DEALS!$R:$R,DEALS!$A:$A,{"*REFUND*","*EXECUTED*"},DEALS!$O:$O,$B$96,DEALS!$E:$E,"&gt;="&amp;$C$98,DEALS!$E:$E,"&lt;="&amp;$U$98,DEALS!$S:$S,N$100,DEALS!$U:$U,$K111,DEALS!$V:$V,"&lt;&gt;*RECEIVED*",DEALS!$V:$V,"&lt;&gt;*EXECUTED*"))</f>
        <v>0</v>
      </c>
      <c r="O111" s="29" cm="1">
        <f t="array" ref="O111">SUMIFS(FLOWS!$C:$C,FLOWS!$A:$A,$B$96,FLOWS!$E:$E,$K111,FLOWS!$D:$D,O$100,FLOWS!$H:$H,"&gt;="&amp;$C$98,FLOWS!$H:$H,"&lt;="&amp;$U$98)+SUM(SUMIFS(DEALS!$J:$J,DEALS!$A:$A,{"*REFUND*","*EXECUTED*"},DEALS!$G:$G,$B$96,DEALS!$E:$E,"&gt;="&amp;$C$98,DEALS!$E:$E,"&lt;="&amp;$U$98,DEALS!$K:$K,O$100,DEALS!$M:$M,$K111,DEALS!$N:$N,"&lt;&gt;*RECEIVED*",DEALS!$N:$N,"&lt;&gt;*EXECUTED*"))+SUM(SUMIFS(DEALS!$R:$R,DEALS!$A:$A,{"*REFUND*","*EXECUTED*"},DEALS!$O:$O,$B$96,DEALS!$E:$E,"&gt;="&amp;$C$98,DEALS!$E:$E,"&lt;="&amp;$U$98,DEALS!$S:$S,O$100,DEALS!$U:$U,$K111,DEALS!$V:$V,"&lt;&gt;*RECEIVED*",DEALS!$V:$V,"&lt;&gt;*EXECUTED*"))</f>
        <v>0</v>
      </c>
      <c r="P111" s="29" cm="1">
        <f t="array" ref="P111">SUMIFS(FLOWS!$C:$C,FLOWS!$A:$A,$B$96,FLOWS!$E:$E,$K111,FLOWS!$D:$D,P$100,FLOWS!$H:$H,"&gt;="&amp;$C$98,FLOWS!$H:$H,"&lt;="&amp;$U$98)+SUM(SUMIFS(DEALS!$J:$J,DEALS!$A:$A,{"*REFUND*","*EXECUTED*"},DEALS!$G:$G,$B$96,DEALS!$E:$E,"&gt;="&amp;$C$98,DEALS!$E:$E,"&lt;="&amp;$U$98,DEALS!$K:$K,P$100,DEALS!$M:$M,$K111,DEALS!$N:$N,"&lt;&gt;*RECEIVED*",DEALS!$N:$N,"&lt;&gt;*EXECUTED*"))+SUM(SUMIFS(DEALS!$R:$R,DEALS!$A:$A,{"*REFUND*","*EXECUTED*"},DEALS!$O:$O,$B$96,DEALS!$E:$E,"&gt;="&amp;$C$98,DEALS!$E:$E,"&lt;="&amp;$U$98,DEALS!$S:$S,P$100,DEALS!$U:$U,$K111,DEALS!$V:$V,"&lt;&gt;*RECEIVED*",DEALS!$V:$V,"&lt;&gt;*EXECUTED*"))</f>
        <v>0</v>
      </c>
      <c r="Q111" s="29" cm="1">
        <f t="array" ref="Q111">SUMIFS(FLOWS!$C:$C,FLOWS!$A:$A,$B$96,FLOWS!$E:$E,$K111,FLOWS!$D:$D,Q$100,FLOWS!$H:$H,"&gt;="&amp;$C$98,FLOWS!$H:$H,"&lt;="&amp;$U$98)+SUM(SUMIFS(DEALS!$J:$J,DEALS!$A:$A,{"*REFUND*","*EXECUTED*"},DEALS!$G:$G,$B$96,DEALS!$E:$E,"&gt;="&amp;$C$98,DEALS!$E:$E,"&lt;="&amp;$U$98,DEALS!$K:$K,Q$100,DEALS!$M:$M,$K111,DEALS!$N:$N,"&lt;&gt;*RECEIVED*",DEALS!$N:$N,"&lt;&gt;*EXECUTED*"))+SUM(SUMIFS(DEALS!$R:$R,DEALS!$A:$A,{"*REFUND*","*EXECUTED*"},DEALS!$O:$O,$B$96,DEALS!$E:$E,"&gt;="&amp;$C$98,DEALS!$E:$E,"&lt;="&amp;$U$98,DEALS!$S:$S,Q$100,DEALS!$U:$U,$K111,DEALS!$V:$V,"&lt;&gt;*RECEIVED*",DEALS!$V:$V,"&lt;&gt;*EXECUTED*"))</f>
        <v>0</v>
      </c>
      <c r="R111" s="30">
        <f ca="1">L111*VLOOKUP(L$100,'FX RATES'!$E$1:$F$50,2,FALSE)+M111*VLOOKUP(M$100,'FX RATES'!$E$1:$F$50,2,FALSE)+N111*VLOOKUP(N$100,'FX RATES'!$E$1:$F$50,2,FALSE)+O111*VLOOKUP(O$100,'FX RATES'!$E$1:$F$50,2,FALSE)+P111*VLOOKUP(P$100,'FX RATES'!$E$1:$F$50,2,FALSE)+Q111*VLOOKUP(Q$100,'FX RATES'!$E$1:$F$50,2,FALSE)</f>
        <v>0</v>
      </c>
      <c r="T111" s="28">
        <f t="shared" si="38"/>
        <v>0</v>
      </c>
      <c r="U111" s="29" cm="1">
        <f t="array" ref="U111">SUMIFS(BALANCES!$C:$C,BALANCES!$A:$A,$B$96,BALANCES!$B:$B,$T111,BALANCES!$D:$D,U$100)+SUMIFS(FLOWS!$C:$C,FLOWS!$A:$A,$B$96,FLOWS!$E:$E,$T111,FLOWS!$D:$D,U$100,FLOWS!$H:$H,"&lt;="&amp;$U$98)+SUM(SUMIFS(DEALS!$J:$J,DEALS!$A:$A,{"*REFUND*","*EXECUTED*"},DEALS!$G:$G,$B$96,DEALS!$E:$E,"&lt;="&amp;$U$98,DEALS!$K:$K,U$100,DEALS!$M:$M,$T111,DEALS!$N:$N,"&lt;&gt;*RECEIVED*",DEALS!$N:$N,"&lt;&gt;*EXECUTED*"))+SUM(SUMIFS(DEALS!$R:$R,DEALS!$A:$A,{"*REFUND*","*EXECUTED*"},DEALS!$O:$O,$B$96,DEALS!$E:$E,"&lt;="&amp;$U$98,DEALS!$S:$S,U$100,DEALS!$U:$U,$T111,DEALS!$V:$V,"&lt;&gt;*RECEIVED*",DEALS!$V:$V,"&lt;&gt;*EXECUTED*"))</f>
        <v>0</v>
      </c>
      <c r="V111" s="29" cm="1">
        <f t="array" ref="V111">SUMIFS(BALANCES!$C:$C,BALANCES!$A:$A,$B$96,BALANCES!$B:$B,$T111,BALANCES!$D:$D,V$100)+SUMIFS(FLOWS!$C:$C,FLOWS!$A:$A,$B$96,FLOWS!$E:$E,$T111,FLOWS!$D:$D,V$100,FLOWS!$H:$H,"&lt;="&amp;$U$98)+SUM(SUMIFS(DEALS!$J:$J,DEALS!$A:$A,{"*REFUND*","*EXECUTED*"},DEALS!$G:$G,$B$96,DEALS!$E:$E,"&lt;="&amp;$U$98,DEALS!$K:$K,V$100,DEALS!$M:$M,$T111,DEALS!$N:$N,"&lt;&gt;*RECEIVED*",DEALS!$N:$N,"&lt;&gt;*EXECUTED*"))+SUM(SUMIFS(DEALS!$R:$R,DEALS!$A:$A,{"*REFUND*","*EXECUTED*"},DEALS!$O:$O,$B$96,DEALS!$E:$E,"&lt;="&amp;$U$98,DEALS!$S:$S,V$100,DEALS!$U:$U,$T111,DEALS!$V:$V,"&lt;&gt;*RECEIVED*",DEALS!$V:$V,"&lt;&gt;*EXECUTED*"))</f>
        <v>0</v>
      </c>
      <c r="W111" s="29" cm="1">
        <f t="array" ref="W111">SUMIFS(BALANCES!$C:$C,BALANCES!$A:$A,$B$96,BALANCES!$B:$B,$T111,BALANCES!$D:$D,W$100)+SUMIFS(FLOWS!$C:$C,FLOWS!$A:$A,$B$96,FLOWS!$E:$E,$T111,FLOWS!$D:$D,W$100,FLOWS!$H:$H,"&lt;="&amp;$U$98)+SUM(SUMIFS(DEALS!$J:$J,DEALS!$A:$A,{"*REFUND*","*EXECUTED*"},DEALS!$G:$G,$B$96,DEALS!$E:$E,"&lt;="&amp;$U$98,DEALS!$K:$K,W$100,DEALS!$M:$M,$T111,DEALS!$N:$N,"&lt;&gt;*RECEIVED*",DEALS!$N:$N,"&lt;&gt;*EXECUTED*"))+SUM(SUMIFS(DEALS!$R:$R,DEALS!$A:$A,{"*REFUND*","*EXECUTED*"},DEALS!$O:$O,$B$96,DEALS!$E:$E,"&lt;="&amp;$U$98,DEALS!$S:$S,W$100,DEALS!$U:$U,$T111,DEALS!$V:$V,"&lt;&gt;*RECEIVED*",DEALS!$V:$V,"&lt;&gt;*EXECUTED*"))</f>
        <v>0</v>
      </c>
      <c r="X111" s="29" cm="1">
        <f t="array" ref="X111">SUMIFS(BALANCES!$C:$C,BALANCES!$A:$A,$B$96,BALANCES!$B:$B,$T111,BALANCES!$D:$D,X$100)+SUMIFS(FLOWS!$C:$C,FLOWS!$A:$A,$B$96,FLOWS!$E:$E,$T111,FLOWS!$D:$D,X$100,FLOWS!$H:$H,"&lt;="&amp;$U$98)+SUM(SUMIFS(DEALS!$J:$J,DEALS!$A:$A,{"*REFUND*","*EXECUTED*"},DEALS!$G:$G,$B$96,DEALS!$E:$E,"&lt;="&amp;$U$98,DEALS!$K:$K,X$100,DEALS!$M:$M,$T111,DEALS!$N:$N,"&lt;&gt;*RECEIVED*",DEALS!$N:$N,"&lt;&gt;*EXECUTED*"))+SUM(SUMIFS(DEALS!$R:$R,DEALS!$A:$A,{"*REFUND*","*EXECUTED*"},DEALS!$O:$O,$B$96,DEALS!$E:$E,"&lt;="&amp;$U$98,DEALS!$S:$S,X$100,DEALS!$U:$U,$T111,DEALS!$V:$V,"&lt;&gt;*RECEIVED*",DEALS!$V:$V,"&lt;&gt;*EXECUTED*"))</f>
        <v>0</v>
      </c>
      <c r="Y111" s="29" cm="1">
        <f t="array" ref="Y111">SUMIFS(BALANCES!$C:$C,BALANCES!$A:$A,$B$96,BALANCES!$B:$B,$T111,BALANCES!$D:$D,Y$100)+SUMIFS(FLOWS!$C:$C,FLOWS!$A:$A,$B$96,FLOWS!$E:$E,$T111,FLOWS!$D:$D,Y$100,FLOWS!$H:$H,"&lt;="&amp;$U$98)+SUM(SUMIFS(DEALS!$J:$J,DEALS!$A:$A,{"*REFUND*","*EXECUTED*"},DEALS!$G:$G,$B$96,DEALS!$E:$E,"&lt;="&amp;$U$98,DEALS!$K:$K,Y$100,DEALS!$M:$M,$T111,DEALS!$N:$N,"&lt;&gt;*RECEIVED*",DEALS!$N:$N,"&lt;&gt;*EXECUTED*"))+SUM(SUMIFS(DEALS!$R:$R,DEALS!$A:$A,{"*REFUND*","*EXECUTED*"},DEALS!$O:$O,$B$96,DEALS!$E:$E,"&lt;="&amp;$U$98,DEALS!$S:$S,Y$100,DEALS!$U:$U,$T111,DEALS!$V:$V,"&lt;&gt;*RECEIVED*",DEALS!$V:$V,"&lt;&gt;*EXECUTED*"))</f>
        <v>0</v>
      </c>
      <c r="Z111" s="29" cm="1">
        <f t="array" ref="Z111">SUMIFS(BALANCES!$C:$C,BALANCES!$A:$A,$B$96,BALANCES!$B:$B,$T111,BALANCES!$D:$D,Z$100)+SUMIFS(FLOWS!$C:$C,FLOWS!$A:$A,$B$96,FLOWS!$E:$E,$T111,FLOWS!$D:$D,Z$100,FLOWS!$H:$H,"&lt;="&amp;$U$98)+SUM(SUMIFS(DEALS!$J:$J,DEALS!$A:$A,{"*REFUND*","*EXECUTED*"},DEALS!$G:$G,$B$96,DEALS!$E:$E,"&lt;="&amp;$U$98,DEALS!$K:$K,Z$100,DEALS!$M:$M,$T111,DEALS!$N:$N,"&lt;&gt;*RECEIVED*",DEALS!$N:$N,"&lt;&gt;*EXECUTED*"))+SUM(SUMIFS(DEALS!$R:$R,DEALS!$A:$A,{"*REFUND*","*EXECUTED*"},DEALS!$O:$O,$B$96,DEALS!$E:$E,"&lt;="&amp;$U$98,DEALS!$S:$S,Z$100,DEALS!$U:$U,$T111,DEALS!$V:$V,"&lt;&gt;*RECEIVED*",DEALS!$V:$V,"&lt;&gt;*EXECUTED*"))</f>
        <v>0</v>
      </c>
      <c r="AA111" s="30">
        <f ca="1">U111*VLOOKUP(U$100,'FX RATES'!$E$1:$F$50,2,FALSE)+V111*VLOOKUP(V$100,'FX RATES'!$E$1:$F$50,2,FALSE)+W111*VLOOKUP(W$100,'FX RATES'!$E$1:$F$50,2,FALSE)+X111*VLOOKUP(X$100,'FX RATES'!$E$1:$F$50,2,FALSE)+Y111*VLOOKUP(Y$100,'FX RATES'!$E$1:$F$50,2,FALSE)+Z111*VLOOKUP(Z$100,'FX RATES'!$E$1:$F$50,2,FALSE)</f>
        <v>0</v>
      </c>
      <c r="AC111" s="139">
        <f t="shared" ca="1" si="39"/>
        <v>0</v>
      </c>
    </row>
    <row r="112" spans="2:29" ht="19" hidden="1">
      <c r="B112" s="31"/>
      <c r="C112" s="32" cm="1">
        <f t="array" ref="C112">SUMIFS(BALANCES!$C:$C,BALANCES!$A:$A,$B$96,BALANCES!$B:$B,$B112,BALANCES!$D:$D,C$100)+SUMIFS(FLOWS!$C:$C,FLOWS!$A:$A,$B$96,FLOWS!$E:$E,$B112,FLOWS!$D:$D,C$100,FLOWS!$H:$H,"&lt;"&amp;$C$98)+SUM(SUMIFS(DEALS!$J:$J,DEALS!$A:$A,{"*REFUND*","*EXECUTED*"},DEALS!$G:$G,$B$96,DEALS!$E:$E,"&lt;"&amp;$C$98,DEALS!$K:$K,C$100,DEALS!$M:$M,$B112,DEALS!$N:$N,"&lt;&gt;*RECEIVED*",DEALS!$N:$N,"&lt;&gt;*EXECUTED*"))+SUM(SUMIFS(DEALS!$R:$R,DEALS!$A:$A,{"*REFUND*","*EXECUTED*"},DEALS!$O:$O,$B$96,DEALS!$E:$E,"&lt;"&amp;$C$98,DEALS!$S:$S,C$100,DEALS!$U:$U,$B112,DEALS!$V:$V,"&lt;&gt;*RECEIVED*",DEALS!$V:$V,"&lt;&gt;*EXECUTED*"))</f>
        <v>0</v>
      </c>
      <c r="D112" s="32" cm="1">
        <f t="array" ref="D112">SUMIFS(BALANCES!$C:$C,BALANCES!$A:$A,$B$96,BALANCES!$B:$B,$B112,BALANCES!$D:$D,D$100)+SUMIFS(FLOWS!$C:$C,FLOWS!$A:$A,$B$96,FLOWS!$E:$E,$B112,FLOWS!$D:$D,D$100,FLOWS!$H:$H,"&lt;"&amp;$C$98)+SUM(SUMIFS(DEALS!$J:$J,DEALS!$A:$A,{"*REFUND*","*EXECUTED*"},DEALS!$G:$G,$B$96,DEALS!$E:$E,"&lt;"&amp;$C$98,DEALS!$K:$K,D$100,DEALS!$M:$M,$B112,DEALS!$N:$N,"&lt;&gt;*RECEIVED*",DEALS!$N:$N,"&lt;&gt;*EXECUTED*"))+SUM(SUMIFS(DEALS!$R:$R,DEALS!$A:$A,{"*REFUND*","*EXECUTED*"},DEALS!$O:$O,$B$96,DEALS!$E:$E,"&lt;"&amp;$C$98,DEALS!$S:$S,D$100,DEALS!$U:$U,$B112,DEALS!$V:$V,"&lt;&gt;*RECEIVED*",DEALS!$V:$V,"&lt;&gt;*EXECUTED*"))</f>
        <v>0</v>
      </c>
      <c r="E112" s="32" cm="1">
        <f t="array" ref="E112">SUMIFS(BALANCES!$C:$C,BALANCES!$A:$A,$B$96,BALANCES!$B:$B,$B112,BALANCES!$D:$D,E$100)+SUMIFS(FLOWS!$C:$C,FLOWS!$A:$A,$B$96,FLOWS!$E:$E,$B112,FLOWS!$D:$D,E$100,FLOWS!$H:$H,"&lt;"&amp;$C$98)+SUM(SUMIFS(DEALS!$J:$J,DEALS!$A:$A,{"*REFUND*","*EXECUTED*"},DEALS!$G:$G,$B$96,DEALS!$E:$E,"&lt;"&amp;$C$98,DEALS!$K:$K,E$100,DEALS!$M:$M,$B112,DEALS!$N:$N,"&lt;&gt;*RECEIVED*",DEALS!$N:$N,"&lt;&gt;*EXECUTED*"))+SUM(SUMIFS(DEALS!$R:$R,DEALS!$A:$A,{"*REFUND*","*EXECUTED*"},DEALS!$O:$O,$B$96,DEALS!$E:$E,"&lt;"&amp;$C$98,DEALS!$S:$S,E$100,DEALS!$U:$U,$B112,DEALS!$V:$V,"&lt;&gt;*RECEIVED*",DEALS!$V:$V,"&lt;&gt;*EXECUTED*"))</f>
        <v>0</v>
      </c>
      <c r="F112" s="32" cm="1">
        <f t="array" ref="F112">SUMIFS(BALANCES!$C:$C,BALANCES!$A:$A,$B$96,BALANCES!$B:$B,$B112,BALANCES!$D:$D,F$100)+SUMIFS(FLOWS!$C:$C,FLOWS!$A:$A,$B$96,FLOWS!$E:$E,$B112,FLOWS!$D:$D,F$100,FLOWS!$H:$H,"&lt;"&amp;$C$98)+SUM(SUMIFS(DEALS!$J:$J,DEALS!$A:$A,{"*REFUND*","*EXECUTED*"},DEALS!$G:$G,$B$96,DEALS!$E:$E,"&lt;"&amp;$C$98,DEALS!$K:$K,F$100,DEALS!$M:$M,$B112,DEALS!$N:$N,"&lt;&gt;*RECEIVED*",DEALS!$N:$N,"&lt;&gt;*EXECUTED*"))+SUM(SUMIFS(DEALS!$R:$R,DEALS!$A:$A,{"*REFUND*","*EXECUTED*"},DEALS!$O:$O,$B$96,DEALS!$E:$E,"&lt;"&amp;$C$98,DEALS!$S:$S,F$100,DEALS!$U:$U,$B112,DEALS!$V:$V,"&lt;&gt;*RECEIVED*",DEALS!$V:$V,"&lt;&gt;*EXECUTED*"))</f>
        <v>0</v>
      </c>
      <c r="G112" s="32" cm="1">
        <f t="array" ref="G112">SUMIFS(BALANCES!$C:$C,BALANCES!$A:$A,$B$96,BALANCES!$B:$B,$B112,BALANCES!$D:$D,G$100)+SUMIFS(FLOWS!$C:$C,FLOWS!$A:$A,$B$96,FLOWS!$E:$E,$B112,FLOWS!$D:$D,G$100,FLOWS!$H:$H,"&lt;"&amp;$C$98)+SUM(SUMIFS(DEALS!$J:$J,DEALS!$A:$A,{"*REFUND*","*EXECUTED*"},DEALS!$G:$G,$B$96,DEALS!$E:$E,"&lt;"&amp;$C$98,DEALS!$K:$K,G$100,DEALS!$M:$M,$B112,DEALS!$N:$N,"&lt;&gt;*RECEIVED*",DEALS!$N:$N,"&lt;&gt;*EXECUTED*"))+SUM(SUMIFS(DEALS!$R:$R,DEALS!$A:$A,{"*REFUND*","*EXECUTED*"},DEALS!$O:$O,$B$96,DEALS!$E:$E,"&lt;"&amp;$C$98,DEALS!$S:$S,G$100,DEALS!$U:$U,$B112,DEALS!$V:$V,"&lt;&gt;*RECEIVED*",DEALS!$V:$V,"&lt;&gt;*EXECUTED*"))</f>
        <v>0</v>
      </c>
      <c r="H112" s="32" cm="1">
        <f t="array" ref="H112">SUMIFS(BALANCES!$C:$C,BALANCES!$A:$A,$B$96,BALANCES!$B:$B,$B112,BALANCES!$D:$D,H$100)+SUMIFS(FLOWS!$C:$C,FLOWS!$A:$A,$B$96,FLOWS!$E:$E,$B112,FLOWS!$D:$D,H$100,FLOWS!$H:$H,"&lt;"&amp;$C$98)+SUM(SUMIFS(DEALS!$J:$J,DEALS!$A:$A,{"*REFUND*","*EXECUTED*"},DEALS!$G:$G,$B$96,DEALS!$E:$E,"&lt;"&amp;$C$98,DEALS!$K:$K,H$100,DEALS!$M:$M,$B112,DEALS!$N:$N,"&lt;&gt;*RECEIVED*",DEALS!$N:$N,"&lt;&gt;*EXECUTED*"))+SUM(SUMIFS(DEALS!$R:$R,DEALS!$A:$A,{"*REFUND*","*EXECUTED*"},DEALS!$O:$O,$B$96,DEALS!$E:$E,"&lt;"&amp;$C$98,DEALS!$S:$S,H$100,DEALS!$U:$U,$B112,DEALS!$V:$V,"&lt;&gt;*RECEIVED*",DEALS!$V:$V,"&lt;&gt;*EXECUTED*"))</f>
        <v>0</v>
      </c>
      <c r="I112" s="33">
        <f ca="1">C112*VLOOKUP(C$100,'FX RATES'!$E$1:$F$50,2,FALSE)+D112*VLOOKUP(D$100,'FX RATES'!$E$1:$F$50,2,FALSE)+E112*VLOOKUP(E$100,'FX RATES'!$E$1:$F$50,2,FALSE)+F112*VLOOKUP(F$100,'FX RATES'!$E$1:$F$50,2,FALSE)+G112*VLOOKUP(G$100,'FX RATES'!$E$1:$F$50,2,FALSE)+H112*VLOOKUP(H$100,'FX RATES'!$E$1:$F$50,2,FALSE)</f>
        <v>0</v>
      </c>
      <c r="J112" s="138"/>
      <c r="K112" s="31">
        <f t="shared" si="37"/>
        <v>0</v>
      </c>
      <c r="L112" s="32" cm="1">
        <f t="array" ref="L112">SUMIFS(FLOWS!$C:$C,FLOWS!$A:$A,$B$96,FLOWS!$E:$E,$K112,FLOWS!$D:$D,L$100,FLOWS!$H:$H,"&gt;="&amp;$C$98,FLOWS!$H:$H,"&lt;="&amp;$U$98)+SUM(SUMIFS(DEALS!$J:$J,DEALS!$A:$A,{"*REFUND*","*EXECUTED*"},DEALS!$G:$G,$B$96,DEALS!$E:$E,"&gt;="&amp;$C$98,DEALS!$E:$E,"&lt;="&amp;$U$98,DEALS!$K:$K,L$100,DEALS!$M:$M,$K112,DEALS!$N:$N,"&lt;&gt;*RECEIVED*",DEALS!$N:$N,"&lt;&gt;*EXECUTED*"))+SUM(SUMIFS(DEALS!$R:$R,DEALS!$A:$A,{"*REFUND*","*EXECUTED*"},DEALS!$O:$O,$B$96,DEALS!$E:$E,"&gt;="&amp;$C$98,DEALS!$E:$E,"&lt;="&amp;$U$98,DEALS!$S:$S,L$100,DEALS!$U:$U,$K112,DEALS!$V:$V,"&lt;&gt;*RECEIVED*",DEALS!$V:$V,"&lt;&gt;*EXECUTED*"))</f>
        <v>0</v>
      </c>
      <c r="M112" s="32" cm="1">
        <f t="array" ref="M112">SUMIFS(FLOWS!$C:$C,FLOWS!$A:$A,$B$96,FLOWS!$E:$E,$K112,FLOWS!$D:$D,M$100,FLOWS!$H:$H,"&gt;="&amp;$C$98,FLOWS!$H:$H,"&lt;="&amp;$U$98)+SUM(SUMIFS(DEALS!$J:$J,DEALS!$A:$A,{"*REFUND*","*EXECUTED*"},DEALS!$G:$G,$B$96,DEALS!$E:$E,"&gt;="&amp;$C$98,DEALS!$E:$E,"&lt;="&amp;$U$98,DEALS!$K:$K,M$100,DEALS!$M:$M,$K112,DEALS!$N:$N,"&lt;&gt;*RECEIVED*",DEALS!$N:$N,"&lt;&gt;*EXECUTED*"))+SUM(SUMIFS(DEALS!$R:$R,DEALS!$A:$A,{"*REFUND*","*EXECUTED*"},DEALS!$O:$O,$B$96,DEALS!$E:$E,"&gt;="&amp;$C$98,DEALS!$E:$E,"&lt;="&amp;$U$98,DEALS!$S:$S,M$100,DEALS!$U:$U,$K112,DEALS!$V:$V,"&lt;&gt;*RECEIVED*",DEALS!$V:$V,"&lt;&gt;*EXECUTED*"))</f>
        <v>0</v>
      </c>
      <c r="N112" s="32" cm="1">
        <f t="array" ref="N112">SUMIFS(FLOWS!$C:$C,FLOWS!$A:$A,$B$96,FLOWS!$E:$E,$K112,FLOWS!$D:$D,N$100,FLOWS!$H:$H,"&gt;="&amp;$C$98,FLOWS!$H:$H,"&lt;="&amp;$U$98)+SUM(SUMIFS(DEALS!$J:$J,DEALS!$A:$A,{"*REFUND*","*EXECUTED*"},DEALS!$G:$G,$B$96,DEALS!$E:$E,"&gt;="&amp;$C$98,DEALS!$E:$E,"&lt;="&amp;$U$98,DEALS!$K:$K,N$100,DEALS!$M:$M,$K112,DEALS!$N:$N,"&lt;&gt;*RECEIVED*",DEALS!$N:$N,"&lt;&gt;*EXECUTED*"))+SUM(SUMIFS(DEALS!$R:$R,DEALS!$A:$A,{"*REFUND*","*EXECUTED*"},DEALS!$O:$O,$B$96,DEALS!$E:$E,"&gt;="&amp;$C$98,DEALS!$E:$E,"&lt;="&amp;$U$98,DEALS!$S:$S,N$100,DEALS!$U:$U,$K112,DEALS!$V:$V,"&lt;&gt;*RECEIVED*",DEALS!$V:$V,"&lt;&gt;*EXECUTED*"))</f>
        <v>0</v>
      </c>
      <c r="O112" s="32" cm="1">
        <f t="array" ref="O112">SUMIFS(FLOWS!$C:$C,FLOWS!$A:$A,$B$96,FLOWS!$E:$E,$K112,FLOWS!$D:$D,O$100,FLOWS!$H:$H,"&gt;="&amp;$C$98,FLOWS!$H:$H,"&lt;="&amp;$U$98)+SUM(SUMIFS(DEALS!$J:$J,DEALS!$A:$A,{"*REFUND*","*EXECUTED*"},DEALS!$G:$G,$B$96,DEALS!$E:$E,"&gt;="&amp;$C$98,DEALS!$E:$E,"&lt;="&amp;$U$98,DEALS!$K:$K,O$100,DEALS!$M:$M,$K112,DEALS!$N:$N,"&lt;&gt;*RECEIVED*",DEALS!$N:$N,"&lt;&gt;*EXECUTED*"))+SUM(SUMIFS(DEALS!$R:$R,DEALS!$A:$A,{"*REFUND*","*EXECUTED*"},DEALS!$O:$O,$B$96,DEALS!$E:$E,"&gt;="&amp;$C$98,DEALS!$E:$E,"&lt;="&amp;$U$98,DEALS!$S:$S,O$100,DEALS!$U:$U,$K112,DEALS!$V:$V,"&lt;&gt;*RECEIVED*",DEALS!$V:$V,"&lt;&gt;*EXECUTED*"))</f>
        <v>0</v>
      </c>
      <c r="P112" s="32" cm="1">
        <f t="array" ref="P112">SUMIFS(FLOWS!$C:$C,FLOWS!$A:$A,$B$96,FLOWS!$E:$E,$K112,FLOWS!$D:$D,P$100,FLOWS!$H:$H,"&gt;="&amp;$C$98,FLOWS!$H:$H,"&lt;="&amp;$U$98)+SUM(SUMIFS(DEALS!$J:$J,DEALS!$A:$A,{"*REFUND*","*EXECUTED*"},DEALS!$G:$G,$B$96,DEALS!$E:$E,"&gt;="&amp;$C$98,DEALS!$E:$E,"&lt;="&amp;$U$98,DEALS!$K:$K,P$100,DEALS!$M:$M,$K112,DEALS!$N:$N,"&lt;&gt;*RECEIVED*",DEALS!$N:$N,"&lt;&gt;*EXECUTED*"))+SUM(SUMIFS(DEALS!$R:$R,DEALS!$A:$A,{"*REFUND*","*EXECUTED*"},DEALS!$O:$O,$B$96,DEALS!$E:$E,"&gt;="&amp;$C$98,DEALS!$E:$E,"&lt;="&amp;$U$98,DEALS!$S:$S,P$100,DEALS!$U:$U,$K112,DEALS!$V:$V,"&lt;&gt;*RECEIVED*",DEALS!$V:$V,"&lt;&gt;*EXECUTED*"))</f>
        <v>0</v>
      </c>
      <c r="Q112" s="32" cm="1">
        <f t="array" ref="Q112">SUMIFS(FLOWS!$C:$C,FLOWS!$A:$A,$B$96,FLOWS!$E:$E,$K112,FLOWS!$D:$D,Q$100,FLOWS!$H:$H,"&gt;="&amp;$C$98,FLOWS!$H:$H,"&lt;="&amp;$U$98)+SUM(SUMIFS(DEALS!$J:$J,DEALS!$A:$A,{"*REFUND*","*EXECUTED*"},DEALS!$G:$G,$B$96,DEALS!$E:$E,"&gt;="&amp;$C$98,DEALS!$E:$E,"&lt;="&amp;$U$98,DEALS!$K:$K,Q$100,DEALS!$M:$M,$K112,DEALS!$N:$N,"&lt;&gt;*RECEIVED*",DEALS!$N:$N,"&lt;&gt;*EXECUTED*"))+SUM(SUMIFS(DEALS!$R:$R,DEALS!$A:$A,{"*REFUND*","*EXECUTED*"},DEALS!$O:$O,$B$96,DEALS!$E:$E,"&gt;="&amp;$C$98,DEALS!$E:$E,"&lt;="&amp;$U$98,DEALS!$S:$S,Q$100,DEALS!$U:$U,$K112,DEALS!$V:$V,"&lt;&gt;*RECEIVED*",DEALS!$V:$V,"&lt;&gt;*EXECUTED*"))</f>
        <v>0</v>
      </c>
      <c r="R112" s="33">
        <f ca="1">L112*VLOOKUP(L$100,'FX RATES'!$E$1:$F$50,2,FALSE)+M112*VLOOKUP(M$100,'FX RATES'!$E$1:$F$50,2,FALSE)+N112*VLOOKUP(N$100,'FX RATES'!$E$1:$F$50,2,FALSE)+O112*VLOOKUP(O$100,'FX RATES'!$E$1:$F$50,2,FALSE)+P112*VLOOKUP(P$100,'FX RATES'!$E$1:$F$50,2,FALSE)+Q112*VLOOKUP(Q$100,'FX RATES'!$E$1:$F$50,2,FALSE)</f>
        <v>0</v>
      </c>
      <c r="T112" s="31">
        <f t="shared" si="38"/>
        <v>0</v>
      </c>
      <c r="U112" s="32" cm="1">
        <f t="array" ref="U112">SUMIFS(BALANCES!$C:$C,BALANCES!$A:$A,$B$96,BALANCES!$B:$B,$T112,BALANCES!$D:$D,U$100)+SUMIFS(FLOWS!$C:$C,FLOWS!$A:$A,$B$96,FLOWS!$E:$E,$T112,FLOWS!$D:$D,U$100,FLOWS!$H:$H,"&lt;="&amp;$U$98)+SUM(SUMIFS(DEALS!$J:$J,DEALS!$A:$A,{"*REFUND*","*EXECUTED*"},DEALS!$G:$G,$B$96,DEALS!$E:$E,"&lt;="&amp;$U$98,DEALS!$K:$K,U$100,DEALS!$M:$M,$T112,DEALS!$N:$N,"&lt;&gt;*RECEIVED*",DEALS!$N:$N,"&lt;&gt;*EXECUTED*"))+SUM(SUMIFS(DEALS!$R:$R,DEALS!$A:$A,{"*REFUND*","*EXECUTED*"},DEALS!$O:$O,$B$96,DEALS!$E:$E,"&lt;="&amp;$U$98,DEALS!$S:$S,U$100,DEALS!$U:$U,$T112,DEALS!$V:$V,"&lt;&gt;*RECEIVED*",DEALS!$V:$V,"&lt;&gt;*EXECUTED*"))</f>
        <v>0</v>
      </c>
      <c r="V112" s="32" cm="1">
        <f t="array" ref="V112">SUMIFS(BALANCES!$C:$C,BALANCES!$A:$A,$B$96,BALANCES!$B:$B,$T112,BALANCES!$D:$D,V$100)+SUMIFS(FLOWS!$C:$C,FLOWS!$A:$A,$B$96,FLOWS!$E:$E,$T112,FLOWS!$D:$D,V$100,FLOWS!$H:$H,"&lt;="&amp;$U$98)+SUM(SUMIFS(DEALS!$J:$J,DEALS!$A:$A,{"*REFUND*","*EXECUTED*"},DEALS!$G:$G,$B$96,DEALS!$E:$E,"&lt;="&amp;$U$98,DEALS!$K:$K,V$100,DEALS!$M:$M,$T112,DEALS!$N:$N,"&lt;&gt;*RECEIVED*",DEALS!$N:$N,"&lt;&gt;*EXECUTED*"))+SUM(SUMIFS(DEALS!$R:$R,DEALS!$A:$A,{"*REFUND*","*EXECUTED*"},DEALS!$O:$O,$B$96,DEALS!$E:$E,"&lt;="&amp;$U$98,DEALS!$S:$S,V$100,DEALS!$U:$U,$T112,DEALS!$V:$V,"&lt;&gt;*RECEIVED*",DEALS!$V:$V,"&lt;&gt;*EXECUTED*"))</f>
        <v>0</v>
      </c>
      <c r="W112" s="32" cm="1">
        <f t="array" ref="W112">SUMIFS(BALANCES!$C:$C,BALANCES!$A:$A,$B$96,BALANCES!$B:$B,$T112,BALANCES!$D:$D,W$100)+SUMIFS(FLOWS!$C:$C,FLOWS!$A:$A,$B$96,FLOWS!$E:$E,$T112,FLOWS!$D:$D,W$100,FLOWS!$H:$H,"&lt;="&amp;$U$98)+SUM(SUMIFS(DEALS!$J:$J,DEALS!$A:$A,{"*REFUND*","*EXECUTED*"},DEALS!$G:$G,$B$96,DEALS!$E:$E,"&lt;="&amp;$U$98,DEALS!$K:$K,W$100,DEALS!$M:$M,$T112,DEALS!$N:$N,"&lt;&gt;*RECEIVED*",DEALS!$N:$N,"&lt;&gt;*EXECUTED*"))+SUM(SUMIFS(DEALS!$R:$R,DEALS!$A:$A,{"*REFUND*","*EXECUTED*"},DEALS!$O:$O,$B$96,DEALS!$E:$E,"&lt;="&amp;$U$98,DEALS!$S:$S,W$100,DEALS!$U:$U,$T112,DEALS!$V:$V,"&lt;&gt;*RECEIVED*",DEALS!$V:$V,"&lt;&gt;*EXECUTED*"))</f>
        <v>0</v>
      </c>
      <c r="X112" s="32" cm="1">
        <f t="array" ref="X112">SUMIFS(BALANCES!$C:$C,BALANCES!$A:$A,$B$96,BALANCES!$B:$B,$T112,BALANCES!$D:$D,X$100)+SUMIFS(FLOWS!$C:$C,FLOWS!$A:$A,$B$96,FLOWS!$E:$E,$T112,FLOWS!$D:$D,X$100,FLOWS!$H:$H,"&lt;="&amp;$U$98)+SUM(SUMIFS(DEALS!$J:$J,DEALS!$A:$A,{"*REFUND*","*EXECUTED*"},DEALS!$G:$G,$B$96,DEALS!$E:$E,"&lt;="&amp;$U$98,DEALS!$K:$K,X$100,DEALS!$M:$M,$T112,DEALS!$N:$N,"&lt;&gt;*RECEIVED*",DEALS!$N:$N,"&lt;&gt;*EXECUTED*"))+SUM(SUMIFS(DEALS!$R:$R,DEALS!$A:$A,{"*REFUND*","*EXECUTED*"},DEALS!$O:$O,$B$96,DEALS!$E:$E,"&lt;="&amp;$U$98,DEALS!$S:$S,X$100,DEALS!$U:$U,$T112,DEALS!$V:$V,"&lt;&gt;*RECEIVED*",DEALS!$V:$V,"&lt;&gt;*EXECUTED*"))</f>
        <v>0</v>
      </c>
      <c r="Y112" s="32" cm="1">
        <f t="array" ref="Y112">SUMIFS(BALANCES!$C:$C,BALANCES!$A:$A,$B$96,BALANCES!$B:$B,$T112,BALANCES!$D:$D,Y$100)+SUMIFS(FLOWS!$C:$C,FLOWS!$A:$A,$B$96,FLOWS!$E:$E,$T112,FLOWS!$D:$D,Y$100,FLOWS!$H:$H,"&lt;="&amp;$U$98)+SUM(SUMIFS(DEALS!$J:$J,DEALS!$A:$A,{"*REFUND*","*EXECUTED*"},DEALS!$G:$G,$B$96,DEALS!$E:$E,"&lt;="&amp;$U$98,DEALS!$K:$K,Y$100,DEALS!$M:$M,$T112,DEALS!$N:$N,"&lt;&gt;*RECEIVED*",DEALS!$N:$N,"&lt;&gt;*EXECUTED*"))+SUM(SUMIFS(DEALS!$R:$R,DEALS!$A:$A,{"*REFUND*","*EXECUTED*"},DEALS!$O:$O,$B$96,DEALS!$E:$E,"&lt;="&amp;$U$98,DEALS!$S:$S,Y$100,DEALS!$U:$U,$T112,DEALS!$V:$V,"&lt;&gt;*RECEIVED*",DEALS!$V:$V,"&lt;&gt;*EXECUTED*"))</f>
        <v>0</v>
      </c>
      <c r="Z112" s="32" cm="1">
        <f t="array" ref="Z112">SUMIFS(BALANCES!$C:$C,BALANCES!$A:$A,$B$96,BALANCES!$B:$B,$T112,BALANCES!$D:$D,Z$100)+SUMIFS(FLOWS!$C:$C,FLOWS!$A:$A,$B$96,FLOWS!$E:$E,$T112,FLOWS!$D:$D,Z$100,FLOWS!$H:$H,"&lt;="&amp;$U$98)+SUM(SUMIFS(DEALS!$J:$J,DEALS!$A:$A,{"*REFUND*","*EXECUTED*"},DEALS!$G:$G,$B$96,DEALS!$E:$E,"&lt;="&amp;$U$98,DEALS!$K:$K,Z$100,DEALS!$M:$M,$T112,DEALS!$N:$N,"&lt;&gt;*RECEIVED*",DEALS!$N:$N,"&lt;&gt;*EXECUTED*"))+SUM(SUMIFS(DEALS!$R:$R,DEALS!$A:$A,{"*REFUND*","*EXECUTED*"},DEALS!$O:$O,$B$96,DEALS!$E:$E,"&lt;="&amp;$U$98,DEALS!$S:$S,Z$100,DEALS!$U:$U,$T112,DEALS!$V:$V,"&lt;&gt;*RECEIVED*",DEALS!$V:$V,"&lt;&gt;*EXECUTED*"))</f>
        <v>0</v>
      </c>
      <c r="AA112" s="33">
        <f ca="1">U112*VLOOKUP(U$100,'FX RATES'!$E$1:$F$50,2,FALSE)+V112*VLOOKUP(V$100,'FX RATES'!$E$1:$F$50,2,FALSE)+W112*VLOOKUP(W$100,'FX RATES'!$E$1:$F$50,2,FALSE)+X112*VLOOKUP(X$100,'FX RATES'!$E$1:$F$50,2,FALSE)+Y112*VLOOKUP(Y$100,'FX RATES'!$E$1:$F$50,2,FALSE)+Z112*VLOOKUP(Z$100,'FX RATES'!$E$1:$F$50,2,FALSE)</f>
        <v>0</v>
      </c>
      <c r="AC112" s="139">
        <f t="shared" ca="1" si="39"/>
        <v>0</v>
      </c>
    </row>
    <row r="113" spans="2:29" ht="19" hidden="1">
      <c r="B113" s="28"/>
      <c r="C113" s="29" cm="1">
        <f t="array" ref="C113">SUMIFS(BALANCES!$C:$C,BALANCES!$A:$A,$B$96,BALANCES!$B:$B,$B113,BALANCES!$D:$D,C$100)+SUMIFS(FLOWS!$C:$C,FLOWS!$A:$A,$B$96,FLOWS!$E:$E,$B113,FLOWS!$D:$D,C$100,FLOWS!$H:$H,"&lt;"&amp;$C$98)+SUM(SUMIFS(DEALS!$J:$J,DEALS!$A:$A,{"*REFUND*","*EXECUTED*"},DEALS!$G:$G,$B$96,DEALS!$E:$E,"&lt;"&amp;$C$98,DEALS!$K:$K,C$100,DEALS!$M:$M,$B113,DEALS!$N:$N,"&lt;&gt;*RECEIVED*",DEALS!$N:$N,"&lt;&gt;*EXECUTED*"))+SUM(SUMIFS(DEALS!$R:$R,DEALS!$A:$A,{"*REFUND*","*EXECUTED*"},DEALS!$O:$O,$B$96,DEALS!$E:$E,"&lt;"&amp;$C$98,DEALS!$S:$S,C$100,DEALS!$U:$U,$B113,DEALS!$V:$V,"&lt;&gt;*RECEIVED*",DEALS!$V:$V,"&lt;&gt;*EXECUTED*"))</f>
        <v>0</v>
      </c>
      <c r="D113" s="29" cm="1">
        <f t="array" ref="D113">SUMIFS(BALANCES!$C:$C,BALANCES!$A:$A,$B$96,BALANCES!$B:$B,$B113,BALANCES!$D:$D,D$100)+SUMIFS(FLOWS!$C:$C,FLOWS!$A:$A,$B$96,FLOWS!$E:$E,$B113,FLOWS!$D:$D,D$100,FLOWS!$H:$H,"&lt;"&amp;$C$98)+SUM(SUMIFS(DEALS!$J:$J,DEALS!$A:$A,{"*REFUND*","*EXECUTED*"},DEALS!$G:$G,$B$96,DEALS!$E:$E,"&lt;"&amp;$C$98,DEALS!$K:$K,D$100,DEALS!$M:$M,$B113,DEALS!$N:$N,"&lt;&gt;*RECEIVED*",DEALS!$N:$N,"&lt;&gt;*EXECUTED*"))+SUM(SUMIFS(DEALS!$R:$R,DEALS!$A:$A,{"*REFUND*","*EXECUTED*"},DEALS!$O:$O,$B$96,DEALS!$E:$E,"&lt;"&amp;$C$98,DEALS!$S:$S,D$100,DEALS!$U:$U,$B113,DEALS!$V:$V,"&lt;&gt;*RECEIVED*",DEALS!$V:$V,"&lt;&gt;*EXECUTED*"))</f>
        <v>0</v>
      </c>
      <c r="E113" s="29" cm="1">
        <f t="array" ref="E113">SUMIFS(BALANCES!$C:$C,BALANCES!$A:$A,$B$96,BALANCES!$B:$B,$B113,BALANCES!$D:$D,E$100)+SUMIFS(FLOWS!$C:$C,FLOWS!$A:$A,$B$96,FLOWS!$E:$E,$B113,FLOWS!$D:$D,E$100,FLOWS!$H:$H,"&lt;"&amp;$C$98)+SUM(SUMIFS(DEALS!$J:$J,DEALS!$A:$A,{"*REFUND*","*EXECUTED*"},DEALS!$G:$G,$B$96,DEALS!$E:$E,"&lt;"&amp;$C$98,DEALS!$K:$K,E$100,DEALS!$M:$M,$B113,DEALS!$N:$N,"&lt;&gt;*RECEIVED*",DEALS!$N:$N,"&lt;&gt;*EXECUTED*"))+SUM(SUMIFS(DEALS!$R:$R,DEALS!$A:$A,{"*REFUND*","*EXECUTED*"},DEALS!$O:$O,$B$96,DEALS!$E:$E,"&lt;"&amp;$C$98,DEALS!$S:$S,E$100,DEALS!$U:$U,$B113,DEALS!$V:$V,"&lt;&gt;*RECEIVED*",DEALS!$V:$V,"&lt;&gt;*EXECUTED*"))</f>
        <v>0</v>
      </c>
      <c r="F113" s="29" cm="1">
        <f t="array" ref="F113">SUMIFS(BALANCES!$C:$C,BALANCES!$A:$A,$B$96,BALANCES!$B:$B,$B113,BALANCES!$D:$D,F$100)+SUMIFS(FLOWS!$C:$C,FLOWS!$A:$A,$B$96,FLOWS!$E:$E,$B113,FLOWS!$D:$D,F$100,FLOWS!$H:$H,"&lt;"&amp;$C$98)+SUM(SUMIFS(DEALS!$J:$J,DEALS!$A:$A,{"*REFUND*","*EXECUTED*"},DEALS!$G:$G,$B$96,DEALS!$E:$E,"&lt;"&amp;$C$98,DEALS!$K:$K,F$100,DEALS!$M:$M,$B113,DEALS!$N:$N,"&lt;&gt;*RECEIVED*",DEALS!$N:$N,"&lt;&gt;*EXECUTED*"))+SUM(SUMIFS(DEALS!$R:$R,DEALS!$A:$A,{"*REFUND*","*EXECUTED*"},DEALS!$O:$O,$B$96,DEALS!$E:$E,"&lt;"&amp;$C$98,DEALS!$S:$S,F$100,DEALS!$U:$U,$B113,DEALS!$V:$V,"&lt;&gt;*RECEIVED*",DEALS!$V:$V,"&lt;&gt;*EXECUTED*"))</f>
        <v>0</v>
      </c>
      <c r="G113" s="29" cm="1">
        <f t="array" ref="G113">SUMIFS(BALANCES!$C:$C,BALANCES!$A:$A,$B$96,BALANCES!$B:$B,$B113,BALANCES!$D:$D,G$100)+SUMIFS(FLOWS!$C:$C,FLOWS!$A:$A,$B$96,FLOWS!$E:$E,$B113,FLOWS!$D:$D,G$100,FLOWS!$H:$H,"&lt;"&amp;$C$98)+SUM(SUMIFS(DEALS!$J:$J,DEALS!$A:$A,{"*REFUND*","*EXECUTED*"},DEALS!$G:$G,$B$96,DEALS!$E:$E,"&lt;"&amp;$C$98,DEALS!$K:$K,G$100,DEALS!$M:$M,$B113,DEALS!$N:$N,"&lt;&gt;*RECEIVED*",DEALS!$N:$N,"&lt;&gt;*EXECUTED*"))+SUM(SUMIFS(DEALS!$R:$R,DEALS!$A:$A,{"*REFUND*","*EXECUTED*"},DEALS!$O:$O,$B$96,DEALS!$E:$E,"&lt;"&amp;$C$98,DEALS!$S:$S,G$100,DEALS!$U:$U,$B113,DEALS!$V:$V,"&lt;&gt;*RECEIVED*",DEALS!$V:$V,"&lt;&gt;*EXECUTED*"))</f>
        <v>0</v>
      </c>
      <c r="H113" s="29" cm="1">
        <f t="array" ref="H113">SUMIFS(BALANCES!$C:$C,BALANCES!$A:$A,$B$96,BALANCES!$B:$B,$B113,BALANCES!$D:$D,H$100)+SUMIFS(FLOWS!$C:$C,FLOWS!$A:$A,$B$96,FLOWS!$E:$E,$B113,FLOWS!$D:$D,H$100,FLOWS!$H:$H,"&lt;"&amp;$C$98)+SUM(SUMIFS(DEALS!$J:$J,DEALS!$A:$A,{"*REFUND*","*EXECUTED*"},DEALS!$G:$G,$B$96,DEALS!$E:$E,"&lt;"&amp;$C$98,DEALS!$K:$K,H$100,DEALS!$M:$M,$B113,DEALS!$N:$N,"&lt;&gt;*RECEIVED*",DEALS!$N:$N,"&lt;&gt;*EXECUTED*"))+SUM(SUMIFS(DEALS!$R:$R,DEALS!$A:$A,{"*REFUND*","*EXECUTED*"},DEALS!$O:$O,$B$96,DEALS!$E:$E,"&lt;"&amp;$C$98,DEALS!$S:$S,H$100,DEALS!$U:$U,$B113,DEALS!$V:$V,"&lt;&gt;*RECEIVED*",DEALS!$V:$V,"&lt;&gt;*EXECUTED*"))</f>
        <v>0</v>
      </c>
      <c r="I113" s="30">
        <f ca="1">C113*VLOOKUP(C$100,'FX RATES'!$E$1:$F$50,2,FALSE)+D113*VLOOKUP(D$100,'FX RATES'!$E$1:$F$50,2,FALSE)+E113*VLOOKUP(E$100,'FX RATES'!$E$1:$F$50,2,FALSE)+F113*VLOOKUP(F$100,'FX RATES'!$E$1:$F$50,2,FALSE)+G113*VLOOKUP(G$100,'FX RATES'!$E$1:$F$50,2,FALSE)+H113*VLOOKUP(H$100,'FX RATES'!$E$1:$F$50,2,FALSE)</f>
        <v>0</v>
      </c>
      <c r="K113" s="28">
        <f t="shared" si="37"/>
        <v>0</v>
      </c>
      <c r="L113" s="29" cm="1">
        <f t="array" ref="L113">SUMIFS(FLOWS!$C:$C,FLOWS!$A:$A,$B$96,FLOWS!$E:$E,$K113,FLOWS!$D:$D,L$100,FLOWS!$H:$H,"&gt;="&amp;$C$98,FLOWS!$H:$H,"&lt;="&amp;$U$98)+SUM(SUMIFS(DEALS!$J:$J,DEALS!$A:$A,{"*REFUND*","*EXECUTED*"},DEALS!$G:$G,$B$96,DEALS!$E:$E,"&gt;="&amp;$C$98,DEALS!$E:$E,"&lt;="&amp;$U$98,DEALS!$K:$K,L$100,DEALS!$M:$M,$K113,DEALS!$N:$N,"&lt;&gt;*RECEIVED*",DEALS!$N:$N,"&lt;&gt;*EXECUTED*"))+SUM(SUMIFS(DEALS!$R:$R,DEALS!$A:$A,{"*REFUND*","*EXECUTED*"},DEALS!$O:$O,$B$96,DEALS!$E:$E,"&gt;="&amp;$C$98,DEALS!$E:$E,"&lt;="&amp;$U$98,DEALS!$S:$S,L$100,DEALS!$U:$U,$K113,DEALS!$V:$V,"&lt;&gt;*RECEIVED*",DEALS!$V:$V,"&lt;&gt;*EXECUTED*"))</f>
        <v>0</v>
      </c>
      <c r="M113" s="29" cm="1">
        <f t="array" ref="M113">SUMIFS(FLOWS!$C:$C,FLOWS!$A:$A,$B$96,FLOWS!$E:$E,$K113,FLOWS!$D:$D,M$100,FLOWS!$H:$H,"&gt;="&amp;$C$98,FLOWS!$H:$H,"&lt;="&amp;$U$98)+SUM(SUMIFS(DEALS!$J:$J,DEALS!$A:$A,{"*REFUND*","*EXECUTED*"},DEALS!$G:$G,$B$96,DEALS!$E:$E,"&gt;="&amp;$C$98,DEALS!$E:$E,"&lt;="&amp;$U$98,DEALS!$K:$K,M$100,DEALS!$M:$M,$K113,DEALS!$N:$N,"&lt;&gt;*RECEIVED*",DEALS!$N:$N,"&lt;&gt;*EXECUTED*"))+SUM(SUMIFS(DEALS!$R:$R,DEALS!$A:$A,{"*REFUND*","*EXECUTED*"},DEALS!$O:$O,$B$96,DEALS!$E:$E,"&gt;="&amp;$C$98,DEALS!$E:$E,"&lt;="&amp;$U$98,DEALS!$S:$S,M$100,DEALS!$U:$U,$K113,DEALS!$V:$V,"&lt;&gt;*RECEIVED*",DEALS!$V:$V,"&lt;&gt;*EXECUTED*"))</f>
        <v>0</v>
      </c>
      <c r="N113" s="29" cm="1">
        <f t="array" ref="N113">SUMIFS(FLOWS!$C:$C,FLOWS!$A:$A,$B$96,FLOWS!$E:$E,$K113,FLOWS!$D:$D,N$100,FLOWS!$H:$H,"&gt;="&amp;$C$98,FLOWS!$H:$H,"&lt;="&amp;$U$98)+SUM(SUMIFS(DEALS!$J:$J,DEALS!$A:$A,{"*REFUND*","*EXECUTED*"},DEALS!$G:$G,$B$96,DEALS!$E:$E,"&gt;="&amp;$C$98,DEALS!$E:$E,"&lt;="&amp;$U$98,DEALS!$K:$K,N$100,DEALS!$M:$M,$K113,DEALS!$N:$N,"&lt;&gt;*RECEIVED*",DEALS!$N:$N,"&lt;&gt;*EXECUTED*"))+SUM(SUMIFS(DEALS!$R:$R,DEALS!$A:$A,{"*REFUND*","*EXECUTED*"},DEALS!$O:$O,$B$96,DEALS!$E:$E,"&gt;="&amp;$C$98,DEALS!$E:$E,"&lt;="&amp;$U$98,DEALS!$S:$S,N$100,DEALS!$U:$U,$K113,DEALS!$V:$V,"&lt;&gt;*RECEIVED*",DEALS!$V:$V,"&lt;&gt;*EXECUTED*"))</f>
        <v>0</v>
      </c>
      <c r="O113" s="29" cm="1">
        <f t="array" ref="O113">SUMIFS(FLOWS!$C:$C,FLOWS!$A:$A,$B$96,FLOWS!$E:$E,$K113,FLOWS!$D:$D,O$100,FLOWS!$H:$H,"&gt;="&amp;$C$98,FLOWS!$H:$H,"&lt;="&amp;$U$98)+SUM(SUMIFS(DEALS!$J:$J,DEALS!$A:$A,{"*REFUND*","*EXECUTED*"},DEALS!$G:$G,$B$96,DEALS!$E:$E,"&gt;="&amp;$C$98,DEALS!$E:$E,"&lt;="&amp;$U$98,DEALS!$K:$K,O$100,DEALS!$M:$M,$K113,DEALS!$N:$N,"&lt;&gt;*RECEIVED*",DEALS!$N:$N,"&lt;&gt;*EXECUTED*"))+SUM(SUMIFS(DEALS!$R:$R,DEALS!$A:$A,{"*REFUND*","*EXECUTED*"},DEALS!$O:$O,$B$96,DEALS!$E:$E,"&gt;="&amp;$C$98,DEALS!$E:$E,"&lt;="&amp;$U$98,DEALS!$S:$S,O$100,DEALS!$U:$U,$K113,DEALS!$V:$V,"&lt;&gt;*RECEIVED*",DEALS!$V:$V,"&lt;&gt;*EXECUTED*"))</f>
        <v>0</v>
      </c>
      <c r="P113" s="29" cm="1">
        <f t="array" ref="P113">SUMIFS(FLOWS!$C:$C,FLOWS!$A:$A,$B$96,FLOWS!$E:$E,$K113,FLOWS!$D:$D,P$100,FLOWS!$H:$H,"&gt;="&amp;$C$98,FLOWS!$H:$H,"&lt;="&amp;$U$98)+SUM(SUMIFS(DEALS!$J:$J,DEALS!$A:$A,{"*REFUND*","*EXECUTED*"},DEALS!$G:$G,$B$96,DEALS!$E:$E,"&gt;="&amp;$C$98,DEALS!$E:$E,"&lt;="&amp;$U$98,DEALS!$K:$K,P$100,DEALS!$M:$M,$K113,DEALS!$N:$N,"&lt;&gt;*RECEIVED*",DEALS!$N:$N,"&lt;&gt;*EXECUTED*"))+SUM(SUMIFS(DEALS!$R:$R,DEALS!$A:$A,{"*REFUND*","*EXECUTED*"},DEALS!$O:$O,$B$96,DEALS!$E:$E,"&gt;="&amp;$C$98,DEALS!$E:$E,"&lt;="&amp;$U$98,DEALS!$S:$S,P$100,DEALS!$U:$U,$K113,DEALS!$V:$V,"&lt;&gt;*RECEIVED*",DEALS!$V:$V,"&lt;&gt;*EXECUTED*"))</f>
        <v>0</v>
      </c>
      <c r="Q113" s="29" cm="1">
        <f t="array" ref="Q113">SUMIFS(FLOWS!$C:$C,FLOWS!$A:$A,$B$96,FLOWS!$E:$E,$K113,FLOWS!$D:$D,Q$100,FLOWS!$H:$H,"&gt;="&amp;$C$98,FLOWS!$H:$H,"&lt;="&amp;$U$98)+SUM(SUMIFS(DEALS!$J:$J,DEALS!$A:$A,{"*REFUND*","*EXECUTED*"},DEALS!$G:$G,$B$96,DEALS!$E:$E,"&gt;="&amp;$C$98,DEALS!$E:$E,"&lt;="&amp;$U$98,DEALS!$K:$K,Q$100,DEALS!$M:$M,$K113,DEALS!$N:$N,"&lt;&gt;*RECEIVED*",DEALS!$N:$N,"&lt;&gt;*EXECUTED*"))+SUM(SUMIFS(DEALS!$R:$R,DEALS!$A:$A,{"*REFUND*","*EXECUTED*"},DEALS!$O:$O,$B$96,DEALS!$E:$E,"&gt;="&amp;$C$98,DEALS!$E:$E,"&lt;="&amp;$U$98,DEALS!$S:$S,Q$100,DEALS!$U:$U,$K113,DEALS!$V:$V,"&lt;&gt;*RECEIVED*",DEALS!$V:$V,"&lt;&gt;*EXECUTED*"))</f>
        <v>0</v>
      </c>
      <c r="R113" s="30">
        <f ca="1">L113*VLOOKUP(L$100,'FX RATES'!$E$1:$F$50,2,FALSE)+M113*VLOOKUP(M$100,'FX RATES'!$E$1:$F$50,2,FALSE)+N113*VLOOKUP(N$100,'FX RATES'!$E$1:$F$50,2,FALSE)+O113*VLOOKUP(O$100,'FX RATES'!$E$1:$F$50,2,FALSE)+P113*VLOOKUP(P$100,'FX RATES'!$E$1:$F$50,2,FALSE)+Q113*VLOOKUP(Q$100,'FX RATES'!$E$1:$F$50,2,FALSE)</f>
        <v>0</v>
      </c>
      <c r="T113" s="28">
        <f t="shared" si="38"/>
        <v>0</v>
      </c>
      <c r="U113" s="29" cm="1">
        <f t="array" ref="U113">SUMIFS(BALANCES!$C:$C,BALANCES!$A:$A,$B$96,BALANCES!$B:$B,$T113,BALANCES!$D:$D,U$100)+SUMIFS(FLOWS!$C:$C,FLOWS!$A:$A,$B$96,FLOWS!$E:$E,$T113,FLOWS!$D:$D,U$100,FLOWS!$H:$H,"&lt;="&amp;$U$98)+SUM(SUMIFS(DEALS!$J:$J,DEALS!$A:$A,{"*REFUND*","*EXECUTED*"},DEALS!$G:$G,$B$96,DEALS!$E:$E,"&lt;="&amp;$U$98,DEALS!$K:$K,U$100,DEALS!$M:$M,$T113,DEALS!$N:$N,"&lt;&gt;*RECEIVED*",DEALS!$N:$N,"&lt;&gt;*EXECUTED*"))+SUM(SUMIFS(DEALS!$R:$R,DEALS!$A:$A,{"*REFUND*","*EXECUTED*"},DEALS!$O:$O,$B$96,DEALS!$E:$E,"&lt;="&amp;$U$98,DEALS!$S:$S,U$100,DEALS!$U:$U,$T113,DEALS!$V:$V,"&lt;&gt;*RECEIVED*",DEALS!$V:$V,"&lt;&gt;*EXECUTED*"))</f>
        <v>0</v>
      </c>
      <c r="V113" s="29" cm="1">
        <f t="array" ref="V113">SUMIFS(BALANCES!$C:$C,BALANCES!$A:$A,$B$96,BALANCES!$B:$B,$T113,BALANCES!$D:$D,V$100)+SUMIFS(FLOWS!$C:$C,FLOWS!$A:$A,$B$96,FLOWS!$E:$E,$T113,FLOWS!$D:$D,V$100,FLOWS!$H:$H,"&lt;="&amp;$U$98)+SUM(SUMIFS(DEALS!$J:$J,DEALS!$A:$A,{"*REFUND*","*EXECUTED*"},DEALS!$G:$G,$B$96,DEALS!$E:$E,"&lt;="&amp;$U$98,DEALS!$K:$K,V$100,DEALS!$M:$M,$T113,DEALS!$N:$N,"&lt;&gt;*RECEIVED*",DEALS!$N:$N,"&lt;&gt;*EXECUTED*"))+SUM(SUMIFS(DEALS!$R:$R,DEALS!$A:$A,{"*REFUND*","*EXECUTED*"},DEALS!$O:$O,$B$96,DEALS!$E:$E,"&lt;="&amp;$U$98,DEALS!$S:$S,V$100,DEALS!$U:$U,$T113,DEALS!$V:$V,"&lt;&gt;*RECEIVED*",DEALS!$V:$V,"&lt;&gt;*EXECUTED*"))</f>
        <v>0</v>
      </c>
      <c r="W113" s="29" cm="1">
        <f t="array" ref="W113">SUMIFS(BALANCES!$C:$C,BALANCES!$A:$A,$B$96,BALANCES!$B:$B,$T113,BALANCES!$D:$D,W$100)+SUMIFS(FLOWS!$C:$C,FLOWS!$A:$A,$B$96,FLOWS!$E:$E,$T113,FLOWS!$D:$D,W$100,FLOWS!$H:$H,"&lt;="&amp;$U$98)+SUM(SUMIFS(DEALS!$J:$J,DEALS!$A:$A,{"*REFUND*","*EXECUTED*"},DEALS!$G:$G,$B$96,DEALS!$E:$E,"&lt;="&amp;$U$98,DEALS!$K:$K,W$100,DEALS!$M:$M,$T113,DEALS!$N:$N,"&lt;&gt;*RECEIVED*",DEALS!$N:$N,"&lt;&gt;*EXECUTED*"))+SUM(SUMIFS(DEALS!$R:$R,DEALS!$A:$A,{"*REFUND*","*EXECUTED*"},DEALS!$O:$O,$B$96,DEALS!$E:$E,"&lt;="&amp;$U$98,DEALS!$S:$S,W$100,DEALS!$U:$U,$T113,DEALS!$V:$V,"&lt;&gt;*RECEIVED*",DEALS!$V:$V,"&lt;&gt;*EXECUTED*"))</f>
        <v>0</v>
      </c>
      <c r="X113" s="29" cm="1">
        <f t="array" ref="X113">SUMIFS(BALANCES!$C:$C,BALANCES!$A:$A,$B$96,BALANCES!$B:$B,$T113,BALANCES!$D:$D,X$100)+SUMIFS(FLOWS!$C:$C,FLOWS!$A:$A,$B$96,FLOWS!$E:$E,$T113,FLOWS!$D:$D,X$100,FLOWS!$H:$H,"&lt;="&amp;$U$98)+SUM(SUMIFS(DEALS!$J:$J,DEALS!$A:$A,{"*REFUND*","*EXECUTED*"},DEALS!$G:$G,$B$96,DEALS!$E:$E,"&lt;="&amp;$U$98,DEALS!$K:$K,X$100,DEALS!$M:$M,$T113,DEALS!$N:$N,"&lt;&gt;*RECEIVED*",DEALS!$N:$N,"&lt;&gt;*EXECUTED*"))+SUM(SUMIFS(DEALS!$R:$R,DEALS!$A:$A,{"*REFUND*","*EXECUTED*"},DEALS!$O:$O,$B$96,DEALS!$E:$E,"&lt;="&amp;$U$98,DEALS!$S:$S,X$100,DEALS!$U:$U,$T113,DEALS!$V:$V,"&lt;&gt;*RECEIVED*",DEALS!$V:$V,"&lt;&gt;*EXECUTED*"))</f>
        <v>0</v>
      </c>
      <c r="Y113" s="29" cm="1">
        <f t="array" ref="Y113">SUMIFS(BALANCES!$C:$C,BALANCES!$A:$A,$B$96,BALANCES!$B:$B,$T113,BALANCES!$D:$D,Y$100)+SUMIFS(FLOWS!$C:$C,FLOWS!$A:$A,$B$96,FLOWS!$E:$E,$T113,FLOWS!$D:$D,Y$100,FLOWS!$H:$H,"&lt;="&amp;$U$98)+SUM(SUMIFS(DEALS!$J:$J,DEALS!$A:$A,{"*REFUND*","*EXECUTED*"},DEALS!$G:$G,$B$96,DEALS!$E:$E,"&lt;="&amp;$U$98,DEALS!$K:$K,Y$100,DEALS!$M:$M,$T113,DEALS!$N:$N,"&lt;&gt;*RECEIVED*",DEALS!$N:$N,"&lt;&gt;*EXECUTED*"))+SUM(SUMIFS(DEALS!$R:$R,DEALS!$A:$A,{"*REFUND*","*EXECUTED*"},DEALS!$O:$O,$B$96,DEALS!$E:$E,"&lt;="&amp;$U$98,DEALS!$S:$S,Y$100,DEALS!$U:$U,$T113,DEALS!$V:$V,"&lt;&gt;*RECEIVED*",DEALS!$V:$V,"&lt;&gt;*EXECUTED*"))</f>
        <v>0</v>
      </c>
      <c r="Z113" s="29" cm="1">
        <f t="array" ref="Z113">SUMIFS(BALANCES!$C:$C,BALANCES!$A:$A,$B$96,BALANCES!$B:$B,$T113,BALANCES!$D:$D,Z$100)+SUMIFS(FLOWS!$C:$C,FLOWS!$A:$A,$B$96,FLOWS!$E:$E,$T113,FLOWS!$D:$D,Z$100,FLOWS!$H:$H,"&lt;="&amp;$U$98)+SUM(SUMIFS(DEALS!$J:$J,DEALS!$A:$A,{"*REFUND*","*EXECUTED*"},DEALS!$G:$G,$B$96,DEALS!$E:$E,"&lt;="&amp;$U$98,DEALS!$K:$K,Z$100,DEALS!$M:$M,$T113,DEALS!$N:$N,"&lt;&gt;*RECEIVED*",DEALS!$N:$N,"&lt;&gt;*EXECUTED*"))+SUM(SUMIFS(DEALS!$R:$R,DEALS!$A:$A,{"*REFUND*","*EXECUTED*"},DEALS!$O:$O,$B$96,DEALS!$E:$E,"&lt;="&amp;$U$98,DEALS!$S:$S,Z$100,DEALS!$U:$U,$T113,DEALS!$V:$V,"&lt;&gt;*RECEIVED*",DEALS!$V:$V,"&lt;&gt;*EXECUTED*"))</f>
        <v>0</v>
      </c>
      <c r="AA113" s="30">
        <f ca="1">U113*VLOOKUP(U$100,'FX RATES'!$E$1:$F$50,2,FALSE)+V113*VLOOKUP(V$100,'FX RATES'!$E$1:$F$50,2,FALSE)+W113*VLOOKUP(W$100,'FX RATES'!$E$1:$F$50,2,FALSE)+X113*VLOOKUP(X$100,'FX RATES'!$E$1:$F$50,2,FALSE)+Y113*VLOOKUP(Y$100,'FX RATES'!$E$1:$F$50,2,FALSE)+Z113*VLOOKUP(Z$100,'FX RATES'!$E$1:$F$50,2,FALSE)</f>
        <v>0</v>
      </c>
      <c r="AC113" s="139">
        <f t="shared" ca="1" si="39"/>
        <v>0</v>
      </c>
    </row>
    <row r="114" spans="2:29" ht="19" hidden="1">
      <c r="B114" s="31"/>
      <c r="C114" s="32" cm="1">
        <f t="array" ref="C114">SUMIFS(BALANCES!$C:$C,BALANCES!$A:$A,$B$96,BALANCES!$B:$B,$B114,BALANCES!$D:$D,C$100)+SUMIFS(FLOWS!$C:$C,FLOWS!$A:$A,$B$96,FLOWS!$E:$E,$B114,FLOWS!$D:$D,C$100,FLOWS!$H:$H,"&lt;"&amp;$C$98)+SUM(SUMIFS(DEALS!$J:$J,DEALS!$A:$A,{"*REFUND*","*EXECUTED*"},DEALS!$G:$G,$B$96,DEALS!$E:$E,"&lt;"&amp;$C$98,DEALS!$K:$K,C$100,DEALS!$M:$M,$B114,DEALS!$N:$N,"&lt;&gt;*RECEIVED*",DEALS!$N:$N,"&lt;&gt;*EXECUTED*"))+SUM(SUMIFS(DEALS!$R:$R,DEALS!$A:$A,{"*REFUND*","*EXECUTED*"},DEALS!$O:$O,$B$96,DEALS!$E:$E,"&lt;"&amp;$C$98,DEALS!$S:$S,C$100,DEALS!$U:$U,$B114,DEALS!$V:$V,"&lt;&gt;*RECEIVED*",DEALS!$V:$V,"&lt;&gt;*EXECUTED*"))</f>
        <v>0</v>
      </c>
      <c r="D114" s="32" cm="1">
        <f t="array" ref="D114">SUMIFS(BALANCES!$C:$C,BALANCES!$A:$A,$B$96,BALANCES!$B:$B,$B114,BALANCES!$D:$D,D$100)+SUMIFS(FLOWS!$C:$C,FLOWS!$A:$A,$B$96,FLOWS!$E:$E,$B114,FLOWS!$D:$D,D$100,FLOWS!$H:$H,"&lt;"&amp;$C$98)+SUM(SUMIFS(DEALS!$J:$J,DEALS!$A:$A,{"*REFUND*","*EXECUTED*"},DEALS!$G:$G,$B$96,DEALS!$E:$E,"&lt;"&amp;$C$98,DEALS!$K:$K,D$100,DEALS!$M:$M,$B114,DEALS!$N:$N,"&lt;&gt;*RECEIVED*",DEALS!$N:$N,"&lt;&gt;*EXECUTED*"))+SUM(SUMIFS(DEALS!$R:$R,DEALS!$A:$A,{"*REFUND*","*EXECUTED*"},DEALS!$O:$O,$B$96,DEALS!$E:$E,"&lt;"&amp;$C$98,DEALS!$S:$S,D$100,DEALS!$U:$U,$B114,DEALS!$V:$V,"&lt;&gt;*RECEIVED*",DEALS!$V:$V,"&lt;&gt;*EXECUTED*"))</f>
        <v>0</v>
      </c>
      <c r="E114" s="32" cm="1">
        <f t="array" ref="E114">SUMIFS(BALANCES!$C:$C,BALANCES!$A:$A,$B$96,BALANCES!$B:$B,$B114,BALANCES!$D:$D,E$100)+SUMIFS(FLOWS!$C:$C,FLOWS!$A:$A,$B$96,FLOWS!$E:$E,$B114,FLOWS!$D:$D,E$100,FLOWS!$H:$H,"&lt;"&amp;$C$98)+SUM(SUMIFS(DEALS!$J:$J,DEALS!$A:$A,{"*REFUND*","*EXECUTED*"},DEALS!$G:$G,$B$96,DEALS!$E:$E,"&lt;"&amp;$C$98,DEALS!$K:$K,E$100,DEALS!$M:$M,$B114,DEALS!$N:$N,"&lt;&gt;*RECEIVED*",DEALS!$N:$N,"&lt;&gt;*EXECUTED*"))+SUM(SUMIFS(DEALS!$R:$R,DEALS!$A:$A,{"*REFUND*","*EXECUTED*"},DEALS!$O:$O,$B$96,DEALS!$E:$E,"&lt;"&amp;$C$98,DEALS!$S:$S,E$100,DEALS!$U:$U,$B114,DEALS!$V:$V,"&lt;&gt;*RECEIVED*",DEALS!$V:$V,"&lt;&gt;*EXECUTED*"))</f>
        <v>0</v>
      </c>
      <c r="F114" s="32" cm="1">
        <f t="array" ref="F114">SUMIFS(BALANCES!$C:$C,BALANCES!$A:$A,$B$96,BALANCES!$B:$B,$B114,BALANCES!$D:$D,F$100)+SUMIFS(FLOWS!$C:$C,FLOWS!$A:$A,$B$96,FLOWS!$E:$E,$B114,FLOWS!$D:$D,F$100,FLOWS!$H:$H,"&lt;"&amp;$C$98)+SUM(SUMIFS(DEALS!$J:$J,DEALS!$A:$A,{"*REFUND*","*EXECUTED*"},DEALS!$G:$G,$B$96,DEALS!$E:$E,"&lt;"&amp;$C$98,DEALS!$K:$K,F$100,DEALS!$M:$M,$B114,DEALS!$N:$N,"&lt;&gt;*RECEIVED*",DEALS!$N:$N,"&lt;&gt;*EXECUTED*"))+SUM(SUMIFS(DEALS!$R:$R,DEALS!$A:$A,{"*REFUND*","*EXECUTED*"},DEALS!$O:$O,$B$96,DEALS!$E:$E,"&lt;"&amp;$C$98,DEALS!$S:$S,F$100,DEALS!$U:$U,$B114,DEALS!$V:$V,"&lt;&gt;*RECEIVED*",DEALS!$V:$V,"&lt;&gt;*EXECUTED*"))</f>
        <v>0</v>
      </c>
      <c r="G114" s="32" cm="1">
        <f t="array" ref="G114">SUMIFS(BALANCES!$C:$C,BALANCES!$A:$A,$B$96,BALANCES!$B:$B,$B114,BALANCES!$D:$D,G$100)+SUMIFS(FLOWS!$C:$C,FLOWS!$A:$A,$B$96,FLOWS!$E:$E,$B114,FLOWS!$D:$D,G$100,FLOWS!$H:$H,"&lt;"&amp;$C$98)+SUM(SUMIFS(DEALS!$J:$J,DEALS!$A:$A,{"*REFUND*","*EXECUTED*"},DEALS!$G:$G,$B$96,DEALS!$E:$E,"&lt;"&amp;$C$98,DEALS!$K:$K,G$100,DEALS!$M:$M,$B114,DEALS!$N:$N,"&lt;&gt;*RECEIVED*",DEALS!$N:$N,"&lt;&gt;*EXECUTED*"))+SUM(SUMIFS(DEALS!$R:$R,DEALS!$A:$A,{"*REFUND*","*EXECUTED*"},DEALS!$O:$O,$B$96,DEALS!$E:$E,"&lt;"&amp;$C$98,DEALS!$S:$S,G$100,DEALS!$U:$U,$B114,DEALS!$V:$V,"&lt;&gt;*RECEIVED*",DEALS!$V:$V,"&lt;&gt;*EXECUTED*"))</f>
        <v>0</v>
      </c>
      <c r="H114" s="32" cm="1">
        <f t="array" ref="H114">SUMIFS(BALANCES!$C:$C,BALANCES!$A:$A,$B$96,BALANCES!$B:$B,$B114,BALANCES!$D:$D,H$100)+SUMIFS(FLOWS!$C:$C,FLOWS!$A:$A,$B$96,FLOWS!$E:$E,$B114,FLOWS!$D:$D,H$100,FLOWS!$H:$H,"&lt;"&amp;$C$98)+SUM(SUMIFS(DEALS!$J:$J,DEALS!$A:$A,{"*REFUND*","*EXECUTED*"},DEALS!$G:$G,$B$96,DEALS!$E:$E,"&lt;"&amp;$C$98,DEALS!$K:$K,H$100,DEALS!$M:$M,$B114,DEALS!$N:$N,"&lt;&gt;*RECEIVED*",DEALS!$N:$N,"&lt;&gt;*EXECUTED*"))+SUM(SUMIFS(DEALS!$R:$R,DEALS!$A:$A,{"*REFUND*","*EXECUTED*"},DEALS!$O:$O,$B$96,DEALS!$E:$E,"&lt;"&amp;$C$98,DEALS!$S:$S,H$100,DEALS!$U:$U,$B114,DEALS!$V:$V,"&lt;&gt;*RECEIVED*",DEALS!$V:$V,"&lt;&gt;*EXECUTED*"))</f>
        <v>0</v>
      </c>
      <c r="I114" s="33">
        <f ca="1">C114*VLOOKUP(C$100,'FX RATES'!$E$1:$F$50,2,FALSE)+D114*VLOOKUP(D$100,'FX RATES'!$E$1:$F$50,2,FALSE)+E114*VLOOKUP(E$100,'FX RATES'!$E$1:$F$50,2,FALSE)+F114*VLOOKUP(F$100,'FX RATES'!$E$1:$F$50,2,FALSE)+G114*VLOOKUP(G$100,'FX RATES'!$E$1:$F$50,2,FALSE)+H114*VLOOKUP(H$100,'FX RATES'!$E$1:$F$50,2,FALSE)</f>
        <v>0</v>
      </c>
      <c r="J114" s="18"/>
      <c r="K114" s="31">
        <f>B114</f>
        <v>0</v>
      </c>
      <c r="L114" s="32" cm="1">
        <f t="array" ref="L114">SUMIFS(FLOWS!$C:$C,FLOWS!$A:$A,$B$96,FLOWS!$E:$E,$K114,FLOWS!$D:$D,L$100,FLOWS!$H:$H,"&gt;="&amp;$C$98,FLOWS!$H:$H,"&lt;="&amp;$U$98)+SUM(SUMIFS(DEALS!$J:$J,DEALS!$A:$A,{"*REFUND*","*EXECUTED*"},DEALS!$G:$G,$B$96,DEALS!$E:$E,"&gt;="&amp;$C$98,DEALS!$E:$E,"&lt;="&amp;$U$98,DEALS!$K:$K,L$100,DEALS!$M:$M,$K114,DEALS!$N:$N,"&lt;&gt;*RECEIVED*",DEALS!$N:$N,"&lt;&gt;*EXECUTED*"))+SUM(SUMIFS(DEALS!$R:$R,DEALS!$A:$A,{"*REFUND*","*EXECUTED*"},DEALS!$O:$O,$B$96,DEALS!$E:$E,"&gt;="&amp;$C$98,DEALS!$E:$E,"&lt;="&amp;$U$98,DEALS!$S:$S,L$100,DEALS!$U:$U,$K114,DEALS!$V:$V,"&lt;&gt;*RECEIVED*",DEALS!$V:$V,"&lt;&gt;*EXECUTED*"))</f>
        <v>0</v>
      </c>
      <c r="M114" s="32" cm="1">
        <f t="array" ref="M114">SUMIFS(FLOWS!$C:$C,FLOWS!$A:$A,$B$96,FLOWS!$E:$E,$K114,FLOWS!$D:$D,M$100,FLOWS!$H:$H,"&gt;="&amp;$C$98,FLOWS!$H:$H,"&lt;="&amp;$U$98)+SUM(SUMIFS(DEALS!$J:$J,DEALS!$A:$A,{"*REFUND*","*EXECUTED*"},DEALS!$G:$G,$B$96,DEALS!$E:$E,"&gt;="&amp;$C$98,DEALS!$E:$E,"&lt;="&amp;$U$98,DEALS!$K:$K,M$100,DEALS!$M:$M,$K114,DEALS!$N:$N,"&lt;&gt;*RECEIVED*",DEALS!$N:$N,"&lt;&gt;*EXECUTED*"))+SUM(SUMIFS(DEALS!$R:$R,DEALS!$A:$A,{"*REFUND*","*EXECUTED*"},DEALS!$O:$O,$B$96,DEALS!$E:$E,"&gt;="&amp;$C$98,DEALS!$E:$E,"&lt;="&amp;$U$98,DEALS!$S:$S,M$100,DEALS!$U:$U,$K114,DEALS!$V:$V,"&lt;&gt;*RECEIVED*",DEALS!$V:$V,"&lt;&gt;*EXECUTED*"))</f>
        <v>0</v>
      </c>
      <c r="N114" s="32" cm="1">
        <f t="array" ref="N114">SUMIFS(FLOWS!$C:$C,FLOWS!$A:$A,$B$96,FLOWS!$E:$E,$K114,FLOWS!$D:$D,N$100,FLOWS!$H:$H,"&gt;="&amp;$C$98,FLOWS!$H:$H,"&lt;="&amp;$U$98)+SUM(SUMIFS(DEALS!$J:$J,DEALS!$A:$A,{"*REFUND*","*EXECUTED*"},DEALS!$G:$G,$B$96,DEALS!$E:$E,"&gt;="&amp;$C$98,DEALS!$E:$E,"&lt;="&amp;$U$98,DEALS!$K:$K,N$100,DEALS!$M:$M,$K114,DEALS!$N:$N,"&lt;&gt;*RECEIVED*",DEALS!$N:$N,"&lt;&gt;*EXECUTED*"))+SUM(SUMIFS(DEALS!$R:$R,DEALS!$A:$A,{"*REFUND*","*EXECUTED*"},DEALS!$O:$O,$B$96,DEALS!$E:$E,"&gt;="&amp;$C$98,DEALS!$E:$E,"&lt;="&amp;$U$98,DEALS!$S:$S,N$100,DEALS!$U:$U,$K114,DEALS!$V:$V,"&lt;&gt;*RECEIVED*",DEALS!$V:$V,"&lt;&gt;*EXECUTED*"))</f>
        <v>0</v>
      </c>
      <c r="O114" s="32" cm="1">
        <f t="array" ref="O114">SUMIFS(FLOWS!$C:$C,FLOWS!$A:$A,$B$96,FLOWS!$E:$E,$K114,FLOWS!$D:$D,O$100,FLOWS!$H:$H,"&gt;="&amp;$C$98,FLOWS!$H:$H,"&lt;="&amp;$U$98)+SUM(SUMIFS(DEALS!$J:$J,DEALS!$A:$A,{"*REFUND*","*EXECUTED*"},DEALS!$G:$G,$B$96,DEALS!$E:$E,"&gt;="&amp;$C$98,DEALS!$E:$E,"&lt;="&amp;$U$98,DEALS!$K:$K,O$100,DEALS!$M:$M,$K114,DEALS!$N:$N,"&lt;&gt;*RECEIVED*",DEALS!$N:$N,"&lt;&gt;*EXECUTED*"))+SUM(SUMIFS(DEALS!$R:$R,DEALS!$A:$A,{"*REFUND*","*EXECUTED*"},DEALS!$O:$O,$B$96,DEALS!$E:$E,"&gt;="&amp;$C$98,DEALS!$E:$E,"&lt;="&amp;$U$98,DEALS!$S:$S,O$100,DEALS!$U:$U,$K114,DEALS!$V:$V,"&lt;&gt;*RECEIVED*",DEALS!$V:$V,"&lt;&gt;*EXECUTED*"))</f>
        <v>0</v>
      </c>
      <c r="P114" s="32" cm="1">
        <f t="array" ref="P114">SUMIFS(FLOWS!$C:$C,FLOWS!$A:$A,$B$96,FLOWS!$E:$E,$K114,FLOWS!$D:$D,P$100,FLOWS!$H:$H,"&gt;="&amp;$C$98,FLOWS!$H:$H,"&lt;="&amp;$U$98)+SUM(SUMIFS(DEALS!$J:$J,DEALS!$A:$A,{"*REFUND*","*EXECUTED*"},DEALS!$G:$G,$B$96,DEALS!$E:$E,"&gt;="&amp;$C$98,DEALS!$E:$E,"&lt;="&amp;$U$98,DEALS!$K:$K,P$100,DEALS!$M:$M,$K114,DEALS!$N:$N,"&lt;&gt;*RECEIVED*",DEALS!$N:$N,"&lt;&gt;*EXECUTED*"))+SUM(SUMIFS(DEALS!$R:$R,DEALS!$A:$A,{"*REFUND*","*EXECUTED*"},DEALS!$O:$O,$B$96,DEALS!$E:$E,"&gt;="&amp;$C$98,DEALS!$E:$E,"&lt;="&amp;$U$98,DEALS!$S:$S,P$100,DEALS!$U:$U,$K114,DEALS!$V:$V,"&lt;&gt;*RECEIVED*",DEALS!$V:$V,"&lt;&gt;*EXECUTED*"))</f>
        <v>0</v>
      </c>
      <c r="Q114" s="32" cm="1">
        <f t="array" ref="Q114">SUMIFS(FLOWS!$C:$C,FLOWS!$A:$A,$B$96,FLOWS!$E:$E,$K114,FLOWS!$D:$D,Q$100,FLOWS!$H:$H,"&gt;="&amp;$C$98,FLOWS!$H:$H,"&lt;="&amp;$U$98)+SUM(SUMIFS(DEALS!$J:$J,DEALS!$A:$A,{"*REFUND*","*EXECUTED*"},DEALS!$G:$G,$B$96,DEALS!$E:$E,"&gt;="&amp;$C$98,DEALS!$E:$E,"&lt;="&amp;$U$98,DEALS!$K:$K,Q$100,DEALS!$M:$M,$K114,DEALS!$N:$N,"&lt;&gt;*RECEIVED*",DEALS!$N:$N,"&lt;&gt;*EXECUTED*"))+SUM(SUMIFS(DEALS!$R:$R,DEALS!$A:$A,{"*REFUND*","*EXECUTED*"},DEALS!$O:$O,$B$96,DEALS!$E:$E,"&gt;="&amp;$C$98,DEALS!$E:$E,"&lt;="&amp;$U$98,DEALS!$S:$S,Q$100,DEALS!$U:$U,$K114,DEALS!$V:$V,"&lt;&gt;*RECEIVED*",DEALS!$V:$V,"&lt;&gt;*EXECUTED*"))</f>
        <v>0</v>
      </c>
      <c r="R114" s="33">
        <f ca="1">L114*VLOOKUP(L$100,'FX RATES'!$E$1:$F$50,2,FALSE)+M114*VLOOKUP(M$100,'FX RATES'!$E$1:$F$50,2,FALSE)+N114*VLOOKUP(N$100,'FX RATES'!$E$1:$F$50,2,FALSE)+O114*VLOOKUP(O$100,'FX RATES'!$E$1:$F$50,2,FALSE)+P114*VLOOKUP(P$100,'FX RATES'!$E$1:$F$50,2,FALSE)+Q114*VLOOKUP(Q$100,'FX RATES'!$E$1:$F$50,2,FALSE)</f>
        <v>0</v>
      </c>
      <c r="T114" s="31">
        <f>B114</f>
        <v>0</v>
      </c>
      <c r="U114" s="32" cm="1">
        <f t="array" ref="U114">SUMIFS(BALANCES!$C:$C,BALANCES!$A:$A,$B$96,BALANCES!$B:$B,$T114,BALANCES!$D:$D,U$100)+SUMIFS(FLOWS!$C:$C,FLOWS!$A:$A,$B$96,FLOWS!$E:$E,$T114,FLOWS!$D:$D,U$100,FLOWS!$H:$H,"&lt;="&amp;$U$98)+SUM(SUMIFS(DEALS!$J:$J,DEALS!$A:$A,{"*REFUND*","*EXECUTED*"},DEALS!$G:$G,$B$96,DEALS!$E:$E,"&lt;="&amp;$U$98,DEALS!$K:$K,U$100,DEALS!$M:$M,$T114,DEALS!$N:$N,"&lt;&gt;*RECEIVED*",DEALS!$N:$N,"&lt;&gt;*EXECUTED*"))+SUM(SUMIFS(DEALS!$R:$R,DEALS!$A:$A,{"*REFUND*","*EXECUTED*"},DEALS!$O:$O,$B$96,DEALS!$E:$E,"&lt;="&amp;$U$98,DEALS!$S:$S,U$100,DEALS!$U:$U,$T114,DEALS!$V:$V,"&lt;&gt;*RECEIVED*",DEALS!$V:$V,"&lt;&gt;*EXECUTED*"))</f>
        <v>0</v>
      </c>
      <c r="V114" s="32" cm="1">
        <f t="array" ref="V114">SUMIFS(BALANCES!$C:$C,BALANCES!$A:$A,$B$96,BALANCES!$B:$B,$T114,BALANCES!$D:$D,V$100)+SUMIFS(FLOWS!$C:$C,FLOWS!$A:$A,$B$96,FLOWS!$E:$E,$T114,FLOWS!$D:$D,V$100,FLOWS!$H:$H,"&lt;="&amp;$U$98)+SUM(SUMIFS(DEALS!$J:$J,DEALS!$A:$A,{"*REFUND*","*EXECUTED*"},DEALS!$G:$G,$B$96,DEALS!$E:$E,"&lt;="&amp;$U$98,DEALS!$K:$K,V$100,DEALS!$M:$M,$T114,DEALS!$N:$N,"&lt;&gt;*RECEIVED*",DEALS!$N:$N,"&lt;&gt;*EXECUTED*"))+SUM(SUMIFS(DEALS!$R:$R,DEALS!$A:$A,{"*REFUND*","*EXECUTED*"},DEALS!$O:$O,$B$96,DEALS!$E:$E,"&lt;="&amp;$U$98,DEALS!$S:$S,V$100,DEALS!$U:$U,$T114,DEALS!$V:$V,"&lt;&gt;*RECEIVED*",DEALS!$V:$V,"&lt;&gt;*EXECUTED*"))</f>
        <v>0</v>
      </c>
      <c r="W114" s="32" cm="1">
        <f t="array" ref="W114">SUMIFS(BALANCES!$C:$C,BALANCES!$A:$A,$B$96,BALANCES!$B:$B,$T114,BALANCES!$D:$D,W$100)+SUMIFS(FLOWS!$C:$C,FLOWS!$A:$A,$B$96,FLOWS!$E:$E,$T114,FLOWS!$D:$D,W$100,FLOWS!$H:$H,"&lt;="&amp;$U$98)+SUM(SUMIFS(DEALS!$J:$J,DEALS!$A:$A,{"*REFUND*","*EXECUTED*"},DEALS!$G:$G,$B$96,DEALS!$E:$E,"&lt;="&amp;$U$98,DEALS!$K:$K,W$100,DEALS!$M:$M,$T114,DEALS!$N:$N,"&lt;&gt;*RECEIVED*",DEALS!$N:$N,"&lt;&gt;*EXECUTED*"))+SUM(SUMIFS(DEALS!$R:$R,DEALS!$A:$A,{"*REFUND*","*EXECUTED*"},DEALS!$O:$O,$B$96,DEALS!$E:$E,"&lt;="&amp;$U$98,DEALS!$S:$S,W$100,DEALS!$U:$U,$T114,DEALS!$V:$V,"&lt;&gt;*RECEIVED*",DEALS!$V:$V,"&lt;&gt;*EXECUTED*"))</f>
        <v>0</v>
      </c>
      <c r="X114" s="32" cm="1">
        <f t="array" ref="X114">SUMIFS(BALANCES!$C:$C,BALANCES!$A:$A,$B$96,BALANCES!$B:$B,$T114,BALANCES!$D:$D,X$100)+SUMIFS(FLOWS!$C:$C,FLOWS!$A:$A,$B$96,FLOWS!$E:$E,$T114,FLOWS!$D:$D,X$100,FLOWS!$H:$H,"&lt;="&amp;$U$98)+SUM(SUMIFS(DEALS!$J:$J,DEALS!$A:$A,{"*REFUND*","*EXECUTED*"},DEALS!$G:$G,$B$96,DEALS!$E:$E,"&lt;="&amp;$U$98,DEALS!$K:$K,X$100,DEALS!$M:$M,$T114,DEALS!$N:$N,"&lt;&gt;*RECEIVED*",DEALS!$N:$N,"&lt;&gt;*EXECUTED*"))+SUM(SUMIFS(DEALS!$R:$R,DEALS!$A:$A,{"*REFUND*","*EXECUTED*"},DEALS!$O:$O,$B$96,DEALS!$E:$E,"&lt;="&amp;$U$98,DEALS!$S:$S,X$100,DEALS!$U:$U,$T114,DEALS!$V:$V,"&lt;&gt;*RECEIVED*",DEALS!$V:$V,"&lt;&gt;*EXECUTED*"))</f>
        <v>0</v>
      </c>
      <c r="Y114" s="32" cm="1">
        <f t="array" ref="Y114">SUMIFS(BALANCES!$C:$C,BALANCES!$A:$A,$B$96,BALANCES!$B:$B,$T114,BALANCES!$D:$D,Y$100)+SUMIFS(FLOWS!$C:$C,FLOWS!$A:$A,$B$96,FLOWS!$E:$E,$T114,FLOWS!$D:$D,Y$100,FLOWS!$H:$H,"&lt;="&amp;$U$98)+SUM(SUMIFS(DEALS!$J:$J,DEALS!$A:$A,{"*REFUND*","*EXECUTED*"},DEALS!$G:$G,$B$96,DEALS!$E:$E,"&lt;="&amp;$U$98,DEALS!$K:$K,Y$100,DEALS!$M:$M,$T114,DEALS!$N:$N,"&lt;&gt;*RECEIVED*",DEALS!$N:$N,"&lt;&gt;*EXECUTED*"))+SUM(SUMIFS(DEALS!$R:$R,DEALS!$A:$A,{"*REFUND*","*EXECUTED*"},DEALS!$O:$O,$B$96,DEALS!$E:$E,"&lt;="&amp;$U$98,DEALS!$S:$S,Y$100,DEALS!$U:$U,$T114,DEALS!$V:$V,"&lt;&gt;*RECEIVED*",DEALS!$V:$V,"&lt;&gt;*EXECUTED*"))</f>
        <v>0</v>
      </c>
      <c r="Z114" s="32" cm="1">
        <f t="array" ref="Z114">SUMIFS(BALANCES!$C:$C,BALANCES!$A:$A,$B$96,BALANCES!$B:$B,$T114,BALANCES!$D:$D,Z$100)+SUMIFS(FLOWS!$C:$C,FLOWS!$A:$A,$B$96,FLOWS!$E:$E,$T114,FLOWS!$D:$D,Z$100,FLOWS!$H:$H,"&lt;="&amp;$U$98)+SUM(SUMIFS(DEALS!$J:$J,DEALS!$A:$A,{"*REFUND*","*EXECUTED*"},DEALS!$G:$G,$B$96,DEALS!$E:$E,"&lt;="&amp;$U$98,DEALS!$K:$K,Z$100,DEALS!$M:$M,$T114,DEALS!$N:$N,"&lt;&gt;*RECEIVED*",DEALS!$N:$N,"&lt;&gt;*EXECUTED*"))+SUM(SUMIFS(DEALS!$R:$R,DEALS!$A:$A,{"*REFUND*","*EXECUTED*"},DEALS!$O:$O,$B$96,DEALS!$E:$E,"&lt;="&amp;$U$98,DEALS!$S:$S,Z$100,DEALS!$U:$U,$T114,DEALS!$V:$V,"&lt;&gt;*RECEIVED*",DEALS!$V:$V,"&lt;&gt;*EXECUTED*"))</f>
        <v>0</v>
      </c>
      <c r="AA114" s="33">
        <f ca="1">U114*VLOOKUP(U$100,'FX RATES'!$E$1:$F$50,2,FALSE)+V114*VLOOKUP(V$100,'FX RATES'!$E$1:$F$50,2,FALSE)+W114*VLOOKUP(W$100,'FX RATES'!$E$1:$F$50,2,FALSE)+X114*VLOOKUP(X$100,'FX RATES'!$E$1:$F$50,2,FALSE)+Y114*VLOOKUP(Y$100,'FX RATES'!$E$1:$F$50,2,FALSE)+Z114*VLOOKUP(Z$100,'FX RATES'!$E$1:$F$50,2,FALSE)</f>
        <v>0</v>
      </c>
      <c r="AC114" s="139">
        <f ca="1">I114+R114-AA114</f>
        <v>0</v>
      </c>
    </row>
    <row r="115" spans="2:29" ht="19" hidden="1">
      <c r="B115" s="28"/>
      <c r="C115" s="29" cm="1">
        <f t="array" ref="C115">SUMIFS(BALANCES!$C:$C,BALANCES!$A:$A,$B$96,BALANCES!$B:$B,$B115,BALANCES!$D:$D,C$100)+SUMIFS(FLOWS!$C:$C,FLOWS!$A:$A,$B$96,FLOWS!$E:$E,$B115,FLOWS!$D:$D,C$100,FLOWS!$H:$H,"&lt;"&amp;$C$98)+SUM(SUMIFS(DEALS!$J:$J,DEALS!$A:$A,{"*REFUND*","*EXECUTED*"},DEALS!$G:$G,$B$96,DEALS!$E:$E,"&lt;"&amp;$C$98,DEALS!$K:$K,C$100,DEALS!$M:$M,$B115,DEALS!$N:$N,"&lt;&gt;*RECEIVED*",DEALS!$N:$N,"&lt;&gt;*EXECUTED*"))+SUM(SUMIFS(DEALS!$R:$R,DEALS!$A:$A,{"*REFUND*","*EXECUTED*"},DEALS!$O:$O,$B$96,DEALS!$E:$E,"&lt;"&amp;$C$98,DEALS!$S:$S,C$100,DEALS!$U:$U,$B115,DEALS!$V:$V,"&lt;&gt;*RECEIVED*",DEALS!$V:$V,"&lt;&gt;*EXECUTED*"))</f>
        <v>0</v>
      </c>
      <c r="D115" s="29" cm="1">
        <f t="array" ref="D115">SUMIFS(BALANCES!$C:$C,BALANCES!$A:$A,$B$96,BALANCES!$B:$B,$B115,BALANCES!$D:$D,D$100)+SUMIFS(FLOWS!$C:$C,FLOWS!$A:$A,$B$96,FLOWS!$E:$E,$B115,FLOWS!$D:$D,D$100,FLOWS!$H:$H,"&lt;"&amp;$C$98)+SUM(SUMIFS(DEALS!$J:$J,DEALS!$A:$A,{"*REFUND*","*EXECUTED*"},DEALS!$G:$G,$B$96,DEALS!$E:$E,"&lt;"&amp;$C$98,DEALS!$K:$K,D$100,DEALS!$M:$M,$B115,DEALS!$N:$N,"&lt;&gt;*RECEIVED*",DEALS!$N:$N,"&lt;&gt;*EXECUTED*"))+SUM(SUMIFS(DEALS!$R:$R,DEALS!$A:$A,{"*REFUND*","*EXECUTED*"},DEALS!$O:$O,$B$96,DEALS!$E:$E,"&lt;"&amp;$C$98,DEALS!$S:$S,D$100,DEALS!$U:$U,$B115,DEALS!$V:$V,"&lt;&gt;*RECEIVED*",DEALS!$V:$V,"&lt;&gt;*EXECUTED*"))</f>
        <v>0</v>
      </c>
      <c r="E115" s="29" cm="1">
        <f t="array" ref="E115">SUMIFS(BALANCES!$C:$C,BALANCES!$A:$A,$B$96,BALANCES!$B:$B,$B115,BALANCES!$D:$D,E$100)+SUMIFS(FLOWS!$C:$C,FLOWS!$A:$A,$B$96,FLOWS!$E:$E,$B115,FLOWS!$D:$D,E$100,FLOWS!$H:$H,"&lt;"&amp;$C$98)+SUM(SUMIFS(DEALS!$J:$J,DEALS!$A:$A,{"*REFUND*","*EXECUTED*"},DEALS!$G:$G,$B$96,DEALS!$E:$E,"&lt;"&amp;$C$98,DEALS!$K:$K,E$100,DEALS!$M:$M,$B115,DEALS!$N:$N,"&lt;&gt;*RECEIVED*",DEALS!$N:$N,"&lt;&gt;*EXECUTED*"))+SUM(SUMIFS(DEALS!$R:$R,DEALS!$A:$A,{"*REFUND*","*EXECUTED*"},DEALS!$O:$O,$B$96,DEALS!$E:$E,"&lt;"&amp;$C$98,DEALS!$S:$S,E$100,DEALS!$U:$U,$B115,DEALS!$V:$V,"&lt;&gt;*RECEIVED*",DEALS!$V:$V,"&lt;&gt;*EXECUTED*"))</f>
        <v>0</v>
      </c>
      <c r="F115" s="29" cm="1">
        <f t="array" ref="F115">SUMIFS(BALANCES!$C:$C,BALANCES!$A:$A,$B$96,BALANCES!$B:$B,$B115,BALANCES!$D:$D,F$100)+SUMIFS(FLOWS!$C:$C,FLOWS!$A:$A,$B$96,FLOWS!$E:$E,$B115,FLOWS!$D:$D,F$100,FLOWS!$H:$H,"&lt;"&amp;$C$98)+SUM(SUMIFS(DEALS!$J:$J,DEALS!$A:$A,{"*REFUND*","*EXECUTED*"},DEALS!$G:$G,$B$96,DEALS!$E:$E,"&lt;"&amp;$C$98,DEALS!$K:$K,F$100,DEALS!$M:$M,$B115,DEALS!$N:$N,"&lt;&gt;*RECEIVED*",DEALS!$N:$N,"&lt;&gt;*EXECUTED*"))+SUM(SUMIFS(DEALS!$R:$R,DEALS!$A:$A,{"*REFUND*","*EXECUTED*"},DEALS!$O:$O,$B$96,DEALS!$E:$E,"&lt;"&amp;$C$98,DEALS!$S:$S,F$100,DEALS!$U:$U,$B115,DEALS!$V:$V,"&lt;&gt;*RECEIVED*",DEALS!$V:$V,"&lt;&gt;*EXECUTED*"))</f>
        <v>0</v>
      </c>
      <c r="G115" s="29" cm="1">
        <f t="array" ref="G115">SUMIFS(BALANCES!$C:$C,BALANCES!$A:$A,$B$96,BALANCES!$B:$B,$B115,BALANCES!$D:$D,G$100)+SUMIFS(FLOWS!$C:$C,FLOWS!$A:$A,$B$96,FLOWS!$E:$E,$B115,FLOWS!$D:$D,G$100,FLOWS!$H:$H,"&lt;"&amp;$C$98)+SUM(SUMIFS(DEALS!$J:$J,DEALS!$A:$A,{"*REFUND*","*EXECUTED*"},DEALS!$G:$G,$B$96,DEALS!$E:$E,"&lt;"&amp;$C$98,DEALS!$K:$K,G$100,DEALS!$M:$M,$B115,DEALS!$N:$N,"&lt;&gt;*RECEIVED*",DEALS!$N:$N,"&lt;&gt;*EXECUTED*"))+SUM(SUMIFS(DEALS!$R:$R,DEALS!$A:$A,{"*REFUND*","*EXECUTED*"},DEALS!$O:$O,$B$96,DEALS!$E:$E,"&lt;"&amp;$C$98,DEALS!$S:$S,G$100,DEALS!$U:$U,$B115,DEALS!$V:$V,"&lt;&gt;*RECEIVED*",DEALS!$V:$V,"&lt;&gt;*EXECUTED*"))</f>
        <v>0</v>
      </c>
      <c r="H115" s="29" cm="1">
        <f t="array" ref="H115">SUMIFS(BALANCES!$C:$C,BALANCES!$A:$A,$B$96,BALANCES!$B:$B,$B115,BALANCES!$D:$D,H$100)+SUMIFS(FLOWS!$C:$C,FLOWS!$A:$A,$B$96,FLOWS!$E:$E,$B115,FLOWS!$D:$D,H$100,FLOWS!$H:$H,"&lt;"&amp;$C$98)+SUM(SUMIFS(DEALS!$J:$J,DEALS!$A:$A,{"*REFUND*","*EXECUTED*"},DEALS!$G:$G,$B$96,DEALS!$E:$E,"&lt;"&amp;$C$98,DEALS!$K:$K,H$100,DEALS!$M:$M,$B115,DEALS!$N:$N,"&lt;&gt;*RECEIVED*",DEALS!$N:$N,"&lt;&gt;*EXECUTED*"))+SUM(SUMIFS(DEALS!$R:$R,DEALS!$A:$A,{"*REFUND*","*EXECUTED*"},DEALS!$O:$O,$B$96,DEALS!$E:$E,"&lt;"&amp;$C$98,DEALS!$S:$S,H$100,DEALS!$U:$U,$B115,DEALS!$V:$V,"&lt;&gt;*RECEIVED*",DEALS!$V:$V,"&lt;&gt;*EXECUTED*"))</f>
        <v>0</v>
      </c>
      <c r="I115" s="30">
        <f ca="1">C115*VLOOKUP(C$100,'FX RATES'!$E$1:$F$50,2,FALSE)+D115*VLOOKUP(D$100,'FX RATES'!$E$1:$F$50,2,FALSE)+E115*VLOOKUP(E$100,'FX RATES'!$E$1:$F$50,2,FALSE)+F115*VLOOKUP(F$100,'FX RATES'!$E$1:$F$50,2,FALSE)+G115*VLOOKUP(G$100,'FX RATES'!$E$1:$F$50,2,FALSE)+H115*VLOOKUP(H$100,'FX RATES'!$E$1:$F$50,2,FALSE)</f>
        <v>0</v>
      </c>
      <c r="K115" s="28">
        <f>B115</f>
        <v>0</v>
      </c>
      <c r="L115" s="29" cm="1">
        <f t="array" ref="L115">SUMIFS(FLOWS!$C:$C,FLOWS!$A:$A,$B$96,FLOWS!$E:$E,$K115,FLOWS!$D:$D,L$100,FLOWS!$H:$H,"&gt;="&amp;$C$98,FLOWS!$H:$H,"&lt;="&amp;$U$98)+SUM(SUMIFS(DEALS!$J:$J,DEALS!$A:$A,{"*REFUND*","*EXECUTED*"},DEALS!$G:$G,$B$96,DEALS!$E:$E,"&gt;="&amp;$C$98,DEALS!$E:$E,"&lt;="&amp;$U$98,DEALS!$K:$K,L$100,DEALS!$M:$M,$K115,DEALS!$N:$N,"&lt;&gt;*RECEIVED*",DEALS!$N:$N,"&lt;&gt;*EXECUTED*"))+SUM(SUMIFS(DEALS!$R:$R,DEALS!$A:$A,{"*REFUND*","*EXECUTED*"},DEALS!$O:$O,$B$96,DEALS!$E:$E,"&gt;="&amp;$C$98,DEALS!$E:$E,"&lt;="&amp;$U$98,DEALS!$S:$S,L$100,DEALS!$U:$U,$K115,DEALS!$V:$V,"&lt;&gt;*RECEIVED*",DEALS!$V:$V,"&lt;&gt;*EXECUTED*"))</f>
        <v>0</v>
      </c>
      <c r="M115" s="29" cm="1">
        <f t="array" ref="M115">SUMIFS(FLOWS!$C:$C,FLOWS!$A:$A,$B$96,FLOWS!$E:$E,$K115,FLOWS!$D:$D,M$100,FLOWS!$H:$H,"&gt;="&amp;$C$98,FLOWS!$H:$H,"&lt;="&amp;$U$98)+SUM(SUMIFS(DEALS!$J:$J,DEALS!$A:$A,{"*REFUND*","*EXECUTED*"},DEALS!$G:$G,$B$96,DEALS!$E:$E,"&gt;="&amp;$C$98,DEALS!$E:$E,"&lt;="&amp;$U$98,DEALS!$K:$K,M$100,DEALS!$M:$M,$K115,DEALS!$N:$N,"&lt;&gt;*RECEIVED*",DEALS!$N:$N,"&lt;&gt;*EXECUTED*"))+SUM(SUMIFS(DEALS!$R:$R,DEALS!$A:$A,{"*REFUND*","*EXECUTED*"},DEALS!$O:$O,$B$96,DEALS!$E:$E,"&gt;="&amp;$C$98,DEALS!$E:$E,"&lt;="&amp;$U$98,DEALS!$S:$S,M$100,DEALS!$U:$U,$K115,DEALS!$V:$V,"&lt;&gt;*RECEIVED*",DEALS!$V:$V,"&lt;&gt;*EXECUTED*"))</f>
        <v>0</v>
      </c>
      <c r="N115" s="29" cm="1">
        <f t="array" ref="N115">SUMIFS(FLOWS!$C:$C,FLOWS!$A:$A,$B$96,FLOWS!$E:$E,$K115,FLOWS!$D:$D,N$100,FLOWS!$H:$H,"&gt;="&amp;$C$98,FLOWS!$H:$H,"&lt;="&amp;$U$98)+SUM(SUMIFS(DEALS!$J:$J,DEALS!$A:$A,{"*REFUND*","*EXECUTED*"},DEALS!$G:$G,$B$96,DEALS!$E:$E,"&gt;="&amp;$C$98,DEALS!$E:$E,"&lt;="&amp;$U$98,DEALS!$K:$K,N$100,DEALS!$M:$M,$K115,DEALS!$N:$N,"&lt;&gt;*RECEIVED*",DEALS!$N:$N,"&lt;&gt;*EXECUTED*"))+SUM(SUMIFS(DEALS!$R:$R,DEALS!$A:$A,{"*REFUND*","*EXECUTED*"},DEALS!$O:$O,$B$96,DEALS!$E:$E,"&gt;="&amp;$C$98,DEALS!$E:$E,"&lt;="&amp;$U$98,DEALS!$S:$S,N$100,DEALS!$U:$U,$K115,DEALS!$V:$V,"&lt;&gt;*RECEIVED*",DEALS!$V:$V,"&lt;&gt;*EXECUTED*"))</f>
        <v>0</v>
      </c>
      <c r="O115" s="29" cm="1">
        <f t="array" ref="O115">SUMIFS(FLOWS!$C:$C,FLOWS!$A:$A,$B$96,FLOWS!$E:$E,$K115,FLOWS!$D:$D,O$100,FLOWS!$H:$H,"&gt;="&amp;$C$98,FLOWS!$H:$H,"&lt;="&amp;$U$98)+SUM(SUMIFS(DEALS!$J:$J,DEALS!$A:$A,{"*REFUND*","*EXECUTED*"},DEALS!$G:$G,$B$96,DEALS!$E:$E,"&gt;="&amp;$C$98,DEALS!$E:$E,"&lt;="&amp;$U$98,DEALS!$K:$K,O$100,DEALS!$M:$M,$K115,DEALS!$N:$N,"&lt;&gt;*RECEIVED*",DEALS!$N:$N,"&lt;&gt;*EXECUTED*"))+SUM(SUMIFS(DEALS!$R:$R,DEALS!$A:$A,{"*REFUND*","*EXECUTED*"},DEALS!$O:$O,$B$96,DEALS!$E:$E,"&gt;="&amp;$C$98,DEALS!$E:$E,"&lt;="&amp;$U$98,DEALS!$S:$S,O$100,DEALS!$U:$U,$K115,DEALS!$V:$V,"&lt;&gt;*RECEIVED*",DEALS!$V:$V,"&lt;&gt;*EXECUTED*"))</f>
        <v>0</v>
      </c>
      <c r="P115" s="29" cm="1">
        <f t="array" ref="P115">SUMIFS(FLOWS!$C:$C,FLOWS!$A:$A,$B$96,FLOWS!$E:$E,$K115,FLOWS!$D:$D,P$100,FLOWS!$H:$H,"&gt;="&amp;$C$98,FLOWS!$H:$H,"&lt;="&amp;$U$98)+SUM(SUMIFS(DEALS!$J:$J,DEALS!$A:$A,{"*REFUND*","*EXECUTED*"},DEALS!$G:$G,$B$96,DEALS!$E:$E,"&gt;="&amp;$C$98,DEALS!$E:$E,"&lt;="&amp;$U$98,DEALS!$K:$K,P$100,DEALS!$M:$M,$K115,DEALS!$N:$N,"&lt;&gt;*RECEIVED*",DEALS!$N:$N,"&lt;&gt;*EXECUTED*"))+SUM(SUMIFS(DEALS!$R:$R,DEALS!$A:$A,{"*REFUND*","*EXECUTED*"},DEALS!$O:$O,$B$96,DEALS!$E:$E,"&gt;="&amp;$C$98,DEALS!$E:$E,"&lt;="&amp;$U$98,DEALS!$S:$S,P$100,DEALS!$U:$U,$K115,DEALS!$V:$V,"&lt;&gt;*RECEIVED*",DEALS!$V:$V,"&lt;&gt;*EXECUTED*"))</f>
        <v>0</v>
      </c>
      <c r="Q115" s="29" cm="1">
        <f t="array" ref="Q115">SUMIFS(FLOWS!$C:$C,FLOWS!$A:$A,$B$96,FLOWS!$E:$E,$K115,FLOWS!$D:$D,Q$100,FLOWS!$H:$H,"&gt;="&amp;$C$98,FLOWS!$H:$H,"&lt;="&amp;$U$98)+SUM(SUMIFS(DEALS!$J:$J,DEALS!$A:$A,{"*REFUND*","*EXECUTED*"},DEALS!$G:$G,$B$96,DEALS!$E:$E,"&gt;="&amp;$C$98,DEALS!$E:$E,"&lt;="&amp;$U$98,DEALS!$K:$K,Q$100,DEALS!$M:$M,$K115,DEALS!$N:$N,"&lt;&gt;*RECEIVED*",DEALS!$N:$N,"&lt;&gt;*EXECUTED*"))+SUM(SUMIFS(DEALS!$R:$R,DEALS!$A:$A,{"*REFUND*","*EXECUTED*"},DEALS!$O:$O,$B$96,DEALS!$E:$E,"&gt;="&amp;$C$98,DEALS!$E:$E,"&lt;="&amp;$U$98,DEALS!$S:$S,Q$100,DEALS!$U:$U,$K115,DEALS!$V:$V,"&lt;&gt;*RECEIVED*",DEALS!$V:$V,"&lt;&gt;*EXECUTED*"))</f>
        <v>0</v>
      </c>
      <c r="R115" s="30">
        <f ca="1">L115*VLOOKUP(L$100,'FX RATES'!$E$1:$F$50,2,FALSE)+M115*VLOOKUP(M$100,'FX RATES'!$E$1:$F$50,2,FALSE)+N115*VLOOKUP(N$100,'FX RATES'!$E$1:$F$50,2,FALSE)+O115*VLOOKUP(O$100,'FX RATES'!$E$1:$F$50,2,FALSE)+P115*VLOOKUP(P$100,'FX RATES'!$E$1:$F$50,2,FALSE)+Q115*VLOOKUP(Q$100,'FX RATES'!$E$1:$F$50,2,FALSE)</f>
        <v>0</v>
      </c>
      <c r="T115" s="28">
        <f>B115</f>
        <v>0</v>
      </c>
      <c r="U115" s="29" cm="1">
        <f t="array" ref="U115">SUMIFS(BALANCES!$C:$C,BALANCES!$A:$A,$B$96,BALANCES!$B:$B,$T115,BALANCES!$D:$D,U$100)+SUMIFS(FLOWS!$C:$C,FLOWS!$A:$A,$B$96,FLOWS!$E:$E,$T115,FLOWS!$D:$D,U$100,FLOWS!$H:$H,"&lt;="&amp;$U$98)+SUM(SUMIFS(DEALS!$J:$J,DEALS!$A:$A,{"*REFUND*","*EXECUTED*"},DEALS!$G:$G,$B$96,DEALS!$E:$E,"&lt;="&amp;$U$98,DEALS!$K:$K,U$100,DEALS!$M:$M,$T115,DEALS!$N:$N,"&lt;&gt;*RECEIVED*",DEALS!$N:$N,"&lt;&gt;*EXECUTED*"))+SUM(SUMIFS(DEALS!$R:$R,DEALS!$A:$A,{"*REFUND*","*EXECUTED*"},DEALS!$O:$O,$B$96,DEALS!$E:$E,"&lt;="&amp;$U$98,DEALS!$S:$S,U$100,DEALS!$U:$U,$T115,DEALS!$V:$V,"&lt;&gt;*RECEIVED*",DEALS!$V:$V,"&lt;&gt;*EXECUTED*"))</f>
        <v>0</v>
      </c>
      <c r="V115" s="29" cm="1">
        <f t="array" ref="V115">SUMIFS(BALANCES!$C:$C,BALANCES!$A:$A,$B$96,BALANCES!$B:$B,$T115,BALANCES!$D:$D,V$100)+SUMIFS(FLOWS!$C:$C,FLOWS!$A:$A,$B$96,FLOWS!$E:$E,$T115,FLOWS!$D:$D,V$100,FLOWS!$H:$H,"&lt;="&amp;$U$98)+SUM(SUMIFS(DEALS!$J:$J,DEALS!$A:$A,{"*REFUND*","*EXECUTED*"},DEALS!$G:$G,$B$96,DEALS!$E:$E,"&lt;="&amp;$U$98,DEALS!$K:$K,V$100,DEALS!$M:$M,$T115,DEALS!$N:$N,"&lt;&gt;*RECEIVED*",DEALS!$N:$N,"&lt;&gt;*EXECUTED*"))+SUM(SUMIFS(DEALS!$R:$R,DEALS!$A:$A,{"*REFUND*","*EXECUTED*"},DEALS!$O:$O,$B$96,DEALS!$E:$E,"&lt;="&amp;$U$98,DEALS!$S:$S,V$100,DEALS!$U:$U,$T115,DEALS!$V:$V,"&lt;&gt;*RECEIVED*",DEALS!$V:$V,"&lt;&gt;*EXECUTED*"))</f>
        <v>0</v>
      </c>
      <c r="W115" s="29" cm="1">
        <f t="array" ref="W115">SUMIFS(BALANCES!$C:$C,BALANCES!$A:$A,$B$96,BALANCES!$B:$B,$T115,BALANCES!$D:$D,W$100)+SUMIFS(FLOWS!$C:$C,FLOWS!$A:$A,$B$96,FLOWS!$E:$E,$T115,FLOWS!$D:$D,W$100,FLOWS!$H:$H,"&lt;="&amp;$U$98)+SUM(SUMIFS(DEALS!$J:$J,DEALS!$A:$A,{"*REFUND*","*EXECUTED*"},DEALS!$G:$G,$B$96,DEALS!$E:$E,"&lt;="&amp;$U$98,DEALS!$K:$K,W$100,DEALS!$M:$M,$T115,DEALS!$N:$N,"&lt;&gt;*RECEIVED*",DEALS!$N:$N,"&lt;&gt;*EXECUTED*"))+SUM(SUMIFS(DEALS!$R:$R,DEALS!$A:$A,{"*REFUND*","*EXECUTED*"},DEALS!$O:$O,$B$96,DEALS!$E:$E,"&lt;="&amp;$U$98,DEALS!$S:$S,W$100,DEALS!$U:$U,$T115,DEALS!$V:$V,"&lt;&gt;*RECEIVED*",DEALS!$V:$V,"&lt;&gt;*EXECUTED*"))</f>
        <v>0</v>
      </c>
      <c r="X115" s="29" cm="1">
        <f t="array" ref="X115">SUMIFS(BALANCES!$C:$C,BALANCES!$A:$A,$B$96,BALANCES!$B:$B,$T115,BALANCES!$D:$D,X$100)+SUMIFS(FLOWS!$C:$C,FLOWS!$A:$A,$B$96,FLOWS!$E:$E,$T115,FLOWS!$D:$D,X$100,FLOWS!$H:$H,"&lt;="&amp;$U$98)+SUM(SUMIFS(DEALS!$J:$J,DEALS!$A:$A,{"*REFUND*","*EXECUTED*"},DEALS!$G:$G,$B$96,DEALS!$E:$E,"&lt;="&amp;$U$98,DEALS!$K:$K,X$100,DEALS!$M:$M,$T115,DEALS!$N:$N,"&lt;&gt;*RECEIVED*",DEALS!$N:$N,"&lt;&gt;*EXECUTED*"))+SUM(SUMIFS(DEALS!$R:$R,DEALS!$A:$A,{"*REFUND*","*EXECUTED*"},DEALS!$O:$O,$B$96,DEALS!$E:$E,"&lt;="&amp;$U$98,DEALS!$S:$S,X$100,DEALS!$U:$U,$T115,DEALS!$V:$V,"&lt;&gt;*RECEIVED*",DEALS!$V:$V,"&lt;&gt;*EXECUTED*"))</f>
        <v>0</v>
      </c>
      <c r="Y115" s="29" cm="1">
        <f t="array" ref="Y115">SUMIFS(BALANCES!$C:$C,BALANCES!$A:$A,$B$96,BALANCES!$B:$B,$T115,BALANCES!$D:$D,Y$100)+SUMIFS(FLOWS!$C:$C,FLOWS!$A:$A,$B$96,FLOWS!$E:$E,$T115,FLOWS!$D:$D,Y$100,FLOWS!$H:$H,"&lt;="&amp;$U$98)+SUM(SUMIFS(DEALS!$J:$J,DEALS!$A:$A,{"*REFUND*","*EXECUTED*"},DEALS!$G:$G,$B$96,DEALS!$E:$E,"&lt;="&amp;$U$98,DEALS!$K:$K,Y$100,DEALS!$M:$M,$T115,DEALS!$N:$N,"&lt;&gt;*RECEIVED*",DEALS!$N:$N,"&lt;&gt;*EXECUTED*"))+SUM(SUMIFS(DEALS!$R:$R,DEALS!$A:$A,{"*REFUND*","*EXECUTED*"},DEALS!$O:$O,$B$96,DEALS!$E:$E,"&lt;="&amp;$U$98,DEALS!$S:$S,Y$100,DEALS!$U:$U,$T115,DEALS!$V:$V,"&lt;&gt;*RECEIVED*",DEALS!$V:$V,"&lt;&gt;*EXECUTED*"))</f>
        <v>0</v>
      </c>
      <c r="Z115" s="29" cm="1">
        <f t="array" ref="Z115">SUMIFS(BALANCES!$C:$C,BALANCES!$A:$A,$B$96,BALANCES!$B:$B,$T115,BALANCES!$D:$D,Z$100)+SUMIFS(FLOWS!$C:$C,FLOWS!$A:$A,$B$96,FLOWS!$E:$E,$T115,FLOWS!$D:$D,Z$100,FLOWS!$H:$H,"&lt;="&amp;$U$98)+SUM(SUMIFS(DEALS!$J:$J,DEALS!$A:$A,{"*REFUND*","*EXECUTED*"},DEALS!$G:$G,$B$96,DEALS!$E:$E,"&lt;="&amp;$U$98,DEALS!$K:$K,Z$100,DEALS!$M:$M,$T115,DEALS!$N:$N,"&lt;&gt;*RECEIVED*",DEALS!$N:$N,"&lt;&gt;*EXECUTED*"))+SUM(SUMIFS(DEALS!$R:$R,DEALS!$A:$A,{"*REFUND*","*EXECUTED*"},DEALS!$O:$O,$B$96,DEALS!$E:$E,"&lt;="&amp;$U$98,DEALS!$S:$S,Z$100,DEALS!$U:$U,$T115,DEALS!$V:$V,"&lt;&gt;*RECEIVED*",DEALS!$V:$V,"&lt;&gt;*EXECUTED*"))</f>
        <v>0</v>
      </c>
      <c r="AA115" s="30">
        <f ca="1">U115*VLOOKUP(U$100,'FX RATES'!$E$1:$F$50,2,FALSE)+V115*VLOOKUP(V$100,'FX RATES'!$E$1:$F$50,2,FALSE)+W115*VLOOKUP(W$100,'FX RATES'!$E$1:$F$50,2,FALSE)+X115*VLOOKUP(X$100,'FX RATES'!$E$1:$F$50,2,FALSE)+Y115*VLOOKUP(Y$100,'FX RATES'!$E$1:$F$50,2,FALSE)+Z115*VLOOKUP(Z$100,'FX RATES'!$E$1:$F$50,2,FALSE)</f>
        <v>0</v>
      </c>
      <c r="AC115" s="139">
        <f ca="1">I115+R115-AA115</f>
        <v>0</v>
      </c>
    </row>
    <row r="116" spans="2:29" ht="19" hidden="1">
      <c r="B116" s="31"/>
      <c r="C116" s="32" cm="1">
        <f t="array" ref="C116">SUMIFS(BALANCES!$C:$C,BALANCES!$A:$A,$B$96,BALANCES!$B:$B,$B116,BALANCES!$D:$D,C$100)+SUMIFS(FLOWS!$C:$C,FLOWS!$A:$A,$B$96,FLOWS!$E:$E,$B116,FLOWS!$D:$D,C$100,FLOWS!$H:$H,"&lt;"&amp;$C$98)+SUM(SUMIFS(DEALS!$J:$J,DEALS!$A:$A,{"*REFUND*","*EXECUTED*"},DEALS!$G:$G,$B$96,DEALS!$E:$E,"&lt;"&amp;$C$98,DEALS!$K:$K,C$100,DEALS!$M:$M,$B116,DEALS!$N:$N,"&lt;&gt;*RECEIVED*",DEALS!$N:$N,"&lt;&gt;*EXECUTED*"))+SUM(SUMIFS(DEALS!$R:$R,DEALS!$A:$A,{"*REFUND*","*EXECUTED*"},DEALS!$O:$O,$B$96,DEALS!$E:$E,"&lt;"&amp;$C$98,DEALS!$S:$S,C$100,DEALS!$U:$U,$B116,DEALS!$V:$V,"&lt;&gt;*RECEIVED*",DEALS!$V:$V,"&lt;&gt;*EXECUTED*"))</f>
        <v>0</v>
      </c>
      <c r="D116" s="32" cm="1">
        <f t="array" ref="D116">SUMIFS(BALANCES!$C:$C,BALANCES!$A:$A,$B$96,BALANCES!$B:$B,$B116,BALANCES!$D:$D,D$100)+SUMIFS(FLOWS!$C:$C,FLOWS!$A:$A,$B$96,FLOWS!$E:$E,$B116,FLOWS!$D:$D,D$100,FLOWS!$H:$H,"&lt;"&amp;$C$98)+SUM(SUMIFS(DEALS!$J:$J,DEALS!$A:$A,{"*REFUND*","*EXECUTED*"},DEALS!$G:$G,$B$96,DEALS!$E:$E,"&lt;"&amp;$C$98,DEALS!$K:$K,D$100,DEALS!$M:$M,$B116,DEALS!$N:$N,"&lt;&gt;*RECEIVED*",DEALS!$N:$N,"&lt;&gt;*EXECUTED*"))+SUM(SUMIFS(DEALS!$R:$R,DEALS!$A:$A,{"*REFUND*","*EXECUTED*"},DEALS!$O:$O,$B$96,DEALS!$E:$E,"&lt;"&amp;$C$98,DEALS!$S:$S,D$100,DEALS!$U:$U,$B116,DEALS!$V:$V,"&lt;&gt;*RECEIVED*",DEALS!$V:$V,"&lt;&gt;*EXECUTED*"))</f>
        <v>0</v>
      </c>
      <c r="E116" s="32" cm="1">
        <f t="array" ref="E116">SUMIFS(BALANCES!$C:$C,BALANCES!$A:$A,$B$96,BALANCES!$B:$B,$B116,BALANCES!$D:$D,E$100)+SUMIFS(FLOWS!$C:$C,FLOWS!$A:$A,$B$96,FLOWS!$E:$E,$B116,FLOWS!$D:$D,E$100,FLOWS!$H:$H,"&lt;"&amp;$C$98)+SUM(SUMIFS(DEALS!$J:$J,DEALS!$A:$A,{"*REFUND*","*EXECUTED*"},DEALS!$G:$G,$B$96,DEALS!$E:$E,"&lt;"&amp;$C$98,DEALS!$K:$K,E$100,DEALS!$M:$M,$B116,DEALS!$N:$N,"&lt;&gt;*RECEIVED*",DEALS!$N:$N,"&lt;&gt;*EXECUTED*"))+SUM(SUMIFS(DEALS!$R:$R,DEALS!$A:$A,{"*REFUND*","*EXECUTED*"},DEALS!$O:$O,$B$96,DEALS!$E:$E,"&lt;"&amp;$C$98,DEALS!$S:$S,E$100,DEALS!$U:$U,$B116,DEALS!$V:$V,"&lt;&gt;*RECEIVED*",DEALS!$V:$V,"&lt;&gt;*EXECUTED*"))</f>
        <v>0</v>
      </c>
      <c r="F116" s="32" cm="1">
        <f t="array" ref="F116">SUMIFS(BALANCES!$C:$C,BALANCES!$A:$A,$B$96,BALANCES!$B:$B,$B116,BALANCES!$D:$D,F$100)+SUMIFS(FLOWS!$C:$C,FLOWS!$A:$A,$B$96,FLOWS!$E:$E,$B116,FLOWS!$D:$D,F$100,FLOWS!$H:$H,"&lt;"&amp;$C$98)+SUM(SUMIFS(DEALS!$J:$J,DEALS!$A:$A,{"*REFUND*","*EXECUTED*"},DEALS!$G:$G,$B$96,DEALS!$E:$E,"&lt;"&amp;$C$98,DEALS!$K:$K,F$100,DEALS!$M:$M,$B116,DEALS!$N:$N,"&lt;&gt;*RECEIVED*",DEALS!$N:$N,"&lt;&gt;*EXECUTED*"))+SUM(SUMIFS(DEALS!$R:$R,DEALS!$A:$A,{"*REFUND*","*EXECUTED*"},DEALS!$O:$O,$B$96,DEALS!$E:$E,"&lt;"&amp;$C$98,DEALS!$S:$S,F$100,DEALS!$U:$U,$B116,DEALS!$V:$V,"&lt;&gt;*RECEIVED*",DEALS!$V:$V,"&lt;&gt;*EXECUTED*"))</f>
        <v>0</v>
      </c>
      <c r="G116" s="32" cm="1">
        <f t="array" ref="G116">SUMIFS(BALANCES!$C:$C,BALANCES!$A:$A,$B$96,BALANCES!$B:$B,$B116,BALANCES!$D:$D,G$100)+SUMIFS(FLOWS!$C:$C,FLOWS!$A:$A,$B$96,FLOWS!$E:$E,$B116,FLOWS!$D:$D,G$100,FLOWS!$H:$H,"&lt;"&amp;$C$98)+SUM(SUMIFS(DEALS!$J:$J,DEALS!$A:$A,{"*REFUND*","*EXECUTED*"},DEALS!$G:$G,$B$96,DEALS!$E:$E,"&lt;"&amp;$C$98,DEALS!$K:$K,G$100,DEALS!$M:$M,$B116,DEALS!$N:$N,"&lt;&gt;*RECEIVED*",DEALS!$N:$N,"&lt;&gt;*EXECUTED*"))+SUM(SUMIFS(DEALS!$R:$R,DEALS!$A:$A,{"*REFUND*","*EXECUTED*"},DEALS!$O:$O,$B$96,DEALS!$E:$E,"&lt;"&amp;$C$98,DEALS!$S:$S,G$100,DEALS!$U:$U,$B116,DEALS!$V:$V,"&lt;&gt;*RECEIVED*",DEALS!$V:$V,"&lt;&gt;*EXECUTED*"))</f>
        <v>0</v>
      </c>
      <c r="H116" s="32" cm="1">
        <f t="array" ref="H116">SUMIFS(BALANCES!$C:$C,BALANCES!$A:$A,$B$96,BALANCES!$B:$B,$B116,BALANCES!$D:$D,H$100)+SUMIFS(FLOWS!$C:$C,FLOWS!$A:$A,$B$96,FLOWS!$E:$E,$B116,FLOWS!$D:$D,H$100,FLOWS!$H:$H,"&lt;"&amp;$C$98)+SUM(SUMIFS(DEALS!$J:$J,DEALS!$A:$A,{"*REFUND*","*EXECUTED*"},DEALS!$G:$G,$B$96,DEALS!$E:$E,"&lt;"&amp;$C$98,DEALS!$K:$K,H$100,DEALS!$M:$M,$B116,DEALS!$N:$N,"&lt;&gt;*RECEIVED*",DEALS!$N:$N,"&lt;&gt;*EXECUTED*"))+SUM(SUMIFS(DEALS!$R:$R,DEALS!$A:$A,{"*REFUND*","*EXECUTED*"},DEALS!$O:$O,$B$96,DEALS!$E:$E,"&lt;"&amp;$C$98,DEALS!$S:$S,H$100,DEALS!$U:$U,$B116,DEALS!$V:$V,"&lt;&gt;*RECEIVED*",DEALS!$V:$V,"&lt;&gt;*EXECUTED*"))</f>
        <v>0</v>
      </c>
      <c r="I116" s="33">
        <f ca="1">C116*VLOOKUP(C$100,'FX RATES'!$E$1:$F$50,2,FALSE)+D116*VLOOKUP(D$100,'FX RATES'!$E$1:$F$50,2,FALSE)+E116*VLOOKUP(E$100,'FX RATES'!$E$1:$F$50,2,FALSE)+F116*VLOOKUP(F$100,'FX RATES'!$E$1:$F$50,2,FALSE)+G116*VLOOKUP(G$100,'FX RATES'!$E$1:$F$50,2,FALSE)+H116*VLOOKUP(H$100,'FX RATES'!$E$1:$F$50,2,FALSE)</f>
        <v>0</v>
      </c>
      <c r="K116" s="31">
        <f t="shared" si="37"/>
        <v>0</v>
      </c>
      <c r="L116" s="32" cm="1">
        <f t="array" ref="L116">SUMIFS(FLOWS!$C:$C,FLOWS!$A:$A,$B$96,FLOWS!$E:$E,$K116,FLOWS!$D:$D,L$100,FLOWS!$H:$H,"&gt;="&amp;$C$98,FLOWS!$H:$H,"&lt;="&amp;$U$98)+SUM(SUMIFS(DEALS!$J:$J,DEALS!$A:$A,{"*REFUND*","*EXECUTED*"},DEALS!$G:$G,$B$96,DEALS!$E:$E,"&gt;="&amp;$C$98,DEALS!$E:$E,"&lt;="&amp;$U$98,DEALS!$K:$K,L$100,DEALS!$M:$M,$K116,DEALS!$N:$N,"&lt;&gt;*RECEIVED*",DEALS!$N:$N,"&lt;&gt;*EXECUTED*"))+SUM(SUMIFS(DEALS!$R:$R,DEALS!$A:$A,{"*REFUND*","*EXECUTED*"},DEALS!$O:$O,$B$96,DEALS!$E:$E,"&gt;="&amp;$C$98,DEALS!$E:$E,"&lt;="&amp;$U$98,DEALS!$S:$S,L$100,DEALS!$U:$U,$K116,DEALS!$V:$V,"&lt;&gt;*RECEIVED*",DEALS!$V:$V,"&lt;&gt;*EXECUTED*"))</f>
        <v>0</v>
      </c>
      <c r="M116" s="32" cm="1">
        <f t="array" ref="M116">SUMIFS(FLOWS!$C:$C,FLOWS!$A:$A,$B$96,FLOWS!$E:$E,$K116,FLOWS!$D:$D,M$100,FLOWS!$H:$H,"&gt;="&amp;$C$98,FLOWS!$H:$H,"&lt;="&amp;$U$98)+SUM(SUMIFS(DEALS!$J:$J,DEALS!$A:$A,{"*REFUND*","*EXECUTED*"},DEALS!$G:$G,$B$96,DEALS!$E:$E,"&gt;="&amp;$C$98,DEALS!$E:$E,"&lt;="&amp;$U$98,DEALS!$K:$K,M$100,DEALS!$M:$M,$K116,DEALS!$N:$N,"&lt;&gt;*RECEIVED*",DEALS!$N:$N,"&lt;&gt;*EXECUTED*"))+SUM(SUMIFS(DEALS!$R:$R,DEALS!$A:$A,{"*REFUND*","*EXECUTED*"},DEALS!$O:$O,$B$96,DEALS!$E:$E,"&gt;="&amp;$C$98,DEALS!$E:$E,"&lt;="&amp;$U$98,DEALS!$S:$S,M$100,DEALS!$U:$U,$K116,DEALS!$V:$V,"&lt;&gt;*RECEIVED*",DEALS!$V:$V,"&lt;&gt;*EXECUTED*"))</f>
        <v>0</v>
      </c>
      <c r="N116" s="32" cm="1">
        <f t="array" ref="N116">SUMIFS(FLOWS!$C:$C,FLOWS!$A:$A,$B$96,FLOWS!$E:$E,$K116,FLOWS!$D:$D,N$100,FLOWS!$H:$H,"&gt;="&amp;$C$98,FLOWS!$H:$H,"&lt;="&amp;$U$98)+SUM(SUMIFS(DEALS!$J:$J,DEALS!$A:$A,{"*REFUND*","*EXECUTED*"},DEALS!$G:$G,$B$96,DEALS!$E:$E,"&gt;="&amp;$C$98,DEALS!$E:$E,"&lt;="&amp;$U$98,DEALS!$K:$K,N$100,DEALS!$M:$M,$K116,DEALS!$N:$N,"&lt;&gt;*RECEIVED*",DEALS!$N:$N,"&lt;&gt;*EXECUTED*"))+SUM(SUMIFS(DEALS!$R:$R,DEALS!$A:$A,{"*REFUND*","*EXECUTED*"},DEALS!$O:$O,$B$96,DEALS!$E:$E,"&gt;="&amp;$C$98,DEALS!$E:$E,"&lt;="&amp;$U$98,DEALS!$S:$S,N$100,DEALS!$U:$U,$K116,DEALS!$V:$V,"&lt;&gt;*RECEIVED*",DEALS!$V:$V,"&lt;&gt;*EXECUTED*"))</f>
        <v>0</v>
      </c>
      <c r="O116" s="32" cm="1">
        <f t="array" ref="O116">SUMIFS(FLOWS!$C:$C,FLOWS!$A:$A,$B$96,FLOWS!$E:$E,$K116,FLOWS!$D:$D,O$100,FLOWS!$H:$H,"&gt;="&amp;$C$98,FLOWS!$H:$H,"&lt;="&amp;$U$98)+SUM(SUMIFS(DEALS!$J:$J,DEALS!$A:$A,{"*REFUND*","*EXECUTED*"},DEALS!$G:$G,$B$96,DEALS!$E:$E,"&gt;="&amp;$C$98,DEALS!$E:$E,"&lt;="&amp;$U$98,DEALS!$K:$K,O$100,DEALS!$M:$M,$K116,DEALS!$N:$N,"&lt;&gt;*RECEIVED*",DEALS!$N:$N,"&lt;&gt;*EXECUTED*"))+SUM(SUMIFS(DEALS!$R:$R,DEALS!$A:$A,{"*REFUND*","*EXECUTED*"},DEALS!$O:$O,$B$96,DEALS!$E:$E,"&gt;="&amp;$C$98,DEALS!$E:$E,"&lt;="&amp;$U$98,DEALS!$S:$S,O$100,DEALS!$U:$U,$K116,DEALS!$V:$V,"&lt;&gt;*RECEIVED*",DEALS!$V:$V,"&lt;&gt;*EXECUTED*"))</f>
        <v>0</v>
      </c>
      <c r="P116" s="32" cm="1">
        <f t="array" ref="P116">SUMIFS(FLOWS!$C:$C,FLOWS!$A:$A,$B$96,FLOWS!$E:$E,$K116,FLOWS!$D:$D,P$100,FLOWS!$H:$H,"&gt;="&amp;$C$98,FLOWS!$H:$H,"&lt;="&amp;$U$98)+SUM(SUMIFS(DEALS!$J:$J,DEALS!$A:$A,{"*REFUND*","*EXECUTED*"},DEALS!$G:$G,$B$96,DEALS!$E:$E,"&gt;="&amp;$C$98,DEALS!$E:$E,"&lt;="&amp;$U$98,DEALS!$K:$K,P$100,DEALS!$M:$M,$K116,DEALS!$N:$N,"&lt;&gt;*RECEIVED*",DEALS!$N:$N,"&lt;&gt;*EXECUTED*"))+SUM(SUMIFS(DEALS!$R:$R,DEALS!$A:$A,{"*REFUND*","*EXECUTED*"},DEALS!$O:$O,$B$96,DEALS!$E:$E,"&gt;="&amp;$C$98,DEALS!$E:$E,"&lt;="&amp;$U$98,DEALS!$S:$S,P$100,DEALS!$U:$U,$K116,DEALS!$V:$V,"&lt;&gt;*RECEIVED*",DEALS!$V:$V,"&lt;&gt;*EXECUTED*"))</f>
        <v>0</v>
      </c>
      <c r="Q116" s="32" cm="1">
        <f t="array" ref="Q116">SUMIFS(FLOWS!$C:$C,FLOWS!$A:$A,$B$96,FLOWS!$E:$E,$K116,FLOWS!$D:$D,Q$100,FLOWS!$H:$H,"&gt;="&amp;$C$98,FLOWS!$H:$H,"&lt;="&amp;$U$98)+SUM(SUMIFS(DEALS!$J:$J,DEALS!$A:$A,{"*REFUND*","*EXECUTED*"},DEALS!$G:$G,$B$96,DEALS!$E:$E,"&gt;="&amp;$C$98,DEALS!$E:$E,"&lt;="&amp;$U$98,DEALS!$K:$K,Q$100,DEALS!$M:$M,$K116,DEALS!$N:$N,"&lt;&gt;*RECEIVED*",DEALS!$N:$N,"&lt;&gt;*EXECUTED*"))+SUM(SUMIFS(DEALS!$R:$R,DEALS!$A:$A,{"*REFUND*","*EXECUTED*"},DEALS!$O:$O,$B$96,DEALS!$E:$E,"&gt;="&amp;$C$98,DEALS!$E:$E,"&lt;="&amp;$U$98,DEALS!$S:$S,Q$100,DEALS!$U:$U,$K116,DEALS!$V:$V,"&lt;&gt;*RECEIVED*",DEALS!$V:$V,"&lt;&gt;*EXECUTED*"))</f>
        <v>0</v>
      </c>
      <c r="R116" s="33">
        <f ca="1">L116*VLOOKUP(L$100,'FX RATES'!$E$1:$F$50,2,FALSE)+M116*VLOOKUP(M$100,'FX RATES'!$E$1:$F$50,2,FALSE)+N116*VLOOKUP(N$100,'FX RATES'!$E$1:$F$50,2,FALSE)+O116*VLOOKUP(O$100,'FX RATES'!$E$1:$F$50,2,FALSE)+P116*VLOOKUP(P$100,'FX RATES'!$E$1:$F$50,2,FALSE)+Q116*VLOOKUP(Q$100,'FX RATES'!$E$1:$F$50,2,FALSE)</f>
        <v>0</v>
      </c>
      <c r="T116" s="31">
        <f t="shared" si="38"/>
        <v>0</v>
      </c>
      <c r="U116" s="32" cm="1">
        <f t="array" ref="U116">SUMIFS(BALANCES!$C:$C,BALANCES!$A:$A,$B$96,BALANCES!$B:$B,$T116,BALANCES!$D:$D,U$100)+SUMIFS(FLOWS!$C:$C,FLOWS!$A:$A,$B$96,FLOWS!$E:$E,$T116,FLOWS!$D:$D,U$100,FLOWS!$H:$H,"&lt;="&amp;$U$98)+SUM(SUMIFS(DEALS!$J:$J,DEALS!$A:$A,{"*REFUND*","*EXECUTED*"},DEALS!$G:$G,$B$96,DEALS!$E:$E,"&lt;="&amp;$U$98,DEALS!$K:$K,U$100,DEALS!$M:$M,$T116,DEALS!$N:$N,"&lt;&gt;*RECEIVED*",DEALS!$N:$N,"&lt;&gt;*EXECUTED*"))+SUM(SUMIFS(DEALS!$R:$R,DEALS!$A:$A,{"*REFUND*","*EXECUTED*"},DEALS!$O:$O,$B$96,DEALS!$E:$E,"&lt;="&amp;$U$98,DEALS!$S:$S,U$100,DEALS!$U:$U,$T116,DEALS!$V:$V,"&lt;&gt;*RECEIVED*",DEALS!$V:$V,"&lt;&gt;*EXECUTED*"))</f>
        <v>0</v>
      </c>
      <c r="V116" s="32" cm="1">
        <f t="array" ref="V116">SUMIFS(BALANCES!$C:$C,BALANCES!$A:$A,$B$96,BALANCES!$B:$B,$T116,BALANCES!$D:$D,V$100)+SUMIFS(FLOWS!$C:$C,FLOWS!$A:$A,$B$96,FLOWS!$E:$E,$T116,FLOWS!$D:$D,V$100,FLOWS!$H:$H,"&lt;="&amp;$U$98)+SUM(SUMIFS(DEALS!$J:$J,DEALS!$A:$A,{"*REFUND*","*EXECUTED*"},DEALS!$G:$G,$B$96,DEALS!$E:$E,"&lt;="&amp;$U$98,DEALS!$K:$K,V$100,DEALS!$M:$M,$T116,DEALS!$N:$N,"&lt;&gt;*RECEIVED*",DEALS!$N:$N,"&lt;&gt;*EXECUTED*"))+SUM(SUMIFS(DEALS!$R:$R,DEALS!$A:$A,{"*REFUND*","*EXECUTED*"},DEALS!$O:$O,$B$96,DEALS!$E:$E,"&lt;="&amp;$U$98,DEALS!$S:$S,V$100,DEALS!$U:$U,$T116,DEALS!$V:$V,"&lt;&gt;*RECEIVED*",DEALS!$V:$V,"&lt;&gt;*EXECUTED*"))</f>
        <v>0</v>
      </c>
      <c r="W116" s="32" cm="1">
        <f t="array" ref="W116">SUMIFS(BALANCES!$C:$C,BALANCES!$A:$A,$B$96,BALANCES!$B:$B,$T116,BALANCES!$D:$D,W$100)+SUMIFS(FLOWS!$C:$C,FLOWS!$A:$A,$B$96,FLOWS!$E:$E,$T116,FLOWS!$D:$D,W$100,FLOWS!$H:$H,"&lt;="&amp;$U$98)+SUM(SUMIFS(DEALS!$J:$J,DEALS!$A:$A,{"*REFUND*","*EXECUTED*"},DEALS!$G:$G,$B$96,DEALS!$E:$E,"&lt;="&amp;$U$98,DEALS!$K:$K,W$100,DEALS!$M:$M,$T116,DEALS!$N:$N,"&lt;&gt;*RECEIVED*",DEALS!$N:$N,"&lt;&gt;*EXECUTED*"))+SUM(SUMIFS(DEALS!$R:$R,DEALS!$A:$A,{"*REFUND*","*EXECUTED*"},DEALS!$O:$O,$B$96,DEALS!$E:$E,"&lt;="&amp;$U$98,DEALS!$S:$S,W$100,DEALS!$U:$U,$T116,DEALS!$V:$V,"&lt;&gt;*RECEIVED*",DEALS!$V:$V,"&lt;&gt;*EXECUTED*"))</f>
        <v>0</v>
      </c>
      <c r="X116" s="32" cm="1">
        <f t="array" ref="X116">SUMIFS(BALANCES!$C:$C,BALANCES!$A:$A,$B$96,BALANCES!$B:$B,$T116,BALANCES!$D:$D,X$100)+SUMIFS(FLOWS!$C:$C,FLOWS!$A:$A,$B$96,FLOWS!$E:$E,$T116,FLOWS!$D:$D,X$100,FLOWS!$H:$H,"&lt;="&amp;$U$98)+SUM(SUMIFS(DEALS!$J:$J,DEALS!$A:$A,{"*REFUND*","*EXECUTED*"},DEALS!$G:$G,$B$96,DEALS!$E:$E,"&lt;="&amp;$U$98,DEALS!$K:$K,X$100,DEALS!$M:$M,$T116,DEALS!$N:$N,"&lt;&gt;*RECEIVED*",DEALS!$N:$N,"&lt;&gt;*EXECUTED*"))+SUM(SUMIFS(DEALS!$R:$R,DEALS!$A:$A,{"*REFUND*","*EXECUTED*"},DEALS!$O:$O,$B$96,DEALS!$E:$E,"&lt;="&amp;$U$98,DEALS!$S:$S,X$100,DEALS!$U:$U,$T116,DEALS!$V:$V,"&lt;&gt;*RECEIVED*",DEALS!$V:$V,"&lt;&gt;*EXECUTED*"))</f>
        <v>0</v>
      </c>
      <c r="Y116" s="32" cm="1">
        <f t="array" ref="Y116">SUMIFS(BALANCES!$C:$C,BALANCES!$A:$A,$B$96,BALANCES!$B:$B,$T116,BALANCES!$D:$D,Y$100)+SUMIFS(FLOWS!$C:$C,FLOWS!$A:$A,$B$96,FLOWS!$E:$E,$T116,FLOWS!$D:$D,Y$100,FLOWS!$H:$H,"&lt;="&amp;$U$98)+SUM(SUMIFS(DEALS!$J:$J,DEALS!$A:$A,{"*REFUND*","*EXECUTED*"},DEALS!$G:$G,$B$96,DEALS!$E:$E,"&lt;="&amp;$U$98,DEALS!$K:$K,Y$100,DEALS!$M:$M,$T116,DEALS!$N:$N,"&lt;&gt;*RECEIVED*",DEALS!$N:$N,"&lt;&gt;*EXECUTED*"))+SUM(SUMIFS(DEALS!$R:$R,DEALS!$A:$A,{"*REFUND*","*EXECUTED*"},DEALS!$O:$O,$B$96,DEALS!$E:$E,"&lt;="&amp;$U$98,DEALS!$S:$S,Y$100,DEALS!$U:$U,$T116,DEALS!$V:$V,"&lt;&gt;*RECEIVED*",DEALS!$V:$V,"&lt;&gt;*EXECUTED*"))</f>
        <v>0</v>
      </c>
      <c r="Z116" s="32" cm="1">
        <f t="array" ref="Z116">SUMIFS(BALANCES!$C:$C,BALANCES!$A:$A,$B$96,BALANCES!$B:$B,$T116,BALANCES!$D:$D,Z$100)+SUMIFS(FLOWS!$C:$C,FLOWS!$A:$A,$B$96,FLOWS!$E:$E,$T116,FLOWS!$D:$D,Z$100,FLOWS!$H:$H,"&lt;="&amp;$U$98)+SUM(SUMIFS(DEALS!$J:$J,DEALS!$A:$A,{"*REFUND*","*EXECUTED*"},DEALS!$G:$G,$B$96,DEALS!$E:$E,"&lt;="&amp;$U$98,DEALS!$K:$K,Z$100,DEALS!$M:$M,$T116,DEALS!$N:$N,"&lt;&gt;*RECEIVED*",DEALS!$N:$N,"&lt;&gt;*EXECUTED*"))+SUM(SUMIFS(DEALS!$R:$R,DEALS!$A:$A,{"*REFUND*","*EXECUTED*"},DEALS!$O:$O,$B$96,DEALS!$E:$E,"&lt;="&amp;$U$98,DEALS!$S:$S,Z$100,DEALS!$U:$U,$T116,DEALS!$V:$V,"&lt;&gt;*RECEIVED*",DEALS!$V:$V,"&lt;&gt;*EXECUTED*"))</f>
        <v>0</v>
      </c>
      <c r="AA116" s="33">
        <f ca="1">U116*VLOOKUP(U$100,'FX RATES'!$E$1:$F$50,2,FALSE)+V116*VLOOKUP(V$100,'FX RATES'!$E$1:$F$50,2,FALSE)+W116*VLOOKUP(W$100,'FX RATES'!$E$1:$F$50,2,FALSE)+X116*VLOOKUP(X$100,'FX RATES'!$E$1:$F$50,2,FALSE)+Y116*VLOOKUP(Y$100,'FX RATES'!$E$1:$F$50,2,FALSE)+Z116*VLOOKUP(Z$100,'FX RATES'!$E$1:$F$50,2,FALSE)</f>
        <v>0</v>
      </c>
      <c r="AC116" s="139">
        <f t="shared" ca="1" si="39"/>
        <v>0</v>
      </c>
    </row>
    <row r="117" spans="2:29" ht="19" hidden="1">
      <c r="B117" s="28"/>
      <c r="C117" s="29" cm="1">
        <f t="array" ref="C117">SUMIFS(BALANCES!$C:$C,BALANCES!$A:$A,$B$96,BALANCES!$B:$B,$B117,BALANCES!$D:$D,C$100)+SUMIFS(FLOWS!$C:$C,FLOWS!$A:$A,$B$96,FLOWS!$E:$E,$B117,FLOWS!$D:$D,C$100,FLOWS!$H:$H,"&lt;"&amp;$C$98)+SUM(SUMIFS(DEALS!$J:$J,DEALS!$A:$A,{"*REFUND*","*EXECUTED*"},DEALS!$G:$G,$B$96,DEALS!$E:$E,"&lt;"&amp;$C$98,DEALS!$K:$K,C$100,DEALS!$M:$M,$B117,DEALS!$N:$N,"&lt;&gt;*RECEIVED*",DEALS!$N:$N,"&lt;&gt;*EXECUTED*"))+SUM(SUMIFS(DEALS!$R:$R,DEALS!$A:$A,{"*REFUND*","*EXECUTED*"},DEALS!$O:$O,$B$96,DEALS!$E:$E,"&lt;"&amp;$C$98,DEALS!$S:$S,C$100,DEALS!$U:$U,$B117,DEALS!$V:$V,"&lt;&gt;*RECEIVED*",DEALS!$V:$V,"&lt;&gt;*EXECUTED*"))</f>
        <v>0</v>
      </c>
      <c r="D117" s="29" cm="1">
        <f t="array" ref="D117">SUMIFS(BALANCES!$C:$C,BALANCES!$A:$A,$B$96,BALANCES!$B:$B,$B117,BALANCES!$D:$D,D$100)+SUMIFS(FLOWS!$C:$C,FLOWS!$A:$A,$B$96,FLOWS!$E:$E,$B117,FLOWS!$D:$D,D$100,FLOWS!$H:$H,"&lt;"&amp;$C$98)+SUM(SUMIFS(DEALS!$J:$J,DEALS!$A:$A,{"*REFUND*","*EXECUTED*"},DEALS!$G:$G,$B$96,DEALS!$E:$E,"&lt;"&amp;$C$98,DEALS!$K:$K,D$100,DEALS!$M:$M,$B117,DEALS!$N:$N,"&lt;&gt;*RECEIVED*",DEALS!$N:$N,"&lt;&gt;*EXECUTED*"))+SUM(SUMIFS(DEALS!$R:$R,DEALS!$A:$A,{"*REFUND*","*EXECUTED*"},DEALS!$O:$O,$B$96,DEALS!$E:$E,"&lt;"&amp;$C$98,DEALS!$S:$S,D$100,DEALS!$U:$U,$B117,DEALS!$V:$V,"&lt;&gt;*RECEIVED*",DEALS!$V:$V,"&lt;&gt;*EXECUTED*"))</f>
        <v>0</v>
      </c>
      <c r="E117" s="29" cm="1">
        <f t="array" ref="E117">SUMIFS(BALANCES!$C:$C,BALANCES!$A:$A,$B$96,BALANCES!$B:$B,$B117,BALANCES!$D:$D,E$100)+SUMIFS(FLOWS!$C:$C,FLOWS!$A:$A,$B$96,FLOWS!$E:$E,$B117,FLOWS!$D:$D,E$100,FLOWS!$H:$H,"&lt;"&amp;$C$98)+SUM(SUMIFS(DEALS!$J:$J,DEALS!$A:$A,{"*REFUND*","*EXECUTED*"},DEALS!$G:$G,$B$96,DEALS!$E:$E,"&lt;"&amp;$C$98,DEALS!$K:$K,E$100,DEALS!$M:$M,$B117,DEALS!$N:$N,"&lt;&gt;*RECEIVED*",DEALS!$N:$N,"&lt;&gt;*EXECUTED*"))+SUM(SUMIFS(DEALS!$R:$R,DEALS!$A:$A,{"*REFUND*","*EXECUTED*"},DEALS!$O:$O,$B$96,DEALS!$E:$E,"&lt;"&amp;$C$98,DEALS!$S:$S,E$100,DEALS!$U:$U,$B117,DEALS!$V:$V,"&lt;&gt;*RECEIVED*",DEALS!$V:$V,"&lt;&gt;*EXECUTED*"))</f>
        <v>0</v>
      </c>
      <c r="F117" s="29" cm="1">
        <f t="array" ref="F117">SUMIFS(BALANCES!$C:$C,BALANCES!$A:$A,$B$96,BALANCES!$B:$B,$B117,BALANCES!$D:$D,F$100)+SUMIFS(FLOWS!$C:$C,FLOWS!$A:$A,$B$96,FLOWS!$E:$E,$B117,FLOWS!$D:$D,F$100,FLOWS!$H:$H,"&lt;"&amp;$C$98)+SUM(SUMIFS(DEALS!$J:$J,DEALS!$A:$A,{"*REFUND*","*EXECUTED*"},DEALS!$G:$G,$B$96,DEALS!$E:$E,"&lt;"&amp;$C$98,DEALS!$K:$K,F$100,DEALS!$M:$M,$B117,DEALS!$N:$N,"&lt;&gt;*RECEIVED*",DEALS!$N:$N,"&lt;&gt;*EXECUTED*"))+SUM(SUMIFS(DEALS!$R:$R,DEALS!$A:$A,{"*REFUND*","*EXECUTED*"},DEALS!$O:$O,$B$96,DEALS!$E:$E,"&lt;"&amp;$C$98,DEALS!$S:$S,F$100,DEALS!$U:$U,$B117,DEALS!$V:$V,"&lt;&gt;*RECEIVED*",DEALS!$V:$V,"&lt;&gt;*EXECUTED*"))</f>
        <v>0</v>
      </c>
      <c r="G117" s="29" cm="1">
        <f t="array" ref="G117">SUMIFS(BALANCES!$C:$C,BALANCES!$A:$A,$B$96,BALANCES!$B:$B,$B117,BALANCES!$D:$D,G$100)+SUMIFS(FLOWS!$C:$C,FLOWS!$A:$A,$B$96,FLOWS!$E:$E,$B117,FLOWS!$D:$D,G$100,FLOWS!$H:$H,"&lt;"&amp;$C$98)+SUM(SUMIFS(DEALS!$J:$J,DEALS!$A:$A,{"*REFUND*","*EXECUTED*"},DEALS!$G:$G,$B$96,DEALS!$E:$E,"&lt;"&amp;$C$98,DEALS!$K:$K,G$100,DEALS!$M:$M,$B117,DEALS!$N:$N,"&lt;&gt;*RECEIVED*",DEALS!$N:$N,"&lt;&gt;*EXECUTED*"))+SUM(SUMIFS(DEALS!$R:$R,DEALS!$A:$A,{"*REFUND*","*EXECUTED*"},DEALS!$O:$O,$B$96,DEALS!$E:$E,"&lt;"&amp;$C$98,DEALS!$S:$S,G$100,DEALS!$U:$U,$B117,DEALS!$V:$V,"&lt;&gt;*RECEIVED*",DEALS!$V:$V,"&lt;&gt;*EXECUTED*"))</f>
        <v>0</v>
      </c>
      <c r="H117" s="29" cm="1">
        <f t="array" ref="H117">SUMIFS(BALANCES!$C:$C,BALANCES!$A:$A,$B$96,BALANCES!$B:$B,$B117,BALANCES!$D:$D,H$100)+SUMIFS(FLOWS!$C:$C,FLOWS!$A:$A,$B$96,FLOWS!$E:$E,$B117,FLOWS!$D:$D,H$100,FLOWS!$H:$H,"&lt;"&amp;$C$98)+SUM(SUMIFS(DEALS!$J:$J,DEALS!$A:$A,{"*REFUND*","*EXECUTED*"},DEALS!$G:$G,$B$96,DEALS!$E:$E,"&lt;"&amp;$C$98,DEALS!$K:$K,H$100,DEALS!$M:$M,$B117,DEALS!$N:$N,"&lt;&gt;*RECEIVED*",DEALS!$N:$N,"&lt;&gt;*EXECUTED*"))+SUM(SUMIFS(DEALS!$R:$R,DEALS!$A:$A,{"*REFUND*","*EXECUTED*"},DEALS!$O:$O,$B$96,DEALS!$E:$E,"&lt;"&amp;$C$98,DEALS!$S:$S,H$100,DEALS!$U:$U,$B117,DEALS!$V:$V,"&lt;&gt;*RECEIVED*",DEALS!$V:$V,"&lt;&gt;*EXECUTED*"))</f>
        <v>0</v>
      </c>
      <c r="I117" s="30">
        <f ca="1">C117*VLOOKUP(C$100,'FX RATES'!$E$1:$F$50,2,FALSE)+D117*VLOOKUP(D$100,'FX RATES'!$E$1:$F$50,2,FALSE)+E117*VLOOKUP(E$100,'FX RATES'!$E$1:$F$50,2,FALSE)+F117*VLOOKUP(F$100,'FX RATES'!$E$1:$F$50,2,FALSE)+G117*VLOOKUP(G$100,'FX RATES'!$E$1:$F$50,2,FALSE)+H117*VLOOKUP(H$100,'FX RATES'!$E$1:$F$50,2,FALSE)</f>
        <v>0</v>
      </c>
      <c r="K117" s="28">
        <f t="shared" si="37"/>
        <v>0</v>
      </c>
      <c r="L117" s="29" cm="1">
        <f t="array" ref="L117">SUMIFS(FLOWS!$C:$C,FLOWS!$A:$A,$B$96,FLOWS!$E:$E,$K117,FLOWS!$D:$D,L$100,FLOWS!$H:$H,"&gt;="&amp;$C$98,FLOWS!$H:$H,"&lt;="&amp;$U$98)+SUM(SUMIFS(DEALS!$J:$J,DEALS!$A:$A,{"*REFUND*","*EXECUTED*"},DEALS!$G:$G,$B$96,DEALS!$E:$E,"&gt;="&amp;$C$98,DEALS!$E:$E,"&lt;="&amp;$U$98,DEALS!$K:$K,L$100,DEALS!$M:$M,$K117,DEALS!$N:$N,"&lt;&gt;*RECEIVED*",DEALS!$N:$N,"&lt;&gt;*EXECUTED*"))+SUM(SUMIFS(DEALS!$R:$R,DEALS!$A:$A,{"*REFUND*","*EXECUTED*"},DEALS!$O:$O,$B$96,DEALS!$E:$E,"&gt;="&amp;$C$98,DEALS!$E:$E,"&lt;="&amp;$U$98,DEALS!$S:$S,L$100,DEALS!$U:$U,$K117,DEALS!$V:$V,"&lt;&gt;*RECEIVED*",DEALS!$V:$V,"&lt;&gt;*EXECUTED*"))</f>
        <v>0</v>
      </c>
      <c r="M117" s="29" cm="1">
        <f t="array" ref="M117">SUMIFS(FLOWS!$C:$C,FLOWS!$A:$A,$B$96,FLOWS!$E:$E,$K117,FLOWS!$D:$D,M$100,FLOWS!$H:$H,"&gt;="&amp;$C$98,FLOWS!$H:$H,"&lt;="&amp;$U$98)+SUM(SUMIFS(DEALS!$J:$J,DEALS!$A:$A,{"*REFUND*","*EXECUTED*"},DEALS!$G:$G,$B$96,DEALS!$E:$E,"&gt;="&amp;$C$98,DEALS!$E:$E,"&lt;="&amp;$U$98,DEALS!$K:$K,M$100,DEALS!$M:$M,$K117,DEALS!$N:$N,"&lt;&gt;*RECEIVED*",DEALS!$N:$N,"&lt;&gt;*EXECUTED*"))+SUM(SUMIFS(DEALS!$R:$R,DEALS!$A:$A,{"*REFUND*","*EXECUTED*"},DEALS!$O:$O,$B$96,DEALS!$E:$E,"&gt;="&amp;$C$98,DEALS!$E:$E,"&lt;="&amp;$U$98,DEALS!$S:$S,M$100,DEALS!$U:$U,$K117,DEALS!$V:$V,"&lt;&gt;*RECEIVED*",DEALS!$V:$V,"&lt;&gt;*EXECUTED*"))</f>
        <v>0</v>
      </c>
      <c r="N117" s="29" cm="1">
        <f t="array" ref="N117">SUMIFS(FLOWS!$C:$C,FLOWS!$A:$A,$B$96,FLOWS!$E:$E,$K117,FLOWS!$D:$D,N$100,FLOWS!$H:$H,"&gt;="&amp;$C$98,FLOWS!$H:$H,"&lt;="&amp;$U$98)+SUM(SUMIFS(DEALS!$J:$J,DEALS!$A:$A,{"*REFUND*","*EXECUTED*"},DEALS!$G:$G,$B$96,DEALS!$E:$E,"&gt;="&amp;$C$98,DEALS!$E:$E,"&lt;="&amp;$U$98,DEALS!$K:$K,N$100,DEALS!$M:$M,$K117,DEALS!$N:$N,"&lt;&gt;*RECEIVED*",DEALS!$N:$N,"&lt;&gt;*EXECUTED*"))+SUM(SUMIFS(DEALS!$R:$R,DEALS!$A:$A,{"*REFUND*","*EXECUTED*"},DEALS!$O:$O,$B$96,DEALS!$E:$E,"&gt;="&amp;$C$98,DEALS!$E:$E,"&lt;="&amp;$U$98,DEALS!$S:$S,N$100,DEALS!$U:$U,$K117,DEALS!$V:$V,"&lt;&gt;*RECEIVED*",DEALS!$V:$V,"&lt;&gt;*EXECUTED*"))</f>
        <v>0</v>
      </c>
      <c r="O117" s="29" cm="1">
        <f t="array" ref="O117">SUMIFS(FLOWS!$C:$C,FLOWS!$A:$A,$B$96,FLOWS!$E:$E,$K117,FLOWS!$D:$D,O$100,FLOWS!$H:$H,"&gt;="&amp;$C$98,FLOWS!$H:$H,"&lt;="&amp;$U$98)+SUM(SUMIFS(DEALS!$J:$J,DEALS!$A:$A,{"*REFUND*","*EXECUTED*"},DEALS!$G:$G,$B$96,DEALS!$E:$E,"&gt;="&amp;$C$98,DEALS!$E:$E,"&lt;="&amp;$U$98,DEALS!$K:$K,O$100,DEALS!$M:$M,$K117,DEALS!$N:$N,"&lt;&gt;*RECEIVED*",DEALS!$N:$N,"&lt;&gt;*EXECUTED*"))+SUM(SUMIFS(DEALS!$R:$R,DEALS!$A:$A,{"*REFUND*","*EXECUTED*"},DEALS!$O:$O,$B$96,DEALS!$E:$E,"&gt;="&amp;$C$98,DEALS!$E:$E,"&lt;="&amp;$U$98,DEALS!$S:$S,O$100,DEALS!$U:$U,$K117,DEALS!$V:$V,"&lt;&gt;*RECEIVED*",DEALS!$V:$V,"&lt;&gt;*EXECUTED*"))</f>
        <v>0</v>
      </c>
      <c r="P117" s="29" cm="1">
        <f t="array" ref="P117">SUMIFS(FLOWS!$C:$C,FLOWS!$A:$A,$B$96,FLOWS!$E:$E,$K117,FLOWS!$D:$D,P$100,FLOWS!$H:$H,"&gt;="&amp;$C$98,FLOWS!$H:$H,"&lt;="&amp;$U$98)+SUM(SUMIFS(DEALS!$J:$J,DEALS!$A:$A,{"*REFUND*","*EXECUTED*"},DEALS!$G:$G,$B$96,DEALS!$E:$E,"&gt;="&amp;$C$98,DEALS!$E:$E,"&lt;="&amp;$U$98,DEALS!$K:$K,P$100,DEALS!$M:$M,$K117,DEALS!$N:$N,"&lt;&gt;*RECEIVED*",DEALS!$N:$N,"&lt;&gt;*EXECUTED*"))+SUM(SUMIFS(DEALS!$R:$R,DEALS!$A:$A,{"*REFUND*","*EXECUTED*"},DEALS!$O:$O,$B$96,DEALS!$E:$E,"&gt;="&amp;$C$98,DEALS!$E:$E,"&lt;="&amp;$U$98,DEALS!$S:$S,P$100,DEALS!$U:$U,$K117,DEALS!$V:$V,"&lt;&gt;*RECEIVED*",DEALS!$V:$V,"&lt;&gt;*EXECUTED*"))</f>
        <v>0</v>
      </c>
      <c r="Q117" s="29" cm="1">
        <f t="array" ref="Q117">SUMIFS(FLOWS!$C:$C,FLOWS!$A:$A,$B$96,FLOWS!$E:$E,$K117,FLOWS!$D:$D,Q$100,FLOWS!$H:$H,"&gt;="&amp;$C$98,FLOWS!$H:$H,"&lt;="&amp;$U$98)+SUM(SUMIFS(DEALS!$J:$J,DEALS!$A:$A,{"*REFUND*","*EXECUTED*"},DEALS!$G:$G,$B$96,DEALS!$E:$E,"&gt;="&amp;$C$98,DEALS!$E:$E,"&lt;="&amp;$U$98,DEALS!$K:$K,Q$100,DEALS!$M:$M,$K117,DEALS!$N:$N,"&lt;&gt;*RECEIVED*",DEALS!$N:$N,"&lt;&gt;*EXECUTED*"))+SUM(SUMIFS(DEALS!$R:$R,DEALS!$A:$A,{"*REFUND*","*EXECUTED*"},DEALS!$O:$O,$B$96,DEALS!$E:$E,"&gt;="&amp;$C$98,DEALS!$E:$E,"&lt;="&amp;$U$98,DEALS!$S:$S,Q$100,DEALS!$U:$U,$K117,DEALS!$V:$V,"&lt;&gt;*RECEIVED*",DEALS!$V:$V,"&lt;&gt;*EXECUTED*"))</f>
        <v>0</v>
      </c>
      <c r="R117" s="30">
        <f ca="1">L117*VLOOKUP(L$100,'FX RATES'!$E$1:$F$50,2,FALSE)+M117*VLOOKUP(M$100,'FX RATES'!$E$1:$F$50,2,FALSE)+N117*VLOOKUP(N$100,'FX RATES'!$E$1:$F$50,2,FALSE)+O117*VLOOKUP(O$100,'FX RATES'!$E$1:$F$50,2,FALSE)+P117*VLOOKUP(P$100,'FX RATES'!$E$1:$F$50,2,FALSE)+Q117*VLOOKUP(Q$100,'FX RATES'!$E$1:$F$50,2,FALSE)</f>
        <v>0</v>
      </c>
      <c r="T117" s="28">
        <f t="shared" si="38"/>
        <v>0</v>
      </c>
      <c r="U117" s="29" cm="1">
        <f t="array" ref="U117">SUMIFS(BALANCES!$C:$C,BALANCES!$A:$A,$B$96,BALANCES!$B:$B,$T117,BALANCES!$D:$D,U$100)+SUMIFS(FLOWS!$C:$C,FLOWS!$A:$A,$B$96,FLOWS!$E:$E,$T117,FLOWS!$D:$D,U$100,FLOWS!$H:$H,"&lt;="&amp;$U$98)+SUM(SUMIFS(DEALS!$J:$J,DEALS!$A:$A,{"*REFUND*","*EXECUTED*"},DEALS!$G:$G,$B$96,DEALS!$E:$E,"&lt;="&amp;$U$98,DEALS!$K:$K,U$100,DEALS!$M:$M,$T117,DEALS!$N:$N,"&lt;&gt;*RECEIVED*",DEALS!$N:$N,"&lt;&gt;*EXECUTED*"))+SUM(SUMIFS(DEALS!$R:$R,DEALS!$A:$A,{"*REFUND*","*EXECUTED*"},DEALS!$O:$O,$B$96,DEALS!$E:$E,"&lt;="&amp;$U$98,DEALS!$S:$S,U$100,DEALS!$U:$U,$T117,DEALS!$V:$V,"&lt;&gt;*RECEIVED*",DEALS!$V:$V,"&lt;&gt;*EXECUTED*"))</f>
        <v>0</v>
      </c>
      <c r="V117" s="29" cm="1">
        <f t="array" ref="V117">SUMIFS(BALANCES!$C:$C,BALANCES!$A:$A,$B$96,BALANCES!$B:$B,$T117,BALANCES!$D:$D,V$100)+SUMIFS(FLOWS!$C:$C,FLOWS!$A:$A,$B$96,FLOWS!$E:$E,$T117,FLOWS!$D:$D,V$100,FLOWS!$H:$H,"&lt;="&amp;$U$98)+SUM(SUMIFS(DEALS!$J:$J,DEALS!$A:$A,{"*REFUND*","*EXECUTED*"},DEALS!$G:$G,$B$96,DEALS!$E:$E,"&lt;="&amp;$U$98,DEALS!$K:$K,V$100,DEALS!$M:$M,$T117,DEALS!$N:$N,"&lt;&gt;*RECEIVED*",DEALS!$N:$N,"&lt;&gt;*EXECUTED*"))+SUM(SUMIFS(DEALS!$R:$R,DEALS!$A:$A,{"*REFUND*","*EXECUTED*"},DEALS!$O:$O,$B$96,DEALS!$E:$E,"&lt;="&amp;$U$98,DEALS!$S:$S,V$100,DEALS!$U:$U,$T117,DEALS!$V:$V,"&lt;&gt;*RECEIVED*",DEALS!$V:$V,"&lt;&gt;*EXECUTED*"))</f>
        <v>0</v>
      </c>
      <c r="W117" s="29" cm="1">
        <f t="array" ref="W117">SUMIFS(BALANCES!$C:$C,BALANCES!$A:$A,$B$96,BALANCES!$B:$B,$T117,BALANCES!$D:$D,W$100)+SUMIFS(FLOWS!$C:$C,FLOWS!$A:$A,$B$96,FLOWS!$E:$E,$T117,FLOWS!$D:$D,W$100,FLOWS!$H:$H,"&lt;="&amp;$U$98)+SUM(SUMIFS(DEALS!$J:$J,DEALS!$A:$A,{"*REFUND*","*EXECUTED*"},DEALS!$G:$G,$B$96,DEALS!$E:$E,"&lt;="&amp;$U$98,DEALS!$K:$K,W$100,DEALS!$M:$M,$T117,DEALS!$N:$N,"&lt;&gt;*RECEIVED*",DEALS!$N:$N,"&lt;&gt;*EXECUTED*"))+SUM(SUMIFS(DEALS!$R:$R,DEALS!$A:$A,{"*REFUND*","*EXECUTED*"},DEALS!$O:$O,$B$96,DEALS!$E:$E,"&lt;="&amp;$U$98,DEALS!$S:$S,W$100,DEALS!$U:$U,$T117,DEALS!$V:$V,"&lt;&gt;*RECEIVED*",DEALS!$V:$V,"&lt;&gt;*EXECUTED*"))</f>
        <v>0</v>
      </c>
      <c r="X117" s="29" cm="1">
        <f t="array" ref="X117">SUMIFS(BALANCES!$C:$C,BALANCES!$A:$A,$B$96,BALANCES!$B:$B,$T117,BALANCES!$D:$D,X$100)+SUMIFS(FLOWS!$C:$C,FLOWS!$A:$A,$B$96,FLOWS!$E:$E,$T117,FLOWS!$D:$D,X$100,FLOWS!$H:$H,"&lt;="&amp;$U$98)+SUM(SUMIFS(DEALS!$J:$J,DEALS!$A:$A,{"*REFUND*","*EXECUTED*"},DEALS!$G:$G,$B$96,DEALS!$E:$E,"&lt;="&amp;$U$98,DEALS!$K:$K,X$100,DEALS!$M:$M,$T117,DEALS!$N:$N,"&lt;&gt;*RECEIVED*",DEALS!$N:$N,"&lt;&gt;*EXECUTED*"))+SUM(SUMIFS(DEALS!$R:$R,DEALS!$A:$A,{"*REFUND*","*EXECUTED*"},DEALS!$O:$O,$B$96,DEALS!$E:$E,"&lt;="&amp;$U$98,DEALS!$S:$S,X$100,DEALS!$U:$U,$T117,DEALS!$V:$V,"&lt;&gt;*RECEIVED*",DEALS!$V:$V,"&lt;&gt;*EXECUTED*"))</f>
        <v>0</v>
      </c>
      <c r="Y117" s="29" cm="1">
        <f t="array" ref="Y117">SUMIFS(BALANCES!$C:$C,BALANCES!$A:$A,$B$96,BALANCES!$B:$B,$T117,BALANCES!$D:$D,Y$100)+SUMIFS(FLOWS!$C:$C,FLOWS!$A:$A,$B$96,FLOWS!$E:$E,$T117,FLOWS!$D:$D,Y$100,FLOWS!$H:$H,"&lt;="&amp;$U$98)+SUM(SUMIFS(DEALS!$J:$J,DEALS!$A:$A,{"*REFUND*","*EXECUTED*"},DEALS!$G:$G,$B$96,DEALS!$E:$E,"&lt;="&amp;$U$98,DEALS!$K:$K,Y$100,DEALS!$M:$M,$T117,DEALS!$N:$N,"&lt;&gt;*RECEIVED*",DEALS!$N:$N,"&lt;&gt;*EXECUTED*"))+SUM(SUMIFS(DEALS!$R:$R,DEALS!$A:$A,{"*REFUND*","*EXECUTED*"},DEALS!$O:$O,$B$96,DEALS!$E:$E,"&lt;="&amp;$U$98,DEALS!$S:$S,Y$100,DEALS!$U:$U,$T117,DEALS!$V:$V,"&lt;&gt;*RECEIVED*",DEALS!$V:$V,"&lt;&gt;*EXECUTED*"))</f>
        <v>0</v>
      </c>
      <c r="Z117" s="29" cm="1">
        <f t="array" ref="Z117">SUMIFS(BALANCES!$C:$C,BALANCES!$A:$A,$B$96,BALANCES!$B:$B,$T117,BALANCES!$D:$D,Z$100)+SUMIFS(FLOWS!$C:$C,FLOWS!$A:$A,$B$96,FLOWS!$E:$E,$T117,FLOWS!$D:$D,Z$100,FLOWS!$H:$H,"&lt;="&amp;$U$98)+SUM(SUMIFS(DEALS!$J:$J,DEALS!$A:$A,{"*REFUND*","*EXECUTED*"},DEALS!$G:$G,$B$96,DEALS!$E:$E,"&lt;="&amp;$U$98,DEALS!$K:$K,Z$100,DEALS!$M:$M,$T117,DEALS!$N:$N,"&lt;&gt;*RECEIVED*",DEALS!$N:$N,"&lt;&gt;*EXECUTED*"))+SUM(SUMIFS(DEALS!$R:$R,DEALS!$A:$A,{"*REFUND*","*EXECUTED*"},DEALS!$O:$O,$B$96,DEALS!$E:$E,"&lt;="&amp;$U$98,DEALS!$S:$S,Z$100,DEALS!$U:$U,$T117,DEALS!$V:$V,"&lt;&gt;*RECEIVED*",DEALS!$V:$V,"&lt;&gt;*EXECUTED*"))</f>
        <v>0</v>
      </c>
      <c r="AA117" s="30">
        <f ca="1">U117*VLOOKUP(U$100,'FX RATES'!$E$1:$F$50,2,FALSE)+V117*VLOOKUP(V$100,'FX RATES'!$E$1:$F$50,2,FALSE)+W117*VLOOKUP(W$100,'FX RATES'!$E$1:$F$50,2,FALSE)+X117*VLOOKUP(X$100,'FX RATES'!$E$1:$F$50,2,FALSE)+Y117*VLOOKUP(Y$100,'FX RATES'!$E$1:$F$50,2,FALSE)+Z117*VLOOKUP(Z$100,'FX RATES'!$E$1:$F$50,2,FALSE)</f>
        <v>0</v>
      </c>
      <c r="AC117" s="139">
        <f t="shared" ca="1" si="39"/>
        <v>0</v>
      </c>
    </row>
    <row r="118" spans="2:29" ht="20" hidden="1" thickBot="1">
      <c r="B118" s="31"/>
      <c r="C118" s="32" cm="1">
        <f t="array" ref="C118">SUMIFS(BALANCES!$C:$C,BALANCES!$A:$A,$B$96,BALANCES!$B:$B,$B118,BALANCES!$D:$D,C$100)+SUMIFS(FLOWS!$C:$C,FLOWS!$A:$A,$B$96,FLOWS!$E:$E,$B118,FLOWS!$D:$D,C$100,FLOWS!$H:$H,"&lt;"&amp;$C$98)+SUM(SUMIFS(DEALS!$J:$J,DEALS!$A:$A,{"*REFUND*","*EXECUTED*"},DEALS!$G:$G,$B$96,DEALS!$E:$E,"&lt;"&amp;$C$98,DEALS!$K:$K,C$100,DEALS!$M:$M,$B118,DEALS!$N:$N,"&lt;&gt;*RECEIVED*",DEALS!$N:$N,"&lt;&gt;*EXECUTED*"))+SUM(SUMIFS(DEALS!$R:$R,DEALS!$A:$A,{"*REFUND*","*EXECUTED*"},DEALS!$O:$O,$B$96,DEALS!$E:$E,"&lt;"&amp;$C$98,DEALS!$S:$S,C$100,DEALS!$U:$U,$B118,DEALS!$V:$V,"&lt;&gt;*RECEIVED*",DEALS!$V:$V,"&lt;&gt;*EXECUTED*"))</f>
        <v>0</v>
      </c>
      <c r="D118" s="32" cm="1">
        <f t="array" ref="D118">SUMIFS(BALANCES!$C:$C,BALANCES!$A:$A,$B$96,BALANCES!$B:$B,$B118,BALANCES!$D:$D,D$100)+SUMIFS(FLOWS!$C:$C,FLOWS!$A:$A,$B$96,FLOWS!$E:$E,$B118,FLOWS!$D:$D,D$100,FLOWS!$H:$H,"&lt;"&amp;$C$98)+SUM(SUMIFS(DEALS!$J:$J,DEALS!$A:$A,{"*REFUND*","*EXECUTED*"},DEALS!$G:$G,$B$96,DEALS!$E:$E,"&lt;"&amp;$C$98,DEALS!$K:$K,D$100,DEALS!$M:$M,$B118,DEALS!$N:$N,"&lt;&gt;*RECEIVED*",DEALS!$N:$N,"&lt;&gt;*EXECUTED*"))+SUM(SUMIFS(DEALS!$R:$R,DEALS!$A:$A,{"*REFUND*","*EXECUTED*"},DEALS!$O:$O,$B$96,DEALS!$E:$E,"&lt;"&amp;$C$98,DEALS!$S:$S,D$100,DEALS!$U:$U,$B118,DEALS!$V:$V,"&lt;&gt;*RECEIVED*",DEALS!$V:$V,"&lt;&gt;*EXECUTED*"))</f>
        <v>0</v>
      </c>
      <c r="E118" s="32" cm="1">
        <f t="array" ref="E118">SUMIFS(BALANCES!$C:$C,BALANCES!$A:$A,$B$96,BALANCES!$B:$B,$B118,BALANCES!$D:$D,E$100)+SUMIFS(FLOWS!$C:$C,FLOWS!$A:$A,$B$96,FLOWS!$E:$E,$B118,FLOWS!$D:$D,E$100,FLOWS!$H:$H,"&lt;"&amp;$C$98)+SUM(SUMIFS(DEALS!$J:$J,DEALS!$A:$A,{"*REFUND*","*EXECUTED*"},DEALS!$G:$G,$B$96,DEALS!$E:$E,"&lt;"&amp;$C$98,DEALS!$K:$K,E$100,DEALS!$M:$M,$B118,DEALS!$N:$N,"&lt;&gt;*RECEIVED*",DEALS!$N:$N,"&lt;&gt;*EXECUTED*"))+SUM(SUMIFS(DEALS!$R:$R,DEALS!$A:$A,{"*REFUND*","*EXECUTED*"},DEALS!$O:$O,$B$96,DEALS!$E:$E,"&lt;"&amp;$C$98,DEALS!$S:$S,E$100,DEALS!$U:$U,$B118,DEALS!$V:$V,"&lt;&gt;*RECEIVED*",DEALS!$V:$V,"&lt;&gt;*EXECUTED*"))</f>
        <v>0</v>
      </c>
      <c r="F118" s="32" cm="1">
        <f t="array" ref="F118">SUMIFS(BALANCES!$C:$C,BALANCES!$A:$A,$B$96,BALANCES!$B:$B,$B118,BALANCES!$D:$D,F$100)+SUMIFS(FLOWS!$C:$C,FLOWS!$A:$A,$B$96,FLOWS!$E:$E,$B118,FLOWS!$D:$D,F$100,FLOWS!$H:$H,"&lt;"&amp;$C$98)+SUM(SUMIFS(DEALS!$J:$J,DEALS!$A:$A,{"*REFUND*","*EXECUTED*"},DEALS!$G:$G,$B$96,DEALS!$E:$E,"&lt;"&amp;$C$98,DEALS!$K:$K,F$100,DEALS!$M:$M,$B118,DEALS!$N:$N,"&lt;&gt;*RECEIVED*",DEALS!$N:$N,"&lt;&gt;*EXECUTED*"))+SUM(SUMIFS(DEALS!$R:$R,DEALS!$A:$A,{"*REFUND*","*EXECUTED*"},DEALS!$O:$O,$B$96,DEALS!$E:$E,"&lt;"&amp;$C$98,DEALS!$S:$S,F$100,DEALS!$U:$U,$B118,DEALS!$V:$V,"&lt;&gt;*RECEIVED*",DEALS!$V:$V,"&lt;&gt;*EXECUTED*"))</f>
        <v>0</v>
      </c>
      <c r="G118" s="32" cm="1">
        <f t="array" ref="G118">SUMIFS(BALANCES!$C:$C,BALANCES!$A:$A,$B$96,BALANCES!$B:$B,$B118,BALANCES!$D:$D,G$100)+SUMIFS(FLOWS!$C:$C,FLOWS!$A:$A,$B$96,FLOWS!$E:$E,$B118,FLOWS!$D:$D,G$100,FLOWS!$H:$H,"&lt;"&amp;$C$98)+SUM(SUMIFS(DEALS!$J:$J,DEALS!$A:$A,{"*REFUND*","*EXECUTED*"},DEALS!$G:$G,$B$96,DEALS!$E:$E,"&lt;"&amp;$C$98,DEALS!$K:$K,G$100,DEALS!$M:$M,$B118,DEALS!$N:$N,"&lt;&gt;*RECEIVED*",DEALS!$N:$N,"&lt;&gt;*EXECUTED*"))+SUM(SUMIFS(DEALS!$R:$R,DEALS!$A:$A,{"*REFUND*","*EXECUTED*"},DEALS!$O:$O,$B$96,DEALS!$E:$E,"&lt;"&amp;$C$98,DEALS!$S:$S,G$100,DEALS!$U:$U,$B118,DEALS!$V:$V,"&lt;&gt;*RECEIVED*",DEALS!$V:$V,"&lt;&gt;*EXECUTED*"))</f>
        <v>0</v>
      </c>
      <c r="H118" s="32" cm="1">
        <f t="array" ref="H118">SUMIFS(BALANCES!$C:$C,BALANCES!$A:$A,$B$96,BALANCES!$B:$B,$B118,BALANCES!$D:$D,H$100)+SUMIFS(FLOWS!$C:$C,FLOWS!$A:$A,$B$96,FLOWS!$E:$E,$B118,FLOWS!$D:$D,H$100,FLOWS!$H:$H,"&lt;"&amp;$C$98)+SUM(SUMIFS(DEALS!$J:$J,DEALS!$A:$A,{"*REFUND*","*EXECUTED*"},DEALS!$G:$G,$B$96,DEALS!$E:$E,"&lt;"&amp;$C$98,DEALS!$K:$K,H$100,DEALS!$M:$M,$B118,DEALS!$N:$N,"&lt;&gt;*RECEIVED*",DEALS!$N:$N,"&lt;&gt;*EXECUTED*"))+SUM(SUMIFS(DEALS!$R:$R,DEALS!$A:$A,{"*REFUND*","*EXECUTED*"},DEALS!$O:$O,$B$96,DEALS!$E:$E,"&lt;"&amp;$C$98,DEALS!$S:$S,H$100,DEALS!$U:$U,$B118,DEALS!$V:$V,"&lt;&gt;*RECEIVED*",DEALS!$V:$V,"&lt;&gt;*EXECUTED*"))</f>
        <v>0</v>
      </c>
      <c r="I118" s="33">
        <f ca="1">C118*VLOOKUP(C$100,'FX RATES'!$E$1:$F$50,2,FALSE)+D118*VLOOKUP(D$100,'FX RATES'!$E$1:$F$50,2,FALSE)+E118*VLOOKUP(E$100,'FX RATES'!$E$1:$F$50,2,FALSE)+F118*VLOOKUP(F$100,'FX RATES'!$E$1:$F$50,2,FALSE)+G118*VLOOKUP(G$100,'FX RATES'!$E$1:$F$50,2,FALSE)+H118*VLOOKUP(H$100,'FX RATES'!$E$1:$F$50,2,FALSE)</f>
        <v>0</v>
      </c>
      <c r="K118" s="31">
        <f t="shared" si="37"/>
        <v>0</v>
      </c>
      <c r="L118" s="32" cm="1">
        <f t="array" ref="L118">SUMIFS(FLOWS!$C:$C,FLOWS!$A:$A,$B$96,FLOWS!$E:$E,$K118,FLOWS!$D:$D,L$100,FLOWS!$H:$H,"&gt;="&amp;$C$98,FLOWS!$H:$H,"&lt;="&amp;$U$98)+SUM(SUMIFS(DEALS!$J:$J,DEALS!$A:$A,{"*REFUND*","*EXECUTED*"},DEALS!$G:$G,$B$96,DEALS!$E:$E,"&gt;="&amp;$C$98,DEALS!$E:$E,"&lt;="&amp;$U$98,DEALS!$K:$K,L$100,DEALS!$M:$M,$K118,DEALS!$N:$N,"&lt;&gt;*RECEIVED*",DEALS!$N:$N,"&lt;&gt;*EXECUTED*"))+SUM(SUMIFS(DEALS!$R:$R,DEALS!$A:$A,{"*REFUND*","*EXECUTED*"},DEALS!$O:$O,$B$96,DEALS!$E:$E,"&gt;="&amp;$C$98,DEALS!$E:$E,"&lt;="&amp;$U$98,DEALS!$S:$S,L$100,DEALS!$U:$U,$K118,DEALS!$V:$V,"&lt;&gt;*RECEIVED*",DEALS!$V:$V,"&lt;&gt;*EXECUTED*"))</f>
        <v>0</v>
      </c>
      <c r="M118" s="32" cm="1">
        <f t="array" ref="M118">SUMIFS(FLOWS!$C:$C,FLOWS!$A:$A,$B$96,FLOWS!$E:$E,$K118,FLOWS!$D:$D,M$100,FLOWS!$H:$H,"&gt;="&amp;$C$98,FLOWS!$H:$H,"&lt;="&amp;$U$98)+SUM(SUMIFS(DEALS!$J:$J,DEALS!$A:$A,{"*REFUND*","*EXECUTED*"},DEALS!$G:$G,$B$96,DEALS!$E:$E,"&gt;="&amp;$C$98,DEALS!$E:$E,"&lt;="&amp;$U$98,DEALS!$K:$K,M$100,DEALS!$M:$M,$K118,DEALS!$N:$N,"&lt;&gt;*RECEIVED*",DEALS!$N:$N,"&lt;&gt;*EXECUTED*"))+SUM(SUMIFS(DEALS!$R:$R,DEALS!$A:$A,{"*REFUND*","*EXECUTED*"},DEALS!$O:$O,$B$96,DEALS!$E:$E,"&gt;="&amp;$C$98,DEALS!$E:$E,"&lt;="&amp;$U$98,DEALS!$S:$S,M$100,DEALS!$U:$U,$K118,DEALS!$V:$V,"&lt;&gt;*RECEIVED*",DEALS!$V:$V,"&lt;&gt;*EXECUTED*"))</f>
        <v>0</v>
      </c>
      <c r="N118" s="32" cm="1">
        <f t="array" ref="N118">SUMIFS(FLOWS!$C:$C,FLOWS!$A:$A,$B$96,FLOWS!$E:$E,$K118,FLOWS!$D:$D,N$100,FLOWS!$H:$H,"&gt;="&amp;$C$98,FLOWS!$H:$H,"&lt;="&amp;$U$98)+SUM(SUMIFS(DEALS!$J:$J,DEALS!$A:$A,{"*REFUND*","*EXECUTED*"},DEALS!$G:$G,$B$96,DEALS!$E:$E,"&gt;="&amp;$C$98,DEALS!$E:$E,"&lt;="&amp;$U$98,DEALS!$K:$K,N$100,DEALS!$M:$M,$K118,DEALS!$N:$N,"&lt;&gt;*RECEIVED*",DEALS!$N:$N,"&lt;&gt;*EXECUTED*"))+SUM(SUMIFS(DEALS!$R:$R,DEALS!$A:$A,{"*REFUND*","*EXECUTED*"},DEALS!$O:$O,$B$96,DEALS!$E:$E,"&gt;="&amp;$C$98,DEALS!$E:$E,"&lt;="&amp;$U$98,DEALS!$S:$S,N$100,DEALS!$U:$U,$K118,DEALS!$V:$V,"&lt;&gt;*RECEIVED*",DEALS!$V:$V,"&lt;&gt;*EXECUTED*"))</f>
        <v>0</v>
      </c>
      <c r="O118" s="32" cm="1">
        <f t="array" ref="O118">SUMIFS(FLOWS!$C:$C,FLOWS!$A:$A,$B$96,FLOWS!$E:$E,$K118,FLOWS!$D:$D,O$100,FLOWS!$H:$H,"&gt;="&amp;$C$98,FLOWS!$H:$H,"&lt;="&amp;$U$98)+SUM(SUMIFS(DEALS!$J:$J,DEALS!$A:$A,{"*REFUND*","*EXECUTED*"},DEALS!$G:$G,$B$96,DEALS!$E:$E,"&gt;="&amp;$C$98,DEALS!$E:$E,"&lt;="&amp;$U$98,DEALS!$K:$K,O$100,DEALS!$M:$M,$K118,DEALS!$N:$N,"&lt;&gt;*RECEIVED*",DEALS!$N:$N,"&lt;&gt;*EXECUTED*"))+SUM(SUMIFS(DEALS!$R:$R,DEALS!$A:$A,{"*REFUND*","*EXECUTED*"},DEALS!$O:$O,$B$96,DEALS!$E:$E,"&gt;="&amp;$C$98,DEALS!$E:$E,"&lt;="&amp;$U$98,DEALS!$S:$S,O$100,DEALS!$U:$U,$K118,DEALS!$V:$V,"&lt;&gt;*RECEIVED*",DEALS!$V:$V,"&lt;&gt;*EXECUTED*"))</f>
        <v>0</v>
      </c>
      <c r="P118" s="32" cm="1">
        <f t="array" ref="P118">SUMIFS(FLOWS!$C:$C,FLOWS!$A:$A,$B$96,FLOWS!$E:$E,$K118,FLOWS!$D:$D,P$100,FLOWS!$H:$H,"&gt;="&amp;$C$98,FLOWS!$H:$H,"&lt;="&amp;$U$98)+SUM(SUMIFS(DEALS!$J:$J,DEALS!$A:$A,{"*REFUND*","*EXECUTED*"},DEALS!$G:$G,$B$96,DEALS!$E:$E,"&gt;="&amp;$C$98,DEALS!$E:$E,"&lt;="&amp;$U$98,DEALS!$K:$K,P$100,DEALS!$M:$M,$K118,DEALS!$N:$N,"&lt;&gt;*RECEIVED*",DEALS!$N:$N,"&lt;&gt;*EXECUTED*"))+SUM(SUMIFS(DEALS!$R:$R,DEALS!$A:$A,{"*REFUND*","*EXECUTED*"},DEALS!$O:$O,$B$96,DEALS!$E:$E,"&gt;="&amp;$C$98,DEALS!$E:$E,"&lt;="&amp;$U$98,DEALS!$S:$S,P$100,DEALS!$U:$U,$K118,DEALS!$V:$V,"&lt;&gt;*RECEIVED*",DEALS!$V:$V,"&lt;&gt;*EXECUTED*"))</f>
        <v>0</v>
      </c>
      <c r="Q118" s="32" cm="1">
        <f t="array" ref="Q118">SUMIFS(FLOWS!$C:$C,FLOWS!$A:$A,$B$96,FLOWS!$E:$E,$K118,FLOWS!$D:$D,Q$100,FLOWS!$H:$H,"&gt;="&amp;$C$98,FLOWS!$H:$H,"&lt;="&amp;$U$98)+SUM(SUMIFS(DEALS!$J:$J,DEALS!$A:$A,{"*REFUND*","*EXECUTED*"},DEALS!$G:$G,$B$96,DEALS!$E:$E,"&gt;="&amp;$C$98,DEALS!$E:$E,"&lt;="&amp;$U$98,DEALS!$K:$K,Q$100,DEALS!$M:$M,$K118,DEALS!$N:$N,"&lt;&gt;*RECEIVED*",DEALS!$N:$N,"&lt;&gt;*EXECUTED*"))+SUM(SUMIFS(DEALS!$R:$R,DEALS!$A:$A,{"*REFUND*","*EXECUTED*"},DEALS!$O:$O,$B$96,DEALS!$E:$E,"&gt;="&amp;$C$98,DEALS!$E:$E,"&lt;="&amp;$U$98,DEALS!$S:$S,Q$100,DEALS!$U:$U,$K118,DEALS!$V:$V,"&lt;&gt;*RECEIVED*",DEALS!$V:$V,"&lt;&gt;*EXECUTED*"))</f>
        <v>0</v>
      </c>
      <c r="R118" s="33">
        <f ca="1">L118*VLOOKUP(L$100,'FX RATES'!$E$1:$F$50,2,FALSE)+M118*VLOOKUP(M$100,'FX RATES'!$E$1:$F$50,2,FALSE)+N118*VLOOKUP(N$100,'FX RATES'!$E$1:$F$50,2,FALSE)+O118*VLOOKUP(O$100,'FX RATES'!$E$1:$F$50,2,FALSE)+P118*VLOOKUP(P$100,'FX RATES'!$E$1:$F$50,2,FALSE)+Q118*VLOOKUP(Q$100,'FX RATES'!$E$1:$F$50,2,FALSE)</f>
        <v>0</v>
      </c>
      <c r="T118" s="31">
        <f t="shared" si="38"/>
        <v>0</v>
      </c>
      <c r="U118" s="32" cm="1">
        <f t="array" ref="U118">SUMIFS(BALANCES!$C:$C,BALANCES!$A:$A,$B$96,BALANCES!$B:$B,$T118,BALANCES!$D:$D,U$100)+SUMIFS(FLOWS!$C:$C,FLOWS!$A:$A,$B$96,FLOWS!$E:$E,$T118,FLOWS!$D:$D,U$100,FLOWS!$H:$H,"&lt;="&amp;$U$98)+SUM(SUMIFS(DEALS!$J:$J,DEALS!$A:$A,{"*REFUND*","*EXECUTED*"},DEALS!$G:$G,$B$96,DEALS!$E:$E,"&lt;="&amp;$U$98,DEALS!$K:$K,U$100,DEALS!$M:$M,$T118,DEALS!$N:$N,"&lt;&gt;*RECEIVED*",DEALS!$N:$N,"&lt;&gt;*EXECUTED*"))+SUM(SUMIFS(DEALS!$R:$R,DEALS!$A:$A,{"*REFUND*","*EXECUTED*"},DEALS!$O:$O,$B$96,DEALS!$E:$E,"&lt;="&amp;$U$98,DEALS!$S:$S,U$100,DEALS!$U:$U,$T118,DEALS!$V:$V,"&lt;&gt;*RECEIVED*",DEALS!$V:$V,"&lt;&gt;*EXECUTED*"))</f>
        <v>0</v>
      </c>
      <c r="V118" s="32" cm="1">
        <f t="array" ref="V118">SUMIFS(BALANCES!$C:$C,BALANCES!$A:$A,$B$96,BALANCES!$B:$B,$T118,BALANCES!$D:$D,V$100)+SUMIFS(FLOWS!$C:$C,FLOWS!$A:$A,$B$96,FLOWS!$E:$E,$T118,FLOWS!$D:$D,V$100,FLOWS!$H:$H,"&lt;="&amp;$U$98)+SUM(SUMIFS(DEALS!$J:$J,DEALS!$A:$A,{"*REFUND*","*EXECUTED*"},DEALS!$G:$G,$B$96,DEALS!$E:$E,"&lt;="&amp;$U$98,DEALS!$K:$K,V$100,DEALS!$M:$M,$T118,DEALS!$N:$N,"&lt;&gt;*RECEIVED*",DEALS!$N:$N,"&lt;&gt;*EXECUTED*"))+SUM(SUMIFS(DEALS!$R:$R,DEALS!$A:$A,{"*REFUND*","*EXECUTED*"},DEALS!$O:$O,$B$96,DEALS!$E:$E,"&lt;="&amp;$U$98,DEALS!$S:$S,V$100,DEALS!$U:$U,$T118,DEALS!$V:$V,"&lt;&gt;*RECEIVED*",DEALS!$V:$V,"&lt;&gt;*EXECUTED*"))</f>
        <v>0</v>
      </c>
      <c r="W118" s="32" cm="1">
        <f t="array" ref="W118">SUMIFS(BALANCES!$C:$C,BALANCES!$A:$A,$B$96,BALANCES!$B:$B,$T118,BALANCES!$D:$D,W$100)+SUMIFS(FLOWS!$C:$C,FLOWS!$A:$A,$B$96,FLOWS!$E:$E,$T118,FLOWS!$D:$D,W$100,FLOWS!$H:$H,"&lt;="&amp;$U$98)+SUM(SUMIFS(DEALS!$J:$J,DEALS!$A:$A,{"*REFUND*","*EXECUTED*"},DEALS!$G:$G,$B$96,DEALS!$E:$E,"&lt;="&amp;$U$98,DEALS!$K:$K,W$100,DEALS!$M:$M,$T118,DEALS!$N:$N,"&lt;&gt;*RECEIVED*",DEALS!$N:$N,"&lt;&gt;*EXECUTED*"))+SUM(SUMIFS(DEALS!$R:$R,DEALS!$A:$A,{"*REFUND*","*EXECUTED*"},DEALS!$O:$O,$B$96,DEALS!$E:$E,"&lt;="&amp;$U$98,DEALS!$S:$S,W$100,DEALS!$U:$U,$T118,DEALS!$V:$V,"&lt;&gt;*RECEIVED*",DEALS!$V:$V,"&lt;&gt;*EXECUTED*"))</f>
        <v>0</v>
      </c>
      <c r="X118" s="32" cm="1">
        <f t="array" ref="X118">SUMIFS(BALANCES!$C:$C,BALANCES!$A:$A,$B$96,BALANCES!$B:$B,$T118,BALANCES!$D:$D,X$100)+SUMIFS(FLOWS!$C:$C,FLOWS!$A:$A,$B$96,FLOWS!$E:$E,$T118,FLOWS!$D:$D,X$100,FLOWS!$H:$H,"&lt;="&amp;$U$98)+SUM(SUMIFS(DEALS!$J:$J,DEALS!$A:$A,{"*REFUND*","*EXECUTED*"},DEALS!$G:$G,$B$96,DEALS!$E:$E,"&lt;="&amp;$U$98,DEALS!$K:$K,X$100,DEALS!$M:$M,$T118,DEALS!$N:$N,"&lt;&gt;*RECEIVED*",DEALS!$N:$N,"&lt;&gt;*EXECUTED*"))+SUM(SUMIFS(DEALS!$R:$R,DEALS!$A:$A,{"*REFUND*","*EXECUTED*"},DEALS!$O:$O,$B$96,DEALS!$E:$E,"&lt;="&amp;$U$98,DEALS!$S:$S,X$100,DEALS!$U:$U,$T118,DEALS!$V:$V,"&lt;&gt;*RECEIVED*",DEALS!$V:$V,"&lt;&gt;*EXECUTED*"))</f>
        <v>0</v>
      </c>
      <c r="Y118" s="32" cm="1">
        <f t="array" ref="Y118">SUMIFS(BALANCES!$C:$C,BALANCES!$A:$A,$B$96,BALANCES!$B:$B,$T118,BALANCES!$D:$D,Y$100)+SUMIFS(FLOWS!$C:$C,FLOWS!$A:$A,$B$96,FLOWS!$E:$E,$T118,FLOWS!$D:$D,Y$100,FLOWS!$H:$H,"&lt;="&amp;$U$98)+SUM(SUMIFS(DEALS!$J:$J,DEALS!$A:$A,{"*REFUND*","*EXECUTED*"},DEALS!$G:$G,$B$96,DEALS!$E:$E,"&lt;="&amp;$U$98,DEALS!$K:$K,Y$100,DEALS!$M:$M,$T118,DEALS!$N:$N,"&lt;&gt;*RECEIVED*",DEALS!$N:$N,"&lt;&gt;*EXECUTED*"))+SUM(SUMIFS(DEALS!$R:$R,DEALS!$A:$A,{"*REFUND*","*EXECUTED*"},DEALS!$O:$O,$B$96,DEALS!$E:$E,"&lt;="&amp;$U$98,DEALS!$S:$S,Y$100,DEALS!$U:$U,$T118,DEALS!$V:$V,"&lt;&gt;*RECEIVED*",DEALS!$V:$V,"&lt;&gt;*EXECUTED*"))</f>
        <v>0</v>
      </c>
      <c r="Z118" s="32" cm="1">
        <f t="array" ref="Z118">SUMIFS(BALANCES!$C:$C,BALANCES!$A:$A,$B$96,BALANCES!$B:$B,$T118,BALANCES!$D:$D,Z$100)+SUMIFS(FLOWS!$C:$C,FLOWS!$A:$A,$B$96,FLOWS!$E:$E,$T118,FLOWS!$D:$D,Z$100,FLOWS!$H:$H,"&lt;="&amp;$U$98)+SUM(SUMIFS(DEALS!$J:$J,DEALS!$A:$A,{"*REFUND*","*EXECUTED*"},DEALS!$G:$G,$B$96,DEALS!$E:$E,"&lt;="&amp;$U$98,DEALS!$K:$K,Z$100,DEALS!$M:$M,$T118,DEALS!$N:$N,"&lt;&gt;*RECEIVED*",DEALS!$N:$N,"&lt;&gt;*EXECUTED*"))+SUM(SUMIFS(DEALS!$R:$R,DEALS!$A:$A,{"*REFUND*","*EXECUTED*"},DEALS!$O:$O,$B$96,DEALS!$E:$E,"&lt;="&amp;$U$98,DEALS!$S:$S,Z$100,DEALS!$U:$U,$T118,DEALS!$V:$V,"&lt;&gt;*RECEIVED*",DEALS!$V:$V,"&lt;&gt;*EXECUTED*"))</f>
        <v>0</v>
      </c>
      <c r="AA118" s="33">
        <f ca="1">U118*VLOOKUP(U$100,'FX RATES'!$E$1:$F$50,2,FALSE)+V118*VLOOKUP(V$100,'FX RATES'!$E$1:$F$50,2,FALSE)+W118*VLOOKUP(W$100,'FX RATES'!$E$1:$F$50,2,FALSE)+X118*VLOOKUP(X$100,'FX RATES'!$E$1:$F$50,2,FALSE)+Y118*VLOOKUP(Y$100,'FX RATES'!$E$1:$F$50,2,FALSE)+Z118*VLOOKUP(Z$100,'FX RATES'!$E$1:$F$50,2,FALSE)</f>
        <v>0</v>
      </c>
      <c r="AC118" s="139">
        <f t="shared" ca="1" si="39"/>
        <v>0</v>
      </c>
    </row>
    <row r="119" spans="2:29" ht="22" thickBot="1">
      <c r="B119" s="13" t="s">
        <v>26</v>
      </c>
      <c r="C119" s="16">
        <f t="shared" ref="C119:I119" si="40">SUM(C101:C118)</f>
        <v>-1013903.9400000002</v>
      </c>
      <c r="D119" s="16">
        <f t="shared" si="40"/>
        <v>0</v>
      </c>
      <c r="E119" s="16">
        <f t="shared" si="40"/>
        <v>947225.67</v>
      </c>
      <c r="F119" s="16">
        <f t="shared" si="40"/>
        <v>9462076.1699999999</v>
      </c>
      <c r="G119" s="16">
        <f t="shared" si="40"/>
        <v>537536.46</v>
      </c>
      <c r="H119" s="16">
        <f t="shared" si="40"/>
        <v>0</v>
      </c>
      <c r="I119" s="16">
        <f t="shared" ca="1" si="40"/>
        <v>1706619.7373393143</v>
      </c>
      <c r="K119" s="13" t="s">
        <v>26</v>
      </c>
      <c r="L119" s="16">
        <f t="shared" ref="L119:R119" si="41">SUM(L101:L118)</f>
        <v>0</v>
      </c>
      <c r="M119" s="16">
        <f t="shared" si="41"/>
        <v>0</v>
      </c>
      <c r="N119" s="16">
        <f t="shared" si="41"/>
        <v>0</v>
      </c>
      <c r="O119" s="16">
        <f t="shared" si="41"/>
        <v>5804163.8998118909</v>
      </c>
      <c r="P119" s="16">
        <f t="shared" si="41"/>
        <v>0</v>
      </c>
      <c r="Q119" s="16">
        <f t="shared" si="41"/>
        <v>0</v>
      </c>
      <c r="R119" s="16">
        <f t="shared" ca="1" si="41"/>
        <v>1580396.4221020231</v>
      </c>
      <c r="T119" s="13" t="s">
        <v>26</v>
      </c>
      <c r="U119" s="16">
        <f t="shared" ref="U119:AA119" si="42">SUM(U101:U118)</f>
        <v>-1013903.9400000002</v>
      </c>
      <c r="V119" s="16">
        <f t="shared" si="42"/>
        <v>0</v>
      </c>
      <c r="W119" s="16">
        <f t="shared" si="42"/>
        <v>947225.67</v>
      </c>
      <c r="X119" s="16">
        <f t="shared" si="42"/>
        <v>15266240.069811892</v>
      </c>
      <c r="Y119" s="16">
        <f t="shared" si="42"/>
        <v>537536.46</v>
      </c>
      <c r="Z119" s="16">
        <f t="shared" si="42"/>
        <v>0</v>
      </c>
      <c r="AA119" s="16">
        <f t="shared" ca="1" si="42"/>
        <v>3287016.1594413375</v>
      </c>
      <c r="AC119" s="139">
        <f t="shared" ca="1" si="39"/>
        <v>0</v>
      </c>
    </row>
    <row r="120" spans="2:29" ht="22" thickBot="1">
      <c r="B120" s="10" t="s">
        <v>11</v>
      </c>
      <c r="C120" s="17">
        <f>VLOOKUP(C100,'FX RATES'!$E$1:$F$50,2,FALSE)*C119</f>
        <v>-1013903.9400000002</v>
      </c>
      <c r="D120" s="17">
        <f ca="1">VLOOKUP(D100,'FX RATES'!$E$1:$F$50,2,FALSE)*D119</f>
        <v>0</v>
      </c>
      <c r="E120" s="17">
        <f ca="1">VLOOKUP(E100,'FX RATES'!$E$1:$F$50,2,FALSE)*E119</f>
        <v>137120.10277938622</v>
      </c>
      <c r="F120" s="17">
        <f ca="1">VLOOKUP(F100,'FX RATES'!$E$1:$F$50,2,FALSE)*F119</f>
        <v>2576397.1491586342</v>
      </c>
      <c r="G120" s="17">
        <f ca="1">VLOOKUP(G100,'FX RATES'!$E$1:$F$50,2,FALSE)*G119</f>
        <v>7006.4254012943084</v>
      </c>
      <c r="H120" s="17">
        <f ca="1">VLOOKUP(H100,'FX RATES'!$E$1:$F$50,2,FALSE)*H119</f>
        <v>0</v>
      </c>
      <c r="I120" s="16">
        <f ca="1">SUM(C120:H120)</f>
        <v>1706619.7373393148</v>
      </c>
      <c r="K120" s="10" t="s">
        <v>11</v>
      </c>
      <c r="L120" s="17">
        <f>VLOOKUP(L100,'FX RATES'!$E$1:$F$50,2,FALSE)*L119</f>
        <v>0</v>
      </c>
      <c r="M120" s="17">
        <f ca="1">VLOOKUP(M100,'FX RATES'!$E$1:$F$50,2,FALSE)*M119</f>
        <v>0</v>
      </c>
      <c r="N120" s="17">
        <f ca="1">VLOOKUP(N100,'FX RATES'!$E$1:$F$50,2,FALSE)*N119</f>
        <v>0</v>
      </c>
      <c r="O120" s="17">
        <f ca="1">VLOOKUP(O100,'FX RATES'!$E$1:$F$50,2,FALSE)*O119</f>
        <v>1580396.4221020231</v>
      </c>
      <c r="P120" s="17">
        <f ca="1">VLOOKUP(P100,'FX RATES'!$E$1:$F$50,2,FALSE)*P119</f>
        <v>0</v>
      </c>
      <c r="Q120" s="17">
        <f ca="1">VLOOKUP(Q100,'FX RATES'!$E$1:$F$50,2,FALSE)*Q119</f>
        <v>0</v>
      </c>
      <c r="R120" s="16">
        <f ca="1">SUM(L120:Q120)</f>
        <v>1580396.4221020231</v>
      </c>
      <c r="T120" s="10" t="s">
        <v>11</v>
      </c>
      <c r="U120" s="17">
        <f>VLOOKUP(U100,'FX RATES'!$E$1:$F$50,2,FALSE)*U119</f>
        <v>-1013903.9400000002</v>
      </c>
      <c r="V120" s="17">
        <f ca="1">VLOOKUP(V100,'FX RATES'!$E$1:$F$50,2,FALSE)*V119</f>
        <v>0</v>
      </c>
      <c r="W120" s="17">
        <f ca="1">VLOOKUP(W100,'FX RATES'!$E$1:$F$50,2,FALSE)*W119</f>
        <v>137120.10277938622</v>
      </c>
      <c r="X120" s="17">
        <f ca="1">VLOOKUP(X100,'FX RATES'!$E$1:$F$50,2,FALSE)*X119</f>
        <v>4156793.5712606576</v>
      </c>
      <c r="Y120" s="17">
        <f ca="1">VLOOKUP(Y100,'FX RATES'!$E$1:$F$50,2,FALSE)*Y119</f>
        <v>7006.4254012943084</v>
      </c>
      <c r="Z120" s="17">
        <f ca="1">VLOOKUP(Z100,'FX RATES'!$E$1:$F$50,2,FALSE)*Z119</f>
        <v>0</v>
      </c>
      <c r="AA120" s="16">
        <f ca="1">SUM(U120:Z120)</f>
        <v>3287016.1594413379</v>
      </c>
      <c r="AC120" s="139">
        <f t="shared" ca="1" si="39"/>
        <v>0</v>
      </c>
    </row>
    <row r="121" spans="2:29" ht="21">
      <c r="B121" s="9"/>
      <c r="C121" s="19"/>
      <c r="D121" s="19"/>
      <c r="E121" s="19"/>
      <c r="F121" s="19"/>
      <c r="G121" s="19"/>
      <c r="H121" s="19"/>
      <c r="I121" s="20">
        <f ca="1">I102+I106+I105+I107</f>
        <v>1377025.5528633662</v>
      </c>
      <c r="T121" s="8"/>
    </row>
    <row r="122" spans="2:29" ht="19">
      <c r="I122" s="7" t="s">
        <v>38</v>
      </c>
      <c r="J122" s="26"/>
    </row>
    <row r="123" spans="2:29" ht="19">
      <c r="I123" s="26"/>
      <c r="J123" s="26"/>
    </row>
    <row r="124" spans="2:29" ht="25" thickBot="1">
      <c r="B124" s="593" t="s">
        <v>39</v>
      </c>
      <c r="C124" s="593"/>
      <c r="D124" s="593"/>
      <c r="E124" s="593"/>
      <c r="F124" s="593"/>
      <c r="G124" s="593"/>
      <c r="H124" s="593"/>
      <c r="I124" s="593"/>
      <c r="J124" s="137"/>
      <c r="K124" s="593" t="str">
        <f>B124</f>
        <v>EVC</v>
      </c>
      <c r="L124" s="593"/>
      <c r="M124" s="593"/>
      <c r="N124" s="593"/>
      <c r="O124" s="593"/>
      <c r="P124" s="593"/>
      <c r="Q124" s="593"/>
      <c r="R124" s="593"/>
      <c r="S124" s="137"/>
      <c r="T124" s="593" t="str">
        <f>B124</f>
        <v>EVC</v>
      </c>
      <c r="U124" s="593"/>
      <c r="V124" s="593"/>
      <c r="W124" s="593"/>
      <c r="X124" s="593"/>
      <c r="Y124" s="593"/>
      <c r="Z124" s="593"/>
      <c r="AA124" s="593"/>
    </row>
    <row r="125" spans="2:29" ht="19"/>
    <row r="126" spans="2:29" ht="21">
      <c r="B126" s="9" t="s">
        <v>1</v>
      </c>
      <c r="C126" s="91">
        <f>BALANCES!B1</f>
        <v>46073</v>
      </c>
      <c r="K126" s="56" t="s">
        <v>2</v>
      </c>
      <c r="L126" s="110">
        <f>C126</f>
        <v>46073</v>
      </c>
      <c r="M126" s="144" t="s">
        <v>3</v>
      </c>
      <c r="N126" s="110">
        <f>U126</f>
        <v>46081</v>
      </c>
      <c r="O126" s="140"/>
      <c r="P126" s="140"/>
      <c r="Q126" s="140"/>
      <c r="R126" s="20"/>
      <c r="T126" s="9" t="s">
        <v>1</v>
      </c>
      <c r="U126" s="90">
        <f>U4</f>
        <v>46081</v>
      </c>
    </row>
    <row r="127" spans="2:29" ht="22" thickBot="1">
      <c r="B127" s="14"/>
      <c r="C127" s="15"/>
      <c r="D127" s="15"/>
      <c r="E127" s="15"/>
      <c r="F127" s="15"/>
      <c r="G127" s="15"/>
      <c r="H127" s="15"/>
      <c r="I127" s="15"/>
      <c r="K127" s="23"/>
      <c r="L127" s="24"/>
      <c r="M127" s="24"/>
      <c r="N127" s="24"/>
      <c r="O127" s="24"/>
      <c r="P127" s="24"/>
      <c r="Q127" s="24"/>
      <c r="R127" s="25"/>
      <c r="T127" s="14"/>
      <c r="U127" s="15"/>
      <c r="V127" s="15"/>
      <c r="W127" s="15"/>
      <c r="X127" s="15"/>
      <c r="Y127" s="15"/>
      <c r="Z127" s="15"/>
      <c r="AA127" s="15"/>
    </row>
    <row r="128" spans="2:29" ht="22" thickBot="1">
      <c r="B128" s="10" t="s">
        <v>4</v>
      </c>
      <c r="C128" s="11" t="s">
        <v>5</v>
      </c>
      <c r="D128" s="11" t="s">
        <v>6</v>
      </c>
      <c r="E128" s="11" t="s">
        <v>7</v>
      </c>
      <c r="F128" s="11" t="s">
        <v>8</v>
      </c>
      <c r="G128" s="11" t="s">
        <v>9</v>
      </c>
      <c r="H128" s="11" t="s">
        <v>35</v>
      </c>
      <c r="I128" s="12" t="s">
        <v>11</v>
      </c>
      <c r="K128" s="10" t="s">
        <v>4</v>
      </c>
      <c r="L128" s="11" t="str">
        <f t="shared" ref="L128:Q128" si="43">C128</f>
        <v>USD</v>
      </c>
      <c r="M128" s="11" t="str">
        <f t="shared" si="43"/>
        <v>EUR</v>
      </c>
      <c r="N128" s="11" t="str">
        <f t="shared" si="43"/>
        <v>CNY</v>
      </c>
      <c r="O128" s="11" t="str">
        <f t="shared" si="43"/>
        <v>AED</v>
      </c>
      <c r="P128" s="11" t="str">
        <f t="shared" si="43"/>
        <v>RUB</v>
      </c>
      <c r="Q128" s="11" t="str">
        <f t="shared" si="43"/>
        <v>HKD</v>
      </c>
      <c r="R128" s="12" t="s">
        <v>11</v>
      </c>
      <c r="T128" s="10" t="s">
        <v>4</v>
      </c>
      <c r="U128" s="11" t="str">
        <f t="shared" ref="U128:Z128" si="44">C128</f>
        <v>USD</v>
      </c>
      <c r="V128" s="11" t="str">
        <f t="shared" si="44"/>
        <v>EUR</v>
      </c>
      <c r="W128" s="11" t="str">
        <f t="shared" si="44"/>
        <v>CNY</v>
      </c>
      <c r="X128" s="11" t="str">
        <f t="shared" si="44"/>
        <v>AED</v>
      </c>
      <c r="Y128" s="11" t="str">
        <f t="shared" si="44"/>
        <v>RUB</v>
      </c>
      <c r="Z128" s="11" t="str">
        <f t="shared" si="44"/>
        <v>HKD</v>
      </c>
      <c r="AA128" s="12" t="s">
        <v>11</v>
      </c>
      <c r="AC128" s="40" t="s">
        <v>12</v>
      </c>
    </row>
    <row r="129" spans="2:29" ht="19">
      <c r="B129" s="28" t="s">
        <v>15</v>
      </c>
      <c r="C129" s="29" cm="1">
        <f t="array" ref="C129">SUMIFS(BALANCES!$C:$C,BALANCES!$A:$A,$B$124,BALANCES!$B:$B,$B129,BALANCES!$D:$D,C$128)+SUMIFS(FLOWS!$C:$C,FLOWS!$A:$A,$B$124,FLOWS!$E:$E,$B129,FLOWS!$D:$D,C$128,FLOWS!$H:$H,"&lt;"&amp;$C$126)+SUM(SUMIFS(DEALS!$J:$J,DEALS!$A:$A,{"*REFUND*","*EXECUTED*"},DEALS!$G:$G,$B$124,DEALS!$E:$E,"&lt;"&amp;$C$126,DEALS!$K:$K,C$128,DEALS!$M:$M,$B129,DEALS!$N:$N,"&lt;&gt;*RECEIVED*",DEALS!$N:$N,"&lt;&gt;*EXECUTED*"))+SUM(SUMIFS(DEALS!$R:$R,DEALS!$A:$A,{"*REFUND*","*EXECUTED*"},DEALS!$O:$O,$B$124,DEALS!$E:$E,"&lt;"&amp;$C$126,DEALS!$S:$S,C$128,DEALS!$U:$U,$B129,DEALS!$V:$V,"&lt;&gt;*RECEIVED*",DEALS!$V:$V,"&lt;&gt;*EXECUTED*"))</f>
        <v>0</v>
      </c>
      <c r="D129" s="29" cm="1">
        <f t="array" ref="D129">SUMIFS(BALANCES!$C:$C,BALANCES!$A:$A,$B$124,BALANCES!$B:$B,$B129,BALANCES!$D:$D,D$128)+SUMIFS(FLOWS!$C:$C,FLOWS!$A:$A,$B$124,FLOWS!$E:$E,$B129,FLOWS!$D:$D,D$128,FLOWS!$H:$H,"&lt;"&amp;$C$126)+SUM(SUMIFS(DEALS!$J:$J,DEALS!$A:$A,{"*REFUND*","*EXECUTED*"},DEALS!$G:$G,$B$124,DEALS!$E:$E,"&lt;"&amp;$C$126,DEALS!$K:$K,D$128,DEALS!$M:$M,$B129,DEALS!$N:$N,"&lt;&gt;*RECEIVED*",DEALS!$N:$N,"&lt;&gt;*EXECUTED*"))+SUM(SUMIFS(DEALS!$R:$R,DEALS!$A:$A,{"*REFUND*","*EXECUTED*"},DEALS!$O:$O,$B$124,DEALS!$E:$E,"&lt;"&amp;$C$126,DEALS!$S:$S,D$128,DEALS!$U:$U,$B129,DEALS!$V:$V,"&lt;&gt;*RECEIVED*",DEALS!$V:$V,"&lt;&gt;*EXECUTED*"))</f>
        <v>0</v>
      </c>
      <c r="E129" s="29" cm="1">
        <f t="array" ref="E129">SUMIFS(BALANCES!$C:$C,BALANCES!$A:$A,$B$124,BALANCES!$B:$B,$B129,BALANCES!$D:$D,E$128)+SUMIFS(FLOWS!$C:$C,FLOWS!$A:$A,$B$124,FLOWS!$E:$E,$B129,FLOWS!$D:$D,E$128,FLOWS!$H:$H,"&lt;"&amp;$C$126)+SUM(SUMIFS(DEALS!$J:$J,DEALS!$A:$A,{"*REFUND*","*EXECUTED*"},DEALS!$G:$G,$B$124,DEALS!$E:$E,"&lt;"&amp;$C$126,DEALS!$K:$K,E$128,DEALS!$M:$M,$B129,DEALS!$N:$N,"&lt;&gt;*RECEIVED*",DEALS!$N:$N,"&lt;&gt;*EXECUTED*"))+SUM(SUMIFS(DEALS!$R:$R,DEALS!$A:$A,{"*REFUND*","*EXECUTED*"},DEALS!$O:$O,$B$124,DEALS!$E:$E,"&lt;"&amp;$C$126,DEALS!$S:$S,E$128,DEALS!$U:$U,$B129,DEALS!$V:$V,"&lt;&gt;*RECEIVED*",DEALS!$V:$V,"&lt;&gt;*EXECUTED*"))</f>
        <v>0</v>
      </c>
      <c r="F129" s="29" cm="1">
        <f t="array" ref="F129">SUMIFS(BALANCES!$C:$C,BALANCES!$A:$A,$B$124,BALANCES!$B:$B,$B129,BALANCES!$D:$D,F$128)+SUMIFS(FLOWS!$C:$C,FLOWS!$A:$A,$B$124,FLOWS!$E:$E,$B129,FLOWS!$D:$D,F$128,FLOWS!$H:$H,"&lt;"&amp;$C$126)+SUM(SUMIFS(DEALS!$J:$J,DEALS!$A:$A,{"*REFUND*","*EXECUTED*"},DEALS!$G:$G,$B$124,DEALS!$E:$E,"&lt;"&amp;$C$126,DEALS!$K:$K,F$128,DEALS!$M:$M,$B129,DEALS!$N:$N,"&lt;&gt;*RECEIVED*",DEALS!$N:$N,"&lt;&gt;*EXECUTED*"))+SUM(SUMIFS(DEALS!$R:$R,DEALS!$A:$A,{"*REFUND*","*EXECUTED*"},DEALS!$O:$O,$B$124,DEALS!$E:$E,"&lt;"&amp;$C$126,DEALS!$S:$S,F$128,DEALS!$U:$U,$B129,DEALS!$V:$V,"&lt;&gt;*RECEIVED*",DEALS!$V:$V,"&lt;&gt;*EXECUTED*"))</f>
        <v>53767.96</v>
      </c>
      <c r="G129" s="29" cm="1">
        <f t="array" ref="G129">SUMIFS(BALANCES!$C:$C,BALANCES!$A:$A,$B$124,BALANCES!$B:$B,$B129,BALANCES!$D:$D,G$128)+SUMIFS(FLOWS!$C:$C,FLOWS!$A:$A,$B$124,FLOWS!$E:$E,$B129,FLOWS!$D:$D,G$128,FLOWS!$H:$H,"&lt;"&amp;$C$126)+SUM(SUMIFS(DEALS!$J:$J,DEALS!$A:$A,{"*REFUND*","*EXECUTED*"},DEALS!$G:$G,$B$124,DEALS!$E:$E,"&lt;"&amp;$C$126,DEALS!$K:$K,G$128,DEALS!$M:$M,$B129,DEALS!$N:$N,"&lt;&gt;*RECEIVED*",DEALS!$N:$N,"&lt;&gt;*EXECUTED*"))+SUM(SUMIFS(DEALS!$R:$R,DEALS!$A:$A,{"*REFUND*","*EXECUTED*"},DEALS!$O:$O,$B$124,DEALS!$E:$E,"&lt;"&amp;$C$126,DEALS!$S:$S,G$128,DEALS!$U:$U,$B129,DEALS!$V:$V,"&lt;&gt;*RECEIVED*",DEALS!$V:$V,"&lt;&gt;*EXECUTED*"))</f>
        <v>0</v>
      </c>
      <c r="H129" s="29" cm="1">
        <f t="array" ref="H129">SUMIFS(BALANCES!$C:$C,BALANCES!$A:$A,$B$124,BALANCES!$B:$B,$B129,BALANCES!$D:$D,H$128)+SUMIFS(FLOWS!$C:$C,FLOWS!$A:$A,$B$124,FLOWS!$E:$E,$B129,FLOWS!$D:$D,H$128,FLOWS!$H:$H,"&lt;"&amp;$C$126)+SUM(SUMIFS(DEALS!$J:$J,DEALS!$A:$A,{"*REFUND*","*EXECUTED*"},DEALS!$G:$G,$B$124,DEALS!$E:$E,"&lt;"&amp;$C$126,DEALS!$K:$K,H$128,DEALS!$M:$M,$B129,DEALS!$N:$N,"&lt;&gt;*RECEIVED*",DEALS!$N:$N,"&lt;&gt;*EXECUTED*"))+SUM(SUMIFS(DEALS!$R:$R,DEALS!$A:$A,{"*REFUND*","*EXECUTED*"},DEALS!$O:$O,$B$124,DEALS!$E:$E,"&lt;"&amp;$C$126,DEALS!$S:$S,H$128,DEALS!$U:$U,$B129,DEALS!$V:$V,"&lt;&gt;*RECEIVED*",DEALS!$V:$V,"&lt;&gt;*EXECUTED*"))</f>
        <v>0</v>
      </c>
      <c r="I129" s="30">
        <f ca="1">C129*VLOOKUP(C$128,'FX RATES'!$E$1:$F$50,2,FALSE)+D129*VLOOKUP(D$128,'FX RATES'!$E$1:$F$50,2,FALSE)+E129*VLOOKUP(E$128,'FX RATES'!$E$1:$F$50,2,FALSE)+F129*VLOOKUP(F$128,'FX RATES'!$E$1:$F$50,2,FALSE)+G129*VLOOKUP(G$128,'FX RATES'!$E$1:$F$50,2,FALSE)+H129*VLOOKUP(H$128,'FX RATES'!$E$1:$F$50,2,FALSE)</f>
        <v>14640.298426183084</v>
      </c>
      <c r="K129" s="28" t="str">
        <f t="shared" ref="K129:K146" si="45">B129</f>
        <v>MISR</v>
      </c>
      <c r="L129" s="29" cm="1">
        <f t="array" ref="L129">SUMIFS(FLOWS!$C:$C,FLOWS!$A:$A,$B$124,FLOWS!$E:$E,$K129,FLOWS!$D:$D,L$128,FLOWS!$H:$H,"&gt;="&amp;$C$126,FLOWS!$H:$H,"&lt;="&amp;$U$126)+SUM(SUMIFS(DEALS!$J:$J,DEALS!$A:$A,{"*REFUND*","*EXECUTED*"},DEALS!$G:$G,$B$124,DEALS!$E:$E,"&gt;="&amp;$C$126,DEALS!$E:$E,"&lt;="&amp;$U$126,DEALS!$K:$K,L$128,DEALS!$M:$M,$K129,DEALS!$N:$N,"&lt;&gt;*RECEIVED*",DEALS!$N:$N,"&lt;&gt;*EXECUTED*"))+SUM(SUMIFS(DEALS!$R:$R,DEALS!$A:$A,{"*REFUND*","*EXECUTED*"},DEALS!$O:$O,$B$124,DEALS!$E:$E,"&gt;="&amp;$C$126,DEALS!$E:$E,"&lt;="&amp;$U$126,DEALS!$S:$S,L$128,DEALS!$U:$U,$K129,DEALS!$V:$V,"&lt;&gt;*RECEIVED*",DEALS!$V:$V,"&lt;&gt;*EXECUTED*"))</f>
        <v>0</v>
      </c>
      <c r="M129" s="29" cm="1">
        <f t="array" ref="M129">SUMIFS(FLOWS!$C:$C,FLOWS!$A:$A,$B$124,FLOWS!$E:$E,$K129,FLOWS!$D:$D,M$128,FLOWS!$H:$H,"&gt;="&amp;$C$126,FLOWS!$H:$H,"&lt;="&amp;$U$126)+SUM(SUMIFS(DEALS!$J:$J,DEALS!$A:$A,{"*REFUND*","*EXECUTED*"},DEALS!$G:$G,$B$124,DEALS!$E:$E,"&gt;="&amp;$C$126,DEALS!$E:$E,"&lt;="&amp;$U$126,DEALS!$K:$K,M$128,DEALS!$M:$M,$K129,DEALS!$N:$N,"&lt;&gt;*RECEIVED*",DEALS!$N:$N,"&lt;&gt;*EXECUTED*"))+SUM(SUMIFS(DEALS!$R:$R,DEALS!$A:$A,{"*REFUND*","*EXECUTED*"},DEALS!$O:$O,$B$124,DEALS!$E:$E,"&gt;="&amp;$C$126,DEALS!$E:$E,"&lt;="&amp;$U$126,DEALS!$S:$S,M$128,DEALS!$U:$U,$K129,DEALS!$V:$V,"&lt;&gt;*RECEIVED*",DEALS!$V:$V,"&lt;&gt;*EXECUTED*"))</f>
        <v>0</v>
      </c>
      <c r="N129" s="29" cm="1">
        <f t="array" ref="N129">SUMIFS(FLOWS!$C:$C,FLOWS!$A:$A,$B$124,FLOWS!$E:$E,$K129,FLOWS!$D:$D,N$128,FLOWS!$H:$H,"&gt;="&amp;$C$126,FLOWS!$H:$H,"&lt;="&amp;$U$126)+SUM(SUMIFS(DEALS!$J:$J,DEALS!$A:$A,{"*REFUND*","*EXECUTED*"},DEALS!$G:$G,$B$124,DEALS!$E:$E,"&gt;="&amp;$C$126,DEALS!$E:$E,"&lt;="&amp;$U$126,DEALS!$K:$K,N$128,DEALS!$M:$M,$K129,DEALS!$N:$N,"&lt;&gt;*RECEIVED*",DEALS!$N:$N,"&lt;&gt;*EXECUTED*"))+SUM(SUMIFS(DEALS!$R:$R,DEALS!$A:$A,{"*REFUND*","*EXECUTED*"},DEALS!$O:$O,$B$124,DEALS!$E:$E,"&gt;="&amp;$C$126,DEALS!$E:$E,"&lt;="&amp;$U$126,DEALS!$S:$S,N$128,DEALS!$U:$U,$K129,DEALS!$V:$V,"&lt;&gt;*RECEIVED*",DEALS!$V:$V,"&lt;&gt;*EXECUTED*"))</f>
        <v>0</v>
      </c>
      <c r="O129" s="29" cm="1">
        <f t="array" ref="O129">SUMIFS(FLOWS!$C:$C,FLOWS!$A:$A,$B$124,FLOWS!$E:$E,$K129,FLOWS!$D:$D,O$128,FLOWS!$H:$H,"&gt;="&amp;$C$126,FLOWS!$H:$H,"&lt;="&amp;$U$126)+SUM(SUMIFS(DEALS!$J:$J,DEALS!$A:$A,{"*REFUND*","*EXECUTED*"},DEALS!$G:$G,$B$124,DEALS!$E:$E,"&gt;="&amp;$C$126,DEALS!$E:$E,"&lt;="&amp;$U$126,DEALS!$K:$K,O$128,DEALS!$M:$M,$K129,DEALS!$N:$N,"&lt;&gt;*RECEIVED*",DEALS!$N:$N,"&lt;&gt;*EXECUTED*"))+SUM(SUMIFS(DEALS!$R:$R,DEALS!$A:$A,{"*REFUND*","*EXECUTED*"},DEALS!$O:$O,$B$124,DEALS!$E:$E,"&gt;="&amp;$C$126,DEALS!$E:$E,"&lt;="&amp;$U$126,DEALS!$S:$S,O$128,DEALS!$U:$U,$K129,DEALS!$V:$V,"&lt;&gt;*RECEIVED*",DEALS!$V:$V,"&lt;&gt;*EXECUTED*"))</f>
        <v>0</v>
      </c>
      <c r="P129" s="29" cm="1">
        <f t="array" ref="P129">SUMIFS(FLOWS!$C:$C,FLOWS!$A:$A,$B$124,FLOWS!$E:$E,$K129,FLOWS!$D:$D,P$128,FLOWS!$H:$H,"&gt;="&amp;$C$126,FLOWS!$H:$H,"&lt;="&amp;$U$126)+SUM(SUMIFS(DEALS!$J:$J,DEALS!$A:$A,{"*REFUND*","*EXECUTED*"},DEALS!$G:$G,$B$124,DEALS!$E:$E,"&gt;="&amp;$C$126,DEALS!$E:$E,"&lt;="&amp;$U$126,DEALS!$K:$K,P$128,DEALS!$M:$M,$K129,DEALS!$N:$N,"&lt;&gt;*RECEIVED*",DEALS!$N:$N,"&lt;&gt;*EXECUTED*"))+SUM(SUMIFS(DEALS!$R:$R,DEALS!$A:$A,{"*REFUND*","*EXECUTED*"},DEALS!$O:$O,$B$124,DEALS!$E:$E,"&gt;="&amp;$C$126,DEALS!$E:$E,"&lt;="&amp;$U$126,DEALS!$S:$S,P$128,DEALS!$U:$U,$K129,DEALS!$V:$V,"&lt;&gt;*RECEIVED*",DEALS!$V:$V,"&lt;&gt;*EXECUTED*"))</f>
        <v>0</v>
      </c>
      <c r="Q129" s="29" cm="1">
        <f t="array" ref="Q129">SUMIFS(FLOWS!$C:$C,FLOWS!$A:$A,$B$124,FLOWS!$E:$E,$K129,FLOWS!$D:$D,Q$128,FLOWS!$H:$H,"&gt;="&amp;$C$126,FLOWS!$H:$H,"&lt;="&amp;$U$126)+SUM(SUMIFS(DEALS!$J:$J,DEALS!$A:$A,{"*REFUND*","*EXECUTED*"},DEALS!$G:$G,$B$124,DEALS!$E:$E,"&gt;="&amp;$C$126,DEALS!$E:$E,"&lt;="&amp;$U$126,DEALS!$K:$K,Q$128,DEALS!$M:$M,$K129,DEALS!$N:$N,"&lt;&gt;*RECEIVED*",DEALS!$N:$N,"&lt;&gt;*EXECUTED*"))+SUM(SUMIFS(DEALS!$R:$R,DEALS!$A:$A,{"*REFUND*","*EXECUTED*"},DEALS!$O:$O,$B$124,DEALS!$E:$E,"&gt;="&amp;$C$126,DEALS!$E:$E,"&lt;="&amp;$U$126,DEALS!$S:$S,Q$128,DEALS!$U:$U,$K129,DEALS!$V:$V,"&lt;&gt;*RECEIVED*",DEALS!$V:$V,"&lt;&gt;*EXECUTED*"))</f>
        <v>0</v>
      </c>
      <c r="R129" s="30">
        <f ca="1">L129*VLOOKUP(L$128,'FX RATES'!$E$1:$F$50,2,FALSE)+M129*VLOOKUP(M$128,'FX RATES'!$E$1:$F$50,2,FALSE)+N129*VLOOKUP(N$128,'FX RATES'!$E$1:$F$50,2,FALSE)+O129*VLOOKUP(O$128,'FX RATES'!$E$1:$F$50,2,FALSE)+P129*VLOOKUP(P$128,'FX RATES'!$E$1:$F$50,2,FALSE)+Q129*VLOOKUP(Q$128,'FX RATES'!$E$1:$F$50,2,FALSE)</f>
        <v>0</v>
      </c>
      <c r="T129" s="28" t="str">
        <f t="shared" ref="T129:T146" si="46">B129</f>
        <v>MISR</v>
      </c>
      <c r="U129" s="29" cm="1">
        <f t="array" ref="U129">SUMIFS(BALANCES!$C:$C,BALANCES!$A:$A,$B$124,BALANCES!$B:$B,$T129,BALANCES!$D:$D,U$128)+SUMIFS(FLOWS!$C:$C,FLOWS!$A:$A,$B$124,FLOWS!$E:$E,$T129,FLOWS!$D:$D,U$128,FLOWS!$H:$H,"&lt;="&amp;$U$126)+SUM(SUMIFS(DEALS!$J:$J,DEALS!$A:$A,{"*REFUND*","*EXECUTED*"},DEALS!$G:$G,$B$124,DEALS!$E:$E,"&lt;="&amp;$U$126,DEALS!$K:$K,U$128,DEALS!$M:$M,$T129,DEALS!$N:$N,"&lt;&gt;*RECEIVED*",DEALS!$N:$N,"&lt;&gt;*EXECUTED*"))+SUM(SUMIFS(DEALS!$R:$R,DEALS!$A:$A,{"*REFUND*","*EXECUTED*"},DEALS!$O:$O,$B$124,DEALS!$E:$E,"&lt;="&amp;$U$126,DEALS!$S:$S,U$128,DEALS!$U:$U,$T129,DEALS!$V:$V,"&lt;&gt;*RECEIVED*",DEALS!$V:$V,"&lt;&gt;*EXECUTED*"))</f>
        <v>0</v>
      </c>
      <c r="V129" s="29" cm="1">
        <f t="array" ref="V129">SUMIFS(BALANCES!$C:$C,BALANCES!$A:$A,$B$124,BALANCES!$B:$B,$T129,BALANCES!$D:$D,V$128)+SUMIFS(FLOWS!$C:$C,FLOWS!$A:$A,$B$124,FLOWS!$E:$E,$T129,FLOWS!$D:$D,V$128,FLOWS!$H:$H,"&lt;="&amp;$U$126)+SUM(SUMIFS(DEALS!$J:$J,DEALS!$A:$A,{"*REFUND*","*EXECUTED*"},DEALS!$G:$G,$B$124,DEALS!$E:$E,"&lt;="&amp;$U$126,DEALS!$K:$K,V$128,DEALS!$M:$M,$T129,DEALS!$N:$N,"&lt;&gt;*RECEIVED*",DEALS!$N:$N,"&lt;&gt;*EXECUTED*"))+SUM(SUMIFS(DEALS!$R:$R,DEALS!$A:$A,{"*REFUND*","*EXECUTED*"},DEALS!$O:$O,$B$124,DEALS!$E:$E,"&lt;="&amp;$U$126,DEALS!$S:$S,V$128,DEALS!$U:$U,$T129,DEALS!$V:$V,"&lt;&gt;*RECEIVED*",DEALS!$V:$V,"&lt;&gt;*EXECUTED*"))</f>
        <v>0</v>
      </c>
      <c r="W129" s="29" cm="1">
        <f t="array" ref="W129">SUMIFS(BALANCES!$C:$C,BALANCES!$A:$A,$B$124,BALANCES!$B:$B,$T129,BALANCES!$D:$D,W$128)+SUMIFS(FLOWS!$C:$C,FLOWS!$A:$A,$B$124,FLOWS!$E:$E,$T129,FLOWS!$D:$D,W$128,FLOWS!$H:$H,"&lt;="&amp;$U$126)+SUM(SUMIFS(DEALS!$J:$J,DEALS!$A:$A,{"*REFUND*","*EXECUTED*"},DEALS!$G:$G,$B$124,DEALS!$E:$E,"&lt;="&amp;$U$126,DEALS!$K:$K,W$128,DEALS!$M:$M,$T129,DEALS!$N:$N,"&lt;&gt;*RECEIVED*",DEALS!$N:$N,"&lt;&gt;*EXECUTED*"))+SUM(SUMIFS(DEALS!$R:$R,DEALS!$A:$A,{"*REFUND*","*EXECUTED*"},DEALS!$O:$O,$B$124,DEALS!$E:$E,"&lt;="&amp;$U$126,DEALS!$S:$S,W$128,DEALS!$U:$U,$T129,DEALS!$V:$V,"&lt;&gt;*RECEIVED*",DEALS!$V:$V,"&lt;&gt;*EXECUTED*"))</f>
        <v>0</v>
      </c>
      <c r="X129" s="29" cm="1">
        <f t="array" ref="X129">SUMIFS(BALANCES!$C:$C,BALANCES!$A:$A,$B$124,BALANCES!$B:$B,$T129,BALANCES!$D:$D,X$128)+SUMIFS(FLOWS!$C:$C,FLOWS!$A:$A,$B$124,FLOWS!$E:$E,$T129,FLOWS!$D:$D,X$128,FLOWS!$H:$H,"&lt;="&amp;$U$126)+SUM(SUMIFS(DEALS!$J:$J,DEALS!$A:$A,{"*REFUND*","*EXECUTED*"},DEALS!$G:$G,$B$124,DEALS!$E:$E,"&lt;="&amp;$U$126,DEALS!$K:$K,X$128,DEALS!$M:$M,$T129,DEALS!$N:$N,"&lt;&gt;*RECEIVED*",DEALS!$N:$N,"&lt;&gt;*EXECUTED*"))+SUM(SUMIFS(DEALS!$R:$R,DEALS!$A:$A,{"*REFUND*","*EXECUTED*"},DEALS!$O:$O,$B$124,DEALS!$E:$E,"&lt;="&amp;$U$126,DEALS!$S:$S,X$128,DEALS!$U:$U,$T129,DEALS!$V:$V,"&lt;&gt;*RECEIVED*",DEALS!$V:$V,"&lt;&gt;*EXECUTED*"))</f>
        <v>53767.96</v>
      </c>
      <c r="Y129" s="29" cm="1">
        <f t="array" ref="Y129">SUMIFS(BALANCES!$C:$C,BALANCES!$A:$A,$B$124,BALANCES!$B:$B,$T129,BALANCES!$D:$D,Y$128)+SUMIFS(FLOWS!$C:$C,FLOWS!$A:$A,$B$124,FLOWS!$E:$E,$T129,FLOWS!$D:$D,Y$128,FLOWS!$H:$H,"&lt;="&amp;$U$126)+SUM(SUMIFS(DEALS!$J:$J,DEALS!$A:$A,{"*REFUND*","*EXECUTED*"},DEALS!$G:$G,$B$124,DEALS!$E:$E,"&lt;="&amp;$U$126,DEALS!$K:$K,Y$128,DEALS!$M:$M,$T129,DEALS!$N:$N,"&lt;&gt;*RECEIVED*",DEALS!$N:$N,"&lt;&gt;*EXECUTED*"))+SUM(SUMIFS(DEALS!$R:$R,DEALS!$A:$A,{"*REFUND*","*EXECUTED*"},DEALS!$O:$O,$B$124,DEALS!$E:$E,"&lt;="&amp;$U$126,DEALS!$S:$S,Y$128,DEALS!$U:$U,$T129,DEALS!$V:$V,"&lt;&gt;*RECEIVED*",DEALS!$V:$V,"&lt;&gt;*EXECUTED*"))</f>
        <v>0</v>
      </c>
      <c r="Z129" s="29" cm="1">
        <f t="array" ref="Z129">SUMIFS(BALANCES!$C:$C,BALANCES!$A:$A,$B$124,BALANCES!$B:$B,$T129,BALANCES!$D:$D,Z$128)+SUMIFS(FLOWS!$C:$C,FLOWS!$A:$A,$B$124,FLOWS!$E:$E,$T129,FLOWS!$D:$D,Z$128,FLOWS!$H:$H,"&lt;="&amp;$U$126)+SUM(SUMIFS(DEALS!$J:$J,DEALS!$A:$A,{"*REFUND*","*EXECUTED*"},DEALS!$G:$G,$B$124,DEALS!$E:$E,"&lt;="&amp;$U$126,DEALS!$K:$K,Z$128,DEALS!$M:$M,$T129,DEALS!$N:$N,"&lt;&gt;*RECEIVED*",DEALS!$N:$N,"&lt;&gt;*EXECUTED*"))+SUM(SUMIFS(DEALS!$R:$R,DEALS!$A:$A,{"*REFUND*","*EXECUTED*"},DEALS!$O:$O,$B$124,DEALS!$E:$E,"&lt;="&amp;$U$126,DEALS!$S:$S,Z$128,DEALS!$U:$U,$T129,DEALS!$V:$V,"&lt;&gt;*RECEIVED*",DEALS!$V:$V,"&lt;&gt;*EXECUTED*"))</f>
        <v>0</v>
      </c>
      <c r="AA129" s="30">
        <f ca="1">U129*VLOOKUP(U$128,'FX RATES'!$E$1:$F$50,2,FALSE)+V129*VLOOKUP(V$128,'FX RATES'!$E$1:$F$50,2,FALSE)+W129*VLOOKUP(W$128,'FX RATES'!$E$1:$F$50,2,FALSE)+X129*VLOOKUP(X$128,'FX RATES'!$E$1:$F$50,2,FALSE)+Y129*VLOOKUP(Y$128,'FX RATES'!$E$1:$F$50,2,FALSE)+Z129*VLOOKUP(Z$128,'FX RATES'!$E$1:$F$50,2,FALSE)</f>
        <v>14640.298426183084</v>
      </c>
      <c r="AC129" s="139">
        <f t="shared" ref="AC129:AC148" ca="1" si="47">I129+R129-AA129</f>
        <v>0</v>
      </c>
    </row>
    <row r="130" spans="2:29" ht="19">
      <c r="B130" s="31" t="s">
        <v>14</v>
      </c>
      <c r="C130" s="32" cm="1">
        <f t="array" ref="C130">SUMIFS(BALANCES!$C:$C,BALANCES!$A:$A,$B$124,BALANCES!$B:$B,$B130,BALANCES!$D:$D,C$128)+SUMIFS(FLOWS!$C:$C,FLOWS!$A:$A,$B$124,FLOWS!$E:$E,$B130,FLOWS!$D:$D,C$128,FLOWS!$H:$H,"&lt;"&amp;$C$126)+SUM(SUMIFS(DEALS!$J:$J,DEALS!$A:$A,{"*REFUND*","*EXECUTED*"},DEALS!$G:$G,$B$124,DEALS!$E:$E,"&lt;"&amp;$C$126,DEALS!$K:$K,C$128,DEALS!$M:$M,$B130,DEALS!$N:$N,"&lt;&gt;*RECEIVED*",DEALS!$N:$N,"&lt;&gt;*EXECUTED*"))+SUM(SUMIFS(DEALS!$R:$R,DEALS!$A:$A,{"*REFUND*","*EXECUTED*"},DEALS!$O:$O,$B$124,DEALS!$E:$E,"&lt;"&amp;$C$126,DEALS!$S:$S,C$128,DEALS!$U:$U,$B130,DEALS!$V:$V,"&lt;&gt;*RECEIVED*",DEALS!$V:$V,"&lt;&gt;*EXECUTED*"))</f>
        <v>900.32</v>
      </c>
      <c r="D130" s="32" cm="1">
        <f t="array" ref="D130">SUMIFS(BALANCES!$C:$C,BALANCES!$A:$A,$B$124,BALANCES!$B:$B,$B130,BALANCES!$D:$D,D$128)+SUMIFS(FLOWS!$C:$C,FLOWS!$A:$A,$B$124,FLOWS!$E:$E,$B130,FLOWS!$D:$D,D$128,FLOWS!$H:$H,"&lt;"&amp;$C$126)+SUM(SUMIFS(DEALS!$J:$J,DEALS!$A:$A,{"*REFUND*","*EXECUTED*"},DEALS!$G:$G,$B$124,DEALS!$E:$E,"&lt;"&amp;$C$126,DEALS!$K:$K,D$128,DEALS!$M:$M,$B130,DEALS!$N:$N,"&lt;&gt;*RECEIVED*",DEALS!$N:$N,"&lt;&gt;*EXECUTED*"))+SUM(SUMIFS(DEALS!$R:$R,DEALS!$A:$A,{"*REFUND*","*EXECUTED*"},DEALS!$O:$O,$B$124,DEALS!$E:$E,"&lt;"&amp;$C$126,DEALS!$S:$S,D$128,DEALS!$U:$U,$B130,DEALS!$V:$V,"&lt;&gt;*RECEIVED*",DEALS!$V:$V,"&lt;&gt;*EXECUTED*"))</f>
        <v>104.39</v>
      </c>
      <c r="E130" s="32" cm="1">
        <f t="array" ref="E130">SUMIFS(BALANCES!$C:$C,BALANCES!$A:$A,$B$124,BALANCES!$B:$B,$B130,BALANCES!$D:$D,E$128)+SUMIFS(FLOWS!$C:$C,FLOWS!$A:$A,$B$124,FLOWS!$E:$E,$B130,FLOWS!$D:$D,E$128,FLOWS!$H:$H,"&lt;"&amp;$C$126)+SUM(SUMIFS(DEALS!$J:$J,DEALS!$A:$A,{"*REFUND*","*EXECUTED*"},DEALS!$G:$G,$B$124,DEALS!$E:$E,"&lt;"&amp;$C$126,DEALS!$K:$K,E$128,DEALS!$M:$M,$B130,DEALS!$N:$N,"&lt;&gt;*RECEIVED*",DEALS!$N:$N,"&lt;&gt;*EXECUTED*"))+SUM(SUMIFS(DEALS!$R:$R,DEALS!$A:$A,{"*REFUND*","*EXECUTED*"},DEALS!$O:$O,$B$124,DEALS!$E:$E,"&lt;"&amp;$C$126,DEALS!$S:$S,E$128,DEALS!$U:$U,$B130,DEALS!$V:$V,"&lt;&gt;*RECEIVED*",DEALS!$V:$V,"&lt;&gt;*EXECUTED*"))</f>
        <v>2269.83</v>
      </c>
      <c r="F130" s="32" cm="1">
        <f t="array" ref="F130">SUMIFS(BALANCES!$C:$C,BALANCES!$A:$A,$B$124,BALANCES!$B:$B,$B130,BALANCES!$D:$D,F$128)+SUMIFS(FLOWS!$C:$C,FLOWS!$A:$A,$B$124,FLOWS!$E:$E,$B130,FLOWS!$D:$D,F$128,FLOWS!$H:$H,"&lt;"&amp;$C$126)+SUM(SUMIFS(DEALS!$J:$J,DEALS!$A:$A,{"*REFUND*","*EXECUTED*"},DEALS!$G:$G,$B$124,DEALS!$E:$E,"&lt;"&amp;$C$126,DEALS!$K:$K,F$128,DEALS!$M:$M,$B130,DEALS!$N:$N,"&lt;&gt;*RECEIVED*",DEALS!$N:$N,"&lt;&gt;*EXECUTED*"))+SUM(SUMIFS(DEALS!$R:$R,DEALS!$A:$A,{"*REFUND*","*EXECUTED*"},DEALS!$O:$O,$B$124,DEALS!$E:$E,"&lt;"&amp;$C$126,DEALS!$S:$S,F$128,DEALS!$U:$U,$B130,DEALS!$V:$V,"&lt;&gt;*RECEIVED*",DEALS!$V:$V,"&lt;&gt;*EXECUTED*"))</f>
        <v>36250.629999999997</v>
      </c>
      <c r="G130" s="32" cm="1">
        <f t="array" ref="G130">SUMIFS(BALANCES!$C:$C,BALANCES!$A:$A,$B$124,BALANCES!$B:$B,$B130,BALANCES!$D:$D,G$128)+SUMIFS(FLOWS!$C:$C,FLOWS!$A:$A,$B$124,FLOWS!$E:$E,$B130,FLOWS!$D:$D,G$128,FLOWS!$H:$H,"&lt;"&amp;$C$126)+SUM(SUMIFS(DEALS!$J:$J,DEALS!$A:$A,{"*REFUND*","*EXECUTED*"},DEALS!$G:$G,$B$124,DEALS!$E:$E,"&lt;"&amp;$C$126,DEALS!$K:$K,G$128,DEALS!$M:$M,$B130,DEALS!$N:$N,"&lt;&gt;*RECEIVED*",DEALS!$N:$N,"&lt;&gt;*EXECUTED*"))+SUM(SUMIFS(DEALS!$R:$R,DEALS!$A:$A,{"*REFUND*","*EXECUTED*"},DEALS!$O:$O,$B$124,DEALS!$E:$E,"&lt;"&amp;$C$126,DEALS!$S:$S,G$128,DEALS!$U:$U,$B130,DEALS!$V:$V,"&lt;&gt;*RECEIVED*",DEALS!$V:$V,"&lt;&gt;*EXECUTED*"))</f>
        <v>0</v>
      </c>
      <c r="H130" s="32" cm="1">
        <f t="array" ref="H130">SUMIFS(BALANCES!$C:$C,BALANCES!$A:$A,$B$124,BALANCES!$B:$B,$B130,BALANCES!$D:$D,H$128)+SUMIFS(FLOWS!$C:$C,FLOWS!$A:$A,$B$124,FLOWS!$E:$E,$B130,FLOWS!$D:$D,H$128,FLOWS!$H:$H,"&lt;"&amp;$C$126)+SUM(SUMIFS(DEALS!$J:$J,DEALS!$A:$A,{"*REFUND*","*EXECUTED*"},DEALS!$G:$G,$B$124,DEALS!$E:$E,"&lt;"&amp;$C$126,DEALS!$K:$K,H$128,DEALS!$M:$M,$B130,DEALS!$N:$N,"&lt;&gt;*RECEIVED*",DEALS!$N:$N,"&lt;&gt;*EXECUTED*"))+SUM(SUMIFS(DEALS!$R:$R,DEALS!$A:$A,{"*REFUND*","*EXECUTED*"},DEALS!$O:$O,$B$124,DEALS!$E:$E,"&lt;"&amp;$C$126,DEALS!$S:$S,H$128,DEALS!$U:$U,$B130,DEALS!$V:$V,"&lt;&gt;*RECEIVED*",DEALS!$V:$V,"&lt;&gt;*EXECUTED*"))</f>
        <v>0</v>
      </c>
      <c r="I130" s="33">
        <f ca="1">C130*VLOOKUP(C$128,'FX RATES'!$E$1:$F$50,2,FALSE)+D130*VLOOKUP(D$128,'FX RATES'!$E$1:$F$50,2,FALSE)+E130*VLOOKUP(E$128,'FX RATES'!$E$1:$F$50,2,FALSE)+F130*VLOOKUP(F$128,'FX RATES'!$E$1:$F$50,2,FALSE)+G130*VLOOKUP(G$128,'FX RATES'!$E$1:$F$50,2,FALSE)+H130*VLOOKUP(H$128,'FX RATES'!$E$1:$F$50,2,FALSE)</f>
        <v>11222.434416173701</v>
      </c>
      <c r="K130" s="31" t="str">
        <f t="shared" si="45"/>
        <v>CBD</v>
      </c>
      <c r="L130" s="32" cm="1">
        <f t="array" ref="L130">SUMIFS(FLOWS!$C:$C,FLOWS!$A:$A,$B$124,FLOWS!$E:$E,$K130,FLOWS!$D:$D,L$128,FLOWS!$H:$H,"&gt;="&amp;$C$126,FLOWS!$H:$H,"&lt;="&amp;$U$126)+SUM(SUMIFS(DEALS!$J:$J,DEALS!$A:$A,{"*REFUND*","*EXECUTED*"},DEALS!$G:$G,$B$124,DEALS!$E:$E,"&gt;="&amp;$C$126,DEALS!$E:$E,"&lt;="&amp;$U$126,DEALS!$K:$K,L$128,DEALS!$M:$M,$K130,DEALS!$N:$N,"&lt;&gt;*RECEIVED*",DEALS!$N:$N,"&lt;&gt;*EXECUTED*"))+SUM(SUMIFS(DEALS!$R:$R,DEALS!$A:$A,{"*REFUND*","*EXECUTED*"},DEALS!$O:$O,$B$124,DEALS!$E:$E,"&gt;="&amp;$C$126,DEALS!$E:$E,"&lt;="&amp;$U$126,DEALS!$S:$S,L$128,DEALS!$U:$U,$K130,DEALS!$V:$V,"&lt;&gt;*RECEIVED*",DEALS!$V:$V,"&lt;&gt;*EXECUTED*"))</f>
        <v>0</v>
      </c>
      <c r="M130" s="32" cm="1">
        <f t="array" ref="M130">SUMIFS(FLOWS!$C:$C,FLOWS!$A:$A,$B$124,FLOWS!$E:$E,$K130,FLOWS!$D:$D,M$128,FLOWS!$H:$H,"&gt;="&amp;$C$126,FLOWS!$H:$H,"&lt;="&amp;$U$126)+SUM(SUMIFS(DEALS!$J:$J,DEALS!$A:$A,{"*REFUND*","*EXECUTED*"},DEALS!$G:$G,$B$124,DEALS!$E:$E,"&gt;="&amp;$C$126,DEALS!$E:$E,"&lt;="&amp;$U$126,DEALS!$K:$K,M$128,DEALS!$M:$M,$K130,DEALS!$N:$N,"&lt;&gt;*RECEIVED*",DEALS!$N:$N,"&lt;&gt;*EXECUTED*"))+SUM(SUMIFS(DEALS!$R:$R,DEALS!$A:$A,{"*REFUND*","*EXECUTED*"},DEALS!$O:$O,$B$124,DEALS!$E:$E,"&gt;="&amp;$C$126,DEALS!$E:$E,"&lt;="&amp;$U$126,DEALS!$S:$S,M$128,DEALS!$U:$U,$K130,DEALS!$V:$V,"&lt;&gt;*RECEIVED*",DEALS!$V:$V,"&lt;&gt;*EXECUTED*"))</f>
        <v>0</v>
      </c>
      <c r="N130" s="32" cm="1">
        <f t="array" ref="N130">SUMIFS(FLOWS!$C:$C,FLOWS!$A:$A,$B$124,FLOWS!$E:$E,$K130,FLOWS!$D:$D,N$128,FLOWS!$H:$H,"&gt;="&amp;$C$126,FLOWS!$H:$H,"&lt;="&amp;$U$126)+SUM(SUMIFS(DEALS!$J:$J,DEALS!$A:$A,{"*REFUND*","*EXECUTED*"},DEALS!$G:$G,$B$124,DEALS!$E:$E,"&gt;="&amp;$C$126,DEALS!$E:$E,"&lt;="&amp;$U$126,DEALS!$K:$K,N$128,DEALS!$M:$M,$K130,DEALS!$N:$N,"&lt;&gt;*RECEIVED*",DEALS!$N:$N,"&lt;&gt;*EXECUTED*"))+SUM(SUMIFS(DEALS!$R:$R,DEALS!$A:$A,{"*REFUND*","*EXECUTED*"},DEALS!$O:$O,$B$124,DEALS!$E:$E,"&gt;="&amp;$C$126,DEALS!$E:$E,"&lt;="&amp;$U$126,DEALS!$S:$S,N$128,DEALS!$U:$U,$K130,DEALS!$V:$V,"&lt;&gt;*RECEIVED*",DEALS!$V:$V,"&lt;&gt;*EXECUTED*"))</f>
        <v>0</v>
      </c>
      <c r="O130" s="32" cm="1">
        <f t="array" ref="O130">SUMIFS(FLOWS!$C:$C,FLOWS!$A:$A,$B$124,FLOWS!$E:$E,$K130,FLOWS!$D:$D,O$128,FLOWS!$H:$H,"&gt;="&amp;$C$126,FLOWS!$H:$H,"&lt;="&amp;$U$126)+SUM(SUMIFS(DEALS!$J:$J,DEALS!$A:$A,{"*REFUND*","*EXECUTED*"},DEALS!$G:$G,$B$124,DEALS!$E:$E,"&gt;="&amp;$C$126,DEALS!$E:$E,"&lt;="&amp;$U$126,DEALS!$K:$K,O$128,DEALS!$M:$M,$K130,DEALS!$N:$N,"&lt;&gt;*RECEIVED*",DEALS!$N:$N,"&lt;&gt;*EXECUTED*"))+SUM(SUMIFS(DEALS!$R:$R,DEALS!$A:$A,{"*REFUND*","*EXECUTED*"},DEALS!$O:$O,$B$124,DEALS!$E:$E,"&gt;="&amp;$C$126,DEALS!$E:$E,"&lt;="&amp;$U$126,DEALS!$S:$S,O$128,DEALS!$U:$U,$K130,DEALS!$V:$V,"&lt;&gt;*RECEIVED*",DEALS!$V:$V,"&lt;&gt;*EXECUTED*"))</f>
        <v>0</v>
      </c>
      <c r="P130" s="32" cm="1">
        <f t="array" ref="P130">SUMIFS(FLOWS!$C:$C,FLOWS!$A:$A,$B$124,FLOWS!$E:$E,$K130,FLOWS!$D:$D,P$128,FLOWS!$H:$H,"&gt;="&amp;$C$126,FLOWS!$H:$H,"&lt;="&amp;$U$126)+SUM(SUMIFS(DEALS!$J:$J,DEALS!$A:$A,{"*REFUND*","*EXECUTED*"},DEALS!$G:$G,$B$124,DEALS!$E:$E,"&gt;="&amp;$C$126,DEALS!$E:$E,"&lt;="&amp;$U$126,DEALS!$K:$K,P$128,DEALS!$M:$M,$K130,DEALS!$N:$N,"&lt;&gt;*RECEIVED*",DEALS!$N:$N,"&lt;&gt;*EXECUTED*"))+SUM(SUMIFS(DEALS!$R:$R,DEALS!$A:$A,{"*REFUND*","*EXECUTED*"},DEALS!$O:$O,$B$124,DEALS!$E:$E,"&gt;="&amp;$C$126,DEALS!$E:$E,"&lt;="&amp;$U$126,DEALS!$S:$S,P$128,DEALS!$U:$U,$K130,DEALS!$V:$V,"&lt;&gt;*RECEIVED*",DEALS!$V:$V,"&lt;&gt;*EXECUTED*"))</f>
        <v>0</v>
      </c>
      <c r="Q130" s="32" cm="1">
        <f t="array" ref="Q130">SUMIFS(FLOWS!$C:$C,FLOWS!$A:$A,$B$124,FLOWS!$E:$E,$K130,FLOWS!$D:$D,Q$128,FLOWS!$H:$H,"&gt;="&amp;$C$126,FLOWS!$H:$H,"&lt;="&amp;$U$126)+SUM(SUMIFS(DEALS!$J:$J,DEALS!$A:$A,{"*REFUND*","*EXECUTED*"},DEALS!$G:$G,$B$124,DEALS!$E:$E,"&gt;="&amp;$C$126,DEALS!$E:$E,"&lt;="&amp;$U$126,DEALS!$K:$K,Q$128,DEALS!$M:$M,$K130,DEALS!$N:$N,"&lt;&gt;*RECEIVED*",DEALS!$N:$N,"&lt;&gt;*EXECUTED*"))+SUM(SUMIFS(DEALS!$R:$R,DEALS!$A:$A,{"*REFUND*","*EXECUTED*"},DEALS!$O:$O,$B$124,DEALS!$E:$E,"&gt;="&amp;$C$126,DEALS!$E:$E,"&lt;="&amp;$U$126,DEALS!$S:$S,Q$128,DEALS!$U:$U,$K130,DEALS!$V:$V,"&lt;&gt;*RECEIVED*",DEALS!$V:$V,"&lt;&gt;*EXECUTED*"))</f>
        <v>0</v>
      </c>
      <c r="R130" s="33">
        <f ca="1">L130*VLOOKUP(L$128,'FX RATES'!$E$1:$F$50,2,FALSE)+M130*VLOOKUP(M$128,'FX RATES'!$E$1:$F$50,2,FALSE)+N130*VLOOKUP(N$128,'FX RATES'!$E$1:$F$50,2,FALSE)+O130*VLOOKUP(O$128,'FX RATES'!$E$1:$F$50,2,FALSE)+P130*VLOOKUP(P$128,'FX RATES'!$E$1:$F$50,2,FALSE)+Q130*VLOOKUP(Q$128,'FX RATES'!$E$1:$F$50,2,FALSE)</f>
        <v>0</v>
      </c>
      <c r="T130" s="31" t="str">
        <f t="shared" si="46"/>
        <v>CBD</v>
      </c>
      <c r="U130" s="32" cm="1">
        <f t="array" ref="U130">SUMIFS(BALANCES!$C:$C,BALANCES!$A:$A,$B$124,BALANCES!$B:$B,$T130,BALANCES!$D:$D,U$128)+SUMIFS(FLOWS!$C:$C,FLOWS!$A:$A,$B$124,FLOWS!$E:$E,$T130,FLOWS!$D:$D,U$128,FLOWS!$H:$H,"&lt;="&amp;$U$126)+SUM(SUMIFS(DEALS!$J:$J,DEALS!$A:$A,{"*REFUND*","*EXECUTED*"},DEALS!$G:$G,$B$124,DEALS!$E:$E,"&lt;="&amp;$U$126,DEALS!$K:$K,U$128,DEALS!$M:$M,$T130,DEALS!$N:$N,"&lt;&gt;*RECEIVED*",DEALS!$N:$N,"&lt;&gt;*EXECUTED*"))+SUM(SUMIFS(DEALS!$R:$R,DEALS!$A:$A,{"*REFUND*","*EXECUTED*"},DEALS!$O:$O,$B$124,DEALS!$E:$E,"&lt;="&amp;$U$126,DEALS!$S:$S,U$128,DEALS!$U:$U,$T130,DEALS!$V:$V,"&lt;&gt;*RECEIVED*",DEALS!$V:$V,"&lt;&gt;*EXECUTED*"))</f>
        <v>900.32</v>
      </c>
      <c r="V130" s="32" cm="1">
        <f t="array" ref="V130">SUMIFS(BALANCES!$C:$C,BALANCES!$A:$A,$B$124,BALANCES!$B:$B,$T130,BALANCES!$D:$D,V$128)+SUMIFS(FLOWS!$C:$C,FLOWS!$A:$A,$B$124,FLOWS!$E:$E,$T130,FLOWS!$D:$D,V$128,FLOWS!$H:$H,"&lt;="&amp;$U$126)+SUM(SUMIFS(DEALS!$J:$J,DEALS!$A:$A,{"*REFUND*","*EXECUTED*"},DEALS!$G:$G,$B$124,DEALS!$E:$E,"&lt;="&amp;$U$126,DEALS!$K:$K,V$128,DEALS!$M:$M,$T130,DEALS!$N:$N,"&lt;&gt;*RECEIVED*",DEALS!$N:$N,"&lt;&gt;*EXECUTED*"))+SUM(SUMIFS(DEALS!$R:$R,DEALS!$A:$A,{"*REFUND*","*EXECUTED*"},DEALS!$O:$O,$B$124,DEALS!$E:$E,"&lt;="&amp;$U$126,DEALS!$S:$S,V$128,DEALS!$U:$U,$T130,DEALS!$V:$V,"&lt;&gt;*RECEIVED*",DEALS!$V:$V,"&lt;&gt;*EXECUTED*"))</f>
        <v>104.39</v>
      </c>
      <c r="W130" s="32" cm="1">
        <f t="array" ref="W130">SUMIFS(BALANCES!$C:$C,BALANCES!$A:$A,$B$124,BALANCES!$B:$B,$T130,BALANCES!$D:$D,W$128)+SUMIFS(FLOWS!$C:$C,FLOWS!$A:$A,$B$124,FLOWS!$E:$E,$T130,FLOWS!$D:$D,W$128,FLOWS!$H:$H,"&lt;="&amp;$U$126)+SUM(SUMIFS(DEALS!$J:$J,DEALS!$A:$A,{"*REFUND*","*EXECUTED*"},DEALS!$G:$G,$B$124,DEALS!$E:$E,"&lt;="&amp;$U$126,DEALS!$K:$K,W$128,DEALS!$M:$M,$T130,DEALS!$N:$N,"&lt;&gt;*RECEIVED*",DEALS!$N:$N,"&lt;&gt;*EXECUTED*"))+SUM(SUMIFS(DEALS!$R:$R,DEALS!$A:$A,{"*REFUND*","*EXECUTED*"},DEALS!$O:$O,$B$124,DEALS!$E:$E,"&lt;="&amp;$U$126,DEALS!$S:$S,W$128,DEALS!$U:$U,$T130,DEALS!$V:$V,"&lt;&gt;*RECEIVED*",DEALS!$V:$V,"&lt;&gt;*EXECUTED*"))</f>
        <v>2269.83</v>
      </c>
      <c r="X130" s="32" cm="1">
        <f t="array" ref="X130">SUMIFS(BALANCES!$C:$C,BALANCES!$A:$A,$B$124,BALANCES!$B:$B,$T130,BALANCES!$D:$D,X$128)+SUMIFS(FLOWS!$C:$C,FLOWS!$A:$A,$B$124,FLOWS!$E:$E,$T130,FLOWS!$D:$D,X$128,FLOWS!$H:$H,"&lt;="&amp;$U$126)+SUM(SUMIFS(DEALS!$J:$J,DEALS!$A:$A,{"*REFUND*","*EXECUTED*"},DEALS!$G:$G,$B$124,DEALS!$E:$E,"&lt;="&amp;$U$126,DEALS!$K:$K,X$128,DEALS!$M:$M,$T130,DEALS!$N:$N,"&lt;&gt;*RECEIVED*",DEALS!$N:$N,"&lt;&gt;*EXECUTED*"))+SUM(SUMIFS(DEALS!$R:$R,DEALS!$A:$A,{"*REFUND*","*EXECUTED*"},DEALS!$O:$O,$B$124,DEALS!$E:$E,"&lt;="&amp;$U$126,DEALS!$S:$S,X$128,DEALS!$U:$U,$T130,DEALS!$V:$V,"&lt;&gt;*RECEIVED*",DEALS!$V:$V,"&lt;&gt;*EXECUTED*"))</f>
        <v>36250.629999999997</v>
      </c>
      <c r="Y130" s="32" cm="1">
        <f t="array" ref="Y130">SUMIFS(BALANCES!$C:$C,BALANCES!$A:$A,$B$124,BALANCES!$B:$B,$T130,BALANCES!$D:$D,Y$128)+SUMIFS(FLOWS!$C:$C,FLOWS!$A:$A,$B$124,FLOWS!$E:$E,$T130,FLOWS!$D:$D,Y$128,FLOWS!$H:$H,"&lt;="&amp;$U$126)+SUM(SUMIFS(DEALS!$J:$J,DEALS!$A:$A,{"*REFUND*","*EXECUTED*"},DEALS!$G:$G,$B$124,DEALS!$E:$E,"&lt;="&amp;$U$126,DEALS!$K:$K,Y$128,DEALS!$M:$M,$T130,DEALS!$N:$N,"&lt;&gt;*RECEIVED*",DEALS!$N:$N,"&lt;&gt;*EXECUTED*"))+SUM(SUMIFS(DEALS!$R:$R,DEALS!$A:$A,{"*REFUND*","*EXECUTED*"},DEALS!$O:$O,$B$124,DEALS!$E:$E,"&lt;="&amp;$U$126,DEALS!$S:$S,Y$128,DEALS!$U:$U,$T130,DEALS!$V:$V,"&lt;&gt;*RECEIVED*",DEALS!$V:$V,"&lt;&gt;*EXECUTED*"))</f>
        <v>0</v>
      </c>
      <c r="Z130" s="32" cm="1">
        <f t="array" ref="Z130">SUMIFS(BALANCES!$C:$C,BALANCES!$A:$A,$B$124,BALANCES!$B:$B,$T130,BALANCES!$D:$D,Z$128)+SUMIFS(FLOWS!$C:$C,FLOWS!$A:$A,$B$124,FLOWS!$E:$E,$T130,FLOWS!$D:$D,Z$128,FLOWS!$H:$H,"&lt;="&amp;$U$126)+SUM(SUMIFS(DEALS!$J:$J,DEALS!$A:$A,{"*REFUND*","*EXECUTED*"},DEALS!$G:$G,$B$124,DEALS!$E:$E,"&lt;="&amp;$U$126,DEALS!$K:$K,Z$128,DEALS!$M:$M,$T130,DEALS!$N:$N,"&lt;&gt;*RECEIVED*",DEALS!$N:$N,"&lt;&gt;*EXECUTED*"))+SUM(SUMIFS(DEALS!$R:$R,DEALS!$A:$A,{"*REFUND*","*EXECUTED*"},DEALS!$O:$O,$B$124,DEALS!$E:$E,"&lt;="&amp;$U$126,DEALS!$S:$S,Z$128,DEALS!$U:$U,$T130,DEALS!$V:$V,"&lt;&gt;*RECEIVED*",DEALS!$V:$V,"&lt;&gt;*EXECUTED*"))</f>
        <v>0</v>
      </c>
      <c r="AA130" s="33">
        <f ca="1">U130*VLOOKUP(U$128,'FX RATES'!$E$1:$F$50,2,FALSE)+V130*VLOOKUP(V$128,'FX RATES'!$E$1:$F$50,2,FALSE)+W130*VLOOKUP(W$128,'FX RATES'!$E$1:$F$50,2,FALSE)+X130*VLOOKUP(X$128,'FX RATES'!$E$1:$F$50,2,FALSE)+Y130*VLOOKUP(Y$128,'FX RATES'!$E$1:$F$50,2,FALSE)+Z130*VLOOKUP(Z$128,'FX RATES'!$E$1:$F$50,2,FALSE)</f>
        <v>11222.434416173701</v>
      </c>
      <c r="AC130" s="139">
        <f t="shared" ca="1" si="47"/>
        <v>0</v>
      </c>
    </row>
    <row r="131" spans="2:29" ht="19">
      <c r="B131" s="28" t="s">
        <v>16</v>
      </c>
      <c r="C131" s="29" cm="1">
        <f t="array" ref="C131">SUMIFS(BALANCES!$C:$C,BALANCES!$A:$A,$B$124,BALANCES!$B:$B,$B131,BALANCES!$D:$D,C$128)+SUMIFS(FLOWS!$C:$C,FLOWS!$A:$A,$B$124,FLOWS!$E:$E,$B131,FLOWS!$D:$D,C$128,FLOWS!$H:$H,"&lt;"&amp;$C$126)+SUM(SUMIFS(DEALS!$J:$J,DEALS!$A:$A,{"*REFUND*","*EXECUTED*"},DEALS!$G:$G,$B$124,DEALS!$E:$E,"&lt;"&amp;$C$126,DEALS!$K:$K,C$128,DEALS!$M:$M,$B131,DEALS!$N:$N,"&lt;&gt;*RECEIVED*",DEALS!$N:$N,"&lt;&gt;*EXECUTED*"))+SUM(SUMIFS(DEALS!$R:$R,DEALS!$A:$A,{"*REFUND*","*EXECUTED*"},DEALS!$O:$O,$B$124,DEALS!$E:$E,"&lt;"&amp;$C$126,DEALS!$S:$S,C$128,DEALS!$U:$U,$B131,DEALS!$V:$V,"&lt;&gt;*RECEIVED*",DEALS!$V:$V,"&lt;&gt;*EXECUTED*"))</f>
        <v>0</v>
      </c>
      <c r="D131" s="29" cm="1">
        <f t="array" ref="D131">SUMIFS(BALANCES!$C:$C,BALANCES!$A:$A,$B$124,BALANCES!$B:$B,$B131,BALANCES!$D:$D,D$128)+SUMIFS(FLOWS!$C:$C,FLOWS!$A:$A,$B$124,FLOWS!$E:$E,$B131,FLOWS!$D:$D,D$128,FLOWS!$H:$H,"&lt;"&amp;$C$126)+SUM(SUMIFS(DEALS!$J:$J,DEALS!$A:$A,{"*REFUND*","*EXECUTED*"},DEALS!$G:$G,$B$124,DEALS!$E:$E,"&lt;"&amp;$C$126,DEALS!$K:$K,D$128,DEALS!$M:$M,$B131,DEALS!$N:$N,"&lt;&gt;*RECEIVED*",DEALS!$N:$N,"&lt;&gt;*EXECUTED*"))+SUM(SUMIFS(DEALS!$R:$R,DEALS!$A:$A,{"*REFUND*","*EXECUTED*"},DEALS!$O:$O,$B$124,DEALS!$E:$E,"&lt;"&amp;$C$126,DEALS!$S:$S,D$128,DEALS!$U:$U,$B131,DEALS!$V:$V,"&lt;&gt;*RECEIVED*",DEALS!$V:$V,"&lt;&gt;*EXECUTED*"))</f>
        <v>0</v>
      </c>
      <c r="E131" s="29" cm="1">
        <f t="array" ref="E131">SUMIFS(BALANCES!$C:$C,BALANCES!$A:$A,$B$124,BALANCES!$B:$B,$B131,BALANCES!$D:$D,E$128)+SUMIFS(FLOWS!$C:$C,FLOWS!$A:$A,$B$124,FLOWS!$E:$E,$B131,FLOWS!$D:$D,E$128,FLOWS!$H:$H,"&lt;"&amp;$C$126)+SUM(SUMIFS(DEALS!$J:$J,DEALS!$A:$A,{"*REFUND*","*EXECUTED*"},DEALS!$G:$G,$B$124,DEALS!$E:$E,"&lt;"&amp;$C$126,DEALS!$K:$K,E$128,DEALS!$M:$M,$B131,DEALS!$N:$N,"&lt;&gt;*RECEIVED*",DEALS!$N:$N,"&lt;&gt;*EXECUTED*"))+SUM(SUMIFS(DEALS!$R:$R,DEALS!$A:$A,{"*REFUND*","*EXECUTED*"},DEALS!$O:$O,$B$124,DEALS!$E:$E,"&lt;"&amp;$C$126,DEALS!$S:$S,E$128,DEALS!$U:$U,$B131,DEALS!$V:$V,"&lt;&gt;*RECEIVED*",DEALS!$V:$V,"&lt;&gt;*EXECUTED*"))</f>
        <v>0</v>
      </c>
      <c r="F131" s="29" cm="1">
        <f t="array" ref="F131">SUMIFS(BALANCES!$C:$C,BALANCES!$A:$A,$B$124,BALANCES!$B:$B,$B131,BALANCES!$D:$D,F$128)+SUMIFS(FLOWS!$C:$C,FLOWS!$A:$A,$B$124,FLOWS!$E:$E,$B131,FLOWS!$D:$D,F$128,FLOWS!$H:$H,"&lt;"&amp;$C$126)+SUM(SUMIFS(DEALS!$J:$J,DEALS!$A:$A,{"*REFUND*","*EXECUTED*"},DEALS!$G:$G,$B$124,DEALS!$E:$E,"&lt;"&amp;$C$126,DEALS!$K:$K,F$128,DEALS!$M:$M,$B131,DEALS!$N:$N,"&lt;&gt;*RECEIVED*",DEALS!$N:$N,"&lt;&gt;*EXECUTED*"))+SUM(SUMIFS(DEALS!$R:$R,DEALS!$A:$A,{"*REFUND*","*EXECUTED*"},DEALS!$O:$O,$B$124,DEALS!$E:$E,"&lt;"&amp;$C$126,DEALS!$S:$S,F$128,DEALS!$U:$U,$B131,DEALS!$V:$V,"&lt;&gt;*RECEIVED*",DEALS!$V:$V,"&lt;&gt;*EXECUTED*"))</f>
        <v>2441.1999999999998</v>
      </c>
      <c r="G131" s="29" cm="1">
        <f t="array" ref="G131">SUMIFS(BALANCES!$C:$C,BALANCES!$A:$A,$B$124,BALANCES!$B:$B,$B131,BALANCES!$D:$D,G$128)+SUMIFS(FLOWS!$C:$C,FLOWS!$A:$A,$B$124,FLOWS!$E:$E,$B131,FLOWS!$D:$D,G$128,FLOWS!$H:$H,"&lt;"&amp;$C$126)+SUM(SUMIFS(DEALS!$J:$J,DEALS!$A:$A,{"*REFUND*","*EXECUTED*"},DEALS!$G:$G,$B$124,DEALS!$E:$E,"&lt;"&amp;$C$126,DEALS!$K:$K,G$128,DEALS!$M:$M,$B131,DEALS!$N:$N,"&lt;&gt;*RECEIVED*",DEALS!$N:$N,"&lt;&gt;*EXECUTED*"))+SUM(SUMIFS(DEALS!$R:$R,DEALS!$A:$A,{"*REFUND*","*EXECUTED*"},DEALS!$O:$O,$B$124,DEALS!$E:$E,"&lt;"&amp;$C$126,DEALS!$S:$S,G$128,DEALS!$U:$U,$B131,DEALS!$V:$V,"&lt;&gt;*RECEIVED*",DEALS!$V:$V,"&lt;&gt;*EXECUTED*"))</f>
        <v>0</v>
      </c>
      <c r="H131" s="29" cm="1">
        <f t="array" ref="H131">SUMIFS(BALANCES!$C:$C,BALANCES!$A:$A,$B$124,BALANCES!$B:$B,$B131,BALANCES!$D:$D,H$128)+SUMIFS(FLOWS!$C:$C,FLOWS!$A:$A,$B$124,FLOWS!$E:$E,$B131,FLOWS!$D:$D,H$128,FLOWS!$H:$H,"&lt;"&amp;$C$126)+SUM(SUMIFS(DEALS!$J:$J,DEALS!$A:$A,{"*REFUND*","*EXECUTED*"},DEALS!$G:$G,$B$124,DEALS!$E:$E,"&lt;"&amp;$C$126,DEALS!$K:$K,H$128,DEALS!$M:$M,$B131,DEALS!$N:$N,"&lt;&gt;*RECEIVED*",DEALS!$N:$N,"&lt;&gt;*EXECUTED*"))+SUM(SUMIFS(DEALS!$R:$R,DEALS!$A:$A,{"*REFUND*","*EXECUTED*"},DEALS!$O:$O,$B$124,DEALS!$E:$E,"&lt;"&amp;$C$126,DEALS!$S:$S,H$128,DEALS!$U:$U,$B131,DEALS!$V:$V,"&lt;&gt;*RECEIVED*",DEALS!$V:$V,"&lt;&gt;*EXECUTED*"))</f>
        <v>0</v>
      </c>
      <c r="I131" s="30">
        <f ca="1">C131*VLOOKUP(C$128,'FX RATES'!$E$1:$F$50,2,FALSE)+D131*VLOOKUP(D$128,'FX RATES'!$E$1:$F$50,2,FALSE)+E131*VLOOKUP(E$128,'FX RATES'!$E$1:$F$50,2,FALSE)+F131*VLOOKUP(F$128,'FX RATES'!$E$1:$F$50,2,FALSE)+G131*VLOOKUP(G$128,'FX RATES'!$E$1:$F$50,2,FALSE)+H131*VLOOKUP(H$128,'FX RATES'!$E$1:$F$50,2,FALSE)</f>
        <v>664.70620269019219</v>
      </c>
      <c r="K131" s="28" t="str">
        <f t="shared" si="45"/>
        <v>ADIB</v>
      </c>
      <c r="L131" s="29" cm="1">
        <f t="array" ref="L131">SUMIFS(FLOWS!$C:$C,FLOWS!$A:$A,$B$124,FLOWS!$E:$E,$K131,FLOWS!$D:$D,L$128,FLOWS!$H:$H,"&gt;="&amp;$C$126,FLOWS!$H:$H,"&lt;="&amp;$U$126)+SUM(SUMIFS(DEALS!$J:$J,DEALS!$A:$A,{"*REFUND*","*EXECUTED*"},DEALS!$G:$G,$B$124,DEALS!$E:$E,"&gt;="&amp;$C$126,DEALS!$E:$E,"&lt;="&amp;$U$126,DEALS!$K:$K,L$128,DEALS!$M:$M,$K131,DEALS!$N:$N,"&lt;&gt;*RECEIVED*",DEALS!$N:$N,"&lt;&gt;*EXECUTED*"))+SUM(SUMIFS(DEALS!$R:$R,DEALS!$A:$A,{"*REFUND*","*EXECUTED*"},DEALS!$O:$O,$B$124,DEALS!$E:$E,"&gt;="&amp;$C$126,DEALS!$E:$E,"&lt;="&amp;$U$126,DEALS!$S:$S,L$128,DEALS!$U:$U,$K131,DEALS!$V:$V,"&lt;&gt;*RECEIVED*",DEALS!$V:$V,"&lt;&gt;*EXECUTED*"))</f>
        <v>0</v>
      </c>
      <c r="M131" s="29" cm="1">
        <f t="array" ref="M131">SUMIFS(FLOWS!$C:$C,FLOWS!$A:$A,$B$124,FLOWS!$E:$E,$K131,FLOWS!$D:$D,M$128,FLOWS!$H:$H,"&gt;="&amp;$C$126,FLOWS!$H:$H,"&lt;="&amp;$U$126)+SUM(SUMIFS(DEALS!$J:$J,DEALS!$A:$A,{"*REFUND*","*EXECUTED*"},DEALS!$G:$G,$B$124,DEALS!$E:$E,"&gt;="&amp;$C$126,DEALS!$E:$E,"&lt;="&amp;$U$126,DEALS!$K:$K,M$128,DEALS!$M:$M,$K131,DEALS!$N:$N,"&lt;&gt;*RECEIVED*",DEALS!$N:$N,"&lt;&gt;*EXECUTED*"))+SUM(SUMIFS(DEALS!$R:$R,DEALS!$A:$A,{"*REFUND*","*EXECUTED*"},DEALS!$O:$O,$B$124,DEALS!$E:$E,"&gt;="&amp;$C$126,DEALS!$E:$E,"&lt;="&amp;$U$126,DEALS!$S:$S,M$128,DEALS!$U:$U,$K131,DEALS!$V:$V,"&lt;&gt;*RECEIVED*",DEALS!$V:$V,"&lt;&gt;*EXECUTED*"))</f>
        <v>0</v>
      </c>
      <c r="N131" s="29" cm="1">
        <f t="array" ref="N131">SUMIFS(FLOWS!$C:$C,FLOWS!$A:$A,$B$124,FLOWS!$E:$E,$K131,FLOWS!$D:$D,N$128,FLOWS!$H:$H,"&gt;="&amp;$C$126,FLOWS!$H:$H,"&lt;="&amp;$U$126)+SUM(SUMIFS(DEALS!$J:$J,DEALS!$A:$A,{"*REFUND*","*EXECUTED*"},DEALS!$G:$G,$B$124,DEALS!$E:$E,"&gt;="&amp;$C$126,DEALS!$E:$E,"&lt;="&amp;$U$126,DEALS!$K:$K,N$128,DEALS!$M:$M,$K131,DEALS!$N:$N,"&lt;&gt;*RECEIVED*",DEALS!$N:$N,"&lt;&gt;*EXECUTED*"))+SUM(SUMIFS(DEALS!$R:$R,DEALS!$A:$A,{"*REFUND*","*EXECUTED*"},DEALS!$O:$O,$B$124,DEALS!$E:$E,"&gt;="&amp;$C$126,DEALS!$E:$E,"&lt;="&amp;$U$126,DEALS!$S:$S,N$128,DEALS!$U:$U,$K131,DEALS!$V:$V,"&lt;&gt;*RECEIVED*",DEALS!$V:$V,"&lt;&gt;*EXECUTED*"))</f>
        <v>0</v>
      </c>
      <c r="O131" s="29" cm="1">
        <f t="array" ref="O131">SUMIFS(FLOWS!$C:$C,FLOWS!$A:$A,$B$124,FLOWS!$E:$E,$K131,FLOWS!$D:$D,O$128,FLOWS!$H:$H,"&gt;="&amp;$C$126,FLOWS!$H:$H,"&lt;="&amp;$U$126)+SUM(SUMIFS(DEALS!$J:$J,DEALS!$A:$A,{"*REFUND*","*EXECUTED*"},DEALS!$G:$G,$B$124,DEALS!$E:$E,"&gt;="&amp;$C$126,DEALS!$E:$E,"&lt;="&amp;$U$126,DEALS!$K:$K,O$128,DEALS!$M:$M,$K131,DEALS!$N:$N,"&lt;&gt;*RECEIVED*",DEALS!$N:$N,"&lt;&gt;*EXECUTED*"))+SUM(SUMIFS(DEALS!$R:$R,DEALS!$A:$A,{"*REFUND*","*EXECUTED*"},DEALS!$O:$O,$B$124,DEALS!$E:$E,"&gt;="&amp;$C$126,DEALS!$E:$E,"&lt;="&amp;$U$126,DEALS!$S:$S,O$128,DEALS!$U:$U,$K131,DEALS!$V:$V,"&lt;&gt;*RECEIVED*",DEALS!$V:$V,"&lt;&gt;*EXECUTED*"))</f>
        <v>0</v>
      </c>
      <c r="P131" s="29" cm="1">
        <f t="array" ref="P131">SUMIFS(FLOWS!$C:$C,FLOWS!$A:$A,$B$124,FLOWS!$E:$E,$K131,FLOWS!$D:$D,P$128,FLOWS!$H:$H,"&gt;="&amp;$C$126,FLOWS!$H:$H,"&lt;="&amp;$U$126)+SUM(SUMIFS(DEALS!$J:$J,DEALS!$A:$A,{"*REFUND*","*EXECUTED*"},DEALS!$G:$G,$B$124,DEALS!$E:$E,"&gt;="&amp;$C$126,DEALS!$E:$E,"&lt;="&amp;$U$126,DEALS!$K:$K,P$128,DEALS!$M:$M,$K131,DEALS!$N:$N,"&lt;&gt;*RECEIVED*",DEALS!$N:$N,"&lt;&gt;*EXECUTED*"))+SUM(SUMIFS(DEALS!$R:$R,DEALS!$A:$A,{"*REFUND*","*EXECUTED*"},DEALS!$O:$O,$B$124,DEALS!$E:$E,"&gt;="&amp;$C$126,DEALS!$E:$E,"&lt;="&amp;$U$126,DEALS!$S:$S,P$128,DEALS!$U:$U,$K131,DEALS!$V:$V,"&lt;&gt;*RECEIVED*",DEALS!$V:$V,"&lt;&gt;*EXECUTED*"))</f>
        <v>0</v>
      </c>
      <c r="Q131" s="29" cm="1">
        <f t="array" ref="Q131">SUMIFS(FLOWS!$C:$C,FLOWS!$A:$A,$B$124,FLOWS!$E:$E,$K131,FLOWS!$D:$D,Q$128,FLOWS!$H:$H,"&gt;="&amp;$C$126,FLOWS!$H:$H,"&lt;="&amp;$U$126)+SUM(SUMIFS(DEALS!$J:$J,DEALS!$A:$A,{"*REFUND*","*EXECUTED*"},DEALS!$G:$G,$B$124,DEALS!$E:$E,"&gt;="&amp;$C$126,DEALS!$E:$E,"&lt;="&amp;$U$126,DEALS!$K:$K,Q$128,DEALS!$M:$M,$K131,DEALS!$N:$N,"&lt;&gt;*RECEIVED*",DEALS!$N:$N,"&lt;&gt;*EXECUTED*"))+SUM(SUMIFS(DEALS!$R:$R,DEALS!$A:$A,{"*REFUND*","*EXECUTED*"},DEALS!$O:$O,$B$124,DEALS!$E:$E,"&gt;="&amp;$C$126,DEALS!$E:$E,"&lt;="&amp;$U$126,DEALS!$S:$S,Q$128,DEALS!$U:$U,$K131,DEALS!$V:$V,"&lt;&gt;*RECEIVED*",DEALS!$V:$V,"&lt;&gt;*EXECUTED*"))</f>
        <v>0</v>
      </c>
      <c r="R131" s="30">
        <f ca="1">L131*VLOOKUP(L$128,'FX RATES'!$E$1:$F$50,2,FALSE)+M131*VLOOKUP(M$128,'FX RATES'!$E$1:$F$50,2,FALSE)+N131*VLOOKUP(N$128,'FX RATES'!$E$1:$F$50,2,FALSE)+O131*VLOOKUP(O$128,'FX RATES'!$E$1:$F$50,2,FALSE)+P131*VLOOKUP(P$128,'FX RATES'!$E$1:$F$50,2,FALSE)+Q131*VLOOKUP(Q$128,'FX RATES'!$E$1:$F$50,2,FALSE)</f>
        <v>0</v>
      </c>
      <c r="T131" s="28" t="str">
        <f t="shared" si="46"/>
        <v>ADIB</v>
      </c>
      <c r="U131" s="29" cm="1">
        <f t="array" ref="U131">SUMIFS(BALANCES!$C:$C,BALANCES!$A:$A,$B$124,BALANCES!$B:$B,$T131,BALANCES!$D:$D,U$128)+SUMIFS(FLOWS!$C:$C,FLOWS!$A:$A,$B$124,FLOWS!$E:$E,$T131,FLOWS!$D:$D,U$128,FLOWS!$H:$H,"&lt;="&amp;$U$126)+SUM(SUMIFS(DEALS!$J:$J,DEALS!$A:$A,{"*REFUND*","*EXECUTED*"},DEALS!$G:$G,$B$124,DEALS!$E:$E,"&lt;="&amp;$U$126,DEALS!$K:$K,U$128,DEALS!$M:$M,$T131,DEALS!$N:$N,"&lt;&gt;*RECEIVED*",DEALS!$N:$N,"&lt;&gt;*EXECUTED*"))+SUM(SUMIFS(DEALS!$R:$R,DEALS!$A:$A,{"*REFUND*","*EXECUTED*"},DEALS!$O:$O,$B$124,DEALS!$E:$E,"&lt;="&amp;$U$126,DEALS!$S:$S,U$128,DEALS!$U:$U,$T131,DEALS!$V:$V,"&lt;&gt;*RECEIVED*",DEALS!$V:$V,"&lt;&gt;*EXECUTED*"))</f>
        <v>0</v>
      </c>
      <c r="V131" s="29" cm="1">
        <f t="array" ref="V131">SUMIFS(BALANCES!$C:$C,BALANCES!$A:$A,$B$124,BALANCES!$B:$B,$T131,BALANCES!$D:$D,V$128)+SUMIFS(FLOWS!$C:$C,FLOWS!$A:$A,$B$124,FLOWS!$E:$E,$T131,FLOWS!$D:$D,V$128,FLOWS!$H:$H,"&lt;="&amp;$U$126)+SUM(SUMIFS(DEALS!$J:$J,DEALS!$A:$A,{"*REFUND*","*EXECUTED*"},DEALS!$G:$G,$B$124,DEALS!$E:$E,"&lt;="&amp;$U$126,DEALS!$K:$K,V$128,DEALS!$M:$M,$T131,DEALS!$N:$N,"&lt;&gt;*RECEIVED*",DEALS!$N:$N,"&lt;&gt;*EXECUTED*"))+SUM(SUMIFS(DEALS!$R:$R,DEALS!$A:$A,{"*REFUND*","*EXECUTED*"},DEALS!$O:$O,$B$124,DEALS!$E:$E,"&lt;="&amp;$U$126,DEALS!$S:$S,V$128,DEALS!$U:$U,$T131,DEALS!$V:$V,"&lt;&gt;*RECEIVED*",DEALS!$V:$V,"&lt;&gt;*EXECUTED*"))</f>
        <v>0</v>
      </c>
      <c r="W131" s="29" cm="1">
        <f t="array" ref="W131">SUMIFS(BALANCES!$C:$C,BALANCES!$A:$A,$B$124,BALANCES!$B:$B,$T131,BALANCES!$D:$D,W$128)+SUMIFS(FLOWS!$C:$C,FLOWS!$A:$A,$B$124,FLOWS!$E:$E,$T131,FLOWS!$D:$D,W$128,FLOWS!$H:$H,"&lt;="&amp;$U$126)+SUM(SUMIFS(DEALS!$J:$J,DEALS!$A:$A,{"*REFUND*","*EXECUTED*"},DEALS!$G:$G,$B$124,DEALS!$E:$E,"&lt;="&amp;$U$126,DEALS!$K:$K,W$128,DEALS!$M:$M,$T131,DEALS!$N:$N,"&lt;&gt;*RECEIVED*",DEALS!$N:$N,"&lt;&gt;*EXECUTED*"))+SUM(SUMIFS(DEALS!$R:$R,DEALS!$A:$A,{"*REFUND*","*EXECUTED*"},DEALS!$O:$O,$B$124,DEALS!$E:$E,"&lt;="&amp;$U$126,DEALS!$S:$S,W$128,DEALS!$U:$U,$T131,DEALS!$V:$V,"&lt;&gt;*RECEIVED*",DEALS!$V:$V,"&lt;&gt;*EXECUTED*"))</f>
        <v>0</v>
      </c>
      <c r="X131" s="29" cm="1">
        <f t="array" ref="X131">SUMIFS(BALANCES!$C:$C,BALANCES!$A:$A,$B$124,BALANCES!$B:$B,$T131,BALANCES!$D:$D,X$128)+SUMIFS(FLOWS!$C:$C,FLOWS!$A:$A,$B$124,FLOWS!$E:$E,$T131,FLOWS!$D:$D,X$128,FLOWS!$H:$H,"&lt;="&amp;$U$126)+SUM(SUMIFS(DEALS!$J:$J,DEALS!$A:$A,{"*REFUND*","*EXECUTED*"},DEALS!$G:$G,$B$124,DEALS!$E:$E,"&lt;="&amp;$U$126,DEALS!$K:$K,X$128,DEALS!$M:$M,$T131,DEALS!$N:$N,"&lt;&gt;*RECEIVED*",DEALS!$N:$N,"&lt;&gt;*EXECUTED*"))+SUM(SUMIFS(DEALS!$R:$R,DEALS!$A:$A,{"*REFUND*","*EXECUTED*"},DEALS!$O:$O,$B$124,DEALS!$E:$E,"&lt;="&amp;$U$126,DEALS!$S:$S,X$128,DEALS!$U:$U,$T131,DEALS!$V:$V,"&lt;&gt;*RECEIVED*",DEALS!$V:$V,"&lt;&gt;*EXECUTED*"))</f>
        <v>2441.1999999999998</v>
      </c>
      <c r="Y131" s="29" cm="1">
        <f t="array" ref="Y131">SUMIFS(BALANCES!$C:$C,BALANCES!$A:$A,$B$124,BALANCES!$B:$B,$T131,BALANCES!$D:$D,Y$128)+SUMIFS(FLOWS!$C:$C,FLOWS!$A:$A,$B$124,FLOWS!$E:$E,$T131,FLOWS!$D:$D,Y$128,FLOWS!$H:$H,"&lt;="&amp;$U$126)+SUM(SUMIFS(DEALS!$J:$J,DEALS!$A:$A,{"*REFUND*","*EXECUTED*"},DEALS!$G:$G,$B$124,DEALS!$E:$E,"&lt;="&amp;$U$126,DEALS!$K:$K,Y$128,DEALS!$M:$M,$T131,DEALS!$N:$N,"&lt;&gt;*RECEIVED*",DEALS!$N:$N,"&lt;&gt;*EXECUTED*"))+SUM(SUMIFS(DEALS!$R:$R,DEALS!$A:$A,{"*REFUND*","*EXECUTED*"},DEALS!$O:$O,$B$124,DEALS!$E:$E,"&lt;="&amp;$U$126,DEALS!$S:$S,Y$128,DEALS!$U:$U,$T131,DEALS!$V:$V,"&lt;&gt;*RECEIVED*",DEALS!$V:$V,"&lt;&gt;*EXECUTED*"))</f>
        <v>0</v>
      </c>
      <c r="Z131" s="29" cm="1">
        <f t="array" ref="Z131">SUMIFS(BALANCES!$C:$C,BALANCES!$A:$A,$B$124,BALANCES!$B:$B,$T131,BALANCES!$D:$D,Z$128)+SUMIFS(FLOWS!$C:$C,FLOWS!$A:$A,$B$124,FLOWS!$E:$E,$T131,FLOWS!$D:$D,Z$128,FLOWS!$H:$H,"&lt;="&amp;$U$126)+SUM(SUMIFS(DEALS!$J:$J,DEALS!$A:$A,{"*REFUND*","*EXECUTED*"},DEALS!$G:$G,$B$124,DEALS!$E:$E,"&lt;="&amp;$U$126,DEALS!$K:$K,Z$128,DEALS!$M:$M,$T131,DEALS!$N:$N,"&lt;&gt;*RECEIVED*",DEALS!$N:$N,"&lt;&gt;*EXECUTED*"))+SUM(SUMIFS(DEALS!$R:$R,DEALS!$A:$A,{"*REFUND*","*EXECUTED*"},DEALS!$O:$O,$B$124,DEALS!$E:$E,"&lt;="&amp;$U$126,DEALS!$S:$S,Z$128,DEALS!$U:$U,$T131,DEALS!$V:$V,"&lt;&gt;*RECEIVED*",DEALS!$V:$V,"&lt;&gt;*EXECUTED*"))</f>
        <v>0</v>
      </c>
      <c r="AA131" s="30">
        <f ca="1">U131*VLOOKUP(U$128,'FX RATES'!$E$1:$F$50,2,FALSE)+V131*VLOOKUP(V$128,'FX RATES'!$E$1:$F$50,2,FALSE)+W131*VLOOKUP(W$128,'FX RATES'!$E$1:$F$50,2,FALSE)+X131*VLOOKUP(X$128,'FX RATES'!$E$1:$F$50,2,FALSE)+Y131*VLOOKUP(Y$128,'FX RATES'!$E$1:$F$50,2,FALSE)+Z131*VLOOKUP(Z$128,'FX RATES'!$E$1:$F$50,2,FALSE)</f>
        <v>664.70620269019219</v>
      </c>
      <c r="AC131" s="139">
        <f t="shared" ca="1" si="47"/>
        <v>0</v>
      </c>
    </row>
    <row r="132" spans="2:29" ht="19">
      <c r="B132" s="31" t="s">
        <v>40</v>
      </c>
      <c r="C132" s="32" cm="1">
        <f t="array" ref="C132">SUMIFS(BALANCES!$C:$C,BALANCES!$A:$A,$B$124,BALANCES!$B:$B,$B132,BALANCES!$D:$D,C$128)+SUMIFS(FLOWS!$C:$C,FLOWS!$A:$A,$B$124,FLOWS!$E:$E,$B132,FLOWS!$D:$D,C$128,FLOWS!$H:$H,"&lt;"&amp;$C$126)+SUM(SUMIFS(DEALS!$J:$J,DEALS!$A:$A,{"*REFUND*","*EXECUTED*"},DEALS!$G:$G,$B$124,DEALS!$E:$E,"&lt;"&amp;$C$126,DEALS!$K:$K,C$128,DEALS!$M:$M,$B132,DEALS!$N:$N,"&lt;&gt;*RECEIVED*",DEALS!$N:$N,"&lt;&gt;*EXECUTED*"))+SUM(SUMIFS(DEALS!$R:$R,DEALS!$A:$A,{"*REFUND*","*EXECUTED*"},DEALS!$O:$O,$B$124,DEALS!$E:$E,"&lt;"&amp;$C$126,DEALS!$S:$S,C$128,DEALS!$U:$U,$B132,DEALS!$V:$V,"&lt;&gt;*RECEIVED*",DEALS!$V:$V,"&lt;&gt;*EXECUTED*"))</f>
        <v>97.95</v>
      </c>
      <c r="D132" s="32" cm="1">
        <f t="array" ref="D132">SUMIFS(BALANCES!$C:$C,BALANCES!$A:$A,$B$124,BALANCES!$B:$B,$B132,BALANCES!$D:$D,D$128)+SUMIFS(FLOWS!$C:$C,FLOWS!$A:$A,$B$124,FLOWS!$E:$E,$B132,FLOWS!$D:$D,D$128,FLOWS!$H:$H,"&lt;"&amp;$C$126)+SUM(SUMIFS(DEALS!$J:$J,DEALS!$A:$A,{"*REFUND*","*EXECUTED*"},DEALS!$G:$G,$B$124,DEALS!$E:$E,"&lt;"&amp;$C$126,DEALS!$K:$K,D$128,DEALS!$M:$M,$B132,DEALS!$N:$N,"&lt;&gt;*RECEIVED*",DEALS!$N:$N,"&lt;&gt;*EXECUTED*"))+SUM(SUMIFS(DEALS!$R:$R,DEALS!$A:$A,{"*REFUND*","*EXECUTED*"},DEALS!$O:$O,$B$124,DEALS!$E:$E,"&lt;"&amp;$C$126,DEALS!$S:$S,D$128,DEALS!$U:$U,$B132,DEALS!$V:$V,"&lt;&gt;*RECEIVED*",DEALS!$V:$V,"&lt;&gt;*EXECUTED*"))</f>
        <v>0</v>
      </c>
      <c r="E132" s="32" cm="1">
        <f t="array" ref="E132">SUMIFS(BALANCES!$C:$C,BALANCES!$A:$A,$B$124,BALANCES!$B:$B,$B132,BALANCES!$D:$D,E$128)+SUMIFS(FLOWS!$C:$C,FLOWS!$A:$A,$B$124,FLOWS!$E:$E,$B132,FLOWS!$D:$D,E$128,FLOWS!$H:$H,"&lt;"&amp;$C$126)+SUM(SUMIFS(DEALS!$J:$J,DEALS!$A:$A,{"*REFUND*","*EXECUTED*"},DEALS!$G:$G,$B$124,DEALS!$E:$E,"&lt;"&amp;$C$126,DEALS!$K:$K,E$128,DEALS!$M:$M,$B132,DEALS!$N:$N,"&lt;&gt;*RECEIVED*",DEALS!$N:$N,"&lt;&gt;*EXECUTED*"))+SUM(SUMIFS(DEALS!$R:$R,DEALS!$A:$A,{"*REFUND*","*EXECUTED*"},DEALS!$O:$O,$B$124,DEALS!$E:$E,"&lt;"&amp;$C$126,DEALS!$S:$S,E$128,DEALS!$U:$U,$B132,DEALS!$V:$V,"&lt;&gt;*RECEIVED*",DEALS!$V:$V,"&lt;&gt;*EXECUTED*"))</f>
        <v>0</v>
      </c>
      <c r="F132" s="32" cm="1">
        <f t="array" ref="F132">SUMIFS(BALANCES!$C:$C,BALANCES!$A:$A,$B$124,BALANCES!$B:$B,$B132,BALANCES!$D:$D,F$128)+SUMIFS(FLOWS!$C:$C,FLOWS!$A:$A,$B$124,FLOWS!$E:$E,$B132,FLOWS!$D:$D,F$128,FLOWS!$H:$H,"&lt;"&amp;$C$126)+SUM(SUMIFS(DEALS!$J:$J,DEALS!$A:$A,{"*REFUND*","*EXECUTED*"},DEALS!$G:$G,$B$124,DEALS!$E:$E,"&lt;"&amp;$C$126,DEALS!$K:$K,F$128,DEALS!$M:$M,$B132,DEALS!$N:$N,"&lt;&gt;*RECEIVED*",DEALS!$N:$N,"&lt;&gt;*EXECUTED*"))+SUM(SUMIFS(DEALS!$R:$R,DEALS!$A:$A,{"*REFUND*","*EXECUTED*"},DEALS!$O:$O,$B$124,DEALS!$E:$E,"&lt;"&amp;$C$126,DEALS!$S:$S,F$128,DEALS!$U:$U,$B132,DEALS!$V:$V,"&lt;&gt;*RECEIVED*",DEALS!$V:$V,"&lt;&gt;*EXECUTED*"))</f>
        <v>0</v>
      </c>
      <c r="G132" s="32" cm="1">
        <f t="array" ref="G132">SUMIFS(BALANCES!$C:$C,BALANCES!$A:$A,$B$124,BALANCES!$B:$B,$B132,BALANCES!$D:$D,G$128)+SUMIFS(FLOWS!$C:$C,FLOWS!$A:$A,$B$124,FLOWS!$E:$E,$B132,FLOWS!$D:$D,G$128,FLOWS!$H:$H,"&lt;"&amp;$C$126)+SUM(SUMIFS(DEALS!$J:$J,DEALS!$A:$A,{"*REFUND*","*EXECUTED*"},DEALS!$G:$G,$B$124,DEALS!$E:$E,"&lt;"&amp;$C$126,DEALS!$K:$K,G$128,DEALS!$M:$M,$B132,DEALS!$N:$N,"&lt;&gt;*RECEIVED*",DEALS!$N:$N,"&lt;&gt;*EXECUTED*"))+SUM(SUMIFS(DEALS!$R:$R,DEALS!$A:$A,{"*REFUND*","*EXECUTED*"},DEALS!$O:$O,$B$124,DEALS!$E:$E,"&lt;"&amp;$C$126,DEALS!$S:$S,G$128,DEALS!$U:$U,$B132,DEALS!$V:$V,"&lt;&gt;*RECEIVED*",DEALS!$V:$V,"&lt;&gt;*EXECUTED*"))</f>
        <v>0</v>
      </c>
      <c r="H132" s="32" cm="1">
        <f t="array" ref="H132">SUMIFS(BALANCES!$C:$C,BALANCES!$A:$A,$B$124,BALANCES!$B:$B,$B132,BALANCES!$D:$D,H$128)+SUMIFS(FLOWS!$C:$C,FLOWS!$A:$A,$B$124,FLOWS!$E:$E,$B132,FLOWS!$D:$D,H$128,FLOWS!$H:$H,"&lt;"&amp;$C$126)+SUM(SUMIFS(DEALS!$J:$J,DEALS!$A:$A,{"*REFUND*","*EXECUTED*"},DEALS!$G:$G,$B$124,DEALS!$E:$E,"&lt;"&amp;$C$126,DEALS!$K:$K,H$128,DEALS!$M:$M,$B132,DEALS!$N:$N,"&lt;&gt;*RECEIVED*",DEALS!$N:$N,"&lt;&gt;*EXECUTED*"))+SUM(SUMIFS(DEALS!$R:$R,DEALS!$A:$A,{"*REFUND*","*EXECUTED*"},DEALS!$O:$O,$B$124,DEALS!$E:$E,"&lt;"&amp;$C$126,DEALS!$S:$S,H$128,DEALS!$U:$U,$B132,DEALS!$V:$V,"&lt;&gt;*RECEIVED*",DEALS!$V:$V,"&lt;&gt;*EXECUTED*"))</f>
        <v>0</v>
      </c>
      <c r="I132" s="33">
        <f ca="1">C132*VLOOKUP(C$128,'FX RATES'!$E$1:$F$50,2,FALSE)+D132*VLOOKUP(D$128,'FX RATES'!$E$1:$F$50,2,FALSE)+E132*VLOOKUP(E$128,'FX RATES'!$E$1:$F$50,2,FALSE)+F132*VLOOKUP(F$128,'FX RATES'!$E$1:$F$50,2,FALSE)+G132*VLOOKUP(G$128,'FX RATES'!$E$1:$F$50,2,FALSE)+H132*VLOOKUP(H$128,'FX RATES'!$E$1:$F$50,2,FALSE)</f>
        <v>97.95</v>
      </c>
      <c r="K132" s="31" t="str">
        <f t="shared" si="45"/>
        <v>ADCB</v>
      </c>
      <c r="L132" s="32" cm="1">
        <f t="array" ref="L132">SUMIFS(FLOWS!$C:$C,FLOWS!$A:$A,$B$124,FLOWS!$E:$E,$K132,FLOWS!$D:$D,L$128,FLOWS!$H:$H,"&gt;="&amp;$C$126,FLOWS!$H:$H,"&lt;="&amp;$U$126)+SUM(SUMIFS(DEALS!$J:$J,DEALS!$A:$A,{"*REFUND*","*EXECUTED*"},DEALS!$G:$G,$B$124,DEALS!$E:$E,"&gt;="&amp;$C$126,DEALS!$E:$E,"&lt;="&amp;$U$126,DEALS!$K:$K,L$128,DEALS!$M:$M,$K132,DEALS!$N:$N,"&lt;&gt;*RECEIVED*",DEALS!$N:$N,"&lt;&gt;*EXECUTED*"))+SUM(SUMIFS(DEALS!$R:$R,DEALS!$A:$A,{"*REFUND*","*EXECUTED*"},DEALS!$O:$O,$B$124,DEALS!$E:$E,"&gt;="&amp;$C$126,DEALS!$E:$E,"&lt;="&amp;$U$126,DEALS!$S:$S,L$128,DEALS!$U:$U,$K132,DEALS!$V:$V,"&lt;&gt;*RECEIVED*",DEALS!$V:$V,"&lt;&gt;*EXECUTED*"))</f>
        <v>0</v>
      </c>
      <c r="M132" s="32" cm="1">
        <f t="array" ref="M132">SUMIFS(FLOWS!$C:$C,FLOWS!$A:$A,$B$124,FLOWS!$E:$E,$K132,FLOWS!$D:$D,M$128,FLOWS!$H:$H,"&gt;="&amp;$C$126,FLOWS!$H:$H,"&lt;="&amp;$U$126)+SUM(SUMIFS(DEALS!$J:$J,DEALS!$A:$A,{"*REFUND*","*EXECUTED*"},DEALS!$G:$G,$B$124,DEALS!$E:$E,"&gt;="&amp;$C$126,DEALS!$E:$E,"&lt;="&amp;$U$126,DEALS!$K:$K,M$128,DEALS!$M:$M,$K132,DEALS!$N:$N,"&lt;&gt;*RECEIVED*",DEALS!$N:$N,"&lt;&gt;*EXECUTED*"))+SUM(SUMIFS(DEALS!$R:$R,DEALS!$A:$A,{"*REFUND*","*EXECUTED*"},DEALS!$O:$O,$B$124,DEALS!$E:$E,"&gt;="&amp;$C$126,DEALS!$E:$E,"&lt;="&amp;$U$126,DEALS!$S:$S,M$128,DEALS!$U:$U,$K132,DEALS!$V:$V,"&lt;&gt;*RECEIVED*",DEALS!$V:$V,"&lt;&gt;*EXECUTED*"))</f>
        <v>0</v>
      </c>
      <c r="N132" s="32" cm="1">
        <f t="array" ref="N132">SUMIFS(FLOWS!$C:$C,FLOWS!$A:$A,$B$124,FLOWS!$E:$E,$K132,FLOWS!$D:$D,N$128,FLOWS!$H:$H,"&gt;="&amp;$C$126,FLOWS!$H:$H,"&lt;="&amp;$U$126)+SUM(SUMIFS(DEALS!$J:$J,DEALS!$A:$A,{"*REFUND*","*EXECUTED*"},DEALS!$G:$G,$B$124,DEALS!$E:$E,"&gt;="&amp;$C$126,DEALS!$E:$E,"&lt;="&amp;$U$126,DEALS!$K:$K,N$128,DEALS!$M:$M,$K132,DEALS!$N:$N,"&lt;&gt;*RECEIVED*",DEALS!$N:$N,"&lt;&gt;*EXECUTED*"))+SUM(SUMIFS(DEALS!$R:$R,DEALS!$A:$A,{"*REFUND*","*EXECUTED*"},DEALS!$O:$O,$B$124,DEALS!$E:$E,"&gt;="&amp;$C$126,DEALS!$E:$E,"&lt;="&amp;$U$126,DEALS!$S:$S,N$128,DEALS!$U:$U,$K132,DEALS!$V:$V,"&lt;&gt;*RECEIVED*",DEALS!$V:$V,"&lt;&gt;*EXECUTED*"))</f>
        <v>0</v>
      </c>
      <c r="O132" s="32" cm="1">
        <f t="array" ref="O132">SUMIFS(FLOWS!$C:$C,FLOWS!$A:$A,$B$124,FLOWS!$E:$E,$K132,FLOWS!$D:$D,O$128,FLOWS!$H:$H,"&gt;="&amp;$C$126,FLOWS!$H:$H,"&lt;="&amp;$U$126)+SUM(SUMIFS(DEALS!$J:$J,DEALS!$A:$A,{"*REFUND*","*EXECUTED*"},DEALS!$G:$G,$B$124,DEALS!$E:$E,"&gt;="&amp;$C$126,DEALS!$E:$E,"&lt;="&amp;$U$126,DEALS!$K:$K,O$128,DEALS!$M:$M,$K132,DEALS!$N:$N,"&lt;&gt;*RECEIVED*",DEALS!$N:$N,"&lt;&gt;*EXECUTED*"))+SUM(SUMIFS(DEALS!$R:$R,DEALS!$A:$A,{"*REFUND*","*EXECUTED*"},DEALS!$O:$O,$B$124,DEALS!$E:$E,"&gt;="&amp;$C$126,DEALS!$E:$E,"&lt;="&amp;$U$126,DEALS!$S:$S,O$128,DEALS!$U:$U,$K132,DEALS!$V:$V,"&lt;&gt;*RECEIVED*",DEALS!$V:$V,"&lt;&gt;*EXECUTED*"))</f>
        <v>0</v>
      </c>
      <c r="P132" s="32" cm="1">
        <f t="array" ref="P132">SUMIFS(FLOWS!$C:$C,FLOWS!$A:$A,$B$124,FLOWS!$E:$E,$K132,FLOWS!$D:$D,P$128,FLOWS!$H:$H,"&gt;="&amp;$C$126,FLOWS!$H:$H,"&lt;="&amp;$U$126)+SUM(SUMIFS(DEALS!$J:$J,DEALS!$A:$A,{"*REFUND*","*EXECUTED*"},DEALS!$G:$G,$B$124,DEALS!$E:$E,"&gt;="&amp;$C$126,DEALS!$E:$E,"&lt;="&amp;$U$126,DEALS!$K:$K,P$128,DEALS!$M:$M,$K132,DEALS!$N:$N,"&lt;&gt;*RECEIVED*",DEALS!$N:$N,"&lt;&gt;*EXECUTED*"))+SUM(SUMIFS(DEALS!$R:$R,DEALS!$A:$A,{"*REFUND*","*EXECUTED*"},DEALS!$O:$O,$B$124,DEALS!$E:$E,"&gt;="&amp;$C$126,DEALS!$E:$E,"&lt;="&amp;$U$126,DEALS!$S:$S,P$128,DEALS!$U:$U,$K132,DEALS!$V:$V,"&lt;&gt;*RECEIVED*",DEALS!$V:$V,"&lt;&gt;*EXECUTED*"))</f>
        <v>0</v>
      </c>
      <c r="Q132" s="32" cm="1">
        <f t="array" ref="Q132">SUMIFS(FLOWS!$C:$C,FLOWS!$A:$A,$B$124,FLOWS!$E:$E,$K132,FLOWS!$D:$D,Q$128,FLOWS!$H:$H,"&gt;="&amp;$C$126,FLOWS!$H:$H,"&lt;="&amp;$U$126)+SUM(SUMIFS(DEALS!$J:$J,DEALS!$A:$A,{"*REFUND*","*EXECUTED*"},DEALS!$G:$G,$B$124,DEALS!$E:$E,"&gt;="&amp;$C$126,DEALS!$E:$E,"&lt;="&amp;$U$126,DEALS!$K:$K,Q$128,DEALS!$M:$M,$K132,DEALS!$N:$N,"&lt;&gt;*RECEIVED*",DEALS!$N:$N,"&lt;&gt;*EXECUTED*"))+SUM(SUMIFS(DEALS!$R:$R,DEALS!$A:$A,{"*REFUND*","*EXECUTED*"},DEALS!$O:$O,$B$124,DEALS!$E:$E,"&gt;="&amp;$C$126,DEALS!$E:$E,"&lt;="&amp;$U$126,DEALS!$S:$S,Q$128,DEALS!$U:$U,$K132,DEALS!$V:$V,"&lt;&gt;*RECEIVED*",DEALS!$V:$V,"&lt;&gt;*EXECUTED*"))</f>
        <v>0</v>
      </c>
      <c r="R132" s="33">
        <f ca="1">L132*VLOOKUP(L$128,'FX RATES'!$E$1:$F$50,2,FALSE)+M132*VLOOKUP(M$128,'FX RATES'!$E$1:$F$50,2,FALSE)+N132*VLOOKUP(N$128,'FX RATES'!$E$1:$F$50,2,FALSE)+O132*VLOOKUP(O$128,'FX RATES'!$E$1:$F$50,2,FALSE)+P132*VLOOKUP(P$128,'FX RATES'!$E$1:$F$50,2,FALSE)+Q132*VLOOKUP(Q$128,'FX RATES'!$E$1:$F$50,2,FALSE)</f>
        <v>0</v>
      </c>
      <c r="T132" s="31" t="str">
        <f t="shared" si="46"/>
        <v>ADCB</v>
      </c>
      <c r="U132" s="32" cm="1">
        <f t="array" ref="U132">SUMIFS(BALANCES!$C:$C,BALANCES!$A:$A,$B$124,BALANCES!$B:$B,$T132,BALANCES!$D:$D,U$128)+SUMIFS(FLOWS!$C:$C,FLOWS!$A:$A,$B$124,FLOWS!$E:$E,$T132,FLOWS!$D:$D,U$128,FLOWS!$H:$H,"&lt;="&amp;$U$126)+SUM(SUMIFS(DEALS!$J:$J,DEALS!$A:$A,{"*REFUND*","*EXECUTED*"},DEALS!$G:$G,$B$124,DEALS!$E:$E,"&lt;="&amp;$U$126,DEALS!$K:$K,U$128,DEALS!$M:$M,$T132,DEALS!$N:$N,"&lt;&gt;*RECEIVED*",DEALS!$N:$N,"&lt;&gt;*EXECUTED*"))+SUM(SUMIFS(DEALS!$R:$R,DEALS!$A:$A,{"*REFUND*","*EXECUTED*"},DEALS!$O:$O,$B$124,DEALS!$E:$E,"&lt;="&amp;$U$126,DEALS!$S:$S,U$128,DEALS!$U:$U,$T132,DEALS!$V:$V,"&lt;&gt;*RECEIVED*",DEALS!$V:$V,"&lt;&gt;*EXECUTED*"))</f>
        <v>97.95</v>
      </c>
      <c r="V132" s="32" cm="1">
        <f t="array" ref="V132">SUMIFS(BALANCES!$C:$C,BALANCES!$A:$A,$B$124,BALANCES!$B:$B,$T132,BALANCES!$D:$D,V$128)+SUMIFS(FLOWS!$C:$C,FLOWS!$A:$A,$B$124,FLOWS!$E:$E,$T132,FLOWS!$D:$D,V$128,FLOWS!$H:$H,"&lt;="&amp;$U$126)+SUM(SUMIFS(DEALS!$J:$J,DEALS!$A:$A,{"*REFUND*","*EXECUTED*"},DEALS!$G:$G,$B$124,DEALS!$E:$E,"&lt;="&amp;$U$126,DEALS!$K:$K,V$128,DEALS!$M:$M,$T132,DEALS!$N:$N,"&lt;&gt;*RECEIVED*",DEALS!$N:$N,"&lt;&gt;*EXECUTED*"))+SUM(SUMIFS(DEALS!$R:$R,DEALS!$A:$A,{"*REFUND*","*EXECUTED*"},DEALS!$O:$O,$B$124,DEALS!$E:$E,"&lt;="&amp;$U$126,DEALS!$S:$S,V$128,DEALS!$U:$U,$T132,DEALS!$V:$V,"&lt;&gt;*RECEIVED*",DEALS!$V:$V,"&lt;&gt;*EXECUTED*"))</f>
        <v>0</v>
      </c>
      <c r="W132" s="32" cm="1">
        <f t="array" ref="W132">SUMIFS(BALANCES!$C:$C,BALANCES!$A:$A,$B$124,BALANCES!$B:$B,$T132,BALANCES!$D:$D,W$128)+SUMIFS(FLOWS!$C:$C,FLOWS!$A:$A,$B$124,FLOWS!$E:$E,$T132,FLOWS!$D:$D,W$128,FLOWS!$H:$H,"&lt;="&amp;$U$126)+SUM(SUMIFS(DEALS!$J:$J,DEALS!$A:$A,{"*REFUND*","*EXECUTED*"},DEALS!$G:$G,$B$124,DEALS!$E:$E,"&lt;="&amp;$U$126,DEALS!$K:$K,W$128,DEALS!$M:$M,$T132,DEALS!$N:$N,"&lt;&gt;*RECEIVED*",DEALS!$N:$N,"&lt;&gt;*EXECUTED*"))+SUM(SUMIFS(DEALS!$R:$R,DEALS!$A:$A,{"*REFUND*","*EXECUTED*"},DEALS!$O:$O,$B$124,DEALS!$E:$E,"&lt;="&amp;$U$126,DEALS!$S:$S,W$128,DEALS!$U:$U,$T132,DEALS!$V:$V,"&lt;&gt;*RECEIVED*",DEALS!$V:$V,"&lt;&gt;*EXECUTED*"))</f>
        <v>0</v>
      </c>
      <c r="X132" s="32" cm="1">
        <f t="array" ref="X132">SUMIFS(BALANCES!$C:$C,BALANCES!$A:$A,$B$124,BALANCES!$B:$B,$T132,BALANCES!$D:$D,X$128)+SUMIFS(FLOWS!$C:$C,FLOWS!$A:$A,$B$124,FLOWS!$E:$E,$T132,FLOWS!$D:$D,X$128,FLOWS!$H:$H,"&lt;="&amp;$U$126)+SUM(SUMIFS(DEALS!$J:$J,DEALS!$A:$A,{"*REFUND*","*EXECUTED*"},DEALS!$G:$G,$B$124,DEALS!$E:$E,"&lt;="&amp;$U$126,DEALS!$K:$K,X$128,DEALS!$M:$M,$T132,DEALS!$N:$N,"&lt;&gt;*RECEIVED*",DEALS!$N:$N,"&lt;&gt;*EXECUTED*"))+SUM(SUMIFS(DEALS!$R:$R,DEALS!$A:$A,{"*REFUND*","*EXECUTED*"},DEALS!$O:$O,$B$124,DEALS!$E:$E,"&lt;="&amp;$U$126,DEALS!$S:$S,X$128,DEALS!$U:$U,$T132,DEALS!$V:$V,"&lt;&gt;*RECEIVED*",DEALS!$V:$V,"&lt;&gt;*EXECUTED*"))</f>
        <v>0</v>
      </c>
      <c r="Y132" s="32" cm="1">
        <f t="array" ref="Y132">SUMIFS(BALANCES!$C:$C,BALANCES!$A:$A,$B$124,BALANCES!$B:$B,$T132,BALANCES!$D:$D,Y$128)+SUMIFS(FLOWS!$C:$C,FLOWS!$A:$A,$B$124,FLOWS!$E:$E,$T132,FLOWS!$D:$D,Y$128,FLOWS!$H:$H,"&lt;="&amp;$U$126)+SUM(SUMIFS(DEALS!$J:$J,DEALS!$A:$A,{"*REFUND*","*EXECUTED*"},DEALS!$G:$G,$B$124,DEALS!$E:$E,"&lt;="&amp;$U$126,DEALS!$K:$K,Y$128,DEALS!$M:$M,$T132,DEALS!$N:$N,"&lt;&gt;*RECEIVED*",DEALS!$N:$N,"&lt;&gt;*EXECUTED*"))+SUM(SUMIFS(DEALS!$R:$R,DEALS!$A:$A,{"*REFUND*","*EXECUTED*"},DEALS!$O:$O,$B$124,DEALS!$E:$E,"&lt;="&amp;$U$126,DEALS!$S:$S,Y$128,DEALS!$U:$U,$T132,DEALS!$V:$V,"&lt;&gt;*RECEIVED*",DEALS!$V:$V,"&lt;&gt;*EXECUTED*"))</f>
        <v>0</v>
      </c>
      <c r="Z132" s="32" cm="1">
        <f t="array" ref="Z132">SUMIFS(BALANCES!$C:$C,BALANCES!$A:$A,$B$124,BALANCES!$B:$B,$T132,BALANCES!$D:$D,Z$128)+SUMIFS(FLOWS!$C:$C,FLOWS!$A:$A,$B$124,FLOWS!$E:$E,$T132,FLOWS!$D:$D,Z$128,FLOWS!$H:$H,"&lt;="&amp;$U$126)+SUM(SUMIFS(DEALS!$J:$J,DEALS!$A:$A,{"*REFUND*","*EXECUTED*"},DEALS!$G:$G,$B$124,DEALS!$E:$E,"&lt;="&amp;$U$126,DEALS!$K:$K,Z$128,DEALS!$M:$M,$T132,DEALS!$N:$N,"&lt;&gt;*RECEIVED*",DEALS!$N:$N,"&lt;&gt;*EXECUTED*"))+SUM(SUMIFS(DEALS!$R:$R,DEALS!$A:$A,{"*REFUND*","*EXECUTED*"},DEALS!$O:$O,$B$124,DEALS!$E:$E,"&lt;="&amp;$U$126,DEALS!$S:$S,Z$128,DEALS!$U:$U,$T132,DEALS!$V:$V,"&lt;&gt;*RECEIVED*",DEALS!$V:$V,"&lt;&gt;*EXECUTED*"))</f>
        <v>0</v>
      </c>
      <c r="AA132" s="33">
        <f ca="1">U132*VLOOKUP(U$128,'FX RATES'!$E$1:$F$50,2,FALSE)+V132*VLOOKUP(V$128,'FX RATES'!$E$1:$F$50,2,FALSE)+W132*VLOOKUP(W$128,'FX RATES'!$E$1:$F$50,2,FALSE)+X132*VLOOKUP(X$128,'FX RATES'!$E$1:$F$50,2,FALSE)+Y132*VLOOKUP(Y$128,'FX RATES'!$E$1:$F$50,2,FALSE)+Z132*VLOOKUP(Z$128,'FX RATES'!$E$1:$F$50,2,FALSE)</f>
        <v>97.95</v>
      </c>
      <c r="AC132" s="139">
        <f t="shared" ca="1" si="47"/>
        <v>0</v>
      </c>
    </row>
    <row r="133" spans="2:29" ht="19">
      <c r="B133" s="28" t="s">
        <v>20</v>
      </c>
      <c r="C133" s="29" cm="1">
        <f t="array" ref="C133">SUMIFS(BALANCES!$C:$C,BALANCES!$A:$A,$B$124,BALANCES!$B:$B,$B133,BALANCES!$D:$D,C$128)+SUMIFS(FLOWS!$C:$C,FLOWS!$A:$A,$B$124,FLOWS!$E:$E,$B133,FLOWS!$D:$D,C$128,FLOWS!$H:$H,"&lt;"&amp;$C$126)+SUM(SUMIFS(DEALS!$J:$J,DEALS!$A:$A,{"*REFUND*","*EXECUTED*"},DEALS!$G:$G,$B$124,DEALS!$E:$E,"&lt;"&amp;$C$126,DEALS!$K:$K,C$128,DEALS!$M:$M,$B133,DEALS!$N:$N,"&lt;&gt;*RECEIVED*",DEALS!$N:$N,"&lt;&gt;*EXECUTED*"))+SUM(SUMIFS(DEALS!$R:$R,DEALS!$A:$A,{"*REFUND*","*EXECUTED*"},DEALS!$O:$O,$B$124,DEALS!$E:$E,"&lt;"&amp;$C$126,DEALS!$S:$S,C$128,DEALS!$U:$U,$B133,DEALS!$V:$V,"&lt;&gt;*RECEIVED*",DEALS!$V:$V,"&lt;&gt;*EXECUTED*"))</f>
        <v>-4388934.2862450304</v>
      </c>
      <c r="D133" s="29" cm="1">
        <f t="array" ref="D133">SUMIFS(BALANCES!$C:$C,BALANCES!$A:$A,$B$124,BALANCES!$B:$B,$B133,BALANCES!$D:$D,D$128)+SUMIFS(FLOWS!$C:$C,FLOWS!$A:$A,$B$124,FLOWS!$E:$E,$B133,FLOWS!$D:$D,D$128,FLOWS!$H:$H,"&lt;"&amp;$C$126)+SUM(SUMIFS(DEALS!$J:$J,DEALS!$A:$A,{"*REFUND*","*EXECUTED*"},DEALS!$G:$G,$B$124,DEALS!$E:$E,"&lt;"&amp;$C$126,DEALS!$K:$K,D$128,DEALS!$M:$M,$B133,DEALS!$N:$N,"&lt;&gt;*RECEIVED*",DEALS!$N:$N,"&lt;&gt;*EXECUTED*"))+SUM(SUMIFS(DEALS!$R:$R,DEALS!$A:$A,{"*REFUND*","*EXECUTED*"},DEALS!$O:$O,$B$124,DEALS!$E:$E,"&lt;"&amp;$C$126,DEALS!$S:$S,D$128,DEALS!$U:$U,$B133,DEALS!$V:$V,"&lt;&gt;*RECEIVED*",DEALS!$V:$V,"&lt;&gt;*EXECUTED*"))</f>
        <v>0</v>
      </c>
      <c r="E133" s="29" cm="1">
        <f t="array" ref="E133">SUMIFS(BALANCES!$C:$C,BALANCES!$A:$A,$B$124,BALANCES!$B:$B,$B133,BALANCES!$D:$D,E$128)+SUMIFS(FLOWS!$C:$C,FLOWS!$A:$A,$B$124,FLOWS!$E:$E,$B133,FLOWS!$D:$D,E$128,FLOWS!$H:$H,"&lt;"&amp;$C$126)+SUM(SUMIFS(DEALS!$J:$J,DEALS!$A:$A,{"*REFUND*","*EXECUTED*"},DEALS!$G:$G,$B$124,DEALS!$E:$E,"&lt;"&amp;$C$126,DEALS!$K:$K,E$128,DEALS!$M:$M,$B133,DEALS!$N:$N,"&lt;&gt;*RECEIVED*",DEALS!$N:$N,"&lt;&gt;*EXECUTED*"))+SUM(SUMIFS(DEALS!$R:$R,DEALS!$A:$A,{"*REFUND*","*EXECUTED*"},DEALS!$O:$O,$B$124,DEALS!$E:$E,"&lt;"&amp;$C$126,DEALS!$S:$S,E$128,DEALS!$U:$U,$B133,DEALS!$V:$V,"&lt;&gt;*RECEIVED*",DEALS!$V:$V,"&lt;&gt;*EXECUTED*"))</f>
        <v>0</v>
      </c>
      <c r="F133" s="29" cm="1">
        <f t="array" ref="F133">SUMIFS(BALANCES!$C:$C,BALANCES!$A:$A,$B$124,BALANCES!$B:$B,$B133,BALANCES!$D:$D,F$128)+SUMIFS(FLOWS!$C:$C,FLOWS!$A:$A,$B$124,FLOWS!$E:$E,$B133,FLOWS!$D:$D,F$128,FLOWS!$H:$H,"&lt;"&amp;$C$126)+SUM(SUMIFS(DEALS!$J:$J,DEALS!$A:$A,{"*REFUND*","*EXECUTED*"},DEALS!$G:$G,$B$124,DEALS!$E:$E,"&lt;"&amp;$C$126,DEALS!$K:$K,F$128,DEALS!$M:$M,$B133,DEALS!$N:$N,"&lt;&gt;*RECEIVED*",DEALS!$N:$N,"&lt;&gt;*EXECUTED*"))+SUM(SUMIFS(DEALS!$R:$R,DEALS!$A:$A,{"*REFUND*","*EXECUTED*"},DEALS!$O:$O,$B$124,DEALS!$E:$E,"&lt;"&amp;$C$126,DEALS!$S:$S,F$128,DEALS!$U:$U,$B133,DEALS!$V:$V,"&lt;&gt;*RECEIVED*",DEALS!$V:$V,"&lt;&gt;*EXECUTED*"))</f>
        <v>11236988.071671842</v>
      </c>
      <c r="G133" s="29" cm="1">
        <f t="array" ref="G133">SUMIFS(BALANCES!$C:$C,BALANCES!$A:$A,$B$124,BALANCES!$B:$B,$B133,BALANCES!$D:$D,G$128)+SUMIFS(FLOWS!$C:$C,FLOWS!$A:$A,$B$124,FLOWS!$E:$E,$B133,FLOWS!$D:$D,G$128,FLOWS!$H:$H,"&lt;"&amp;$C$126)+SUM(SUMIFS(DEALS!$J:$J,DEALS!$A:$A,{"*REFUND*","*EXECUTED*"},DEALS!$G:$G,$B$124,DEALS!$E:$E,"&lt;"&amp;$C$126,DEALS!$K:$K,G$128,DEALS!$M:$M,$B133,DEALS!$N:$N,"&lt;&gt;*RECEIVED*",DEALS!$N:$N,"&lt;&gt;*EXECUTED*"))+SUM(SUMIFS(DEALS!$R:$R,DEALS!$A:$A,{"*REFUND*","*EXECUTED*"},DEALS!$O:$O,$B$124,DEALS!$E:$E,"&lt;"&amp;$C$126,DEALS!$S:$S,G$128,DEALS!$U:$U,$B133,DEALS!$V:$V,"&lt;&gt;*RECEIVED*",DEALS!$V:$V,"&lt;&gt;*EXECUTED*"))</f>
        <v>0</v>
      </c>
      <c r="H133" s="29" cm="1">
        <f t="array" ref="H133">SUMIFS(BALANCES!$C:$C,BALANCES!$A:$A,$B$124,BALANCES!$B:$B,$B133,BALANCES!$D:$D,H$128)+SUMIFS(FLOWS!$C:$C,FLOWS!$A:$A,$B$124,FLOWS!$E:$E,$B133,FLOWS!$D:$D,H$128,FLOWS!$H:$H,"&lt;"&amp;$C$126)+SUM(SUMIFS(DEALS!$J:$J,DEALS!$A:$A,{"*REFUND*","*EXECUTED*"},DEALS!$G:$G,$B$124,DEALS!$E:$E,"&lt;"&amp;$C$126,DEALS!$K:$K,H$128,DEALS!$M:$M,$B133,DEALS!$N:$N,"&lt;&gt;*RECEIVED*",DEALS!$N:$N,"&lt;&gt;*EXECUTED*"))+SUM(SUMIFS(DEALS!$R:$R,DEALS!$A:$A,{"*REFUND*","*EXECUTED*"},DEALS!$O:$O,$B$124,DEALS!$E:$E,"&lt;"&amp;$C$126,DEALS!$S:$S,H$128,DEALS!$U:$U,$B133,DEALS!$V:$V,"&lt;&gt;*RECEIVED*",DEALS!$V:$V,"&lt;&gt;*EXECUTED*"))</f>
        <v>0</v>
      </c>
      <c r="I133" s="30">
        <f ca="1">C133*VLOOKUP(C$128,'FX RATES'!$E$1:$F$50,2,FALSE)+D133*VLOOKUP(D$128,'FX RATES'!$E$1:$F$50,2,FALSE)+E133*VLOOKUP(E$128,'FX RATES'!$E$1:$F$50,2,FALSE)+F133*VLOOKUP(F$128,'FX RATES'!$E$1:$F$50,2,FALSE)+G133*VLOOKUP(G$128,'FX RATES'!$E$1:$F$50,2,FALSE)+H133*VLOOKUP(H$128,'FX RATES'!$E$1:$F$50,2,FALSE)</f>
        <v>-1329252.297552594</v>
      </c>
      <c r="K133" s="28" t="str">
        <f t="shared" si="45"/>
        <v>UAB</v>
      </c>
      <c r="L133" s="29" cm="1">
        <f t="array" ref="L133">SUMIFS(FLOWS!$C:$C,FLOWS!$A:$A,$B$124,FLOWS!$E:$E,$K133,FLOWS!$D:$D,L$128,FLOWS!$H:$H,"&gt;="&amp;$C$126,FLOWS!$H:$H,"&lt;="&amp;$U$126)+SUM(SUMIFS(DEALS!$J:$J,DEALS!$A:$A,{"*REFUND*","*EXECUTED*"},DEALS!$G:$G,$B$124,DEALS!$E:$E,"&gt;="&amp;$C$126,DEALS!$E:$E,"&lt;="&amp;$U$126,DEALS!$K:$K,L$128,DEALS!$M:$M,$K133,DEALS!$N:$N,"&lt;&gt;*RECEIVED*",DEALS!$N:$N,"&lt;&gt;*EXECUTED*"))+SUM(SUMIFS(DEALS!$R:$R,DEALS!$A:$A,{"*REFUND*","*EXECUTED*"},DEALS!$O:$O,$B$124,DEALS!$E:$E,"&gt;="&amp;$C$126,DEALS!$E:$E,"&lt;="&amp;$U$126,DEALS!$S:$S,L$128,DEALS!$U:$U,$K133,DEALS!$V:$V,"&lt;&gt;*RECEIVED*",DEALS!$V:$V,"&lt;&gt;*EXECUTED*"))</f>
        <v>-1576399.54</v>
      </c>
      <c r="M133" s="29" cm="1">
        <f t="array" ref="M133">SUMIFS(FLOWS!$C:$C,FLOWS!$A:$A,$B$124,FLOWS!$E:$E,$K133,FLOWS!$D:$D,M$128,FLOWS!$H:$H,"&gt;="&amp;$C$126,FLOWS!$H:$H,"&lt;="&amp;$U$126)+SUM(SUMIFS(DEALS!$J:$J,DEALS!$A:$A,{"*REFUND*","*EXECUTED*"},DEALS!$G:$G,$B$124,DEALS!$E:$E,"&gt;="&amp;$C$126,DEALS!$E:$E,"&lt;="&amp;$U$126,DEALS!$K:$K,M$128,DEALS!$M:$M,$K133,DEALS!$N:$N,"&lt;&gt;*RECEIVED*",DEALS!$N:$N,"&lt;&gt;*EXECUTED*"))+SUM(SUMIFS(DEALS!$R:$R,DEALS!$A:$A,{"*REFUND*","*EXECUTED*"},DEALS!$O:$O,$B$124,DEALS!$E:$E,"&gt;="&amp;$C$126,DEALS!$E:$E,"&lt;="&amp;$U$126,DEALS!$S:$S,M$128,DEALS!$U:$U,$K133,DEALS!$V:$V,"&lt;&gt;*RECEIVED*",DEALS!$V:$V,"&lt;&gt;*EXECUTED*"))</f>
        <v>0</v>
      </c>
      <c r="N133" s="29" cm="1">
        <f t="array" ref="N133">SUMIFS(FLOWS!$C:$C,FLOWS!$A:$A,$B$124,FLOWS!$E:$E,$K133,FLOWS!$D:$D,N$128,FLOWS!$H:$H,"&gt;="&amp;$C$126,FLOWS!$H:$H,"&lt;="&amp;$U$126)+SUM(SUMIFS(DEALS!$J:$J,DEALS!$A:$A,{"*REFUND*","*EXECUTED*"},DEALS!$G:$G,$B$124,DEALS!$E:$E,"&gt;="&amp;$C$126,DEALS!$E:$E,"&lt;="&amp;$U$126,DEALS!$K:$K,N$128,DEALS!$M:$M,$K133,DEALS!$N:$N,"&lt;&gt;*RECEIVED*",DEALS!$N:$N,"&lt;&gt;*EXECUTED*"))+SUM(SUMIFS(DEALS!$R:$R,DEALS!$A:$A,{"*REFUND*","*EXECUTED*"},DEALS!$O:$O,$B$124,DEALS!$E:$E,"&gt;="&amp;$C$126,DEALS!$E:$E,"&lt;="&amp;$U$126,DEALS!$S:$S,N$128,DEALS!$U:$U,$K133,DEALS!$V:$V,"&lt;&gt;*RECEIVED*",DEALS!$V:$V,"&lt;&gt;*EXECUTED*"))</f>
        <v>0</v>
      </c>
      <c r="O133" s="29" cm="1">
        <f t="array" ref="O133">SUMIFS(FLOWS!$C:$C,FLOWS!$A:$A,$B$124,FLOWS!$E:$E,$K133,FLOWS!$D:$D,O$128,FLOWS!$H:$H,"&gt;="&amp;$C$126,FLOWS!$H:$H,"&lt;="&amp;$U$126)+SUM(SUMIFS(DEALS!$J:$J,DEALS!$A:$A,{"*REFUND*","*EXECUTED*"},DEALS!$G:$G,$B$124,DEALS!$E:$E,"&gt;="&amp;$C$126,DEALS!$E:$E,"&lt;="&amp;$U$126,DEALS!$K:$K,O$128,DEALS!$M:$M,$K133,DEALS!$N:$N,"&lt;&gt;*RECEIVED*",DEALS!$N:$N,"&lt;&gt;*EXECUTED*"))+SUM(SUMIFS(DEALS!$R:$R,DEALS!$A:$A,{"*REFUND*","*EXECUTED*"},DEALS!$O:$O,$B$124,DEALS!$E:$E,"&gt;="&amp;$C$126,DEALS!$E:$E,"&lt;="&amp;$U$126,DEALS!$S:$S,O$128,DEALS!$U:$U,$K133,DEALS!$V:$V,"&lt;&gt;*RECEIVED*",DEALS!$V:$V,"&lt;&gt;*EXECUTED*"))</f>
        <v>2596844.1147956494</v>
      </c>
      <c r="P133" s="29" cm="1">
        <f t="array" ref="P133">SUMIFS(FLOWS!$C:$C,FLOWS!$A:$A,$B$124,FLOWS!$E:$E,$K133,FLOWS!$D:$D,P$128,FLOWS!$H:$H,"&gt;="&amp;$C$126,FLOWS!$H:$H,"&lt;="&amp;$U$126)+SUM(SUMIFS(DEALS!$J:$J,DEALS!$A:$A,{"*REFUND*","*EXECUTED*"},DEALS!$G:$G,$B$124,DEALS!$E:$E,"&gt;="&amp;$C$126,DEALS!$E:$E,"&lt;="&amp;$U$126,DEALS!$K:$K,P$128,DEALS!$M:$M,$K133,DEALS!$N:$N,"&lt;&gt;*RECEIVED*",DEALS!$N:$N,"&lt;&gt;*EXECUTED*"))+SUM(SUMIFS(DEALS!$R:$R,DEALS!$A:$A,{"*REFUND*","*EXECUTED*"},DEALS!$O:$O,$B$124,DEALS!$E:$E,"&gt;="&amp;$C$126,DEALS!$E:$E,"&lt;="&amp;$U$126,DEALS!$S:$S,P$128,DEALS!$U:$U,$K133,DEALS!$V:$V,"&lt;&gt;*RECEIVED*",DEALS!$V:$V,"&lt;&gt;*EXECUTED*"))</f>
        <v>0</v>
      </c>
      <c r="Q133" s="29" cm="1">
        <f t="array" ref="Q133">SUMIFS(FLOWS!$C:$C,FLOWS!$A:$A,$B$124,FLOWS!$E:$E,$K133,FLOWS!$D:$D,Q$128,FLOWS!$H:$H,"&gt;="&amp;$C$126,FLOWS!$H:$H,"&lt;="&amp;$U$126)+SUM(SUMIFS(DEALS!$J:$J,DEALS!$A:$A,{"*REFUND*","*EXECUTED*"},DEALS!$G:$G,$B$124,DEALS!$E:$E,"&gt;="&amp;$C$126,DEALS!$E:$E,"&lt;="&amp;$U$126,DEALS!$K:$K,Q$128,DEALS!$M:$M,$K133,DEALS!$N:$N,"&lt;&gt;*RECEIVED*",DEALS!$N:$N,"&lt;&gt;*EXECUTED*"))+SUM(SUMIFS(DEALS!$R:$R,DEALS!$A:$A,{"*REFUND*","*EXECUTED*"},DEALS!$O:$O,$B$124,DEALS!$E:$E,"&gt;="&amp;$C$126,DEALS!$E:$E,"&lt;="&amp;$U$126,DEALS!$S:$S,Q$128,DEALS!$U:$U,$K133,DEALS!$V:$V,"&lt;&gt;*RECEIVED*",DEALS!$V:$V,"&lt;&gt;*EXECUTED*"))</f>
        <v>0</v>
      </c>
      <c r="R133" s="30">
        <f ca="1">L133*VLOOKUP(L$128,'FX RATES'!$E$1:$F$50,2,FALSE)+M133*VLOOKUP(M$128,'FX RATES'!$E$1:$F$50,2,FALSE)+N133*VLOOKUP(N$128,'FX RATES'!$E$1:$F$50,2,FALSE)+O133*VLOOKUP(O$128,'FX RATES'!$E$1:$F$50,2,FALSE)+P133*VLOOKUP(P$128,'FX RATES'!$E$1:$F$50,2,FALSE)+Q133*VLOOKUP(Q$128,'FX RATES'!$E$1:$F$50,2,FALSE)</f>
        <v>-869313.5206143742</v>
      </c>
      <c r="T133" s="28" t="str">
        <f t="shared" si="46"/>
        <v>UAB</v>
      </c>
      <c r="U133" s="29" cm="1">
        <f t="array" ref="U133">SUMIFS(BALANCES!$C:$C,BALANCES!$A:$A,$B$124,BALANCES!$B:$B,$T133,BALANCES!$D:$D,U$128)+SUMIFS(FLOWS!$C:$C,FLOWS!$A:$A,$B$124,FLOWS!$E:$E,$T133,FLOWS!$D:$D,U$128,FLOWS!$H:$H,"&lt;="&amp;$U$126)+SUM(SUMIFS(DEALS!$J:$J,DEALS!$A:$A,{"*REFUND*","*EXECUTED*"},DEALS!$G:$G,$B$124,DEALS!$E:$E,"&lt;="&amp;$U$126,DEALS!$K:$K,U$128,DEALS!$M:$M,$T133,DEALS!$N:$N,"&lt;&gt;*RECEIVED*",DEALS!$N:$N,"&lt;&gt;*EXECUTED*"))+SUM(SUMIFS(DEALS!$R:$R,DEALS!$A:$A,{"*REFUND*","*EXECUTED*"},DEALS!$O:$O,$B$124,DEALS!$E:$E,"&lt;="&amp;$U$126,DEALS!$S:$S,U$128,DEALS!$U:$U,$T133,DEALS!$V:$V,"&lt;&gt;*RECEIVED*",DEALS!$V:$V,"&lt;&gt;*EXECUTED*"))</f>
        <v>-5965333.8262450304</v>
      </c>
      <c r="V133" s="29" cm="1">
        <f t="array" ref="V133">SUMIFS(BALANCES!$C:$C,BALANCES!$A:$A,$B$124,BALANCES!$B:$B,$T133,BALANCES!$D:$D,V$128)+SUMIFS(FLOWS!$C:$C,FLOWS!$A:$A,$B$124,FLOWS!$E:$E,$T133,FLOWS!$D:$D,V$128,FLOWS!$H:$H,"&lt;="&amp;$U$126)+SUM(SUMIFS(DEALS!$J:$J,DEALS!$A:$A,{"*REFUND*","*EXECUTED*"},DEALS!$G:$G,$B$124,DEALS!$E:$E,"&lt;="&amp;$U$126,DEALS!$K:$K,V$128,DEALS!$M:$M,$T133,DEALS!$N:$N,"&lt;&gt;*RECEIVED*",DEALS!$N:$N,"&lt;&gt;*EXECUTED*"))+SUM(SUMIFS(DEALS!$R:$R,DEALS!$A:$A,{"*REFUND*","*EXECUTED*"},DEALS!$O:$O,$B$124,DEALS!$E:$E,"&lt;="&amp;$U$126,DEALS!$S:$S,V$128,DEALS!$U:$U,$T133,DEALS!$V:$V,"&lt;&gt;*RECEIVED*",DEALS!$V:$V,"&lt;&gt;*EXECUTED*"))</f>
        <v>0</v>
      </c>
      <c r="W133" s="29" cm="1">
        <f t="array" ref="W133">SUMIFS(BALANCES!$C:$C,BALANCES!$A:$A,$B$124,BALANCES!$B:$B,$T133,BALANCES!$D:$D,W$128)+SUMIFS(FLOWS!$C:$C,FLOWS!$A:$A,$B$124,FLOWS!$E:$E,$T133,FLOWS!$D:$D,W$128,FLOWS!$H:$H,"&lt;="&amp;$U$126)+SUM(SUMIFS(DEALS!$J:$J,DEALS!$A:$A,{"*REFUND*","*EXECUTED*"},DEALS!$G:$G,$B$124,DEALS!$E:$E,"&lt;="&amp;$U$126,DEALS!$K:$K,W$128,DEALS!$M:$M,$T133,DEALS!$N:$N,"&lt;&gt;*RECEIVED*",DEALS!$N:$N,"&lt;&gt;*EXECUTED*"))+SUM(SUMIFS(DEALS!$R:$R,DEALS!$A:$A,{"*REFUND*","*EXECUTED*"},DEALS!$O:$O,$B$124,DEALS!$E:$E,"&lt;="&amp;$U$126,DEALS!$S:$S,W$128,DEALS!$U:$U,$T133,DEALS!$V:$V,"&lt;&gt;*RECEIVED*",DEALS!$V:$V,"&lt;&gt;*EXECUTED*"))</f>
        <v>0</v>
      </c>
      <c r="X133" s="29" cm="1">
        <f t="array" ref="X133">SUMIFS(BALANCES!$C:$C,BALANCES!$A:$A,$B$124,BALANCES!$B:$B,$T133,BALANCES!$D:$D,X$128)+SUMIFS(FLOWS!$C:$C,FLOWS!$A:$A,$B$124,FLOWS!$E:$E,$T133,FLOWS!$D:$D,X$128,FLOWS!$H:$H,"&lt;="&amp;$U$126)+SUM(SUMIFS(DEALS!$J:$J,DEALS!$A:$A,{"*REFUND*","*EXECUTED*"},DEALS!$G:$G,$B$124,DEALS!$E:$E,"&lt;="&amp;$U$126,DEALS!$K:$K,X$128,DEALS!$M:$M,$T133,DEALS!$N:$N,"&lt;&gt;*RECEIVED*",DEALS!$N:$N,"&lt;&gt;*EXECUTED*"))+SUM(SUMIFS(DEALS!$R:$R,DEALS!$A:$A,{"*REFUND*","*EXECUTED*"},DEALS!$O:$O,$B$124,DEALS!$E:$E,"&lt;="&amp;$U$126,DEALS!$S:$S,X$128,DEALS!$U:$U,$T133,DEALS!$V:$V,"&lt;&gt;*RECEIVED*",DEALS!$V:$V,"&lt;&gt;*EXECUTED*"))</f>
        <v>13833832.186467491</v>
      </c>
      <c r="Y133" s="29" cm="1">
        <f t="array" ref="Y133">SUMIFS(BALANCES!$C:$C,BALANCES!$A:$A,$B$124,BALANCES!$B:$B,$T133,BALANCES!$D:$D,Y$128)+SUMIFS(FLOWS!$C:$C,FLOWS!$A:$A,$B$124,FLOWS!$E:$E,$T133,FLOWS!$D:$D,Y$128,FLOWS!$H:$H,"&lt;="&amp;$U$126)+SUM(SUMIFS(DEALS!$J:$J,DEALS!$A:$A,{"*REFUND*","*EXECUTED*"},DEALS!$G:$G,$B$124,DEALS!$E:$E,"&lt;="&amp;$U$126,DEALS!$K:$K,Y$128,DEALS!$M:$M,$T133,DEALS!$N:$N,"&lt;&gt;*RECEIVED*",DEALS!$N:$N,"&lt;&gt;*EXECUTED*"))+SUM(SUMIFS(DEALS!$R:$R,DEALS!$A:$A,{"*REFUND*","*EXECUTED*"},DEALS!$O:$O,$B$124,DEALS!$E:$E,"&lt;="&amp;$U$126,DEALS!$S:$S,Y$128,DEALS!$U:$U,$T133,DEALS!$V:$V,"&lt;&gt;*RECEIVED*",DEALS!$V:$V,"&lt;&gt;*EXECUTED*"))</f>
        <v>0</v>
      </c>
      <c r="Z133" s="29" cm="1">
        <f t="array" ref="Z133">SUMIFS(BALANCES!$C:$C,BALANCES!$A:$A,$B$124,BALANCES!$B:$B,$T133,BALANCES!$D:$D,Z$128)+SUMIFS(FLOWS!$C:$C,FLOWS!$A:$A,$B$124,FLOWS!$E:$E,$T133,FLOWS!$D:$D,Z$128,FLOWS!$H:$H,"&lt;="&amp;$U$126)+SUM(SUMIFS(DEALS!$J:$J,DEALS!$A:$A,{"*REFUND*","*EXECUTED*"},DEALS!$G:$G,$B$124,DEALS!$E:$E,"&lt;="&amp;$U$126,DEALS!$K:$K,Z$128,DEALS!$M:$M,$T133,DEALS!$N:$N,"&lt;&gt;*RECEIVED*",DEALS!$N:$N,"&lt;&gt;*EXECUTED*"))+SUM(SUMIFS(DEALS!$R:$R,DEALS!$A:$A,{"*REFUND*","*EXECUTED*"},DEALS!$O:$O,$B$124,DEALS!$E:$E,"&lt;="&amp;$U$126,DEALS!$S:$S,Z$128,DEALS!$U:$U,$T133,DEALS!$V:$V,"&lt;&gt;*RECEIVED*",DEALS!$V:$V,"&lt;&gt;*EXECUTED*"))</f>
        <v>0</v>
      </c>
      <c r="AA133" s="30">
        <f ca="1">U133*VLOOKUP(U$128,'FX RATES'!$E$1:$F$50,2,FALSE)+V133*VLOOKUP(V$128,'FX RATES'!$E$1:$F$50,2,FALSE)+W133*VLOOKUP(W$128,'FX RATES'!$E$1:$F$50,2,FALSE)+X133*VLOOKUP(X$128,'FX RATES'!$E$1:$F$50,2,FALSE)+Y133*VLOOKUP(Y$128,'FX RATES'!$E$1:$F$50,2,FALSE)+Z133*VLOOKUP(Z$128,'FX RATES'!$E$1:$F$50,2,FALSE)</f>
        <v>-2198565.8181669684</v>
      </c>
      <c r="AC133" s="139">
        <f t="shared" ca="1" si="47"/>
        <v>0</v>
      </c>
    </row>
    <row r="134" spans="2:29" ht="19">
      <c r="B134" s="31" t="s">
        <v>17</v>
      </c>
      <c r="C134" s="32" cm="1">
        <f t="array" ref="C134">SUMIFS(BALANCES!$C:$C,BALANCES!$A:$A,$B$124,BALANCES!$B:$B,$B134,BALANCES!$D:$D,C$128)+SUMIFS(FLOWS!$C:$C,FLOWS!$A:$A,$B$124,FLOWS!$E:$E,$B134,FLOWS!$D:$D,C$128,FLOWS!$H:$H,"&lt;"&amp;$C$126)+SUM(SUMIFS(DEALS!$J:$J,DEALS!$A:$A,{"*REFUND*","*EXECUTED*"},DEALS!$G:$G,$B$124,DEALS!$E:$E,"&lt;"&amp;$C$126,DEALS!$K:$K,C$128,DEALS!$M:$M,$B134,DEALS!$N:$N,"&lt;&gt;*RECEIVED*",DEALS!$N:$N,"&lt;&gt;*EXECUTED*"))+SUM(SUMIFS(DEALS!$R:$R,DEALS!$A:$A,{"*REFUND*","*EXECUTED*"},DEALS!$O:$O,$B$124,DEALS!$E:$E,"&lt;"&amp;$C$126,DEALS!$S:$S,C$128,DEALS!$U:$U,$B134,DEALS!$V:$V,"&lt;&gt;*RECEIVED*",DEALS!$V:$V,"&lt;&gt;*EXECUTED*"))</f>
        <v>-35537.5</v>
      </c>
      <c r="D134" s="32" cm="1">
        <f t="array" ref="D134">SUMIFS(BALANCES!$C:$C,BALANCES!$A:$A,$B$124,BALANCES!$B:$B,$B134,BALANCES!$D:$D,D$128)+SUMIFS(FLOWS!$C:$C,FLOWS!$A:$A,$B$124,FLOWS!$E:$E,$B134,FLOWS!$D:$D,D$128,FLOWS!$H:$H,"&lt;"&amp;$C$126)+SUM(SUMIFS(DEALS!$J:$J,DEALS!$A:$A,{"*REFUND*","*EXECUTED*"},DEALS!$G:$G,$B$124,DEALS!$E:$E,"&lt;"&amp;$C$126,DEALS!$K:$K,D$128,DEALS!$M:$M,$B134,DEALS!$N:$N,"&lt;&gt;*RECEIVED*",DEALS!$N:$N,"&lt;&gt;*EXECUTED*"))+SUM(SUMIFS(DEALS!$R:$R,DEALS!$A:$A,{"*REFUND*","*EXECUTED*"},DEALS!$O:$O,$B$124,DEALS!$E:$E,"&lt;"&amp;$C$126,DEALS!$S:$S,D$128,DEALS!$U:$U,$B134,DEALS!$V:$V,"&lt;&gt;*RECEIVED*",DEALS!$V:$V,"&lt;&gt;*EXECUTED*"))</f>
        <v>0</v>
      </c>
      <c r="E134" s="32" cm="1">
        <f t="array" ref="E134">SUMIFS(BALANCES!$C:$C,BALANCES!$A:$A,$B$124,BALANCES!$B:$B,$B134,BALANCES!$D:$D,E$128)+SUMIFS(FLOWS!$C:$C,FLOWS!$A:$A,$B$124,FLOWS!$E:$E,$B134,FLOWS!$D:$D,E$128,FLOWS!$H:$H,"&lt;"&amp;$C$126)+SUM(SUMIFS(DEALS!$J:$J,DEALS!$A:$A,{"*REFUND*","*EXECUTED*"},DEALS!$G:$G,$B$124,DEALS!$E:$E,"&lt;"&amp;$C$126,DEALS!$K:$K,E$128,DEALS!$M:$M,$B134,DEALS!$N:$N,"&lt;&gt;*RECEIVED*",DEALS!$N:$N,"&lt;&gt;*EXECUTED*"))+SUM(SUMIFS(DEALS!$R:$R,DEALS!$A:$A,{"*REFUND*","*EXECUTED*"},DEALS!$O:$O,$B$124,DEALS!$E:$E,"&lt;"&amp;$C$126,DEALS!$S:$S,E$128,DEALS!$U:$U,$B134,DEALS!$V:$V,"&lt;&gt;*RECEIVED*",DEALS!$V:$V,"&lt;&gt;*EXECUTED*"))</f>
        <v>0</v>
      </c>
      <c r="F134" s="32" cm="1">
        <f t="array" ref="F134">SUMIFS(BALANCES!$C:$C,BALANCES!$A:$A,$B$124,BALANCES!$B:$B,$B134,BALANCES!$D:$D,F$128)+SUMIFS(FLOWS!$C:$C,FLOWS!$A:$A,$B$124,FLOWS!$E:$E,$B134,FLOWS!$D:$D,F$128,FLOWS!$H:$H,"&lt;"&amp;$C$126)+SUM(SUMIFS(DEALS!$J:$J,DEALS!$A:$A,{"*REFUND*","*EXECUTED*"},DEALS!$G:$G,$B$124,DEALS!$E:$E,"&lt;"&amp;$C$126,DEALS!$K:$K,F$128,DEALS!$M:$M,$B134,DEALS!$N:$N,"&lt;&gt;*RECEIVED*",DEALS!$N:$N,"&lt;&gt;*EXECUTED*"))+SUM(SUMIFS(DEALS!$R:$R,DEALS!$A:$A,{"*REFUND*","*EXECUTED*"},DEALS!$O:$O,$B$124,DEALS!$E:$E,"&lt;"&amp;$C$126,DEALS!$S:$S,F$128,DEALS!$U:$U,$B134,DEALS!$V:$V,"&lt;&gt;*RECEIVED*",DEALS!$V:$V,"&lt;&gt;*EXECUTED*"))</f>
        <v>1447082.3490488299</v>
      </c>
      <c r="G134" s="32" cm="1">
        <f t="array" ref="G134">SUMIFS(BALANCES!$C:$C,BALANCES!$A:$A,$B$124,BALANCES!$B:$B,$B134,BALANCES!$D:$D,G$128)+SUMIFS(FLOWS!$C:$C,FLOWS!$A:$A,$B$124,FLOWS!$E:$E,$B134,FLOWS!$D:$D,G$128,FLOWS!$H:$H,"&lt;"&amp;$C$126)+SUM(SUMIFS(DEALS!$J:$J,DEALS!$A:$A,{"*REFUND*","*EXECUTED*"},DEALS!$G:$G,$B$124,DEALS!$E:$E,"&lt;"&amp;$C$126,DEALS!$K:$K,G$128,DEALS!$M:$M,$B134,DEALS!$N:$N,"&lt;&gt;*RECEIVED*",DEALS!$N:$N,"&lt;&gt;*EXECUTED*"))+SUM(SUMIFS(DEALS!$R:$R,DEALS!$A:$A,{"*REFUND*","*EXECUTED*"},DEALS!$O:$O,$B$124,DEALS!$E:$E,"&lt;"&amp;$C$126,DEALS!$S:$S,G$128,DEALS!$U:$U,$B134,DEALS!$V:$V,"&lt;&gt;*RECEIVED*",DEALS!$V:$V,"&lt;&gt;*EXECUTED*"))</f>
        <v>0</v>
      </c>
      <c r="H134" s="32" cm="1">
        <f t="array" ref="H134">SUMIFS(BALANCES!$C:$C,BALANCES!$A:$A,$B$124,BALANCES!$B:$B,$B134,BALANCES!$D:$D,H$128)+SUMIFS(FLOWS!$C:$C,FLOWS!$A:$A,$B$124,FLOWS!$E:$E,$B134,FLOWS!$D:$D,H$128,FLOWS!$H:$H,"&lt;"&amp;$C$126)+SUM(SUMIFS(DEALS!$J:$J,DEALS!$A:$A,{"*REFUND*","*EXECUTED*"},DEALS!$G:$G,$B$124,DEALS!$E:$E,"&lt;"&amp;$C$126,DEALS!$K:$K,H$128,DEALS!$M:$M,$B134,DEALS!$N:$N,"&lt;&gt;*RECEIVED*",DEALS!$N:$N,"&lt;&gt;*EXECUTED*"))+SUM(SUMIFS(DEALS!$R:$R,DEALS!$A:$A,{"*REFUND*","*EXECUTED*"},DEALS!$O:$O,$B$124,DEALS!$E:$E,"&lt;"&amp;$C$126,DEALS!$S:$S,H$128,DEALS!$U:$U,$B134,DEALS!$V:$V,"&lt;&gt;*RECEIVED*",DEALS!$V:$V,"&lt;&gt;*EXECUTED*"))</f>
        <v>0</v>
      </c>
      <c r="I134" s="33">
        <f ca="1">C134*VLOOKUP(C$128,'FX RATES'!$E$1:$F$50,2,FALSE)+D134*VLOOKUP(D$128,'FX RATES'!$E$1:$F$50,2,FALSE)+E134*VLOOKUP(E$128,'FX RATES'!$E$1:$F$50,2,FALSE)+F134*VLOOKUP(F$128,'FX RATES'!$E$1:$F$50,2,FALSE)+G134*VLOOKUP(G$128,'FX RATES'!$E$1:$F$50,2,FALSE)+H134*VLOOKUP(H$128,'FX RATES'!$E$1:$F$50,2,FALSE)</f>
        <v>358483.72448642104</v>
      </c>
      <c r="K134" s="31" t="str">
        <f t="shared" si="45"/>
        <v>UBL</v>
      </c>
      <c r="L134" s="32" cm="1">
        <f t="array" ref="L134">SUMIFS(FLOWS!$C:$C,FLOWS!$A:$A,$B$124,FLOWS!$E:$E,$K134,FLOWS!$D:$D,L$128,FLOWS!$H:$H,"&gt;="&amp;$C$126,FLOWS!$H:$H,"&lt;="&amp;$U$126)+SUM(SUMIFS(DEALS!$J:$J,DEALS!$A:$A,{"*REFUND*","*EXECUTED*"},DEALS!$G:$G,$B$124,DEALS!$E:$E,"&gt;="&amp;$C$126,DEALS!$E:$E,"&lt;="&amp;$U$126,DEALS!$K:$K,L$128,DEALS!$M:$M,$K134,DEALS!$N:$N,"&lt;&gt;*RECEIVED*",DEALS!$N:$N,"&lt;&gt;*EXECUTED*"))+SUM(SUMIFS(DEALS!$R:$R,DEALS!$A:$A,{"*REFUND*","*EXECUTED*"},DEALS!$O:$O,$B$124,DEALS!$E:$E,"&gt;="&amp;$C$126,DEALS!$E:$E,"&lt;="&amp;$U$126,DEALS!$S:$S,L$128,DEALS!$U:$U,$K134,DEALS!$V:$V,"&lt;&gt;*RECEIVED*",DEALS!$V:$V,"&lt;&gt;*EXECUTED*"))</f>
        <v>0</v>
      </c>
      <c r="M134" s="32" cm="1">
        <f t="array" ref="M134">SUMIFS(FLOWS!$C:$C,FLOWS!$A:$A,$B$124,FLOWS!$E:$E,$K134,FLOWS!$D:$D,M$128,FLOWS!$H:$H,"&gt;="&amp;$C$126,FLOWS!$H:$H,"&lt;="&amp;$U$126)+SUM(SUMIFS(DEALS!$J:$J,DEALS!$A:$A,{"*REFUND*","*EXECUTED*"},DEALS!$G:$G,$B$124,DEALS!$E:$E,"&gt;="&amp;$C$126,DEALS!$E:$E,"&lt;="&amp;$U$126,DEALS!$K:$K,M$128,DEALS!$M:$M,$K134,DEALS!$N:$N,"&lt;&gt;*RECEIVED*",DEALS!$N:$N,"&lt;&gt;*EXECUTED*"))+SUM(SUMIFS(DEALS!$R:$R,DEALS!$A:$A,{"*REFUND*","*EXECUTED*"},DEALS!$O:$O,$B$124,DEALS!$E:$E,"&gt;="&amp;$C$126,DEALS!$E:$E,"&lt;="&amp;$U$126,DEALS!$S:$S,M$128,DEALS!$U:$U,$K134,DEALS!$V:$V,"&lt;&gt;*RECEIVED*",DEALS!$V:$V,"&lt;&gt;*EXECUTED*"))</f>
        <v>0</v>
      </c>
      <c r="N134" s="32" cm="1">
        <f t="array" ref="N134">SUMIFS(FLOWS!$C:$C,FLOWS!$A:$A,$B$124,FLOWS!$E:$E,$K134,FLOWS!$D:$D,N$128,FLOWS!$H:$H,"&gt;="&amp;$C$126,FLOWS!$H:$H,"&lt;="&amp;$U$126)+SUM(SUMIFS(DEALS!$J:$J,DEALS!$A:$A,{"*REFUND*","*EXECUTED*"},DEALS!$G:$G,$B$124,DEALS!$E:$E,"&gt;="&amp;$C$126,DEALS!$E:$E,"&lt;="&amp;$U$126,DEALS!$K:$K,N$128,DEALS!$M:$M,$K134,DEALS!$N:$N,"&lt;&gt;*RECEIVED*",DEALS!$N:$N,"&lt;&gt;*EXECUTED*"))+SUM(SUMIFS(DEALS!$R:$R,DEALS!$A:$A,{"*REFUND*","*EXECUTED*"},DEALS!$O:$O,$B$124,DEALS!$E:$E,"&gt;="&amp;$C$126,DEALS!$E:$E,"&lt;="&amp;$U$126,DEALS!$S:$S,N$128,DEALS!$U:$U,$K134,DEALS!$V:$V,"&lt;&gt;*RECEIVED*",DEALS!$V:$V,"&lt;&gt;*EXECUTED*"))</f>
        <v>0</v>
      </c>
      <c r="O134" s="32" cm="1">
        <f t="array" ref="O134">SUMIFS(FLOWS!$C:$C,FLOWS!$A:$A,$B$124,FLOWS!$E:$E,$K134,FLOWS!$D:$D,O$128,FLOWS!$H:$H,"&gt;="&amp;$C$126,FLOWS!$H:$H,"&lt;="&amp;$U$126)+SUM(SUMIFS(DEALS!$J:$J,DEALS!$A:$A,{"*REFUND*","*EXECUTED*"},DEALS!$G:$G,$B$124,DEALS!$E:$E,"&gt;="&amp;$C$126,DEALS!$E:$E,"&lt;="&amp;$U$126,DEALS!$K:$K,O$128,DEALS!$M:$M,$K134,DEALS!$N:$N,"&lt;&gt;*RECEIVED*",DEALS!$N:$N,"&lt;&gt;*EXECUTED*"))+SUM(SUMIFS(DEALS!$R:$R,DEALS!$A:$A,{"*REFUND*","*EXECUTED*"},DEALS!$O:$O,$B$124,DEALS!$E:$E,"&gt;="&amp;$C$126,DEALS!$E:$E,"&lt;="&amp;$U$126,DEALS!$S:$S,O$128,DEALS!$U:$U,$K134,DEALS!$V:$V,"&lt;&gt;*RECEIVED*",DEALS!$V:$V,"&lt;&gt;*EXECUTED*"))</f>
        <v>-1460203.27890254</v>
      </c>
      <c r="P134" s="32" cm="1">
        <f t="array" ref="P134">SUMIFS(FLOWS!$C:$C,FLOWS!$A:$A,$B$124,FLOWS!$E:$E,$K134,FLOWS!$D:$D,P$128,FLOWS!$H:$H,"&gt;="&amp;$C$126,FLOWS!$H:$H,"&lt;="&amp;$U$126)+SUM(SUMIFS(DEALS!$J:$J,DEALS!$A:$A,{"*REFUND*","*EXECUTED*"},DEALS!$G:$G,$B$124,DEALS!$E:$E,"&gt;="&amp;$C$126,DEALS!$E:$E,"&lt;="&amp;$U$126,DEALS!$K:$K,P$128,DEALS!$M:$M,$K134,DEALS!$N:$N,"&lt;&gt;*RECEIVED*",DEALS!$N:$N,"&lt;&gt;*EXECUTED*"))+SUM(SUMIFS(DEALS!$R:$R,DEALS!$A:$A,{"*REFUND*","*EXECUTED*"},DEALS!$O:$O,$B$124,DEALS!$E:$E,"&gt;="&amp;$C$126,DEALS!$E:$E,"&lt;="&amp;$U$126,DEALS!$S:$S,P$128,DEALS!$U:$U,$K134,DEALS!$V:$V,"&lt;&gt;*RECEIVED*",DEALS!$V:$V,"&lt;&gt;*EXECUTED*"))</f>
        <v>0</v>
      </c>
      <c r="Q134" s="32" cm="1">
        <f t="array" ref="Q134">SUMIFS(FLOWS!$C:$C,FLOWS!$A:$A,$B$124,FLOWS!$E:$E,$K134,FLOWS!$D:$D,Q$128,FLOWS!$H:$H,"&gt;="&amp;$C$126,FLOWS!$H:$H,"&lt;="&amp;$U$126)+SUM(SUMIFS(DEALS!$J:$J,DEALS!$A:$A,{"*REFUND*","*EXECUTED*"},DEALS!$G:$G,$B$124,DEALS!$E:$E,"&gt;="&amp;$C$126,DEALS!$E:$E,"&lt;="&amp;$U$126,DEALS!$K:$K,Q$128,DEALS!$M:$M,$K134,DEALS!$N:$N,"&lt;&gt;*RECEIVED*",DEALS!$N:$N,"&lt;&gt;*EXECUTED*"))+SUM(SUMIFS(DEALS!$R:$R,DEALS!$A:$A,{"*REFUND*","*EXECUTED*"},DEALS!$O:$O,$B$124,DEALS!$E:$E,"&gt;="&amp;$C$126,DEALS!$E:$E,"&lt;="&amp;$U$126,DEALS!$S:$S,Q$128,DEALS!$U:$U,$K134,DEALS!$V:$V,"&lt;&gt;*RECEIVED*",DEALS!$V:$V,"&lt;&gt;*EXECUTED*"))</f>
        <v>0</v>
      </c>
      <c r="R134" s="33">
        <f ca="1">L134*VLOOKUP(L$128,'FX RATES'!$E$1:$F$50,2,FALSE)+M134*VLOOKUP(M$128,'FX RATES'!$E$1:$F$50,2,FALSE)+N134*VLOOKUP(N$128,'FX RATES'!$E$1:$F$50,2,FALSE)+O134*VLOOKUP(O$128,'FX RATES'!$E$1:$F$50,2,FALSE)+P134*VLOOKUP(P$128,'FX RATES'!$E$1:$F$50,2,FALSE)+Q134*VLOOKUP(Q$128,'FX RATES'!$E$1:$F$50,2,FALSE)</f>
        <v>-397593.87869698304</v>
      </c>
      <c r="T134" s="31" t="str">
        <f t="shared" si="46"/>
        <v>UBL</v>
      </c>
      <c r="U134" s="32" cm="1">
        <f t="array" ref="U134">SUMIFS(BALANCES!$C:$C,BALANCES!$A:$A,$B$124,BALANCES!$B:$B,$T134,BALANCES!$D:$D,U$128)+SUMIFS(FLOWS!$C:$C,FLOWS!$A:$A,$B$124,FLOWS!$E:$E,$T134,FLOWS!$D:$D,U$128,FLOWS!$H:$H,"&lt;="&amp;$U$126)+SUM(SUMIFS(DEALS!$J:$J,DEALS!$A:$A,{"*REFUND*","*EXECUTED*"},DEALS!$G:$G,$B$124,DEALS!$E:$E,"&lt;="&amp;$U$126,DEALS!$K:$K,U$128,DEALS!$M:$M,$T134,DEALS!$N:$N,"&lt;&gt;*RECEIVED*",DEALS!$N:$N,"&lt;&gt;*EXECUTED*"))+SUM(SUMIFS(DEALS!$R:$R,DEALS!$A:$A,{"*REFUND*","*EXECUTED*"},DEALS!$O:$O,$B$124,DEALS!$E:$E,"&lt;="&amp;$U$126,DEALS!$S:$S,U$128,DEALS!$U:$U,$T134,DEALS!$V:$V,"&lt;&gt;*RECEIVED*",DEALS!$V:$V,"&lt;&gt;*EXECUTED*"))</f>
        <v>-35537.5</v>
      </c>
      <c r="V134" s="32" cm="1">
        <f t="array" ref="V134">SUMIFS(BALANCES!$C:$C,BALANCES!$A:$A,$B$124,BALANCES!$B:$B,$T134,BALANCES!$D:$D,V$128)+SUMIFS(FLOWS!$C:$C,FLOWS!$A:$A,$B$124,FLOWS!$E:$E,$T134,FLOWS!$D:$D,V$128,FLOWS!$H:$H,"&lt;="&amp;$U$126)+SUM(SUMIFS(DEALS!$J:$J,DEALS!$A:$A,{"*REFUND*","*EXECUTED*"},DEALS!$G:$G,$B$124,DEALS!$E:$E,"&lt;="&amp;$U$126,DEALS!$K:$K,V$128,DEALS!$M:$M,$T134,DEALS!$N:$N,"&lt;&gt;*RECEIVED*",DEALS!$N:$N,"&lt;&gt;*EXECUTED*"))+SUM(SUMIFS(DEALS!$R:$R,DEALS!$A:$A,{"*REFUND*","*EXECUTED*"},DEALS!$O:$O,$B$124,DEALS!$E:$E,"&lt;="&amp;$U$126,DEALS!$S:$S,V$128,DEALS!$U:$U,$T134,DEALS!$V:$V,"&lt;&gt;*RECEIVED*",DEALS!$V:$V,"&lt;&gt;*EXECUTED*"))</f>
        <v>0</v>
      </c>
      <c r="W134" s="32" cm="1">
        <f t="array" ref="W134">SUMIFS(BALANCES!$C:$C,BALANCES!$A:$A,$B$124,BALANCES!$B:$B,$T134,BALANCES!$D:$D,W$128)+SUMIFS(FLOWS!$C:$C,FLOWS!$A:$A,$B$124,FLOWS!$E:$E,$T134,FLOWS!$D:$D,W$128,FLOWS!$H:$H,"&lt;="&amp;$U$126)+SUM(SUMIFS(DEALS!$J:$J,DEALS!$A:$A,{"*REFUND*","*EXECUTED*"},DEALS!$G:$G,$B$124,DEALS!$E:$E,"&lt;="&amp;$U$126,DEALS!$K:$K,W$128,DEALS!$M:$M,$T134,DEALS!$N:$N,"&lt;&gt;*RECEIVED*",DEALS!$N:$N,"&lt;&gt;*EXECUTED*"))+SUM(SUMIFS(DEALS!$R:$R,DEALS!$A:$A,{"*REFUND*","*EXECUTED*"},DEALS!$O:$O,$B$124,DEALS!$E:$E,"&lt;="&amp;$U$126,DEALS!$S:$S,W$128,DEALS!$U:$U,$T134,DEALS!$V:$V,"&lt;&gt;*RECEIVED*",DEALS!$V:$V,"&lt;&gt;*EXECUTED*"))</f>
        <v>0</v>
      </c>
      <c r="X134" s="32" cm="1">
        <f t="array" ref="X134">SUMIFS(BALANCES!$C:$C,BALANCES!$A:$A,$B$124,BALANCES!$B:$B,$T134,BALANCES!$D:$D,X$128)+SUMIFS(FLOWS!$C:$C,FLOWS!$A:$A,$B$124,FLOWS!$E:$E,$T134,FLOWS!$D:$D,X$128,FLOWS!$H:$H,"&lt;="&amp;$U$126)+SUM(SUMIFS(DEALS!$J:$J,DEALS!$A:$A,{"*REFUND*","*EXECUTED*"},DEALS!$G:$G,$B$124,DEALS!$E:$E,"&lt;="&amp;$U$126,DEALS!$K:$K,X$128,DEALS!$M:$M,$T134,DEALS!$N:$N,"&lt;&gt;*RECEIVED*",DEALS!$N:$N,"&lt;&gt;*EXECUTED*"))+SUM(SUMIFS(DEALS!$R:$R,DEALS!$A:$A,{"*REFUND*","*EXECUTED*"},DEALS!$O:$O,$B$124,DEALS!$E:$E,"&lt;="&amp;$U$126,DEALS!$S:$S,X$128,DEALS!$U:$U,$T134,DEALS!$V:$V,"&lt;&gt;*RECEIVED*",DEALS!$V:$V,"&lt;&gt;*EXECUTED*"))</f>
        <v>-13120.92985370988</v>
      </c>
      <c r="Y134" s="32" cm="1">
        <f t="array" ref="Y134">SUMIFS(BALANCES!$C:$C,BALANCES!$A:$A,$B$124,BALANCES!$B:$B,$T134,BALANCES!$D:$D,Y$128)+SUMIFS(FLOWS!$C:$C,FLOWS!$A:$A,$B$124,FLOWS!$E:$E,$T134,FLOWS!$D:$D,Y$128,FLOWS!$H:$H,"&lt;="&amp;$U$126)+SUM(SUMIFS(DEALS!$J:$J,DEALS!$A:$A,{"*REFUND*","*EXECUTED*"},DEALS!$G:$G,$B$124,DEALS!$E:$E,"&lt;="&amp;$U$126,DEALS!$K:$K,Y$128,DEALS!$M:$M,$T134,DEALS!$N:$N,"&lt;&gt;*RECEIVED*",DEALS!$N:$N,"&lt;&gt;*EXECUTED*"))+SUM(SUMIFS(DEALS!$R:$R,DEALS!$A:$A,{"*REFUND*","*EXECUTED*"},DEALS!$O:$O,$B$124,DEALS!$E:$E,"&lt;="&amp;$U$126,DEALS!$S:$S,Y$128,DEALS!$U:$U,$T134,DEALS!$V:$V,"&lt;&gt;*RECEIVED*",DEALS!$V:$V,"&lt;&gt;*EXECUTED*"))</f>
        <v>0</v>
      </c>
      <c r="Z134" s="32" cm="1">
        <f t="array" ref="Z134">SUMIFS(BALANCES!$C:$C,BALANCES!$A:$A,$B$124,BALANCES!$B:$B,$T134,BALANCES!$D:$D,Z$128)+SUMIFS(FLOWS!$C:$C,FLOWS!$A:$A,$B$124,FLOWS!$E:$E,$T134,FLOWS!$D:$D,Z$128,FLOWS!$H:$H,"&lt;="&amp;$U$126)+SUM(SUMIFS(DEALS!$J:$J,DEALS!$A:$A,{"*REFUND*","*EXECUTED*"},DEALS!$G:$G,$B$124,DEALS!$E:$E,"&lt;="&amp;$U$126,DEALS!$K:$K,Z$128,DEALS!$M:$M,$T134,DEALS!$N:$N,"&lt;&gt;*RECEIVED*",DEALS!$N:$N,"&lt;&gt;*EXECUTED*"))+SUM(SUMIFS(DEALS!$R:$R,DEALS!$A:$A,{"*REFUND*","*EXECUTED*"},DEALS!$O:$O,$B$124,DEALS!$E:$E,"&lt;="&amp;$U$126,DEALS!$S:$S,Z$128,DEALS!$U:$U,$T134,DEALS!$V:$V,"&lt;&gt;*RECEIVED*",DEALS!$V:$V,"&lt;&gt;*EXECUTED*"))</f>
        <v>0</v>
      </c>
      <c r="AA134" s="33">
        <f ca="1">U134*VLOOKUP(U$128,'FX RATES'!$E$1:$F$50,2,FALSE)+V134*VLOOKUP(V$128,'FX RATES'!$E$1:$F$50,2,FALSE)+W134*VLOOKUP(W$128,'FX RATES'!$E$1:$F$50,2,FALSE)+X134*VLOOKUP(X$128,'FX RATES'!$E$1:$F$50,2,FALSE)+Y134*VLOOKUP(Y$128,'FX RATES'!$E$1:$F$50,2,FALSE)+Z134*VLOOKUP(Z$128,'FX RATES'!$E$1:$F$50,2,FALSE)</f>
        <v>-39110.154210561966</v>
      </c>
      <c r="AC134" s="139">
        <f t="shared" ca="1" si="47"/>
        <v>0</v>
      </c>
    </row>
    <row r="135" spans="2:29" ht="20" thickBot="1">
      <c r="B135" s="28" t="s">
        <v>25</v>
      </c>
      <c r="C135" s="29" cm="1">
        <f t="array" ref="C135">SUMIFS(BALANCES!$C:$C,BALANCES!$A:$A,$B$124,BALANCES!$B:$B,$B135,BALANCES!$D:$D,C$128)+SUMIFS(FLOWS!$C:$C,FLOWS!$A:$A,$B$124,FLOWS!$E:$E,$B135,FLOWS!$D:$D,C$128,FLOWS!$H:$H,"&lt;"&amp;$C$126)+SUM(SUMIFS(DEALS!$J:$J,DEALS!$A:$A,{"*REFUND*","*EXECUTED*"},DEALS!$G:$G,$B$124,DEALS!$E:$E,"&lt;"&amp;$C$126,DEALS!$K:$K,C$128,DEALS!$M:$M,$B135,DEALS!$N:$N,"&lt;&gt;*RECEIVED*",DEALS!$N:$N,"&lt;&gt;*EXECUTED*"))+SUM(SUMIFS(DEALS!$R:$R,DEALS!$A:$A,{"*REFUND*","*EXECUTED*"},DEALS!$O:$O,$B$124,DEALS!$E:$E,"&lt;"&amp;$C$126,DEALS!$S:$S,C$128,DEALS!$U:$U,$B135,DEALS!$V:$V,"&lt;&gt;*RECEIVED*",DEALS!$V:$V,"&lt;&gt;*EXECUTED*"))</f>
        <v>0</v>
      </c>
      <c r="D135" s="29" cm="1">
        <f t="array" ref="D135">SUMIFS(BALANCES!$C:$C,BALANCES!$A:$A,$B$124,BALANCES!$B:$B,$B135,BALANCES!$D:$D,D$128)+SUMIFS(FLOWS!$C:$C,FLOWS!$A:$A,$B$124,FLOWS!$E:$E,$B135,FLOWS!$D:$D,D$128,FLOWS!$H:$H,"&lt;"&amp;$C$126)+SUM(SUMIFS(DEALS!$J:$J,DEALS!$A:$A,{"*REFUND*","*EXECUTED*"},DEALS!$G:$G,$B$124,DEALS!$E:$E,"&lt;"&amp;$C$126,DEALS!$K:$K,D$128,DEALS!$M:$M,$B135,DEALS!$N:$N,"&lt;&gt;*RECEIVED*",DEALS!$N:$N,"&lt;&gt;*EXECUTED*"))+SUM(SUMIFS(DEALS!$R:$R,DEALS!$A:$A,{"*REFUND*","*EXECUTED*"},DEALS!$O:$O,$B$124,DEALS!$E:$E,"&lt;"&amp;$C$126,DEALS!$S:$S,D$128,DEALS!$U:$U,$B135,DEALS!$V:$V,"&lt;&gt;*RECEIVED*",DEALS!$V:$V,"&lt;&gt;*EXECUTED*"))</f>
        <v>0</v>
      </c>
      <c r="E135" s="29" cm="1">
        <f t="array" ref="E135">SUMIFS(BALANCES!$C:$C,BALANCES!$A:$A,$B$124,BALANCES!$B:$B,$B135,BALANCES!$D:$D,E$128)+SUMIFS(FLOWS!$C:$C,FLOWS!$A:$A,$B$124,FLOWS!$E:$E,$B135,FLOWS!$D:$D,E$128,FLOWS!$H:$H,"&lt;"&amp;$C$126)+SUM(SUMIFS(DEALS!$J:$J,DEALS!$A:$A,{"*REFUND*","*EXECUTED*"},DEALS!$G:$G,$B$124,DEALS!$E:$E,"&lt;"&amp;$C$126,DEALS!$K:$K,E$128,DEALS!$M:$M,$B135,DEALS!$N:$N,"&lt;&gt;*RECEIVED*",DEALS!$N:$N,"&lt;&gt;*EXECUTED*"))+SUM(SUMIFS(DEALS!$R:$R,DEALS!$A:$A,{"*REFUND*","*EXECUTED*"},DEALS!$O:$O,$B$124,DEALS!$E:$E,"&lt;"&amp;$C$126,DEALS!$S:$S,E$128,DEALS!$U:$U,$B135,DEALS!$V:$V,"&lt;&gt;*RECEIVED*",DEALS!$V:$V,"&lt;&gt;*EXECUTED*"))</f>
        <v>0</v>
      </c>
      <c r="F135" s="29" cm="1">
        <f t="array" ref="F135">SUMIFS(BALANCES!$C:$C,BALANCES!$A:$A,$B$124,BALANCES!$B:$B,$B135,BALANCES!$D:$D,F$128)+SUMIFS(FLOWS!$C:$C,FLOWS!$A:$A,$B$124,FLOWS!$E:$E,$B135,FLOWS!$D:$D,F$128,FLOWS!$H:$H,"&lt;"&amp;$C$126)+SUM(SUMIFS(DEALS!$J:$J,DEALS!$A:$A,{"*REFUND*","*EXECUTED*"},DEALS!$G:$G,$B$124,DEALS!$E:$E,"&lt;"&amp;$C$126,DEALS!$K:$K,F$128,DEALS!$M:$M,$B135,DEALS!$N:$N,"&lt;&gt;*RECEIVED*",DEALS!$N:$N,"&lt;&gt;*EXECUTED*"))+SUM(SUMIFS(DEALS!$R:$R,DEALS!$A:$A,{"*REFUND*","*EXECUTED*"},DEALS!$O:$O,$B$124,DEALS!$E:$E,"&lt;"&amp;$C$126,DEALS!$S:$S,F$128,DEALS!$U:$U,$B135,DEALS!$V:$V,"&lt;&gt;*RECEIVED*",DEALS!$V:$V,"&lt;&gt;*EXECUTED*"))</f>
        <v>0</v>
      </c>
      <c r="G135" s="29" cm="1">
        <f t="array" ref="G135">SUMIFS(BALANCES!$C:$C,BALANCES!$A:$A,$B$124,BALANCES!$B:$B,$B135,BALANCES!$D:$D,G$128)+SUMIFS(FLOWS!$C:$C,FLOWS!$A:$A,$B$124,FLOWS!$E:$E,$B135,FLOWS!$D:$D,G$128,FLOWS!$H:$H,"&lt;"&amp;$C$126)+SUM(SUMIFS(DEALS!$J:$J,DEALS!$A:$A,{"*REFUND*","*EXECUTED*"},DEALS!$G:$G,$B$124,DEALS!$E:$E,"&lt;"&amp;$C$126,DEALS!$K:$K,G$128,DEALS!$M:$M,$B135,DEALS!$N:$N,"&lt;&gt;*RECEIVED*",DEALS!$N:$N,"&lt;&gt;*EXECUTED*"))+SUM(SUMIFS(DEALS!$R:$R,DEALS!$A:$A,{"*REFUND*","*EXECUTED*"},DEALS!$O:$O,$B$124,DEALS!$E:$E,"&lt;"&amp;$C$126,DEALS!$S:$S,G$128,DEALS!$U:$U,$B135,DEALS!$V:$V,"&lt;&gt;*RECEIVED*",DEALS!$V:$V,"&lt;&gt;*EXECUTED*"))</f>
        <v>9732019.5399999991</v>
      </c>
      <c r="H135" s="29" cm="1">
        <f t="array" ref="H135">SUMIFS(BALANCES!$C:$C,BALANCES!$A:$A,$B$124,BALANCES!$B:$B,$B135,BALANCES!$D:$D,H$128)+SUMIFS(FLOWS!$C:$C,FLOWS!$A:$A,$B$124,FLOWS!$E:$E,$B135,FLOWS!$D:$D,H$128,FLOWS!$H:$H,"&lt;"&amp;$C$126)+SUM(SUMIFS(DEALS!$J:$J,DEALS!$A:$A,{"*REFUND*","*EXECUTED*"},DEALS!$G:$G,$B$124,DEALS!$E:$E,"&lt;"&amp;$C$126,DEALS!$K:$K,H$128,DEALS!$M:$M,$B135,DEALS!$N:$N,"&lt;&gt;*RECEIVED*",DEALS!$N:$N,"&lt;&gt;*EXECUTED*"))+SUM(SUMIFS(DEALS!$R:$R,DEALS!$A:$A,{"*REFUND*","*EXECUTED*"},DEALS!$O:$O,$B$124,DEALS!$E:$E,"&lt;"&amp;$C$126,DEALS!$S:$S,H$128,DEALS!$U:$U,$B135,DEALS!$V:$V,"&lt;&gt;*RECEIVED*",DEALS!$V:$V,"&lt;&gt;*EXECUTED*"))</f>
        <v>0</v>
      </c>
      <c r="I135" s="30">
        <f ca="1">C135*VLOOKUP(C$128,'FX RATES'!$E$1:$F$50,2,FALSE)+D135*VLOOKUP(D$128,'FX RATES'!$E$1:$F$50,2,FALSE)+E135*VLOOKUP(E$128,'FX RATES'!$E$1:$F$50,2,FALSE)+F135*VLOOKUP(F$128,'FX RATES'!$E$1:$F$50,2,FALSE)+G135*VLOOKUP(G$128,'FX RATES'!$E$1:$F$50,2,FALSE)+H135*VLOOKUP(H$128,'FX RATES'!$E$1:$F$50,2,FALSE)</f>
        <v>126850.314322769</v>
      </c>
      <c r="K135" s="28" t="str">
        <f t="shared" si="45"/>
        <v>CEB</v>
      </c>
      <c r="L135" s="29" cm="1">
        <f t="array" ref="L135">SUMIFS(FLOWS!$C:$C,FLOWS!$A:$A,$B$124,FLOWS!$E:$E,$K135,FLOWS!$D:$D,L$128,FLOWS!$H:$H,"&gt;="&amp;$C$126,FLOWS!$H:$H,"&lt;="&amp;$U$126)+SUM(SUMIFS(DEALS!$J:$J,DEALS!$A:$A,{"*REFUND*","*EXECUTED*"},DEALS!$G:$G,$B$124,DEALS!$E:$E,"&gt;="&amp;$C$126,DEALS!$E:$E,"&lt;="&amp;$U$126,DEALS!$K:$K,L$128,DEALS!$M:$M,$K135,DEALS!$N:$N,"&lt;&gt;*RECEIVED*",DEALS!$N:$N,"&lt;&gt;*EXECUTED*"))+SUM(SUMIFS(DEALS!$R:$R,DEALS!$A:$A,{"*REFUND*","*EXECUTED*"},DEALS!$O:$O,$B$124,DEALS!$E:$E,"&gt;="&amp;$C$126,DEALS!$E:$E,"&lt;="&amp;$U$126,DEALS!$S:$S,L$128,DEALS!$U:$U,$K135,DEALS!$V:$V,"&lt;&gt;*RECEIVED*",DEALS!$V:$V,"&lt;&gt;*EXECUTED*"))</f>
        <v>0</v>
      </c>
      <c r="M135" s="29" cm="1">
        <f t="array" ref="M135">SUMIFS(FLOWS!$C:$C,FLOWS!$A:$A,$B$124,FLOWS!$E:$E,$K135,FLOWS!$D:$D,M$128,FLOWS!$H:$H,"&gt;="&amp;$C$126,FLOWS!$H:$H,"&lt;="&amp;$U$126)+SUM(SUMIFS(DEALS!$J:$J,DEALS!$A:$A,{"*REFUND*","*EXECUTED*"},DEALS!$G:$G,$B$124,DEALS!$E:$E,"&gt;="&amp;$C$126,DEALS!$E:$E,"&lt;="&amp;$U$126,DEALS!$K:$K,M$128,DEALS!$M:$M,$K135,DEALS!$N:$N,"&lt;&gt;*RECEIVED*",DEALS!$N:$N,"&lt;&gt;*EXECUTED*"))+SUM(SUMIFS(DEALS!$R:$R,DEALS!$A:$A,{"*REFUND*","*EXECUTED*"},DEALS!$O:$O,$B$124,DEALS!$E:$E,"&gt;="&amp;$C$126,DEALS!$E:$E,"&lt;="&amp;$U$126,DEALS!$S:$S,M$128,DEALS!$U:$U,$K135,DEALS!$V:$V,"&lt;&gt;*RECEIVED*",DEALS!$V:$V,"&lt;&gt;*EXECUTED*"))</f>
        <v>0</v>
      </c>
      <c r="N135" s="29" cm="1">
        <f t="array" ref="N135">SUMIFS(FLOWS!$C:$C,FLOWS!$A:$A,$B$124,FLOWS!$E:$E,$K135,FLOWS!$D:$D,N$128,FLOWS!$H:$H,"&gt;="&amp;$C$126,FLOWS!$H:$H,"&lt;="&amp;$U$126)+SUM(SUMIFS(DEALS!$J:$J,DEALS!$A:$A,{"*REFUND*","*EXECUTED*"},DEALS!$G:$G,$B$124,DEALS!$E:$E,"&gt;="&amp;$C$126,DEALS!$E:$E,"&lt;="&amp;$U$126,DEALS!$K:$K,N$128,DEALS!$M:$M,$K135,DEALS!$N:$N,"&lt;&gt;*RECEIVED*",DEALS!$N:$N,"&lt;&gt;*EXECUTED*"))+SUM(SUMIFS(DEALS!$R:$R,DEALS!$A:$A,{"*REFUND*","*EXECUTED*"},DEALS!$O:$O,$B$124,DEALS!$E:$E,"&gt;="&amp;$C$126,DEALS!$E:$E,"&lt;="&amp;$U$126,DEALS!$S:$S,N$128,DEALS!$U:$U,$K135,DEALS!$V:$V,"&lt;&gt;*RECEIVED*",DEALS!$V:$V,"&lt;&gt;*EXECUTED*"))</f>
        <v>0</v>
      </c>
      <c r="O135" s="29" cm="1">
        <f t="array" ref="O135">SUMIFS(FLOWS!$C:$C,FLOWS!$A:$A,$B$124,FLOWS!$E:$E,$K135,FLOWS!$D:$D,O$128,FLOWS!$H:$H,"&gt;="&amp;$C$126,FLOWS!$H:$H,"&lt;="&amp;$U$126)+SUM(SUMIFS(DEALS!$J:$J,DEALS!$A:$A,{"*REFUND*","*EXECUTED*"},DEALS!$G:$G,$B$124,DEALS!$E:$E,"&gt;="&amp;$C$126,DEALS!$E:$E,"&lt;="&amp;$U$126,DEALS!$K:$K,O$128,DEALS!$M:$M,$K135,DEALS!$N:$N,"&lt;&gt;*RECEIVED*",DEALS!$N:$N,"&lt;&gt;*EXECUTED*"))+SUM(SUMIFS(DEALS!$R:$R,DEALS!$A:$A,{"*REFUND*","*EXECUTED*"},DEALS!$O:$O,$B$124,DEALS!$E:$E,"&gt;="&amp;$C$126,DEALS!$E:$E,"&lt;="&amp;$U$126,DEALS!$S:$S,O$128,DEALS!$U:$U,$K135,DEALS!$V:$V,"&lt;&gt;*RECEIVED*",DEALS!$V:$V,"&lt;&gt;*EXECUTED*"))</f>
        <v>0</v>
      </c>
      <c r="P135" s="29" cm="1">
        <f t="array" ref="P135">SUMIFS(FLOWS!$C:$C,FLOWS!$A:$A,$B$124,FLOWS!$E:$E,$K135,FLOWS!$D:$D,P$128,FLOWS!$H:$H,"&gt;="&amp;$C$126,FLOWS!$H:$H,"&lt;="&amp;$U$126)+SUM(SUMIFS(DEALS!$J:$J,DEALS!$A:$A,{"*REFUND*","*EXECUTED*"},DEALS!$G:$G,$B$124,DEALS!$E:$E,"&gt;="&amp;$C$126,DEALS!$E:$E,"&lt;="&amp;$U$126,DEALS!$K:$K,P$128,DEALS!$M:$M,$K135,DEALS!$N:$N,"&lt;&gt;*RECEIVED*",DEALS!$N:$N,"&lt;&gt;*EXECUTED*"))+SUM(SUMIFS(DEALS!$R:$R,DEALS!$A:$A,{"*REFUND*","*EXECUTED*"},DEALS!$O:$O,$B$124,DEALS!$E:$E,"&gt;="&amp;$C$126,DEALS!$E:$E,"&lt;="&amp;$U$126,DEALS!$S:$S,P$128,DEALS!$U:$U,$K135,DEALS!$V:$V,"&lt;&gt;*RECEIVED*",DEALS!$V:$V,"&lt;&gt;*EXECUTED*"))</f>
        <v>47686924</v>
      </c>
      <c r="Q135" s="29" cm="1">
        <f t="array" ref="Q135">SUMIFS(FLOWS!$C:$C,FLOWS!$A:$A,$B$124,FLOWS!$E:$E,$K135,FLOWS!$D:$D,Q$128,FLOWS!$H:$H,"&gt;="&amp;$C$126,FLOWS!$H:$H,"&lt;="&amp;$U$126)+SUM(SUMIFS(DEALS!$J:$J,DEALS!$A:$A,{"*REFUND*","*EXECUTED*"},DEALS!$G:$G,$B$124,DEALS!$E:$E,"&gt;="&amp;$C$126,DEALS!$E:$E,"&lt;="&amp;$U$126,DEALS!$K:$K,Q$128,DEALS!$M:$M,$K135,DEALS!$N:$N,"&lt;&gt;*RECEIVED*",DEALS!$N:$N,"&lt;&gt;*EXECUTED*"))+SUM(SUMIFS(DEALS!$R:$R,DEALS!$A:$A,{"*REFUND*","*EXECUTED*"},DEALS!$O:$O,$B$124,DEALS!$E:$E,"&gt;="&amp;$C$126,DEALS!$E:$E,"&lt;="&amp;$U$126,DEALS!$S:$S,Q$128,DEALS!$U:$U,$K135,DEALS!$V:$V,"&lt;&gt;*RECEIVED*",DEALS!$V:$V,"&lt;&gt;*EXECUTED*"))</f>
        <v>0</v>
      </c>
      <c r="R135" s="30">
        <f ca="1">L135*VLOOKUP(L$128,'FX RATES'!$E$1:$F$50,2,FALSE)+M135*VLOOKUP(M$128,'FX RATES'!$E$1:$F$50,2,FALSE)+N135*VLOOKUP(N$128,'FX RATES'!$E$1:$F$50,2,FALSE)+O135*VLOOKUP(O$128,'FX RATES'!$E$1:$F$50,2,FALSE)+P135*VLOOKUP(P$128,'FX RATES'!$E$1:$F$50,2,FALSE)+Q135*VLOOKUP(Q$128,'FX RATES'!$E$1:$F$50,2,FALSE)</f>
        <v>621566.908453412</v>
      </c>
      <c r="T135" s="28" t="str">
        <f t="shared" si="46"/>
        <v>CEB</v>
      </c>
      <c r="U135" s="29" cm="1">
        <f t="array" ref="U135">SUMIFS(BALANCES!$C:$C,BALANCES!$A:$A,$B$124,BALANCES!$B:$B,$T135,BALANCES!$D:$D,U$128)+SUMIFS(FLOWS!$C:$C,FLOWS!$A:$A,$B$124,FLOWS!$E:$E,$T135,FLOWS!$D:$D,U$128,FLOWS!$H:$H,"&lt;="&amp;$U$126)+SUM(SUMIFS(DEALS!$J:$J,DEALS!$A:$A,{"*REFUND*","*EXECUTED*"},DEALS!$G:$G,$B$124,DEALS!$E:$E,"&lt;="&amp;$U$126,DEALS!$K:$K,U$128,DEALS!$M:$M,$T135,DEALS!$N:$N,"&lt;&gt;*RECEIVED*",DEALS!$N:$N,"&lt;&gt;*EXECUTED*"))+SUM(SUMIFS(DEALS!$R:$R,DEALS!$A:$A,{"*REFUND*","*EXECUTED*"},DEALS!$O:$O,$B$124,DEALS!$E:$E,"&lt;="&amp;$U$126,DEALS!$S:$S,U$128,DEALS!$U:$U,$T135,DEALS!$V:$V,"&lt;&gt;*RECEIVED*",DEALS!$V:$V,"&lt;&gt;*EXECUTED*"))</f>
        <v>0</v>
      </c>
      <c r="V135" s="29" cm="1">
        <f t="array" ref="V135">SUMIFS(BALANCES!$C:$C,BALANCES!$A:$A,$B$124,BALANCES!$B:$B,$T135,BALANCES!$D:$D,V$128)+SUMIFS(FLOWS!$C:$C,FLOWS!$A:$A,$B$124,FLOWS!$E:$E,$T135,FLOWS!$D:$D,V$128,FLOWS!$H:$H,"&lt;="&amp;$U$126)+SUM(SUMIFS(DEALS!$J:$J,DEALS!$A:$A,{"*REFUND*","*EXECUTED*"},DEALS!$G:$G,$B$124,DEALS!$E:$E,"&lt;="&amp;$U$126,DEALS!$K:$K,V$128,DEALS!$M:$M,$T135,DEALS!$N:$N,"&lt;&gt;*RECEIVED*",DEALS!$N:$N,"&lt;&gt;*EXECUTED*"))+SUM(SUMIFS(DEALS!$R:$R,DEALS!$A:$A,{"*REFUND*","*EXECUTED*"},DEALS!$O:$O,$B$124,DEALS!$E:$E,"&lt;="&amp;$U$126,DEALS!$S:$S,V$128,DEALS!$U:$U,$T135,DEALS!$V:$V,"&lt;&gt;*RECEIVED*",DEALS!$V:$V,"&lt;&gt;*EXECUTED*"))</f>
        <v>0</v>
      </c>
      <c r="W135" s="29" cm="1">
        <f t="array" ref="W135">SUMIFS(BALANCES!$C:$C,BALANCES!$A:$A,$B$124,BALANCES!$B:$B,$T135,BALANCES!$D:$D,W$128)+SUMIFS(FLOWS!$C:$C,FLOWS!$A:$A,$B$124,FLOWS!$E:$E,$T135,FLOWS!$D:$D,W$128,FLOWS!$H:$H,"&lt;="&amp;$U$126)+SUM(SUMIFS(DEALS!$J:$J,DEALS!$A:$A,{"*REFUND*","*EXECUTED*"},DEALS!$G:$G,$B$124,DEALS!$E:$E,"&lt;="&amp;$U$126,DEALS!$K:$K,W$128,DEALS!$M:$M,$T135,DEALS!$N:$N,"&lt;&gt;*RECEIVED*",DEALS!$N:$N,"&lt;&gt;*EXECUTED*"))+SUM(SUMIFS(DEALS!$R:$R,DEALS!$A:$A,{"*REFUND*","*EXECUTED*"},DEALS!$O:$O,$B$124,DEALS!$E:$E,"&lt;="&amp;$U$126,DEALS!$S:$S,W$128,DEALS!$U:$U,$T135,DEALS!$V:$V,"&lt;&gt;*RECEIVED*",DEALS!$V:$V,"&lt;&gt;*EXECUTED*"))</f>
        <v>0</v>
      </c>
      <c r="X135" s="29" cm="1">
        <f t="array" ref="X135">SUMIFS(BALANCES!$C:$C,BALANCES!$A:$A,$B$124,BALANCES!$B:$B,$T135,BALANCES!$D:$D,X$128)+SUMIFS(FLOWS!$C:$C,FLOWS!$A:$A,$B$124,FLOWS!$E:$E,$T135,FLOWS!$D:$D,X$128,FLOWS!$H:$H,"&lt;="&amp;$U$126)+SUM(SUMIFS(DEALS!$J:$J,DEALS!$A:$A,{"*REFUND*","*EXECUTED*"},DEALS!$G:$G,$B$124,DEALS!$E:$E,"&lt;="&amp;$U$126,DEALS!$K:$K,X$128,DEALS!$M:$M,$T135,DEALS!$N:$N,"&lt;&gt;*RECEIVED*",DEALS!$N:$N,"&lt;&gt;*EXECUTED*"))+SUM(SUMIFS(DEALS!$R:$R,DEALS!$A:$A,{"*REFUND*","*EXECUTED*"},DEALS!$O:$O,$B$124,DEALS!$E:$E,"&lt;="&amp;$U$126,DEALS!$S:$S,X$128,DEALS!$U:$U,$T135,DEALS!$V:$V,"&lt;&gt;*RECEIVED*",DEALS!$V:$V,"&lt;&gt;*EXECUTED*"))</f>
        <v>0</v>
      </c>
      <c r="Y135" s="29" cm="1">
        <f t="array" ref="Y135">SUMIFS(BALANCES!$C:$C,BALANCES!$A:$A,$B$124,BALANCES!$B:$B,$T135,BALANCES!$D:$D,Y$128)+SUMIFS(FLOWS!$C:$C,FLOWS!$A:$A,$B$124,FLOWS!$E:$E,$T135,FLOWS!$D:$D,Y$128,FLOWS!$H:$H,"&lt;="&amp;$U$126)+SUM(SUMIFS(DEALS!$J:$J,DEALS!$A:$A,{"*REFUND*","*EXECUTED*"},DEALS!$G:$G,$B$124,DEALS!$E:$E,"&lt;="&amp;$U$126,DEALS!$K:$K,Y$128,DEALS!$M:$M,$T135,DEALS!$N:$N,"&lt;&gt;*RECEIVED*",DEALS!$N:$N,"&lt;&gt;*EXECUTED*"))+SUM(SUMIFS(DEALS!$R:$R,DEALS!$A:$A,{"*REFUND*","*EXECUTED*"},DEALS!$O:$O,$B$124,DEALS!$E:$E,"&lt;="&amp;$U$126,DEALS!$S:$S,Y$128,DEALS!$U:$U,$T135,DEALS!$V:$V,"&lt;&gt;*RECEIVED*",DEALS!$V:$V,"&lt;&gt;*EXECUTED*"))</f>
        <v>57418943.539999999</v>
      </c>
      <c r="Z135" s="29" cm="1">
        <f t="array" ref="Z135">SUMIFS(BALANCES!$C:$C,BALANCES!$A:$A,$B$124,BALANCES!$B:$B,$T135,BALANCES!$D:$D,Z$128)+SUMIFS(FLOWS!$C:$C,FLOWS!$A:$A,$B$124,FLOWS!$E:$E,$T135,FLOWS!$D:$D,Z$128,FLOWS!$H:$H,"&lt;="&amp;$U$126)+SUM(SUMIFS(DEALS!$J:$J,DEALS!$A:$A,{"*REFUND*","*EXECUTED*"},DEALS!$G:$G,$B$124,DEALS!$E:$E,"&lt;="&amp;$U$126,DEALS!$K:$K,Z$128,DEALS!$M:$M,$T135,DEALS!$N:$N,"&lt;&gt;*RECEIVED*",DEALS!$N:$N,"&lt;&gt;*EXECUTED*"))+SUM(SUMIFS(DEALS!$R:$R,DEALS!$A:$A,{"*REFUND*","*EXECUTED*"},DEALS!$O:$O,$B$124,DEALS!$E:$E,"&lt;="&amp;$U$126,DEALS!$S:$S,Z$128,DEALS!$U:$U,$T135,DEALS!$V:$V,"&lt;&gt;*RECEIVED*",DEALS!$V:$V,"&lt;&gt;*EXECUTED*"))</f>
        <v>0</v>
      </c>
      <c r="AA135" s="30">
        <f ca="1">U135*VLOOKUP(U$128,'FX RATES'!$E$1:$F$50,2,FALSE)+V135*VLOOKUP(V$128,'FX RATES'!$E$1:$F$50,2,FALSE)+W135*VLOOKUP(W$128,'FX RATES'!$E$1:$F$50,2,FALSE)+X135*VLOOKUP(X$128,'FX RATES'!$E$1:$F$50,2,FALSE)+Y135*VLOOKUP(Y$128,'FX RATES'!$E$1:$F$50,2,FALSE)+Z135*VLOOKUP(Z$128,'FX RATES'!$E$1:$F$50,2,FALSE)</f>
        <v>748417.22277618106</v>
      </c>
      <c r="AC135" s="139">
        <f t="shared" ca="1" si="47"/>
        <v>0</v>
      </c>
    </row>
    <row r="136" spans="2:29" ht="19" hidden="1">
      <c r="B136" s="31"/>
      <c r="C136" s="32" cm="1">
        <f t="array" ref="C136">SUMIFS(BALANCES!$C:$C,BALANCES!$A:$A,$B$124,BALANCES!$B:$B,$B136,BALANCES!$D:$D,C$128)+SUMIFS(FLOWS!$C:$C,FLOWS!$A:$A,$B$124,FLOWS!$E:$E,$B136,FLOWS!$D:$D,C$128,FLOWS!$H:$H,"&lt;"&amp;$C$126)+SUM(SUMIFS(DEALS!$J:$J,DEALS!$A:$A,{"*REFUND*","*EXECUTED*"},DEALS!$G:$G,$B$124,DEALS!$E:$E,"&lt;"&amp;$C$126,DEALS!$K:$K,C$128,DEALS!$M:$M,$B136,DEALS!$N:$N,"&lt;&gt;*RECEIVED*",DEALS!$N:$N,"&lt;&gt;*EXECUTED*"))+SUM(SUMIFS(DEALS!$R:$R,DEALS!$A:$A,{"*REFUND*","*EXECUTED*"},DEALS!$O:$O,$B$124,DEALS!$E:$E,"&lt;"&amp;$C$126,DEALS!$S:$S,C$128,DEALS!$U:$U,$B136,DEALS!$V:$V,"&lt;&gt;*RECEIVED*",DEALS!$V:$V,"&lt;&gt;*EXECUTED*"))</f>
        <v>0</v>
      </c>
      <c r="D136" s="32" cm="1">
        <f t="array" ref="D136">SUMIFS(BALANCES!$C:$C,BALANCES!$A:$A,$B$124,BALANCES!$B:$B,$B136,BALANCES!$D:$D,D$128)+SUMIFS(FLOWS!$C:$C,FLOWS!$A:$A,$B$124,FLOWS!$E:$E,$B136,FLOWS!$D:$D,D$128,FLOWS!$H:$H,"&lt;"&amp;$C$126)+SUM(SUMIFS(DEALS!$J:$J,DEALS!$A:$A,{"*REFUND*","*EXECUTED*"},DEALS!$G:$G,$B$124,DEALS!$E:$E,"&lt;"&amp;$C$126,DEALS!$K:$K,D$128,DEALS!$M:$M,$B136,DEALS!$N:$N,"&lt;&gt;*RECEIVED*",DEALS!$N:$N,"&lt;&gt;*EXECUTED*"))+SUM(SUMIFS(DEALS!$R:$R,DEALS!$A:$A,{"*REFUND*","*EXECUTED*"},DEALS!$O:$O,$B$124,DEALS!$E:$E,"&lt;"&amp;$C$126,DEALS!$S:$S,D$128,DEALS!$U:$U,$B136,DEALS!$V:$V,"&lt;&gt;*RECEIVED*",DEALS!$V:$V,"&lt;&gt;*EXECUTED*"))</f>
        <v>0</v>
      </c>
      <c r="E136" s="32" cm="1">
        <f t="array" ref="E136">SUMIFS(BALANCES!$C:$C,BALANCES!$A:$A,$B$124,BALANCES!$B:$B,$B136,BALANCES!$D:$D,E$128)+SUMIFS(FLOWS!$C:$C,FLOWS!$A:$A,$B$124,FLOWS!$E:$E,$B136,FLOWS!$D:$D,E$128,FLOWS!$H:$H,"&lt;"&amp;$C$126)+SUM(SUMIFS(DEALS!$J:$J,DEALS!$A:$A,{"*REFUND*","*EXECUTED*"},DEALS!$G:$G,$B$124,DEALS!$E:$E,"&lt;"&amp;$C$126,DEALS!$K:$K,E$128,DEALS!$M:$M,$B136,DEALS!$N:$N,"&lt;&gt;*RECEIVED*",DEALS!$N:$N,"&lt;&gt;*EXECUTED*"))+SUM(SUMIFS(DEALS!$R:$R,DEALS!$A:$A,{"*REFUND*","*EXECUTED*"},DEALS!$O:$O,$B$124,DEALS!$E:$E,"&lt;"&amp;$C$126,DEALS!$S:$S,E$128,DEALS!$U:$U,$B136,DEALS!$V:$V,"&lt;&gt;*RECEIVED*",DEALS!$V:$V,"&lt;&gt;*EXECUTED*"))</f>
        <v>0</v>
      </c>
      <c r="F136" s="32" cm="1">
        <f t="array" ref="F136">SUMIFS(BALANCES!$C:$C,BALANCES!$A:$A,$B$124,BALANCES!$B:$B,$B136,BALANCES!$D:$D,F$128)+SUMIFS(FLOWS!$C:$C,FLOWS!$A:$A,$B$124,FLOWS!$E:$E,$B136,FLOWS!$D:$D,F$128,FLOWS!$H:$H,"&lt;"&amp;$C$126)+SUM(SUMIFS(DEALS!$J:$J,DEALS!$A:$A,{"*REFUND*","*EXECUTED*"},DEALS!$G:$G,$B$124,DEALS!$E:$E,"&lt;"&amp;$C$126,DEALS!$K:$K,F$128,DEALS!$M:$M,$B136,DEALS!$N:$N,"&lt;&gt;*RECEIVED*",DEALS!$N:$N,"&lt;&gt;*EXECUTED*"))+SUM(SUMIFS(DEALS!$R:$R,DEALS!$A:$A,{"*REFUND*","*EXECUTED*"},DEALS!$O:$O,$B$124,DEALS!$E:$E,"&lt;"&amp;$C$126,DEALS!$S:$S,F$128,DEALS!$U:$U,$B136,DEALS!$V:$V,"&lt;&gt;*RECEIVED*",DEALS!$V:$V,"&lt;&gt;*EXECUTED*"))</f>
        <v>0</v>
      </c>
      <c r="G136" s="32" cm="1">
        <f t="array" ref="G136">SUMIFS(BALANCES!$C:$C,BALANCES!$A:$A,$B$124,BALANCES!$B:$B,$B136,BALANCES!$D:$D,G$128)+SUMIFS(FLOWS!$C:$C,FLOWS!$A:$A,$B$124,FLOWS!$E:$E,$B136,FLOWS!$D:$D,G$128,FLOWS!$H:$H,"&lt;"&amp;$C$126)+SUM(SUMIFS(DEALS!$J:$J,DEALS!$A:$A,{"*REFUND*","*EXECUTED*"},DEALS!$G:$G,$B$124,DEALS!$E:$E,"&lt;"&amp;$C$126,DEALS!$K:$K,G$128,DEALS!$M:$M,$B136,DEALS!$N:$N,"&lt;&gt;*RECEIVED*",DEALS!$N:$N,"&lt;&gt;*EXECUTED*"))+SUM(SUMIFS(DEALS!$R:$R,DEALS!$A:$A,{"*REFUND*","*EXECUTED*"},DEALS!$O:$O,$B$124,DEALS!$E:$E,"&lt;"&amp;$C$126,DEALS!$S:$S,G$128,DEALS!$U:$U,$B136,DEALS!$V:$V,"&lt;&gt;*RECEIVED*",DEALS!$V:$V,"&lt;&gt;*EXECUTED*"))</f>
        <v>0</v>
      </c>
      <c r="H136" s="32" cm="1">
        <f t="array" ref="H136">SUMIFS(BALANCES!$C:$C,BALANCES!$A:$A,$B$124,BALANCES!$B:$B,$B136,BALANCES!$D:$D,H$128)+SUMIFS(FLOWS!$C:$C,FLOWS!$A:$A,$B$124,FLOWS!$E:$E,$B136,FLOWS!$D:$D,H$128,FLOWS!$H:$H,"&lt;"&amp;$C$126)+SUM(SUMIFS(DEALS!$J:$J,DEALS!$A:$A,{"*REFUND*","*EXECUTED*"},DEALS!$G:$G,$B$124,DEALS!$E:$E,"&lt;"&amp;$C$126,DEALS!$K:$K,H$128,DEALS!$M:$M,$B136,DEALS!$N:$N,"&lt;&gt;*RECEIVED*",DEALS!$N:$N,"&lt;&gt;*EXECUTED*"))+SUM(SUMIFS(DEALS!$R:$R,DEALS!$A:$A,{"*REFUND*","*EXECUTED*"},DEALS!$O:$O,$B$124,DEALS!$E:$E,"&lt;"&amp;$C$126,DEALS!$S:$S,H$128,DEALS!$U:$U,$B136,DEALS!$V:$V,"&lt;&gt;*RECEIVED*",DEALS!$V:$V,"&lt;&gt;*EXECUTED*"))</f>
        <v>0</v>
      </c>
      <c r="I136" s="33">
        <f ca="1">C136*VLOOKUP(C$128,'FX RATES'!$E$1:$F$50,2,FALSE)+D136*VLOOKUP(D$128,'FX RATES'!$E$1:$F$50,2,FALSE)+E136*VLOOKUP(E$128,'FX RATES'!$E$1:$F$50,2,FALSE)+F136*VLOOKUP(F$128,'FX RATES'!$E$1:$F$50,2,FALSE)+G136*VLOOKUP(G$128,'FX RATES'!$E$1:$F$50,2,FALSE)+H136*VLOOKUP(H$128,'FX RATES'!$E$1:$F$50,2,FALSE)</f>
        <v>0</v>
      </c>
      <c r="K136" s="31">
        <f t="shared" si="45"/>
        <v>0</v>
      </c>
      <c r="L136" s="32" cm="1">
        <f t="array" ref="L136">SUMIFS(FLOWS!$C:$C,FLOWS!$A:$A,$B$124,FLOWS!$E:$E,$K136,FLOWS!$D:$D,L$128,FLOWS!$H:$H,"&gt;="&amp;$C$126,FLOWS!$H:$H,"&lt;="&amp;$U$126)+SUM(SUMIFS(DEALS!$J:$J,DEALS!$A:$A,{"*REFUND*","*EXECUTED*"},DEALS!$G:$G,$B$124,DEALS!$E:$E,"&gt;="&amp;$C$126,DEALS!$E:$E,"&lt;="&amp;$U$126,DEALS!$K:$K,L$128,DEALS!$M:$M,$K136,DEALS!$N:$N,"&lt;&gt;*RECEIVED*",DEALS!$N:$N,"&lt;&gt;*EXECUTED*"))+SUM(SUMIFS(DEALS!$R:$R,DEALS!$A:$A,{"*REFUND*","*EXECUTED*"},DEALS!$O:$O,$B$124,DEALS!$E:$E,"&gt;="&amp;$C$126,DEALS!$E:$E,"&lt;="&amp;$U$126,DEALS!$S:$S,L$128,DEALS!$U:$U,$K136,DEALS!$V:$V,"&lt;&gt;*RECEIVED*",DEALS!$V:$V,"&lt;&gt;*EXECUTED*"))</f>
        <v>0</v>
      </c>
      <c r="M136" s="32" cm="1">
        <f t="array" ref="M136">SUMIFS(FLOWS!$C:$C,FLOWS!$A:$A,$B$124,FLOWS!$E:$E,$K136,FLOWS!$D:$D,M$128,FLOWS!$H:$H,"&gt;="&amp;$C$126,FLOWS!$H:$H,"&lt;="&amp;$U$126)+SUM(SUMIFS(DEALS!$J:$J,DEALS!$A:$A,{"*REFUND*","*EXECUTED*"},DEALS!$G:$G,$B$124,DEALS!$E:$E,"&gt;="&amp;$C$126,DEALS!$E:$E,"&lt;="&amp;$U$126,DEALS!$K:$K,M$128,DEALS!$M:$M,$K136,DEALS!$N:$N,"&lt;&gt;*RECEIVED*",DEALS!$N:$N,"&lt;&gt;*EXECUTED*"))+SUM(SUMIFS(DEALS!$R:$R,DEALS!$A:$A,{"*REFUND*","*EXECUTED*"},DEALS!$O:$O,$B$124,DEALS!$E:$E,"&gt;="&amp;$C$126,DEALS!$E:$E,"&lt;="&amp;$U$126,DEALS!$S:$S,M$128,DEALS!$U:$U,$K136,DEALS!$V:$V,"&lt;&gt;*RECEIVED*",DEALS!$V:$V,"&lt;&gt;*EXECUTED*"))</f>
        <v>0</v>
      </c>
      <c r="N136" s="32" cm="1">
        <f t="array" ref="N136">SUMIFS(FLOWS!$C:$C,FLOWS!$A:$A,$B$124,FLOWS!$E:$E,$K136,FLOWS!$D:$D,N$128,FLOWS!$H:$H,"&gt;="&amp;$C$126,FLOWS!$H:$H,"&lt;="&amp;$U$126)+SUM(SUMIFS(DEALS!$J:$J,DEALS!$A:$A,{"*REFUND*","*EXECUTED*"},DEALS!$G:$G,$B$124,DEALS!$E:$E,"&gt;="&amp;$C$126,DEALS!$E:$E,"&lt;="&amp;$U$126,DEALS!$K:$K,N$128,DEALS!$M:$M,$K136,DEALS!$N:$N,"&lt;&gt;*RECEIVED*",DEALS!$N:$N,"&lt;&gt;*EXECUTED*"))+SUM(SUMIFS(DEALS!$R:$R,DEALS!$A:$A,{"*REFUND*","*EXECUTED*"},DEALS!$O:$O,$B$124,DEALS!$E:$E,"&gt;="&amp;$C$126,DEALS!$E:$E,"&lt;="&amp;$U$126,DEALS!$S:$S,N$128,DEALS!$U:$U,$K136,DEALS!$V:$V,"&lt;&gt;*RECEIVED*",DEALS!$V:$V,"&lt;&gt;*EXECUTED*"))</f>
        <v>0</v>
      </c>
      <c r="O136" s="32" cm="1">
        <f t="array" ref="O136">SUMIFS(FLOWS!$C:$C,FLOWS!$A:$A,$B$124,FLOWS!$E:$E,$K136,FLOWS!$D:$D,O$128,FLOWS!$H:$H,"&gt;="&amp;$C$126,FLOWS!$H:$H,"&lt;="&amp;$U$126)+SUM(SUMIFS(DEALS!$J:$J,DEALS!$A:$A,{"*REFUND*","*EXECUTED*"},DEALS!$G:$G,$B$124,DEALS!$E:$E,"&gt;="&amp;$C$126,DEALS!$E:$E,"&lt;="&amp;$U$126,DEALS!$K:$K,O$128,DEALS!$M:$M,$K136,DEALS!$N:$N,"&lt;&gt;*RECEIVED*",DEALS!$N:$N,"&lt;&gt;*EXECUTED*"))+SUM(SUMIFS(DEALS!$R:$R,DEALS!$A:$A,{"*REFUND*","*EXECUTED*"},DEALS!$O:$O,$B$124,DEALS!$E:$E,"&gt;="&amp;$C$126,DEALS!$E:$E,"&lt;="&amp;$U$126,DEALS!$S:$S,O$128,DEALS!$U:$U,$K136,DEALS!$V:$V,"&lt;&gt;*RECEIVED*",DEALS!$V:$V,"&lt;&gt;*EXECUTED*"))</f>
        <v>0</v>
      </c>
      <c r="P136" s="32" cm="1">
        <f t="array" ref="P136">SUMIFS(FLOWS!$C:$C,FLOWS!$A:$A,$B$124,FLOWS!$E:$E,$K136,FLOWS!$D:$D,P$128,FLOWS!$H:$H,"&gt;="&amp;$C$126,FLOWS!$H:$H,"&lt;="&amp;$U$126)+SUM(SUMIFS(DEALS!$J:$J,DEALS!$A:$A,{"*REFUND*","*EXECUTED*"},DEALS!$G:$G,$B$124,DEALS!$E:$E,"&gt;="&amp;$C$126,DEALS!$E:$E,"&lt;="&amp;$U$126,DEALS!$K:$K,P$128,DEALS!$M:$M,$K136,DEALS!$N:$N,"&lt;&gt;*RECEIVED*",DEALS!$N:$N,"&lt;&gt;*EXECUTED*"))+SUM(SUMIFS(DEALS!$R:$R,DEALS!$A:$A,{"*REFUND*","*EXECUTED*"},DEALS!$O:$O,$B$124,DEALS!$E:$E,"&gt;="&amp;$C$126,DEALS!$E:$E,"&lt;="&amp;$U$126,DEALS!$S:$S,P$128,DEALS!$U:$U,$K136,DEALS!$V:$V,"&lt;&gt;*RECEIVED*",DEALS!$V:$V,"&lt;&gt;*EXECUTED*"))</f>
        <v>0</v>
      </c>
      <c r="Q136" s="32" cm="1">
        <f t="array" ref="Q136">SUMIFS(FLOWS!$C:$C,FLOWS!$A:$A,$B$124,FLOWS!$E:$E,$K136,FLOWS!$D:$D,Q$128,FLOWS!$H:$H,"&gt;="&amp;$C$126,FLOWS!$H:$H,"&lt;="&amp;$U$126)+SUM(SUMIFS(DEALS!$J:$J,DEALS!$A:$A,{"*REFUND*","*EXECUTED*"},DEALS!$G:$G,$B$124,DEALS!$E:$E,"&gt;="&amp;$C$126,DEALS!$E:$E,"&lt;="&amp;$U$126,DEALS!$K:$K,Q$128,DEALS!$M:$M,$K136,DEALS!$N:$N,"&lt;&gt;*RECEIVED*",DEALS!$N:$N,"&lt;&gt;*EXECUTED*"))+SUM(SUMIFS(DEALS!$R:$R,DEALS!$A:$A,{"*REFUND*","*EXECUTED*"},DEALS!$O:$O,$B$124,DEALS!$E:$E,"&gt;="&amp;$C$126,DEALS!$E:$E,"&lt;="&amp;$U$126,DEALS!$S:$S,Q$128,DEALS!$U:$U,$K136,DEALS!$V:$V,"&lt;&gt;*RECEIVED*",DEALS!$V:$V,"&lt;&gt;*EXECUTED*"))</f>
        <v>0</v>
      </c>
      <c r="R136" s="33">
        <f ca="1">L136*VLOOKUP(L$128,'FX RATES'!$E$1:$F$50,2,FALSE)+M136*VLOOKUP(M$128,'FX RATES'!$E$1:$F$50,2,FALSE)+N136*VLOOKUP(N$128,'FX RATES'!$E$1:$F$50,2,FALSE)+O136*VLOOKUP(O$128,'FX RATES'!$E$1:$F$50,2,FALSE)+P136*VLOOKUP(P$128,'FX RATES'!$E$1:$F$50,2,FALSE)+Q136*VLOOKUP(Q$128,'FX RATES'!$E$1:$F$50,2,FALSE)</f>
        <v>0</v>
      </c>
      <c r="T136" s="31">
        <f t="shared" si="46"/>
        <v>0</v>
      </c>
      <c r="U136" s="32" cm="1">
        <f t="array" ref="U136">SUMIFS(BALANCES!$C:$C,BALANCES!$A:$A,$B$124,BALANCES!$B:$B,$T136,BALANCES!$D:$D,U$128)+SUMIFS(FLOWS!$C:$C,FLOWS!$A:$A,$B$124,FLOWS!$E:$E,$T136,FLOWS!$D:$D,U$128,FLOWS!$H:$H,"&lt;="&amp;$U$126)+SUM(SUMIFS(DEALS!$J:$J,DEALS!$A:$A,{"*REFUND*","*EXECUTED*"},DEALS!$G:$G,$B$124,DEALS!$E:$E,"&lt;="&amp;$U$126,DEALS!$K:$K,U$128,DEALS!$M:$M,$T136,DEALS!$N:$N,"&lt;&gt;*RECEIVED*",DEALS!$N:$N,"&lt;&gt;*EXECUTED*"))+SUM(SUMIFS(DEALS!$R:$R,DEALS!$A:$A,{"*REFUND*","*EXECUTED*"},DEALS!$O:$O,$B$124,DEALS!$E:$E,"&lt;="&amp;$U$126,DEALS!$S:$S,U$128,DEALS!$U:$U,$T136,DEALS!$V:$V,"&lt;&gt;*RECEIVED*",DEALS!$V:$V,"&lt;&gt;*EXECUTED*"))</f>
        <v>0</v>
      </c>
      <c r="V136" s="32" cm="1">
        <f t="array" ref="V136">SUMIFS(BALANCES!$C:$C,BALANCES!$A:$A,$B$124,BALANCES!$B:$B,$T136,BALANCES!$D:$D,V$128)+SUMIFS(FLOWS!$C:$C,FLOWS!$A:$A,$B$124,FLOWS!$E:$E,$T136,FLOWS!$D:$D,V$128,FLOWS!$H:$H,"&lt;="&amp;$U$126)+SUM(SUMIFS(DEALS!$J:$J,DEALS!$A:$A,{"*REFUND*","*EXECUTED*"},DEALS!$G:$G,$B$124,DEALS!$E:$E,"&lt;="&amp;$U$126,DEALS!$K:$K,V$128,DEALS!$M:$M,$T136,DEALS!$N:$N,"&lt;&gt;*RECEIVED*",DEALS!$N:$N,"&lt;&gt;*EXECUTED*"))+SUM(SUMIFS(DEALS!$R:$R,DEALS!$A:$A,{"*REFUND*","*EXECUTED*"},DEALS!$O:$O,$B$124,DEALS!$E:$E,"&lt;="&amp;$U$126,DEALS!$S:$S,V$128,DEALS!$U:$U,$T136,DEALS!$V:$V,"&lt;&gt;*RECEIVED*",DEALS!$V:$V,"&lt;&gt;*EXECUTED*"))</f>
        <v>0</v>
      </c>
      <c r="W136" s="32" cm="1">
        <f t="array" ref="W136">SUMIFS(BALANCES!$C:$C,BALANCES!$A:$A,$B$124,BALANCES!$B:$B,$T136,BALANCES!$D:$D,W$128)+SUMIFS(FLOWS!$C:$C,FLOWS!$A:$A,$B$124,FLOWS!$E:$E,$T136,FLOWS!$D:$D,W$128,FLOWS!$H:$H,"&lt;="&amp;$U$126)+SUM(SUMIFS(DEALS!$J:$J,DEALS!$A:$A,{"*REFUND*","*EXECUTED*"},DEALS!$G:$G,$B$124,DEALS!$E:$E,"&lt;="&amp;$U$126,DEALS!$K:$K,W$128,DEALS!$M:$M,$T136,DEALS!$N:$N,"&lt;&gt;*RECEIVED*",DEALS!$N:$N,"&lt;&gt;*EXECUTED*"))+SUM(SUMIFS(DEALS!$R:$R,DEALS!$A:$A,{"*REFUND*","*EXECUTED*"},DEALS!$O:$O,$B$124,DEALS!$E:$E,"&lt;="&amp;$U$126,DEALS!$S:$S,W$128,DEALS!$U:$U,$T136,DEALS!$V:$V,"&lt;&gt;*RECEIVED*",DEALS!$V:$V,"&lt;&gt;*EXECUTED*"))</f>
        <v>0</v>
      </c>
      <c r="X136" s="32" cm="1">
        <f t="array" ref="X136">SUMIFS(BALANCES!$C:$C,BALANCES!$A:$A,$B$124,BALANCES!$B:$B,$T136,BALANCES!$D:$D,X$128)+SUMIFS(FLOWS!$C:$C,FLOWS!$A:$A,$B$124,FLOWS!$E:$E,$T136,FLOWS!$D:$D,X$128,FLOWS!$H:$H,"&lt;="&amp;$U$126)+SUM(SUMIFS(DEALS!$J:$J,DEALS!$A:$A,{"*REFUND*","*EXECUTED*"},DEALS!$G:$G,$B$124,DEALS!$E:$E,"&lt;="&amp;$U$126,DEALS!$K:$K,X$128,DEALS!$M:$M,$T136,DEALS!$N:$N,"&lt;&gt;*RECEIVED*",DEALS!$N:$N,"&lt;&gt;*EXECUTED*"))+SUM(SUMIFS(DEALS!$R:$R,DEALS!$A:$A,{"*REFUND*","*EXECUTED*"},DEALS!$O:$O,$B$124,DEALS!$E:$E,"&lt;="&amp;$U$126,DEALS!$S:$S,X$128,DEALS!$U:$U,$T136,DEALS!$V:$V,"&lt;&gt;*RECEIVED*",DEALS!$V:$V,"&lt;&gt;*EXECUTED*"))</f>
        <v>0</v>
      </c>
      <c r="Y136" s="32" cm="1">
        <f t="array" ref="Y136">SUMIFS(BALANCES!$C:$C,BALANCES!$A:$A,$B$124,BALANCES!$B:$B,$T136,BALANCES!$D:$D,Y$128)+SUMIFS(FLOWS!$C:$C,FLOWS!$A:$A,$B$124,FLOWS!$E:$E,$T136,FLOWS!$D:$D,Y$128,FLOWS!$H:$H,"&lt;="&amp;$U$126)+SUM(SUMIFS(DEALS!$J:$J,DEALS!$A:$A,{"*REFUND*","*EXECUTED*"},DEALS!$G:$G,$B$124,DEALS!$E:$E,"&lt;="&amp;$U$126,DEALS!$K:$K,Y$128,DEALS!$M:$M,$T136,DEALS!$N:$N,"&lt;&gt;*RECEIVED*",DEALS!$N:$N,"&lt;&gt;*EXECUTED*"))+SUM(SUMIFS(DEALS!$R:$R,DEALS!$A:$A,{"*REFUND*","*EXECUTED*"},DEALS!$O:$O,$B$124,DEALS!$E:$E,"&lt;="&amp;$U$126,DEALS!$S:$S,Y$128,DEALS!$U:$U,$T136,DEALS!$V:$V,"&lt;&gt;*RECEIVED*",DEALS!$V:$V,"&lt;&gt;*EXECUTED*"))</f>
        <v>0</v>
      </c>
      <c r="Z136" s="32" cm="1">
        <f t="array" ref="Z136">SUMIFS(BALANCES!$C:$C,BALANCES!$A:$A,$B$124,BALANCES!$B:$B,$T136,BALANCES!$D:$D,Z$128)+SUMIFS(FLOWS!$C:$C,FLOWS!$A:$A,$B$124,FLOWS!$E:$E,$T136,FLOWS!$D:$D,Z$128,FLOWS!$H:$H,"&lt;="&amp;$U$126)+SUM(SUMIFS(DEALS!$J:$J,DEALS!$A:$A,{"*REFUND*","*EXECUTED*"},DEALS!$G:$G,$B$124,DEALS!$E:$E,"&lt;="&amp;$U$126,DEALS!$K:$K,Z$128,DEALS!$M:$M,$T136,DEALS!$N:$N,"&lt;&gt;*RECEIVED*",DEALS!$N:$N,"&lt;&gt;*EXECUTED*"))+SUM(SUMIFS(DEALS!$R:$R,DEALS!$A:$A,{"*REFUND*","*EXECUTED*"},DEALS!$O:$O,$B$124,DEALS!$E:$E,"&lt;="&amp;$U$126,DEALS!$S:$S,Z$128,DEALS!$U:$U,$T136,DEALS!$V:$V,"&lt;&gt;*RECEIVED*",DEALS!$V:$V,"&lt;&gt;*EXECUTED*"))</f>
        <v>0</v>
      </c>
      <c r="AA136" s="33">
        <f ca="1">U136*VLOOKUP(U$128,'FX RATES'!$E$1:$F$50,2,FALSE)+V136*VLOOKUP(V$128,'FX RATES'!$E$1:$F$50,2,FALSE)+W136*VLOOKUP(W$128,'FX RATES'!$E$1:$F$50,2,FALSE)+X136*VLOOKUP(X$128,'FX RATES'!$E$1:$F$50,2,FALSE)+Y136*VLOOKUP(Y$128,'FX RATES'!$E$1:$F$50,2,FALSE)+Z136*VLOOKUP(Z$128,'FX RATES'!$E$1:$F$50,2,FALSE)</f>
        <v>0</v>
      </c>
      <c r="AC136" s="139">
        <f t="shared" ca="1" si="47"/>
        <v>0</v>
      </c>
    </row>
    <row r="137" spans="2:29" ht="19" hidden="1">
      <c r="B137" s="28"/>
      <c r="C137" s="29" cm="1">
        <f t="array" ref="C137">SUMIFS(BALANCES!$C:$C,BALANCES!$A:$A,$B$124,BALANCES!$B:$B,$B137,BALANCES!$D:$D,C$128)+SUMIFS(FLOWS!$C:$C,FLOWS!$A:$A,$B$124,FLOWS!$E:$E,$B137,FLOWS!$D:$D,C$128,FLOWS!$H:$H,"&lt;"&amp;$C$126)+SUM(SUMIFS(DEALS!$J:$J,DEALS!$A:$A,{"*REFUND*","*EXECUTED*"},DEALS!$G:$G,$B$124,DEALS!$E:$E,"&lt;"&amp;$C$126,DEALS!$K:$K,C$128,DEALS!$M:$M,$B137,DEALS!$N:$N,"&lt;&gt;*RECEIVED*",DEALS!$N:$N,"&lt;&gt;*EXECUTED*"))+SUM(SUMIFS(DEALS!$R:$R,DEALS!$A:$A,{"*REFUND*","*EXECUTED*"},DEALS!$O:$O,$B$124,DEALS!$E:$E,"&lt;"&amp;$C$126,DEALS!$S:$S,C$128,DEALS!$U:$U,$B137,DEALS!$V:$V,"&lt;&gt;*RECEIVED*",DEALS!$V:$V,"&lt;&gt;*EXECUTED*"))</f>
        <v>0</v>
      </c>
      <c r="D137" s="29" cm="1">
        <f t="array" ref="D137">SUMIFS(BALANCES!$C:$C,BALANCES!$A:$A,$B$124,BALANCES!$B:$B,$B137,BALANCES!$D:$D,D$128)+SUMIFS(FLOWS!$C:$C,FLOWS!$A:$A,$B$124,FLOWS!$E:$E,$B137,FLOWS!$D:$D,D$128,FLOWS!$H:$H,"&lt;"&amp;$C$126)+SUM(SUMIFS(DEALS!$J:$J,DEALS!$A:$A,{"*REFUND*","*EXECUTED*"},DEALS!$G:$G,$B$124,DEALS!$E:$E,"&lt;"&amp;$C$126,DEALS!$K:$K,D$128,DEALS!$M:$M,$B137,DEALS!$N:$N,"&lt;&gt;*RECEIVED*",DEALS!$N:$N,"&lt;&gt;*EXECUTED*"))+SUM(SUMIFS(DEALS!$R:$R,DEALS!$A:$A,{"*REFUND*","*EXECUTED*"},DEALS!$O:$O,$B$124,DEALS!$E:$E,"&lt;"&amp;$C$126,DEALS!$S:$S,D$128,DEALS!$U:$U,$B137,DEALS!$V:$V,"&lt;&gt;*RECEIVED*",DEALS!$V:$V,"&lt;&gt;*EXECUTED*"))</f>
        <v>0</v>
      </c>
      <c r="E137" s="29" cm="1">
        <f t="array" ref="E137">SUMIFS(BALANCES!$C:$C,BALANCES!$A:$A,$B$124,BALANCES!$B:$B,$B137,BALANCES!$D:$D,E$128)+SUMIFS(FLOWS!$C:$C,FLOWS!$A:$A,$B$124,FLOWS!$E:$E,$B137,FLOWS!$D:$D,E$128,FLOWS!$H:$H,"&lt;"&amp;$C$126)+SUM(SUMIFS(DEALS!$J:$J,DEALS!$A:$A,{"*REFUND*","*EXECUTED*"},DEALS!$G:$G,$B$124,DEALS!$E:$E,"&lt;"&amp;$C$126,DEALS!$K:$K,E$128,DEALS!$M:$M,$B137,DEALS!$N:$N,"&lt;&gt;*RECEIVED*",DEALS!$N:$N,"&lt;&gt;*EXECUTED*"))+SUM(SUMIFS(DEALS!$R:$R,DEALS!$A:$A,{"*REFUND*","*EXECUTED*"},DEALS!$O:$O,$B$124,DEALS!$E:$E,"&lt;"&amp;$C$126,DEALS!$S:$S,E$128,DEALS!$U:$U,$B137,DEALS!$V:$V,"&lt;&gt;*RECEIVED*",DEALS!$V:$V,"&lt;&gt;*EXECUTED*"))</f>
        <v>0</v>
      </c>
      <c r="F137" s="29" cm="1">
        <f t="array" ref="F137">SUMIFS(BALANCES!$C:$C,BALANCES!$A:$A,$B$124,BALANCES!$B:$B,$B137,BALANCES!$D:$D,F$128)+SUMIFS(FLOWS!$C:$C,FLOWS!$A:$A,$B$124,FLOWS!$E:$E,$B137,FLOWS!$D:$D,F$128,FLOWS!$H:$H,"&lt;"&amp;$C$126)+SUM(SUMIFS(DEALS!$J:$J,DEALS!$A:$A,{"*REFUND*","*EXECUTED*"},DEALS!$G:$G,$B$124,DEALS!$E:$E,"&lt;"&amp;$C$126,DEALS!$K:$K,F$128,DEALS!$M:$M,$B137,DEALS!$N:$N,"&lt;&gt;*RECEIVED*",DEALS!$N:$N,"&lt;&gt;*EXECUTED*"))+SUM(SUMIFS(DEALS!$R:$R,DEALS!$A:$A,{"*REFUND*","*EXECUTED*"},DEALS!$O:$O,$B$124,DEALS!$E:$E,"&lt;"&amp;$C$126,DEALS!$S:$S,F$128,DEALS!$U:$U,$B137,DEALS!$V:$V,"&lt;&gt;*RECEIVED*",DEALS!$V:$V,"&lt;&gt;*EXECUTED*"))</f>
        <v>0</v>
      </c>
      <c r="G137" s="29" cm="1">
        <f t="array" ref="G137">SUMIFS(BALANCES!$C:$C,BALANCES!$A:$A,$B$124,BALANCES!$B:$B,$B137,BALANCES!$D:$D,G$128)+SUMIFS(FLOWS!$C:$C,FLOWS!$A:$A,$B$124,FLOWS!$E:$E,$B137,FLOWS!$D:$D,G$128,FLOWS!$H:$H,"&lt;"&amp;$C$126)+SUM(SUMIFS(DEALS!$J:$J,DEALS!$A:$A,{"*REFUND*","*EXECUTED*"},DEALS!$G:$G,$B$124,DEALS!$E:$E,"&lt;"&amp;$C$126,DEALS!$K:$K,G$128,DEALS!$M:$M,$B137,DEALS!$N:$N,"&lt;&gt;*RECEIVED*",DEALS!$N:$N,"&lt;&gt;*EXECUTED*"))+SUM(SUMIFS(DEALS!$R:$R,DEALS!$A:$A,{"*REFUND*","*EXECUTED*"},DEALS!$O:$O,$B$124,DEALS!$E:$E,"&lt;"&amp;$C$126,DEALS!$S:$S,G$128,DEALS!$U:$U,$B137,DEALS!$V:$V,"&lt;&gt;*RECEIVED*",DEALS!$V:$V,"&lt;&gt;*EXECUTED*"))</f>
        <v>0</v>
      </c>
      <c r="H137" s="29" cm="1">
        <f t="array" ref="H137">SUMIFS(BALANCES!$C:$C,BALANCES!$A:$A,$B$124,BALANCES!$B:$B,$B137,BALANCES!$D:$D,H$128)+SUMIFS(FLOWS!$C:$C,FLOWS!$A:$A,$B$124,FLOWS!$E:$E,$B137,FLOWS!$D:$D,H$128,FLOWS!$H:$H,"&lt;"&amp;$C$126)+SUM(SUMIFS(DEALS!$J:$J,DEALS!$A:$A,{"*REFUND*","*EXECUTED*"},DEALS!$G:$G,$B$124,DEALS!$E:$E,"&lt;"&amp;$C$126,DEALS!$K:$K,H$128,DEALS!$M:$M,$B137,DEALS!$N:$N,"&lt;&gt;*RECEIVED*",DEALS!$N:$N,"&lt;&gt;*EXECUTED*"))+SUM(SUMIFS(DEALS!$R:$R,DEALS!$A:$A,{"*REFUND*","*EXECUTED*"},DEALS!$O:$O,$B$124,DEALS!$E:$E,"&lt;"&amp;$C$126,DEALS!$S:$S,H$128,DEALS!$U:$U,$B137,DEALS!$V:$V,"&lt;&gt;*RECEIVED*",DEALS!$V:$V,"&lt;&gt;*EXECUTED*"))</f>
        <v>0</v>
      </c>
      <c r="I137" s="30">
        <f ca="1">C137*VLOOKUP(C$128,'FX RATES'!$E$1:$F$50,2,FALSE)+D137*VLOOKUP(D$128,'FX RATES'!$E$1:$F$50,2,FALSE)+E137*VLOOKUP(E$128,'FX RATES'!$E$1:$F$50,2,FALSE)+F137*VLOOKUP(F$128,'FX RATES'!$E$1:$F$50,2,FALSE)+G137*VLOOKUP(G$128,'FX RATES'!$E$1:$F$50,2,FALSE)+H137*VLOOKUP(H$128,'FX RATES'!$E$1:$F$50,2,FALSE)</f>
        <v>0</v>
      </c>
      <c r="K137" s="28">
        <f t="shared" si="45"/>
        <v>0</v>
      </c>
      <c r="L137" s="29" cm="1">
        <f t="array" ref="L137">SUMIFS(FLOWS!$C:$C,FLOWS!$A:$A,$B$124,FLOWS!$E:$E,$K137,FLOWS!$D:$D,L$128,FLOWS!$H:$H,"&gt;="&amp;$C$126,FLOWS!$H:$H,"&lt;="&amp;$U$126)+SUM(SUMIFS(DEALS!$J:$J,DEALS!$A:$A,{"*REFUND*","*EXECUTED*"},DEALS!$G:$G,$B$124,DEALS!$E:$E,"&gt;="&amp;$C$126,DEALS!$E:$E,"&lt;="&amp;$U$126,DEALS!$K:$K,L$128,DEALS!$M:$M,$K137,DEALS!$N:$N,"&lt;&gt;*RECEIVED*",DEALS!$N:$N,"&lt;&gt;*EXECUTED*"))+SUM(SUMIFS(DEALS!$R:$R,DEALS!$A:$A,{"*REFUND*","*EXECUTED*"},DEALS!$O:$O,$B$124,DEALS!$E:$E,"&gt;="&amp;$C$126,DEALS!$E:$E,"&lt;="&amp;$U$126,DEALS!$S:$S,L$128,DEALS!$U:$U,$K137,DEALS!$V:$V,"&lt;&gt;*RECEIVED*",DEALS!$V:$V,"&lt;&gt;*EXECUTED*"))</f>
        <v>0</v>
      </c>
      <c r="M137" s="29" cm="1">
        <f t="array" ref="M137">SUMIFS(FLOWS!$C:$C,FLOWS!$A:$A,$B$124,FLOWS!$E:$E,$K137,FLOWS!$D:$D,M$128,FLOWS!$H:$H,"&gt;="&amp;$C$126,FLOWS!$H:$H,"&lt;="&amp;$U$126)+SUM(SUMIFS(DEALS!$J:$J,DEALS!$A:$A,{"*REFUND*","*EXECUTED*"},DEALS!$G:$G,$B$124,DEALS!$E:$E,"&gt;="&amp;$C$126,DEALS!$E:$E,"&lt;="&amp;$U$126,DEALS!$K:$K,M$128,DEALS!$M:$M,$K137,DEALS!$N:$N,"&lt;&gt;*RECEIVED*",DEALS!$N:$N,"&lt;&gt;*EXECUTED*"))+SUM(SUMIFS(DEALS!$R:$R,DEALS!$A:$A,{"*REFUND*","*EXECUTED*"},DEALS!$O:$O,$B$124,DEALS!$E:$E,"&gt;="&amp;$C$126,DEALS!$E:$E,"&lt;="&amp;$U$126,DEALS!$S:$S,M$128,DEALS!$U:$U,$K137,DEALS!$V:$V,"&lt;&gt;*RECEIVED*",DEALS!$V:$V,"&lt;&gt;*EXECUTED*"))</f>
        <v>0</v>
      </c>
      <c r="N137" s="29" cm="1">
        <f t="array" ref="N137">SUMIFS(FLOWS!$C:$C,FLOWS!$A:$A,$B$124,FLOWS!$E:$E,$K137,FLOWS!$D:$D,N$128,FLOWS!$H:$H,"&gt;="&amp;$C$126,FLOWS!$H:$H,"&lt;="&amp;$U$126)+SUM(SUMIFS(DEALS!$J:$J,DEALS!$A:$A,{"*REFUND*","*EXECUTED*"},DEALS!$G:$G,$B$124,DEALS!$E:$E,"&gt;="&amp;$C$126,DEALS!$E:$E,"&lt;="&amp;$U$126,DEALS!$K:$K,N$128,DEALS!$M:$M,$K137,DEALS!$N:$N,"&lt;&gt;*RECEIVED*",DEALS!$N:$N,"&lt;&gt;*EXECUTED*"))+SUM(SUMIFS(DEALS!$R:$R,DEALS!$A:$A,{"*REFUND*","*EXECUTED*"},DEALS!$O:$O,$B$124,DEALS!$E:$E,"&gt;="&amp;$C$126,DEALS!$E:$E,"&lt;="&amp;$U$126,DEALS!$S:$S,N$128,DEALS!$U:$U,$K137,DEALS!$V:$V,"&lt;&gt;*RECEIVED*",DEALS!$V:$V,"&lt;&gt;*EXECUTED*"))</f>
        <v>0</v>
      </c>
      <c r="O137" s="29" cm="1">
        <f t="array" ref="O137">SUMIFS(FLOWS!$C:$C,FLOWS!$A:$A,$B$124,FLOWS!$E:$E,$K137,FLOWS!$D:$D,O$128,FLOWS!$H:$H,"&gt;="&amp;$C$126,FLOWS!$H:$H,"&lt;="&amp;$U$126)+SUM(SUMIFS(DEALS!$J:$J,DEALS!$A:$A,{"*REFUND*","*EXECUTED*"},DEALS!$G:$G,$B$124,DEALS!$E:$E,"&gt;="&amp;$C$126,DEALS!$E:$E,"&lt;="&amp;$U$126,DEALS!$K:$K,O$128,DEALS!$M:$M,$K137,DEALS!$N:$N,"&lt;&gt;*RECEIVED*",DEALS!$N:$N,"&lt;&gt;*EXECUTED*"))+SUM(SUMIFS(DEALS!$R:$R,DEALS!$A:$A,{"*REFUND*","*EXECUTED*"},DEALS!$O:$O,$B$124,DEALS!$E:$E,"&gt;="&amp;$C$126,DEALS!$E:$E,"&lt;="&amp;$U$126,DEALS!$S:$S,O$128,DEALS!$U:$U,$K137,DEALS!$V:$V,"&lt;&gt;*RECEIVED*",DEALS!$V:$V,"&lt;&gt;*EXECUTED*"))</f>
        <v>0</v>
      </c>
      <c r="P137" s="29" cm="1">
        <f t="array" ref="P137">SUMIFS(FLOWS!$C:$C,FLOWS!$A:$A,$B$124,FLOWS!$E:$E,$K137,FLOWS!$D:$D,P$128,FLOWS!$H:$H,"&gt;="&amp;$C$126,FLOWS!$H:$H,"&lt;="&amp;$U$126)+SUM(SUMIFS(DEALS!$J:$J,DEALS!$A:$A,{"*REFUND*","*EXECUTED*"},DEALS!$G:$G,$B$124,DEALS!$E:$E,"&gt;="&amp;$C$126,DEALS!$E:$E,"&lt;="&amp;$U$126,DEALS!$K:$K,P$128,DEALS!$M:$M,$K137,DEALS!$N:$N,"&lt;&gt;*RECEIVED*",DEALS!$N:$N,"&lt;&gt;*EXECUTED*"))+SUM(SUMIFS(DEALS!$R:$R,DEALS!$A:$A,{"*REFUND*","*EXECUTED*"},DEALS!$O:$O,$B$124,DEALS!$E:$E,"&gt;="&amp;$C$126,DEALS!$E:$E,"&lt;="&amp;$U$126,DEALS!$S:$S,P$128,DEALS!$U:$U,$K137,DEALS!$V:$V,"&lt;&gt;*RECEIVED*",DEALS!$V:$V,"&lt;&gt;*EXECUTED*"))</f>
        <v>0</v>
      </c>
      <c r="Q137" s="29" cm="1">
        <f t="array" ref="Q137">SUMIFS(FLOWS!$C:$C,FLOWS!$A:$A,$B$124,FLOWS!$E:$E,$K137,FLOWS!$D:$D,Q$128,FLOWS!$H:$H,"&gt;="&amp;$C$126,FLOWS!$H:$H,"&lt;="&amp;$U$126)+SUM(SUMIFS(DEALS!$J:$J,DEALS!$A:$A,{"*REFUND*","*EXECUTED*"},DEALS!$G:$G,$B$124,DEALS!$E:$E,"&gt;="&amp;$C$126,DEALS!$E:$E,"&lt;="&amp;$U$126,DEALS!$K:$K,Q$128,DEALS!$M:$M,$K137,DEALS!$N:$N,"&lt;&gt;*RECEIVED*",DEALS!$N:$N,"&lt;&gt;*EXECUTED*"))+SUM(SUMIFS(DEALS!$R:$R,DEALS!$A:$A,{"*REFUND*","*EXECUTED*"},DEALS!$O:$O,$B$124,DEALS!$E:$E,"&gt;="&amp;$C$126,DEALS!$E:$E,"&lt;="&amp;$U$126,DEALS!$S:$S,Q$128,DEALS!$U:$U,$K137,DEALS!$V:$V,"&lt;&gt;*RECEIVED*",DEALS!$V:$V,"&lt;&gt;*EXECUTED*"))</f>
        <v>0</v>
      </c>
      <c r="R137" s="30">
        <f ca="1">L137*VLOOKUP(L$128,'FX RATES'!$E$1:$F$50,2,FALSE)+M137*VLOOKUP(M$128,'FX RATES'!$E$1:$F$50,2,FALSE)+N137*VLOOKUP(N$128,'FX RATES'!$E$1:$F$50,2,FALSE)+O137*VLOOKUP(O$128,'FX RATES'!$E$1:$F$50,2,FALSE)+P137*VLOOKUP(P$128,'FX RATES'!$E$1:$F$50,2,FALSE)+Q137*VLOOKUP(Q$128,'FX RATES'!$E$1:$F$50,2,FALSE)</f>
        <v>0</v>
      </c>
      <c r="T137" s="28">
        <f t="shared" si="46"/>
        <v>0</v>
      </c>
      <c r="U137" s="29" cm="1">
        <f t="array" ref="U137">SUMIFS(BALANCES!$C:$C,BALANCES!$A:$A,$B$124,BALANCES!$B:$B,$T137,BALANCES!$D:$D,U$128)+SUMIFS(FLOWS!$C:$C,FLOWS!$A:$A,$B$124,FLOWS!$E:$E,$T137,FLOWS!$D:$D,U$128,FLOWS!$H:$H,"&lt;="&amp;$U$126)+SUM(SUMIFS(DEALS!$J:$J,DEALS!$A:$A,{"*REFUND*","*EXECUTED*"},DEALS!$G:$G,$B$124,DEALS!$E:$E,"&lt;="&amp;$U$126,DEALS!$K:$K,U$128,DEALS!$M:$M,$T137,DEALS!$N:$N,"&lt;&gt;*RECEIVED*",DEALS!$N:$N,"&lt;&gt;*EXECUTED*"))+SUM(SUMIFS(DEALS!$R:$R,DEALS!$A:$A,{"*REFUND*","*EXECUTED*"},DEALS!$O:$O,$B$124,DEALS!$E:$E,"&lt;="&amp;$U$126,DEALS!$S:$S,U$128,DEALS!$U:$U,$T137,DEALS!$V:$V,"&lt;&gt;*RECEIVED*",DEALS!$V:$V,"&lt;&gt;*EXECUTED*"))</f>
        <v>0</v>
      </c>
      <c r="V137" s="29" cm="1">
        <f t="array" ref="V137">SUMIFS(BALANCES!$C:$C,BALANCES!$A:$A,$B$124,BALANCES!$B:$B,$T137,BALANCES!$D:$D,V$128)+SUMIFS(FLOWS!$C:$C,FLOWS!$A:$A,$B$124,FLOWS!$E:$E,$T137,FLOWS!$D:$D,V$128,FLOWS!$H:$H,"&lt;="&amp;$U$126)+SUM(SUMIFS(DEALS!$J:$J,DEALS!$A:$A,{"*REFUND*","*EXECUTED*"},DEALS!$G:$G,$B$124,DEALS!$E:$E,"&lt;="&amp;$U$126,DEALS!$K:$K,V$128,DEALS!$M:$M,$T137,DEALS!$N:$N,"&lt;&gt;*RECEIVED*",DEALS!$N:$N,"&lt;&gt;*EXECUTED*"))+SUM(SUMIFS(DEALS!$R:$R,DEALS!$A:$A,{"*REFUND*","*EXECUTED*"},DEALS!$O:$O,$B$124,DEALS!$E:$E,"&lt;="&amp;$U$126,DEALS!$S:$S,V$128,DEALS!$U:$U,$T137,DEALS!$V:$V,"&lt;&gt;*RECEIVED*",DEALS!$V:$V,"&lt;&gt;*EXECUTED*"))</f>
        <v>0</v>
      </c>
      <c r="W137" s="29" cm="1">
        <f t="array" ref="W137">SUMIFS(BALANCES!$C:$C,BALANCES!$A:$A,$B$124,BALANCES!$B:$B,$T137,BALANCES!$D:$D,W$128)+SUMIFS(FLOWS!$C:$C,FLOWS!$A:$A,$B$124,FLOWS!$E:$E,$T137,FLOWS!$D:$D,W$128,FLOWS!$H:$H,"&lt;="&amp;$U$126)+SUM(SUMIFS(DEALS!$J:$J,DEALS!$A:$A,{"*REFUND*","*EXECUTED*"},DEALS!$G:$G,$B$124,DEALS!$E:$E,"&lt;="&amp;$U$126,DEALS!$K:$K,W$128,DEALS!$M:$M,$T137,DEALS!$N:$N,"&lt;&gt;*RECEIVED*",DEALS!$N:$N,"&lt;&gt;*EXECUTED*"))+SUM(SUMIFS(DEALS!$R:$R,DEALS!$A:$A,{"*REFUND*","*EXECUTED*"},DEALS!$O:$O,$B$124,DEALS!$E:$E,"&lt;="&amp;$U$126,DEALS!$S:$S,W$128,DEALS!$U:$U,$T137,DEALS!$V:$V,"&lt;&gt;*RECEIVED*",DEALS!$V:$V,"&lt;&gt;*EXECUTED*"))</f>
        <v>0</v>
      </c>
      <c r="X137" s="29" cm="1">
        <f t="array" ref="X137">SUMIFS(BALANCES!$C:$C,BALANCES!$A:$A,$B$124,BALANCES!$B:$B,$T137,BALANCES!$D:$D,X$128)+SUMIFS(FLOWS!$C:$C,FLOWS!$A:$A,$B$124,FLOWS!$E:$E,$T137,FLOWS!$D:$D,X$128,FLOWS!$H:$H,"&lt;="&amp;$U$126)+SUM(SUMIFS(DEALS!$J:$J,DEALS!$A:$A,{"*REFUND*","*EXECUTED*"},DEALS!$G:$G,$B$124,DEALS!$E:$E,"&lt;="&amp;$U$126,DEALS!$K:$K,X$128,DEALS!$M:$M,$T137,DEALS!$N:$N,"&lt;&gt;*RECEIVED*",DEALS!$N:$N,"&lt;&gt;*EXECUTED*"))+SUM(SUMIFS(DEALS!$R:$R,DEALS!$A:$A,{"*REFUND*","*EXECUTED*"},DEALS!$O:$O,$B$124,DEALS!$E:$E,"&lt;="&amp;$U$126,DEALS!$S:$S,X$128,DEALS!$U:$U,$T137,DEALS!$V:$V,"&lt;&gt;*RECEIVED*",DEALS!$V:$V,"&lt;&gt;*EXECUTED*"))</f>
        <v>0</v>
      </c>
      <c r="Y137" s="29" cm="1">
        <f t="array" ref="Y137">SUMIFS(BALANCES!$C:$C,BALANCES!$A:$A,$B$124,BALANCES!$B:$B,$T137,BALANCES!$D:$D,Y$128)+SUMIFS(FLOWS!$C:$C,FLOWS!$A:$A,$B$124,FLOWS!$E:$E,$T137,FLOWS!$D:$D,Y$128,FLOWS!$H:$H,"&lt;="&amp;$U$126)+SUM(SUMIFS(DEALS!$J:$J,DEALS!$A:$A,{"*REFUND*","*EXECUTED*"},DEALS!$G:$G,$B$124,DEALS!$E:$E,"&lt;="&amp;$U$126,DEALS!$K:$K,Y$128,DEALS!$M:$M,$T137,DEALS!$N:$N,"&lt;&gt;*RECEIVED*",DEALS!$N:$N,"&lt;&gt;*EXECUTED*"))+SUM(SUMIFS(DEALS!$R:$R,DEALS!$A:$A,{"*REFUND*","*EXECUTED*"},DEALS!$O:$O,$B$124,DEALS!$E:$E,"&lt;="&amp;$U$126,DEALS!$S:$S,Y$128,DEALS!$U:$U,$T137,DEALS!$V:$V,"&lt;&gt;*RECEIVED*",DEALS!$V:$V,"&lt;&gt;*EXECUTED*"))</f>
        <v>0</v>
      </c>
      <c r="Z137" s="29" cm="1">
        <f t="array" ref="Z137">SUMIFS(BALANCES!$C:$C,BALANCES!$A:$A,$B$124,BALANCES!$B:$B,$T137,BALANCES!$D:$D,Z$128)+SUMIFS(FLOWS!$C:$C,FLOWS!$A:$A,$B$124,FLOWS!$E:$E,$T137,FLOWS!$D:$D,Z$128,FLOWS!$H:$H,"&lt;="&amp;$U$126)+SUM(SUMIFS(DEALS!$J:$J,DEALS!$A:$A,{"*REFUND*","*EXECUTED*"},DEALS!$G:$G,$B$124,DEALS!$E:$E,"&lt;="&amp;$U$126,DEALS!$K:$K,Z$128,DEALS!$M:$M,$T137,DEALS!$N:$N,"&lt;&gt;*RECEIVED*",DEALS!$N:$N,"&lt;&gt;*EXECUTED*"))+SUM(SUMIFS(DEALS!$R:$R,DEALS!$A:$A,{"*REFUND*","*EXECUTED*"},DEALS!$O:$O,$B$124,DEALS!$E:$E,"&lt;="&amp;$U$126,DEALS!$S:$S,Z$128,DEALS!$U:$U,$T137,DEALS!$V:$V,"&lt;&gt;*RECEIVED*",DEALS!$V:$V,"&lt;&gt;*EXECUTED*"))</f>
        <v>0</v>
      </c>
      <c r="AA137" s="30">
        <f ca="1">U137*VLOOKUP(U$128,'FX RATES'!$E$1:$F$50,2,FALSE)+V137*VLOOKUP(V$128,'FX RATES'!$E$1:$F$50,2,FALSE)+W137*VLOOKUP(W$128,'FX RATES'!$E$1:$F$50,2,FALSE)+X137*VLOOKUP(X$128,'FX RATES'!$E$1:$F$50,2,FALSE)+Y137*VLOOKUP(Y$128,'FX RATES'!$E$1:$F$50,2,FALSE)+Z137*VLOOKUP(Z$128,'FX RATES'!$E$1:$F$50,2,FALSE)</f>
        <v>0</v>
      </c>
      <c r="AC137" s="139">
        <f t="shared" ca="1" si="47"/>
        <v>0</v>
      </c>
    </row>
    <row r="138" spans="2:29" ht="19" hidden="1">
      <c r="B138" s="31"/>
      <c r="C138" s="32" cm="1">
        <f t="array" ref="C138">SUMIFS(BALANCES!$C:$C,BALANCES!$A:$A,$B$124,BALANCES!$B:$B,$B138,BALANCES!$D:$D,C$128)+SUMIFS(FLOWS!$C:$C,FLOWS!$A:$A,$B$124,FLOWS!$E:$E,$B138,FLOWS!$D:$D,C$128,FLOWS!$H:$H,"&lt;"&amp;$C$126)+SUM(SUMIFS(DEALS!$J:$J,DEALS!$A:$A,{"*REFUND*","*EXECUTED*"},DEALS!$G:$G,$B$124,DEALS!$E:$E,"&lt;"&amp;$C$126,DEALS!$K:$K,C$128,DEALS!$M:$M,$B138,DEALS!$N:$N,"&lt;&gt;*RECEIVED*",DEALS!$N:$N,"&lt;&gt;*EXECUTED*"))+SUM(SUMIFS(DEALS!$R:$R,DEALS!$A:$A,{"*REFUND*","*EXECUTED*"},DEALS!$O:$O,$B$124,DEALS!$E:$E,"&lt;"&amp;$C$126,DEALS!$S:$S,C$128,DEALS!$U:$U,$B138,DEALS!$V:$V,"&lt;&gt;*RECEIVED*",DEALS!$V:$V,"&lt;&gt;*EXECUTED*"))</f>
        <v>0</v>
      </c>
      <c r="D138" s="32" cm="1">
        <f t="array" ref="D138">SUMIFS(BALANCES!$C:$C,BALANCES!$A:$A,$B$124,BALANCES!$B:$B,$B138,BALANCES!$D:$D,D$128)+SUMIFS(FLOWS!$C:$C,FLOWS!$A:$A,$B$124,FLOWS!$E:$E,$B138,FLOWS!$D:$D,D$128,FLOWS!$H:$H,"&lt;"&amp;$C$126)+SUM(SUMIFS(DEALS!$J:$J,DEALS!$A:$A,{"*REFUND*","*EXECUTED*"},DEALS!$G:$G,$B$124,DEALS!$E:$E,"&lt;"&amp;$C$126,DEALS!$K:$K,D$128,DEALS!$M:$M,$B138,DEALS!$N:$N,"&lt;&gt;*RECEIVED*",DEALS!$N:$N,"&lt;&gt;*EXECUTED*"))+SUM(SUMIFS(DEALS!$R:$R,DEALS!$A:$A,{"*REFUND*","*EXECUTED*"},DEALS!$O:$O,$B$124,DEALS!$E:$E,"&lt;"&amp;$C$126,DEALS!$S:$S,D$128,DEALS!$U:$U,$B138,DEALS!$V:$V,"&lt;&gt;*RECEIVED*",DEALS!$V:$V,"&lt;&gt;*EXECUTED*"))</f>
        <v>0</v>
      </c>
      <c r="E138" s="32" cm="1">
        <f t="array" ref="E138">SUMIFS(BALANCES!$C:$C,BALANCES!$A:$A,$B$124,BALANCES!$B:$B,$B138,BALANCES!$D:$D,E$128)+SUMIFS(FLOWS!$C:$C,FLOWS!$A:$A,$B$124,FLOWS!$E:$E,$B138,FLOWS!$D:$D,E$128,FLOWS!$H:$H,"&lt;"&amp;$C$126)+SUM(SUMIFS(DEALS!$J:$J,DEALS!$A:$A,{"*REFUND*","*EXECUTED*"},DEALS!$G:$G,$B$124,DEALS!$E:$E,"&lt;"&amp;$C$126,DEALS!$K:$K,E$128,DEALS!$M:$M,$B138,DEALS!$N:$N,"&lt;&gt;*RECEIVED*",DEALS!$N:$N,"&lt;&gt;*EXECUTED*"))+SUM(SUMIFS(DEALS!$R:$R,DEALS!$A:$A,{"*REFUND*","*EXECUTED*"},DEALS!$O:$O,$B$124,DEALS!$E:$E,"&lt;"&amp;$C$126,DEALS!$S:$S,E$128,DEALS!$U:$U,$B138,DEALS!$V:$V,"&lt;&gt;*RECEIVED*",DEALS!$V:$V,"&lt;&gt;*EXECUTED*"))</f>
        <v>0</v>
      </c>
      <c r="F138" s="32" cm="1">
        <f t="array" ref="F138">SUMIFS(BALANCES!$C:$C,BALANCES!$A:$A,$B$124,BALANCES!$B:$B,$B138,BALANCES!$D:$D,F$128)+SUMIFS(FLOWS!$C:$C,FLOWS!$A:$A,$B$124,FLOWS!$E:$E,$B138,FLOWS!$D:$D,F$128,FLOWS!$H:$H,"&lt;"&amp;$C$126)+SUM(SUMIFS(DEALS!$J:$J,DEALS!$A:$A,{"*REFUND*","*EXECUTED*"},DEALS!$G:$G,$B$124,DEALS!$E:$E,"&lt;"&amp;$C$126,DEALS!$K:$K,F$128,DEALS!$M:$M,$B138,DEALS!$N:$N,"&lt;&gt;*RECEIVED*",DEALS!$N:$N,"&lt;&gt;*EXECUTED*"))+SUM(SUMIFS(DEALS!$R:$R,DEALS!$A:$A,{"*REFUND*","*EXECUTED*"},DEALS!$O:$O,$B$124,DEALS!$E:$E,"&lt;"&amp;$C$126,DEALS!$S:$S,F$128,DEALS!$U:$U,$B138,DEALS!$V:$V,"&lt;&gt;*RECEIVED*",DEALS!$V:$V,"&lt;&gt;*EXECUTED*"))</f>
        <v>0</v>
      </c>
      <c r="G138" s="32" cm="1">
        <f t="array" ref="G138">SUMIFS(BALANCES!$C:$C,BALANCES!$A:$A,$B$124,BALANCES!$B:$B,$B138,BALANCES!$D:$D,G$128)+SUMIFS(FLOWS!$C:$C,FLOWS!$A:$A,$B$124,FLOWS!$E:$E,$B138,FLOWS!$D:$D,G$128,FLOWS!$H:$H,"&lt;"&amp;$C$126)+SUM(SUMIFS(DEALS!$J:$J,DEALS!$A:$A,{"*REFUND*","*EXECUTED*"},DEALS!$G:$G,$B$124,DEALS!$E:$E,"&lt;"&amp;$C$126,DEALS!$K:$K,G$128,DEALS!$M:$M,$B138,DEALS!$N:$N,"&lt;&gt;*RECEIVED*",DEALS!$N:$N,"&lt;&gt;*EXECUTED*"))+SUM(SUMIFS(DEALS!$R:$R,DEALS!$A:$A,{"*REFUND*","*EXECUTED*"},DEALS!$O:$O,$B$124,DEALS!$E:$E,"&lt;"&amp;$C$126,DEALS!$S:$S,G$128,DEALS!$U:$U,$B138,DEALS!$V:$V,"&lt;&gt;*RECEIVED*",DEALS!$V:$V,"&lt;&gt;*EXECUTED*"))</f>
        <v>0</v>
      </c>
      <c r="H138" s="32" cm="1">
        <f t="array" ref="H138">SUMIFS(BALANCES!$C:$C,BALANCES!$A:$A,$B$124,BALANCES!$B:$B,$B138,BALANCES!$D:$D,H$128)+SUMIFS(FLOWS!$C:$C,FLOWS!$A:$A,$B$124,FLOWS!$E:$E,$B138,FLOWS!$D:$D,H$128,FLOWS!$H:$H,"&lt;"&amp;$C$126)+SUM(SUMIFS(DEALS!$J:$J,DEALS!$A:$A,{"*REFUND*","*EXECUTED*"},DEALS!$G:$G,$B$124,DEALS!$E:$E,"&lt;"&amp;$C$126,DEALS!$K:$K,H$128,DEALS!$M:$M,$B138,DEALS!$N:$N,"&lt;&gt;*RECEIVED*",DEALS!$N:$N,"&lt;&gt;*EXECUTED*"))+SUM(SUMIFS(DEALS!$R:$R,DEALS!$A:$A,{"*REFUND*","*EXECUTED*"},DEALS!$O:$O,$B$124,DEALS!$E:$E,"&lt;"&amp;$C$126,DEALS!$S:$S,H$128,DEALS!$U:$U,$B138,DEALS!$V:$V,"&lt;&gt;*RECEIVED*",DEALS!$V:$V,"&lt;&gt;*EXECUTED*"))</f>
        <v>0</v>
      </c>
      <c r="I138" s="33">
        <f ca="1">C138*VLOOKUP(C$128,'FX RATES'!$E$1:$F$50,2,FALSE)+D138*VLOOKUP(D$128,'FX RATES'!$E$1:$F$50,2,FALSE)+E138*VLOOKUP(E$128,'FX RATES'!$E$1:$F$50,2,FALSE)+F138*VLOOKUP(F$128,'FX RATES'!$E$1:$F$50,2,FALSE)+G138*VLOOKUP(G$128,'FX RATES'!$E$1:$F$50,2,FALSE)+H138*VLOOKUP(H$128,'FX RATES'!$E$1:$F$50,2,FALSE)</f>
        <v>0</v>
      </c>
      <c r="K138" s="31">
        <f t="shared" si="45"/>
        <v>0</v>
      </c>
      <c r="L138" s="32" cm="1">
        <f t="array" ref="L138">SUMIFS(FLOWS!$C:$C,FLOWS!$A:$A,$B$124,FLOWS!$E:$E,$K138,FLOWS!$D:$D,L$128,FLOWS!$H:$H,"&gt;="&amp;$C$126,FLOWS!$H:$H,"&lt;="&amp;$U$126)+SUM(SUMIFS(DEALS!$J:$J,DEALS!$A:$A,{"*REFUND*","*EXECUTED*"},DEALS!$G:$G,$B$124,DEALS!$E:$E,"&gt;="&amp;$C$126,DEALS!$E:$E,"&lt;="&amp;$U$126,DEALS!$K:$K,L$128,DEALS!$M:$M,$K138,DEALS!$N:$N,"&lt;&gt;*RECEIVED*",DEALS!$N:$N,"&lt;&gt;*EXECUTED*"))+SUM(SUMIFS(DEALS!$R:$R,DEALS!$A:$A,{"*REFUND*","*EXECUTED*"},DEALS!$O:$O,$B$124,DEALS!$E:$E,"&gt;="&amp;$C$126,DEALS!$E:$E,"&lt;="&amp;$U$126,DEALS!$S:$S,L$128,DEALS!$U:$U,$K138,DEALS!$V:$V,"&lt;&gt;*RECEIVED*",DEALS!$V:$V,"&lt;&gt;*EXECUTED*"))</f>
        <v>0</v>
      </c>
      <c r="M138" s="32" cm="1">
        <f t="array" ref="M138">SUMIFS(FLOWS!$C:$C,FLOWS!$A:$A,$B$124,FLOWS!$E:$E,$K138,FLOWS!$D:$D,M$128,FLOWS!$H:$H,"&gt;="&amp;$C$126,FLOWS!$H:$H,"&lt;="&amp;$U$126)+SUM(SUMIFS(DEALS!$J:$J,DEALS!$A:$A,{"*REFUND*","*EXECUTED*"},DEALS!$G:$G,$B$124,DEALS!$E:$E,"&gt;="&amp;$C$126,DEALS!$E:$E,"&lt;="&amp;$U$126,DEALS!$K:$K,M$128,DEALS!$M:$M,$K138,DEALS!$N:$N,"&lt;&gt;*RECEIVED*",DEALS!$N:$N,"&lt;&gt;*EXECUTED*"))+SUM(SUMIFS(DEALS!$R:$R,DEALS!$A:$A,{"*REFUND*","*EXECUTED*"},DEALS!$O:$O,$B$124,DEALS!$E:$E,"&gt;="&amp;$C$126,DEALS!$E:$E,"&lt;="&amp;$U$126,DEALS!$S:$S,M$128,DEALS!$U:$U,$K138,DEALS!$V:$V,"&lt;&gt;*RECEIVED*",DEALS!$V:$V,"&lt;&gt;*EXECUTED*"))</f>
        <v>0</v>
      </c>
      <c r="N138" s="32" cm="1">
        <f t="array" ref="N138">SUMIFS(FLOWS!$C:$C,FLOWS!$A:$A,$B$124,FLOWS!$E:$E,$K138,FLOWS!$D:$D,N$128,FLOWS!$H:$H,"&gt;="&amp;$C$126,FLOWS!$H:$H,"&lt;="&amp;$U$126)+SUM(SUMIFS(DEALS!$J:$J,DEALS!$A:$A,{"*REFUND*","*EXECUTED*"},DEALS!$G:$G,$B$124,DEALS!$E:$E,"&gt;="&amp;$C$126,DEALS!$E:$E,"&lt;="&amp;$U$126,DEALS!$K:$K,N$128,DEALS!$M:$M,$K138,DEALS!$N:$N,"&lt;&gt;*RECEIVED*",DEALS!$N:$N,"&lt;&gt;*EXECUTED*"))+SUM(SUMIFS(DEALS!$R:$R,DEALS!$A:$A,{"*REFUND*","*EXECUTED*"},DEALS!$O:$O,$B$124,DEALS!$E:$E,"&gt;="&amp;$C$126,DEALS!$E:$E,"&lt;="&amp;$U$126,DEALS!$S:$S,N$128,DEALS!$U:$U,$K138,DEALS!$V:$V,"&lt;&gt;*RECEIVED*",DEALS!$V:$V,"&lt;&gt;*EXECUTED*"))</f>
        <v>0</v>
      </c>
      <c r="O138" s="32" cm="1">
        <f t="array" ref="O138">SUMIFS(FLOWS!$C:$C,FLOWS!$A:$A,$B$124,FLOWS!$E:$E,$K138,FLOWS!$D:$D,O$128,FLOWS!$H:$H,"&gt;="&amp;$C$126,FLOWS!$H:$H,"&lt;="&amp;$U$126)+SUM(SUMIFS(DEALS!$J:$J,DEALS!$A:$A,{"*REFUND*","*EXECUTED*"},DEALS!$G:$G,$B$124,DEALS!$E:$E,"&gt;="&amp;$C$126,DEALS!$E:$E,"&lt;="&amp;$U$126,DEALS!$K:$K,O$128,DEALS!$M:$M,$K138,DEALS!$N:$N,"&lt;&gt;*RECEIVED*",DEALS!$N:$N,"&lt;&gt;*EXECUTED*"))+SUM(SUMIFS(DEALS!$R:$R,DEALS!$A:$A,{"*REFUND*","*EXECUTED*"},DEALS!$O:$O,$B$124,DEALS!$E:$E,"&gt;="&amp;$C$126,DEALS!$E:$E,"&lt;="&amp;$U$126,DEALS!$S:$S,O$128,DEALS!$U:$U,$K138,DEALS!$V:$V,"&lt;&gt;*RECEIVED*",DEALS!$V:$V,"&lt;&gt;*EXECUTED*"))</f>
        <v>0</v>
      </c>
      <c r="P138" s="32" cm="1">
        <f t="array" ref="P138">SUMIFS(FLOWS!$C:$C,FLOWS!$A:$A,$B$124,FLOWS!$E:$E,$K138,FLOWS!$D:$D,P$128,FLOWS!$H:$H,"&gt;="&amp;$C$126,FLOWS!$H:$H,"&lt;="&amp;$U$126)+SUM(SUMIFS(DEALS!$J:$J,DEALS!$A:$A,{"*REFUND*","*EXECUTED*"},DEALS!$G:$G,$B$124,DEALS!$E:$E,"&gt;="&amp;$C$126,DEALS!$E:$E,"&lt;="&amp;$U$126,DEALS!$K:$K,P$128,DEALS!$M:$M,$K138,DEALS!$N:$N,"&lt;&gt;*RECEIVED*",DEALS!$N:$N,"&lt;&gt;*EXECUTED*"))+SUM(SUMIFS(DEALS!$R:$R,DEALS!$A:$A,{"*REFUND*","*EXECUTED*"},DEALS!$O:$O,$B$124,DEALS!$E:$E,"&gt;="&amp;$C$126,DEALS!$E:$E,"&lt;="&amp;$U$126,DEALS!$S:$S,P$128,DEALS!$U:$U,$K138,DEALS!$V:$V,"&lt;&gt;*RECEIVED*",DEALS!$V:$V,"&lt;&gt;*EXECUTED*"))</f>
        <v>0</v>
      </c>
      <c r="Q138" s="32" cm="1">
        <f t="array" ref="Q138">SUMIFS(FLOWS!$C:$C,FLOWS!$A:$A,$B$124,FLOWS!$E:$E,$K138,FLOWS!$D:$D,Q$128,FLOWS!$H:$H,"&gt;="&amp;$C$126,FLOWS!$H:$H,"&lt;="&amp;$U$126)+SUM(SUMIFS(DEALS!$J:$J,DEALS!$A:$A,{"*REFUND*","*EXECUTED*"},DEALS!$G:$G,$B$124,DEALS!$E:$E,"&gt;="&amp;$C$126,DEALS!$E:$E,"&lt;="&amp;$U$126,DEALS!$K:$K,Q$128,DEALS!$M:$M,$K138,DEALS!$N:$N,"&lt;&gt;*RECEIVED*",DEALS!$N:$N,"&lt;&gt;*EXECUTED*"))+SUM(SUMIFS(DEALS!$R:$R,DEALS!$A:$A,{"*REFUND*","*EXECUTED*"},DEALS!$O:$O,$B$124,DEALS!$E:$E,"&gt;="&amp;$C$126,DEALS!$E:$E,"&lt;="&amp;$U$126,DEALS!$S:$S,Q$128,DEALS!$U:$U,$K138,DEALS!$V:$V,"&lt;&gt;*RECEIVED*",DEALS!$V:$V,"&lt;&gt;*EXECUTED*"))</f>
        <v>0</v>
      </c>
      <c r="R138" s="33">
        <f ca="1">L138*VLOOKUP(L$128,'FX RATES'!$E$1:$F$50,2,FALSE)+M138*VLOOKUP(M$128,'FX RATES'!$E$1:$F$50,2,FALSE)+N138*VLOOKUP(N$128,'FX RATES'!$E$1:$F$50,2,FALSE)+O138*VLOOKUP(O$128,'FX RATES'!$E$1:$F$50,2,FALSE)+P138*VLOOKUP(P$128,'FX RATES'!$E$1:$F$50,2,FALSE)+Q138*VLOOKUP(Q$128,'FX RATES'!$E$1:$F$50,2,FALSE)</f>
        <v>0</v>
      </c>
      <c r="T138" s="31">
        <f t="shared" si="46"/>
        <v>0</v>
      </c>
      <c r="U138" s="32" cm="1">
        <f t="array" ref="U138">SUMIFS(BALANCES!$C:$C,BALANCES!$A:$A,$B$124,BALANCES!$B:$B,$T138,BALANCES!$D:$D,U$128)+SUMIFS(FLOWS!$C:$C,FLOWS!$A:$A,$B$124,FLOWS!$E:$E,$T138,FLOWS!$D:$D,U$128,FLOWS!$H:$H,"&lt;="&amp;$U$126)+SUM(SUMIFS(DEALS!$J:$J,DEALS!$A:$A,{"*REFUND*","*EXECUTED*"},DEALS!$G:$G,$B$124,DEALS!$E:$E,"&lt;="&amp;$U$126,DEALS!$K:$K,U$128,DEALS!$M:$M,$T138,DEALS!$N:$N,"&lt;&gt;*RECEIVED*",DEALS!$N:$N,"&lt;&gt;*EXECUTED*"))+SUM(SUMIFS(DEALS!$R:$R,DEALS!$A:$A,{"*REFUND*","*EXECUTED*"},DEALS!$O:$O,$B$124,DEALS!$E:$E,"&lt;="&amp;$U$126,DEALS!$S:$S,U$128,DEALS!$U:$U,$T138,DEALS!$V:$V,"&lt;&gt;*RECEIVED*",DEALS!$V:$V,"&lt;&gt;*EXECUTED*"))</f>
        <v>0</v>
      </c>
      <c r="V138" s="32" cm="1">
        <f t="array" ref="V138">SUMIFS(BALANCES!$C:$C,BALANCES!$A:$A,$B$124,BALANCES!$B:$B,$T138,BALANCES!$D:$D,V$128)+SUMIFS(FLOWS!$C:$C,FLOWS!$A:$A,$B$124,FLOWS!$E:$E,$T138,FLOWS!$D:$D,V$128,FLOWS!$H:$H,"&lt;="&amp;$U$126)+SUM(SUMIFS(DEALS!$J:$J,DEALS!$A:$A,{"*REFUND*","*EXECUTED*"},DEALS!$G:$G,$B$124,DEALS!$E:$E,"&lt;="&amp;$U$126,DEALS!$K:$K,V$128,DEALS!$M:$M,$T138,DEALS!$N:$N,"&lt;&gt;*RECEIVED*",DEALS!$N:$N,"&lt;&gt;*EXECUTED*"))+SUM(SUMIFS(DEALS!$R:$R,DEALS!$A:$A,{"*REFUND*","*EXECUTED*"},DEALS!$O:$O,$B$124,DEALS!$E:$E,"&lt;="&amp;$U$126,DEALS!$S:$S,V$128,DEALS!$U:$U,$T138,DEALS!$V:$V,"&lt;&gt;*RECEIVED*",DEALS!$V:$V,"&lt;&gt;*EXECUTED*"))</f>
        <v>0</v>
      </c>
      <c r="W138" s="32" cm="1">
        <f t="array" ref="W138">SUMIFS(BALANCES!$C:$C,BALANCES!$A:$A,$B$124,BALANCES!$B:$B,$T138,BALANCES!$D:$D,W$128)+SUMIFS(FLOWS!$C:$C,FLOWS!$A:$A,$B$124,FLOWS!$E:$E,$T138,FLOWS!$D:$D,W$128,FLOWS!$H:$H,"&lt;="&amp;$U$126)+SUM(SUMIFS(DEALS!$J:$J,DEALS!$A:$A,{"*REFUND*","*EXECUTED*"},DEALS!$G:$G,$B$124,DEALS!$E:$E,"&lt;="&amp;$U$126,DEALS!$K:$K,W$128,DEALS!$M:$M,$T138,DEALS!$N:$N,"&lt;&gt;*RECEIVED*",DEALS!$N:$N,"&lt;&gt;*EXECUTED*"))+SUM(SUMIFS(DEALS!$R:$R,DEALS!$A:$A,{"*REFUND*","*EXECUTED*"},DEALS!$O:$O,$B$124,DEALS!$E:$E,"&lt;="&amp;$U$126,DEALS!$S:$S,W$128,DEALS!$U:$U,$T138,DEALS!$V:$V,"&lt;&gt;*RECEIVED*",DEALS!$V:$V,"&lt;&gt;*EXECUTED*"))</f>
        <v>0</v>
      </c>
      <c r="X138" s="32" cm="1">
        <f t="array" ref="X138">SUMIFS(BALANCES!$C:$C,BALANCES!$A:$A,$B$124,BALANCES!$B:$B,$T138,BALANCES!$D:$D,X$128)+SUMIFS(FLOWS!$C:$C,FLOWS!$A:$A,$B$124,FLOWS!$E:$E,$T138,FLOWS!$D:$D,X$128,FLOWS!$H:$H,"&lt;="&amp;$U$126)+SUM(SUMIFS(DEALS!$J:$J,DEALS!$A:$A,{"*REFUND*","*EXECUTED*"},DEALS!$G:$G,$B$124,DEALS!$E:$E,"&lt;="&amp;$U$126,DEALS!$K:$K,X$128,DEALS!$M:$M,$T138,DEALS!$N:$N,"&lt;&gt;*RECEIVED*",DEALS!$N:$N,"&lt;&gt;*EXECUTED*"))+SUM(SUMIFS(DEALS!$R:$R,DEALS!$A:$A,{"*REFUND*","*EXECUTED*"},DEALS!$O:$O,$B$124,DEALS!$E:$E,"&lt;="&amp;$U$126,DEALS!$S:$S,X$128,DEALS!$U:$U,$T138,DEALS!$V:$V,"&lt;&gt;*RECEIVED*",DEALS!$V:$V,"&lt;&gt;*EXECUTED*"))</f>
        <v>0</v>
      </c>
      <c r="Y138" s="32" cm="1">
        <f t="array" ref="Y138">SUMIFS(BALANCES!$C:$C,BALANCES!$A:$A,$B$124,BALANCES!$B:$B,$T138,BALANCES!$D:$D,Y$128)+SUMIFS(FLOWS!$C:$C,FLOWS!$A:$A,$B$124,FLOWS!$E:$E,$T138,FLOWS!$D:$D,Y$128,FLOWS!$H:$H,"&lt;="&amp;$U$126)+SUM(SUMIFS(DEALS!$J:$J,DEALS!$A:$A,{"*REFUND*","*EXECUTED*"},DEALS!$G:$G,$B$124,DEALS!$E:$E,"&lt;="&amp;$U$126,DEALS!$K:$K,Y$128,DEALS!$M:$M,$T138,DEALS!$N:$N,"&lt;&gt;*RECEIVED*",DEALS!$N:$N,"&lt;&gt;*EXECUTED*"))+SUM(SUMIFS(DEALS!$R:$R,DEALS!$A:$A,{"*REFUND*","*EXECUTED*"},DEALS!$O:$O,$B$124,DEALS!$E:$E,"&lt;="&amp;$U$126,DEALS!$S:$S,Y$128,DEALS!$U:$U,$T138,DEALS!$V:$V,"&lt;&gt;*RECEIVED*",DEALS!$V:$V,"&lt;&gt;*EXECUTED*"))</f>
        <v>0</v>
      </c>
      <c r="Z138" s="32" cm="1">
        <f t="array" ref="Z138">SUMIFS(BALANCES!$C:$C,BALANCES!$A:$A,$B$124,BALANCES!$B:$B,$T138,BALANCES!$D:$D,Z$128)+SUMIFS(FLOWS!$C:$C,FLOWS!$A:$A,$B$124,FLOWS!$E:$E,$T138,FLOWS!$D:$D,Z$128,FLOWS!$H:$H,"&lt;="&amp;$U$126)+SUM(SUMIFS(DEALS!$J:$J,DEALS!$A:$A,{"*REFUND*","*EXECUTED*"},DEALS!$G:$G,$B$124,DEALS!$E:$E,"&lt;="&amp;$U$126,DEALS!$K:$K,Z$128,DEALS!$M:$M,$T138,DEALS!$N:$N,"&lt;&gt;*RECEIVED*",DEALS!$N:$N,"&lt;&gt;*EXECUTED*"))+SUM(SUMIFS(DEALS!$R:$R,DEALS!$A:$A,{"*REFUND*","*EXECUTED*"},DEALS!$O:$O,$B$124,DEALS!$E:$E,"&lt;="&amp;$U$126,DEALS!$S:$S,Z$128,DEALS!$U:$U,$T138,DEALS!$V:$V,"&lt;&gt;*RECEIVED*",DEALS!$V:$V,"&lt;&gt;*EXECUTED*"))</f>
        <v>0</v>
      </c>
      <c r="AA138" s="33">
        <f ca="1">U138*VLOOKUP(U$128,'FX RATES'!$E$1:$F$50,2,FALSE)+V138*VLOOKUP(V$128,'FX RATES'!$E$1:$F$50,2,FALSE)+W138*VLOOKUP(W$128,'FX RATES'!$E$1:$F$50,2,FALSE)+X138*VLOOKUP(X$128,'FX RATES'!$E$1:$F$50,2,FALSE)+Y138*VLOOKUP(Y$128,'FX RATES'!$E$1:$F$50,2,FALSE)+Z138*VLOOKUP(Z$128,'FX RATES'!$E$1:$F$50,2,FALSE)</f>
        <v>0</v>
      </c>
      <c r="AC138" s="139">
        <f t="shared" ca="1" si="47"/>
        <v>0</v>
      </c>
    </row>
    <row r="139" spans="2:29" ht="19" hidden="1">
      <c r="B139" s="28"/>
      <c r="C139" s="29" cm="1">
        <f t="array" ref="C139">SUMIFS(BALANCES!$C:$C,BALANCES!$A:$A,$B$124,BALANCES!$B:$B,$B139,BALANCES!$D:$D,C$128)+SUMIFS(FLOWS!$C:$C,FLOWS!$A:$A,$B$124,FLOWS!$E:$E,$B139,FLOWS!$D:$D,C$128,FLOWS!$H:$H,"&lt;"&amp;$C$126)+SUM(SUMIFS(DEALS!$J:$J,DEALS!$A:$A,{"*REFUND*","*EXECUTED*"},DEALS!$G:$G,$B$124,DEALS!$E:$E,"&lt;"&amp;$C$126,DEALS!$K:$K,C$128,DEALS!$M:$M,$B139,DEALS!$N:$N,"&lt;&gt;*RECEIVED*",DEALS!$N:$N,"&lt;&gt;*EXECUTED*"))+SUM(SUMIFS(DEALS!$R:$R,DEALS!$A:$A,{"*REFUND*","*EXECUTED*"},DEALS!$O:$O,$B$124,DEALS!$E:$E,"&lt;"&amp;$C$126,DEALS!$S:$S,C$128,DEALS!$U:$U,$B139,DEALS!$V:$V,"&lt;&gt;*RECEIVED*",DEALS!$V:$V,"&lt;&gt;*EXECUTED*"))</f>
        <v>0</v>
      </c>
      <c r="D139" s="29" cm="1">
        <f t="array" ref="D139">SUMIFS(BALANCES!$C:$C,BALANCES!$A:$A,$B$124,BALANCES!$B:$B,$B139,BALANCES!$D:$D,D$128)+SUMIFS(FLOWS!$C:$C,FLOWS!$A:$A,$B$124,FLOWS!$E:$E,$B139,FLOWS!$D:$D,D$128,FLOWS!$H:$H,"&lt;"&amp;$C$126)+SUM(SUMIFS(DEALS!$J:$J,DEALS!$A:$A,{"*REFUND*","*EXECUTED*"},DEALS!$G:$G,$B$124,DEALS!$E:$E,"&lt;"&amp;$C$126,DEALS!$K:$K,D$128,DEALS!$M:$M,$B139,DEALS!$N:$N,"&lt;&gt;*RECEIVED*",DEALS!$N:$N,"&lt;&gt;*EXECUTED*"))+SUM(SUMIFS(DEALS!$R:$R,DEALS!$A:$A,{"*REFUND*","*EXECUTED*"},DEALS!$O:$O,$B$124,DEALS!$E:$E,"&lt;"&amp;$C$126,DEALS!$S:$S,D$128,DEALS!$U:$U,$B139,DEALS!$V:$V,"&lt;&gt;*RECEIVED*",DEALS!$V:$V,"&lt;&gt;*EXECUTED*"))</f>
        <v>0</v>
      </c>
      <c r="E139" s="29" cm="1">
        <f t="array" ref="E139">SUMIFS(BALANCES!$C:$C,BALANCES!$A:$A,$B$124,BALANCES!$B:$B,$B139,BALANCES!$D:$D,E$128)+SUMIFS(FLOWS!$C:$C,FLOWS!$A:$A,$B$124,FLOWS!$E:$E,$B139,FLOWS!$D:$D,E$128,FLOWS!$H:$H,"&lt;"&amp;$C$126)+SUM(SUMIFS(DEALS!$J:$J,DEALS!$A:$A,{"*REFUND*","*EXECUTED*"},DEALS!$G:$G,$B$124,DEALS!$E:$E,"&lt;"&amp;$C$126,DEALS!$K:$K,E$128,DEALS!$M:$M,$B139,DEALS!$N:$N,"&lt;&gt;*RECEIVED*",DEALS!$N:$N,"&lt;&gt;*EXECUTED*"))+SUM(SUMIFS(DEALS!$R:$R,DEALS!$A:$A,{"*REFUND*","*EXECUTED*"},DEALS!$O:$O,$B$124,DEALS!$E:$E,"&lt;"&amp;$C$126,DEALS!$S:$S,E$128,DEALS!$U:$U,$B139,DEALS!$V:$V,"&lt;&gt;*RECEIVED*",DEALS!$V:$V,"&lt;&gt;*EXECUTED*"))</f>
        <v>0</v>
      </c>
      <c r="F139" s="29" cm="1">
        <f t="array" ref="F139">SUMIFS(BALANCES!$C:$C,BALANCES!$A:$A,$B$124,BALANCES!$B:$B,$B139,BALANCES!$D:$D,F$128)+SUMIFS(FLOWS!$C:$C,FLOWS!$A:$A,$B$124,FLOWS!$E:$E,$B139,FLOWS!$D:$D,F$128,FLOWS!$H:$H,"&lt;"&amp;$C$126)+SUM(SUMIFS(DEALS!$J:$J,DEALS!$A:$A,{"*REFUND*","*EXECUTED*"},DEALS!$G:$G,$B$124,DEALS!$E:$E,"&lt;"&amp;$C$126,DEALS!$K:$K,F$128,DEALS!$M:$M,$B139,DEALS!$N:$N,"&lt;&gt;*RECEIVED*",DEALS!$N:$N,"&lt;&gt;*EXECUTED*"))+SUM(SUMIFS(DEALS!$R:$R,DEALS!$A:$A,{"*REFUND*","*EXECUTED*"},DEALS!$O:$O,$B$124,DEALS!$E:$E,"&lt;"&amp;$C$126,DEALS!$S:$S,F$128,DEALS!$U:$U,$B139,DEALS!$V:$V,"&lt;&gt;*RECEIVED*",DEALS!$V:$V,"&lt;&gt;*EXECUTED*"))</f>
        <v>0</v>
      </c>
      <c r="G139" s="29" cm="1">
        <f t="array" ref="G139">SUMIFS(BALANCES!$C:$C,BALANCES!$A:$A,$B$124,BALANCES!$B:$B,$B139,BALANCES!$D:$D,G$128)+SUMIFS(FLOWS!$C:$C,FLOWS!$A:$A,$B$124,FLOWS!$E:$E,$B139,FLOWS!$D:$D,G$128,FLOWS!$H:$H,"&lt;"&amp;$C$126)+SUM(SUMIFS(DEALS!$J:$J,DEALS!$A:$A,{"*REFUND*","*EXECUTED*"},DEALS!$G:$G,$B$124,DEALS!$E:$E,"&lt;"&amp;$C$126,DEALS!$K:$K,G$128,DEALS!$M:$M,$B139,DEALS!$N:$N,"&lt;&gt;*RECEIVED*",DEALS!$N:$N,"&lt;&gt;*EXECUTED*"))+SUM(SUMIFS(DEALS!$R:$R,DEALS!$A:$A,{"*REFUND*","*EXECUTED*"},DEALS!$O:$O,$B$124,DEALS!$E:$E,"&lt;"&amp;$C$126,DEALS!$S:$S,G$128,DEALS!$U:$U,$B139,DEALS!$V:$V,"&lt;&gt;*RECEIVED*",DEALS!$V:$V,"&lt;&gt;*EXECUTED*"))</f>
        <v>0</v>
      </c>
      <c r="H139" s="29" cm="1">
        <f t="array" ref="H139">SUMIFS(BALANCES!$C:$C,BALANCES!$A:$A,$B$124,BALANCES!$B:$B,$B139,BALANCES!$D:$D,H$128)+SUMIFS(FLOWS!$C:$C,FLOWS!$A:$A,$B$124,FLOWS!$E:$E,$B139,FLOWS!$D:$D,H$128,FLOWS!$H:$H,"&lt;"&amp;$C$126)+SUM(SUMIFS(DEALS!$J:$J,DEALS!$A:$A,{"*REFUND*","*EXECUTED*"},DEALS!$G:$G,$B$124,DEALS!$E:$E,"&lt;"&amp;$C$126,DEALS!$K:$K,H$128,DEALS!$M:$M,$B139,DEALS!$N:$N,"&lt;&gt;*RECEIVED*",DEALS!$N:$N,"&lt;&gt;*EXECUTED*"))+SUM(SUMIFS(DEALS!$R:$R,DEALS!$A:$A,{"*REFUND*","*EXECUTED*"},DEALS!$O:$O,$B$124,DEALS!$E:$E,"&lt;"&amp;$C$126,DEALS!$S:$S,H$128,DEALS!$U:$U,$B139,DEALS!$V:$V,"&lt;&gt;*RECEIVED*",DEALS!$V:$V,"&lt;&gt;*EXECUTED*"))</f>
        <v>0</v>
      </c>
      <c r="I139" s="30">
        <f ca="1">C139*VLOOKUP(C$128,'FX RATES'!$E$1:$F$50,2,FALSE)+D139*VLOOKUP(D$128,'FX RATES'!$E$1:$F$50,2,FALSE)+E139*VLOOKUP(E$128,'FX RATES'!$E$1:$F$50,2,FALSE)+F139*VLOOKUP(F$128,'FX RATES'!$E$1:$F$50,2,FALSE)+G139*VLOOKUP(G$128,'FX RATES'!$E$1:$F$50,2,FALSE)+H139*VLOOKUP(H$128,'FX RATES'!$E$1:$F$50,2,FALSE)</f>
        <v>0</v>
      </c>
      <c r="J139" s="18"/>
      <c r="K139" s="28">
        <f t="shared" si="45"/>
        <v>0</v>
      </c>
      <c r="L139" s="29" cm="1">
        <f t="array" ref="L139">SUMIFS(FLOWS!$C:$C,FLOWS!$A:$A,$B$124,FLOWS!$E:$E,$K139,FLOWS!$D:$D,L$128,FLOWS!$H:$H,"&gt;="&amp;$C$126,FLOWS!$H:$H,"&lt;="&amp;$U$126)+SUM(SUMIFS(DEALS!$J:$J,DEALS!$A:$A,{"*REFUND*","*EXECUTED*"},DEALS!$G:$G,$B$124,DEALS!$E:$E,"&gt;="&amp;$C$126,DEALS!$E:$E,"&lt;="&amp;$U$126,DEALS!$K:$K,L$128,DEALS!$M:$M,$K139,DEALS!$N:$N,"&lt;&gt;*RECEIVED*",DEALS!$N:$N,"&lt;&gt;*EXECUTED*"))+SUM(SUMIFS(DEALS!$R:$R,DEALS!$A:$A,{"*REFUND*","*EXECUTED*"},DEALS!$O:$O,$B$124,DEALS!$E:$E,"&gt;="&amp;$C$126,DEALS!$E:$E,"&lt;="&amp;$U$126,DEALS!$S:$S,L$128,DEALS!$U:$U,$K139,DEALS!$V:$V,"&lt;&gt;*RECEIVED*",DEALS!$V:$V,"&lt;&gt;*EXECUTED*"))</f>
        <v>0</v>
      </c>
      <c r="M139" s="29" cm="1">
        <f t="array" ref="M139">SUMIFS(FLOWS!$C:$C,FLOWS!$A:$A,$B$124,FLOWS!$E:$E,$K139,FLOWS!$D:$D,M$128,FLOWS!$H:$H,"&gt;="&amp;$C$126,FLOWS!$H:$H,"&lt;="&amp;$U$126)+SUM(SUMIFS(DEALS!$J:$J,DEALS!$A:$A,{"*REFUND*","*EXECUTED*"},DEALS!$G:$G,$B$124,DEALS!$E:$E,"&gt;="&amp;$C$126,DEALS!$E:$E,"&lt;="&amp;$U$126,DEALS!$K:$K,M$128,DEALS!$M:$M,$K139,DEALS!$N:$N,"&lt;&gt;*RECEIVED*",DEALS!$N:$N,"&lt;&gt;*EXECUTED*"))+SUM(SUMIFS(DEALS!$R:$R,DEALS!$A:$A,{"*REFUND*","*EXECUTED*"},DEALS!$O:$O,$B$124,DEALS!$E:$E,"&gt;="&amp;$C$126,DEALS!$E:$E,"&lt;="&amp;$U$126,DEALS!$S:$S,M$128,DEALS!$U:$U,$K139,DEALS!$V:$V,"&lt;&gt;*RECEIVED*",DEALS!$V:$V,"&lt;&gt;*EXECUTED*"))</f>
        <v>0</v>
      </c>
      <c r="N139" s="29" cm="1">
        <f t="array" ref="N139">SUMIFS(FLOWS!$C:$C,FLOWS!$A:$A,$B$124,FLOWS!$E:$E,$K139,FLOWS!$D:$D,N$128,FLOWS!$H:$H,"&gt;="&amp;$C$126,FLOWS!$H:$H,"&lt;="&amp;$U$126)+SUM(SUMIFS(DEALS!$J:$J,DEALS!$A:$A,{"*REFUND*","*EXECUTED*"},DEALS!$G:$G,$B$124,DEALS!$E:$E,"&gt;="&amp;$C$126,DEALS!$E:$E,"&lt;="&amp;$U$126,DEALS!$K:$K,N$128,DEALS!$M:$M,$K139,DEALS!$N:$N,"&lt;&gt;*RECEIVED*",DEALS!$N:$N,"&lt;&gt;*EXECUTED*"))+SUM(SUMIFS(DEALS!$R:$R,DEALS!$A:$A,{"*REFUND*","*EXECUTED*"},DEALS!$O:$O,$B$124,DEALS!$E:$E,"&gt;="&amp;$C$126,DEALS!$E:$E,"&lt;="&amp;$U$126,DEALS!$S:$S,N$128,DEALS!$U:$U,$K139,DEALS!$V:$V,"&lt;&gt;*RECEIVED*",DEALS!$V:$V,"&lt;&gt;*EXECUTED*"))</f>
        <v>0</v>
      </c>
      <c r="O139" s="29" cm="1">
        <f t="array" ref="O139">SUMIFS(FLOWS!$C:$C,FLOWS!$A:$A,$B$124,FLOWS!$E:$E,$K139,FLOWS!$D:$D,O$128,FLOWS!$H:$H,"&gt;="&amp;$C$126,FLOWS!$H:$H,"&lt;="&amp;$U$126)+SUM(SUMIFS(DEALS!$J:$J,DEALS!$A:$A,{"*REFUND*","*EXECUTED*"},DEALS!$G:$G,$B$124,DEALS!$E:$E,"&gt;="&amp;$C$126,DEALS!$E:$E,"&lt;="&amp;$U$126,DEALS!$K:$K,O$128,DEALS!$M:$M,$K139,DEALS!$N:$N,"&lt;&gt;*RECEIVED*",DEALS!$N:$N,"&lt;&gt;*EXECUTED*"))+SUM(SUMIFS(DEALS!$R:$R,DEALS!$A:$A,{"*REFUND*","*EXECUTED*"},DEALS!$O:$O,$B$124,DEALS!$E:$E,"&gt;="&amp;$C$126,DEALS!$E:$E,"&lt;="&amp;$U$126,DEALS!$S:$S,O$128,DEALS!$U:$U,$K139,DEALS!$V:$V,"&lt;&gt;*RECEIVED*",DEALS!$V:$V,"&lt;&gt;*EXECUTED*"))</f>
        <v>0</v>
      </c>
      <c r="P139" s="29" cm="1">
        <f t="array" ref="P139">SUMIFS(FLOWS!$C:$C,FLOWS!$A:$A,$B$124,FLOWS!$E:$E,$K139,FLOWS!$D:$D,P$128,FLOWS!$H:$H,"&gt;="&amp;$C$126,FLOWS!$H:$H,"&lt;="&amp;$U$126)+SUM(SUMIFS(DEALS!$J:$J,DEALS!$A:$A,{"*REFUND*","*EXECUTED*"},DEALS!$G:$G,$B$124,DEALS!$E:$E,"&gt;="&amp;$C$126,DEALS!$E:$E,"&lt;="&amp;$U$126,DEALS!$K:$K,P$128,DEALS!$M:$M,$K139,DEALS!$N:$N,"&lt;&gt;*RECEIVED*",DEALS!$N:$N,"&lt;&gt;*EXECUTED*"))+SUM(SUMIFS(DEALS!$R:$R,DEALS!$A:$A,{"*REFUND*","*EXECUTED*"},DEALS!$O:$O,$B$124,DEALS!$E:$E,"&gt;="&amp;$C$126,DEALS!$E:$E,"&lt;="&amp;$U$126,DEALS!$S:$S,P$128,DEALS!$U:$U,$K139,DEALS!$V:$V,"&lt;&gt;*RECEIVED*",DEALS!$V:$V,"&lt;&gt;*EXECUTED*"))</f>
        <v>0</v>
      </c>
      <c r="Q139" s="29" cm="1">
        <f t="array" ref="Q139">SUMIFS(FLOWS!$C:$C,FLOWS!$A:$A,$B$124,FLOWS!$E:$E,$K139,FLOWS!$D:$D,Q$128,FLOWS!$H:$H,"&gt;="&amp;$C$126,FLOWS!$H:$H,"&lt;="&amp;$U$126)+SUM(SUMIFS(DEALS!$J:$J,DEALS!$A:$A,{"*REFUND*","*EXECUTED*"},DEALS!$G:$G,$B$124,DEALS!$E:$E,"&gt;="&amp;$C$126,DEALS!$E:$E,"&lt;="&amp;$U$126,DEALS!$K:$K,Q$128,DEALS!$M:$M,$K139,DEALS!$N:$N,"&lt;&gt;*RECEIVED*",DEALS!$N:$N,"&lt;&gt;*EXECUTED*"))+SUM(SUMIFS(DEALS!$R:$R,DEALS!$A:$A,{"*REFUND*","*EXECUTED*"},DEALS!$O:$O,$B$124,DEALS!$E:$E,"&gt;="&amp;$C$126,DEALS!$E:$E,"&lt;="&amp;$U$126,DEALS!$S:$S,Q$128,DEALS!$U:$U,$K139,DEALS!$V:$V,"&lt;&gt;*RECEIVED*",DEALS!$V:$V,"&lt;&gt;*EXECUTED*"))</f>
        <v>0</v>
      </c>
      <c r="R139" s="30">
        <f ca="1">L139*VLOOKUP(L$128,'FX RATES'!$E$1:$F$50,2,FALSE)+M139*VLOOKUP(M$128,'FX RATES'!$E$1:$F$50,2,FALSE)+N139*VLOOKUP(N$128,'FX RATES'!$E$1:$F$50,2,FALSE)+O139*VLOOKUP(O$128,'FX RATES'!$E$1:$F$50,2,FALSE)+P139*VLOOKUP(P$128,'FX RATES'!$E$1:$F$50,2,FALSE)+Q139*VLOOKUP(Q$128,'FX RATES'!$E$1:$F$50,2,FALSE)</f>
        <v>0</v>
      </c>
      <c r="T139" s="28">
        <f t="shared" si="46"/>
        <v>0</v>
      </c>
      <c r="U139" s="29" cm="1">
        <f t="array" ref="U139">SUMIFS(BALANCES!$C:$C,BALANCES!$A:$A,$B$124,BALANCES!$B:$B,$T139,BALANCES!$D:$D,U$128)+SUMIFS(FLOWS!$C:$C,FLOWS!$A:$A,$B$124,FLOWS!$E:$E,$T139,FLOWS!$D:$D,U$128,FLOWS!$H:$H,"&lt;="&amp;$U$126)+SUM(SUMIFS(DEALS!$J:$J,DEALS!$A:$A,{"*REFUND*","*EXECUTED*"},DEALS!$G:$G,$B$124,DEALS!$E:$E,"&lt;="&amp;$U$126,DEALS!$K:$K,U$128,DEALS!$M:$M,$T139,DEALS!$N:$N,"&lt;&gt;*RECEIVED*",DEALS!$N:$N,"&lt;&gt;*EXECUTED*"))+SUM(SUMIFS(DEALS!$R:$R,DEALS!$A:$A,{"*REFUND*","*EXECUTED*"},DEALS!$O:$O,$B$124,DEALS!$E:$E,"&lt;="&amp;$U$126,DEALS!$S:$S,U$128,DEALS!$U:$U,$T139,DEALS!$V:$V,"&lt;&gt;*RECEIVED*",DEALS!$V:$V,"&lt;&gt;*EXECUTED*"))</f>
        <v>0</v>
      </c>
      <c r="V139" s="29" cm="1">
        <f t="array" ref="V139">SUMIFS(BALANCES!$C:$C,BALANCES!$A:$A,$B$124,BALANCES!$B:$B,$T139,BALANCES!$D:$D,V$128)+SUMIFS(FLOWS!$C:$C,FLOWS!$A:$A,$B$124,FLOWS!$E:$E,$T139,FLOWS!$D:$D,V$128,FLOWS!$H:$H,"&lt;="&amp;$U$126)+SUM(SUMIFS(DEALS!$J:$J,DEALS!$A:$A,{"*REFUND*","*EXECUTED*"},DEALS!$G:$G,$B$124,DEALS!$E:$E,"&lt;="&amp;$U$126,DEALS!$K:$K,V$128,DEALS!$M:$M,$T139,DEALS!$N:$N,"&lt;&gt;*RECEIVED*",DEALS!$N:$N,"&lt;&gt;*EXECUTED*"))+SUM(SUMIFS(DEALS!$R:$R,DEALS!$A:$A,{"*REFUND*","*EXECUTED*"},DEALS!$O:$O,$B$124,DEALS!$E:$E,"&lt;="&amp;$U$126,DEALS!$S:$S,V$128,DEALS!$U:$U,$T139,DEALS!$V:$V,"&lt;&gt;*RECEIVED*",DEALS!$V:$V,"&lt;&gt;*EXECUTED*"))</f>
        <v>0</v>
      </c>
      <c r="W139" s="29" cm="1">
        <f t="array" ref="W139">SUMIFS(BALANCES!$C:$C,BALANCES!$A:$A,$B$124,BALANCES!$B:$B,$T139,BALANCES!$D:$D,W$128)+SUMIFS(FLOWS!$C:$C,FLOWS!$A:$A,$B$124,FLOWS!$E:$E,$T139,FLOWS!$D:$D,W$128,FLOWS!$H:$H,"&lt;="&amp;$U$126)+SUM(SUMIFS(DEALS!$J:$J,DEALS!$A:$A,{"*REFUND*","*EXECUTED*"},DEALS!$G:$G,$B$124,DEALS!$E:$E,"&lt;="&amp;$U$126,DEALS!$K:$K,W$128,DEALS!$M:$M,$T139,DEALS!$N:$N,"&lt;&gt;*RECEIVED*",DEALS!$N:$N,"&lt;&gt;*EXECUTED*"))+SUM(SUMIFS(DEALS!$R:$R,DEALS!$A:$A,{"*REFUND*","*EXECUTED*"},DEALS!$O:$O,$B$124,DEALS!$E:$E,"&lt;="&amp;$U$126,DEALS!$S:$S,W$128,DEALS!$U:$U,$T139,DEALS!$V:$V,"&lt;&gt;*RECEIVED*",DEALS!$V:$V,"&lt;&gt;*EXECUTED*"))</f>
        <v>0</v>
      </c>
      <c r="X139" s="29" cm="1">
        <f t="array" ref="X139">SUMIFS(BALANCES!$C:$C,BALANCES!$A:$A,$B$124,BALANCES!$B:$B,$T139,BALANCES!$D:$D,X$128)+SUMIFS(FLOWS!$C:$C,FLOWS!$A:$A,$B$124,FLOWS!$E:$E,$T139,FLOWS!$D:$D,X$128,FLOWS!$H:$H,"&lt;="&amp;$U$126)+SUM(SUMIFS(DEALS!$J:$J,DEALS!$A:$A,{"*REFUND*","*EXECUTED*"},DEALS!$G:$G,$B$124,DEALS!$E:$E,"&lt;="&amp;$U$126,DEALS!$K:$K,X$128,DEALS!$M:$M,$T139,DEALS!$N:$N,"&lt;&gt;*RECEIVED*",DEALS!$N:$N,"&lt;&gt;*EXECUTED*"))+SUM(SUMIFS(DEALS!$R:$R,DEALS!$A:$A,{"*REFUND*","*EXECUTED*"},DEALS!$O:$O,$B$124,DEALS!$E:$E,"&lt;="&amp;$U$126,DEALS!$S:$S,X$128,DEALS!$U:$U,$T139,DEALS!$V:$V,"&lt;&gt;*RECEIVED*",DEALS!$V:$V,"&lt;&gt;*EXECUTED*"))</f>
        <v>0</v>
      </c>
      <c r="Y139" s="29" cm="1">
        <f t="array" ref="Y139">SUMIFS(BALANCES!$C:$C,BALANCES!$A:$A,$B$124,BALANCES!$B:$B,$T139,BALANCES!$D:$D,Y$128)+SUMIFS(FLOWS!$C:$C,FLOWS!$A:$A,$B$124,FLOWS!$E:$E,$T139,FLOWS!$D:$D,Y$128,FLOWS!$H:$H,"&lt;="&amp;$U$126)+SUM(SUMIFS(DEALS!$J:$J,DEALS!$A:$A,{"*REFUND*","*EXECUTED*"},DEALS!$G:$G,$B$124,DEALS!$E:$E,"&lt;="&amp;$U$126,DEALS!$K:$K,Y$128,DEALS!$M:$M,$T139,DEALS!$N:$N,"&lt;&gt;*RECEIVED*",DEALS!$N:$N,"&lt;&gt;*EXECUTED*"))+SUM(SUMIFS(DEALS!$R:$R,DEALS!$A:$A,{"*REFUND*","*EXECUTED*"},DEALS!$O:$O,$B$124,DEALS!$E:$E,"&lt;="&amp;$U$126,DEALS!$S:$S,Y$128,DEALS!$U:$U,$T139,DEALS!$V:$V,"&lt;&gt;*RECEIVED*",DEALS!$V:$V,"&lt;&gt;*EXECUTED*"))</f>
        <v>0</v>
      </c>
      <c r="Z139" s="29" cm="1">
        <f t="array" ref="Z139">SUMIFS(BALANCES!$C:$C,BALANCES!$A:$A,$B$124,BALANCES!$B:$B,$T139,BALANCES!$D:$D,Z$128)+SUMIFS(FLOWS!$C:$C,FLOWS!$A:$A,$B$124,FLOWS!$E:$E,$T139,FLOWS!$D:$D,Z$128,FLOWS!$H:$H,"&lt;="&amp;$U$126)+SUM(SUMIFS(DEALS!$J:$J,DEALS!$A:$A,{"*REFUND*","*EXECUTED*"},DEALS!$G:$G,$B$124,DEALS!$E:$E,"&lt;="&amp;$U$126,DEALS!$K:$K,Z$128,DEALS!$M:$M,$T139,DEALS!$N:$N,"&lt;&gt;*RECEIVED*",DEALS!$N:$N,"&lt;&gt;*EXECUTED*"))+SUM(SUMIFS(DEALS!$R:$R,DEALS!$A:$A,{"*REFUND*","*EXECUTED*"},DEALS!$O:$O,$B$124,DEALS!$E:$E,"&lt;="&amp;$U$126,DEALS!$S:$S,Z$128,DEALS!$U:$U,$T139,DEALS!$V:$V,"&lt;&gt;*RECEIVED*",DEALS!$V:$V,"&lt;&gt;*EXECUTED*"))</f>
        <v>0</v>
      </c>
      <c r="AA139" s="30">
        <f ca="1">U139*VLOOKUP(U$128,'FX RATES'!$E$1:$F$50,2,FALSE)+V139*VLOOKUP(V$128,'FX RATES'!$E$1:$F$50,2,FALSE)+W139*VLOOKUP(W$128,'FX RATES'!$E$1:$F$50,2,FALSE)+X139*VLOOKUP(X$128,'FX RATES'!$E$1:$F$50,2,FALSE)+Y139*VLOOKUP(Y$128,'FX RATES'!$E$1:$F$50,2,FALSE)+Z139*VLOOKUP(Z$128,'FX RATES'!$E$1:$F$50,2,FALSE)</f>
        <v>0</v>
      </c>
      <c r="AC139" s="139">
        <f t="shared" ca="1" si="47"/>
        <v>0</v>
      </c>
    </row>
    <row r="140" spans="2:29" ht="19" hidden="1">
      <c r="B140" s="31"/>
      <c r="C140" s="32" cm="1">
        <f t="array" ref="C140">SUMIFS(BALANCES!$C:$C,BALANCES!$A:$A,$B$124,BALANCES!$B:$B,$B140,BALANCES!$D:$D,C$128)+SUMIFS(FLOWS!$C:$C,FLOWS!$A:$A,$B$124,FLOWS!$E:$E,$B140,FLOWS!$D:$D,C$128,FLOWS!$H:$H,"&lt;"&amp;$C$126)+SUM(SUMIFS(DEALS!$J:$J,DEALS!$A:$A,{"*REFUND*","*EXECUTED*"},DEALS!$G:$G,$B$124,DEALS!$E:$E,"&lt;"&amp;$C$126,DEALS!$K:$K,C$128,DEALS!$M:$M,$B140,DEALS!$N:$N,"&lt;&gt;*RECEIVED*",DEALS!$N:$N,"&lt;&gt;*EXECUTED*"))+SUM(SUMIFS(DEALS!$R:$R,DEALS!$A:$A,{"*REFUND*","*EXECUTED*"},DEALS!$O:$O,$B$124,DEALS!$E:$E,"&lt;"&amp;$C$126,DEALS!$S:$S,C$128,DEALS!$U:$U,$B140,DEALS!$V:$V,"&lt;&gt;*RECEIVED*",DEALS!$V:$V,"&lt;&gt;*EXECUTED*"))</f>
        <v>0</v>
      </c>
      <c r="D140" s="32" cm="1">
        <f t="array" ref="D140">SUMIFS(BALANCES!$C:$C,BALANCES!$A:$A,$B$124,BALANCES!$B:$B,$B140,BALANCES!$D:$D,D$128)+SUMIFS(FLOWS!$C:$C,FLOWS!$A:$A,$B$124,FLOWS!$E:$E,$B140,FLOWS!$D:$D,D$128,FLOWS!$H:$H,"&lt;"&amp;$C$126)+SUM(SUMIFS(DEALS!$J:$J,DEALS!$A:$A,{"*REFUND*","*EXECUTED*"},DEALS!$G:$G,$B$124,DEALS!$E:$E,"&lt;"&amp;$C$126,DEALS!$K:$K,D$128,DEALS!$M:$M,$B140,DEALS!$N:$N,"&lt;&gt;*RECEIVED*",DEALS!$N:$N,"&lt;&gt;*EXECUTED*"))+SUM(SUMIFS(DEALS!$R:$R,DEALS!$A:$A,{"*REFUND*","*EXECUTED*"},DEALS!$O:$O,$B$124,DEALS!$E:$E,"&lt;"&amp;$C$126,DEALS!$S:$S,D$128,DEALS!$U:$U,$B140,DEALS!$V:$V,"&lt;&gt;*RECEIVED*",DEALS!$V:$V,"&lt;&gt;*EXECUTED*"))</f>
        <v>0</v>
      </c>
      <c r="E140" s="32" cm="1">
        <f t="array" ref="E140">SUMIFS(BALANCES!$C:$C,BALANCES!$A:$A,$B$124,BALANCES!$B:$B,$B140,BALANCES!$D:$D,E$128)+SUMIFS(FLOWS!$C:$C,FLOWS!$A:$A,$B$124,FLOWS!$E:$E,$B140,FLOWS!$D:$D,E$128,FLOWS!$H:$H,"&lt;"&amp;$C$126)+SUM(SUMIFS(DEALS!$J:$J,DEALS!$A:$A,{"*REFUND*","*EXECUTED*"},DEALS!$G:$G,$B$124,DEALS!$E:$E,"&lt;"&amp;$C$126,DEALS!$K:$K,E$128,DEALS!$M:$M,$B140,DEALS!$N:$N,"&lt;&gt;*RECEIVED*",DEALS!$N:$N,"&lt;&gt;*EXECUTED*"))+SUM(SUMIFS(DEALS!$R:$R,DEALS!$A:$A,{"*REFUND*","*EXECUTED*"},DEALS!$O:$O,$B$124,DEALS!$E:$E,"&lt;"&amp;$C$126,DEALS!$S:$S,E$128,DEALS!$U:$U,$B140,DEALS!$V:$V,"&lt;&gt;*RECEIVED*",DEALS!$V:$V,"&lt;&gt;*EXECUTED*"))</f>
        <v>0</v>
      </c>
      <c r="F140" s="32" cm="1">
        <f t="array" ref="F140">SUMIFS(BALANCES!$C:$C,BALANCES!$A:$A,$B$124,BALANCES!$B:$B,$B140,BALANCES!$D:$D,F$128)+SUMIFS(FLOWS!$C:$C,FLOWS!$A:$A,$B$124,FLOWS!$E:$E,$B140,FLOWS!$D:$D,F$128,FLOWS!$H:$H,"&lt;"&amp;$C$126)+SUM(SUMIFS(DEALS!$J:$J,DEALS!$A:$A,{"*REFUND*","*EXECUTED*"},DEALS!$G:$G,$B$124,DEALS!$E:$E,"&lt;"&amp;$C$126,DEALS!$K:$K,F$128,DEALS!$M:$M,$B140,DEALS!$N:$N,"&lt;&gt;*RECEIVED*",DEALS!$N:$N,"&lt;&gt;*EXECUTED*"))+SUM(SUMIFS(DEALS!$R:$R,DEALS!$A:$A,{"*REFUND*","*EXECUTED*"},DEALS!$O:$O,$B$124,DEALS!$E:$E,"&lt;"&amp;$C$126,DEALS!$S:$S,F$128,DEALS!$U:$U,$B140,DEALS!$V:$V,"&lt;&gt;*RECEIVED*",DEALS!$V:$V,"&lt;&gt;*EXECUTED*"))</f>
        <v>0</v>
      </c>
      <c r="G140" s="32" cm="1">
        <f t="array" ref="G140">SUMIFS(BALANCES!$C:$C,BALANCES!$A:$A,$B$124,BALANCES!$B:$B,$B140,BALANCES!$D:$D,G$128)+SUMIFS(FLOWS!$C:$C,FLOWS!$A:$A,$B$124,FLOWS!$E:$E,$B140,FLOWS!$D:$D,G$128,FLOWS!$H:$H,"&lt;"&amp;$C$126)+SUM(SUMIFS(DEALS!$J:$J,DEALS!$A:$A,{"*REFUND*","*EXECUTED*"},DEALS!$G:$G,$B$124,DEALS!$E:$E,"&lt;"&amp;$C$126,DEALS!$K:$K,G$128,DEALS!$M:$M,$B140,DEALS!$N:$N,"&lt;&gt;*RECEIVED*",DEALS!$N:$N,"&lt;&gt;*EXECUTED*"))+SUM(SUMIFS(DEALS!$R:$R,DEALS!$A:$A,{"*REFUND*","*EXECUTED*"},DEALS!$O:$O,$B$124,DEALS!$E:$E,"&lt;"&amp;$C$126,DEALS!$S:$S,G$128,DEALS!$U:$U,$B140,DEALS!$V:$V,"&lt;&gt;*RECEIVED*",DEALS!$V:$V,"&lt;&gt;*EXECUTED*"))</f>
        <v>0</v>
      </c>
      <c r="H140" s="32" cm="1">
        <f t="array" ref="H140">SUMIFS(BALANCES!$C:$C,BALANCES!$A:$A,$B$124,BALANCES!$B:$B,$B140,BALANCES!$D:$D,H$128)+SUMIFS(FLOWS!$C:$C,FLOWS!$A:$A,$B$124,FLOWS!$E:$E,$B140,FLOWS!$D:$D,H$128,FLOWS!$H:$H,"&lt;"&amp;$C$126)+SUM(SUMIFS(DEALS!$J:$J,DEALS!$A:$A,{"*REFUND*","*EXECUTED*"},DEALS!$G:$G,$B$124,DEALS!$E:$E,"&lt;"&amp;$C$126,DEALS!$K:$K,H$128,DEALS!$M:$M,$B140,DEALS!$N:$N,"&lt;&gt;*RECEIVED*",DEALS!$N:$N,"&lt;&gt;*EXECUTED*"))+SUM(SUMIFS(DEALS!$R:$R,DEALS!$A:$A,{"*REFUND*","*EXECUTED*"},DEALS!$O:$O,$B$124,DEALS!$E:$E,"&lt;"&amp;$C$126,DEALS!$S:$S,H$128,DEALS!$U:$U,$B140,DEALS!$V:$V,"&lt;&gt;*RECEIVED*",DEALS!$V:$V,"&lt;&gt;*EXECUTED*"))</f>
        <v>0</v>
      </c>
      <c r="I140" s="33">
        <f ca="1">C140*VLOOKUP(C$128,'FX RATES'!$E$1:$F$50,2,FALSE)+D140*VLOOKUP(D$128,'FX RATES'!$E$1:$F$50,2,FALSE)+E140*VLOOKUP(E$128,'FX RATES'!$E$1:$F$50,2,FALSE)+F140*VLOOKUP(F$128,'FX RATES'!$E$1:$F$50,2,FALSE)+G140*VLOOKUP(G$128,'FX RATES'!$E$1:$F$50,2,FALSE)+H140*VLOOKUP(H$128,'FX RATES'!$E$1:$F$50,2,FALSE)</f>
        <v>0</v>
      </c>
      <c r="K140" s="31">
        <f>B140</f>
        <v>0</v>
      </c>
      <c r="L140" s="32" cm="1">
        <f t="array" ref="L140">SUMIFS(FLOWS!$C:$C,FLOWS!$A:$A,$B$124,FLOWS!$E:$E,$K140,FLOWS!$D:$D,L$128,FLOWS!$H:$H,"&gt;="&amp;$C$126,FLOWS!$H:$H,"&lt;="&amp;$U$126)+SUM(SUMIFS(DEALS!$J:$J,DEALS!$A:$A,{"*REFUND*","*EXECUTED*"},DEALS!$G:$G,$B$124,DEALS!$E:$E,"&gt;="&amp;$C$126,DEALS!$E:$E,"&lt;="&amp;$U$126,DEALS!$K:$K,L$128,DEALS!$M:$M,$K140,DEALS!$N:$N,"&lt;&gt;*RECEIVED*",DEALS!$N:$N,"&lt;&gt;*EXECUTED*"))+SUM(SUMIFS(DEALS!$R:$R,DEALS!$A:$A,{"*REFUND*","*EXECUTED*"},DEALS!$O:$O,$B$124,DEALS!$E:$E,"&gt;="&amp;$C$126,DEALS!$E:$E,"&lt;="&amp;$U$126,DEALS!$S:$S,L$128,DEALS!$U:$U,$K140,DEALS!$V:$V,"&lt;&gt;*RECEIVED*",DEALS!$V:$V,"&lt;&gt;*EXECUTED*"))</f>
        <v>0</v>
      </c>
      <c r="M140" s="32" cm="1">
        <f t="array" ref="M140">SUMIFS(FLOWS!$C:$C,FLOWS!$A:$A,$B$124,FLOWS!$E:$E,$K140,FLOWS!$D:$D,M$128,FLOWS!$H:$H,"&gt;="&amp;$C$126,FLOWS!$H:$H,"&lt;="&amp;$U$126)+SUM(SUMIFS(DEALS!$J:$J,DEALS!$A:$A,{"*REFUND*","*EXECUTED*"},DEALS!$G:$G,$B$124,DEALS!$E:$E,"&gt;="&amp;$C$126,DEALS!$E:$E,"&lt;="&amp;$U$126,DEALS!$K:$K,M$128,DEALS!$M:$M,$K140,DEALS!$N:$N,"&lt;&gt;*RECEIVED*",DEALS!$N:$N,"&lt;&gt;*EXECUTED*"))+SUM(SUMIFS(DEALS!$R:$R,DEALS!$A:$A,{"*REFUND*","*EXECUTED*"},DEALS!$O:$O,$B$124,DEALS!$E:$E,"&gt;="&amp;$C$126,DEALS!$E:$E,"&lt;="&amp;$U$126,DEALS!$S:$S,M$128,DEALS!$U:$U,$K140,DEALS!$V:$V,"&lt;&gt;*RECEIVED*",DEALS!$V:$V,"&lt;&gt;*EXECUTED*"))</f>
        <v>0</v>
      </c>
      <c r="N140" s="32" cm="1">
        <f t="array" ref="N140">SUMIFS(FLOWS!$C:$C,FLOWS!$A:$A,$B$124,FLOWS!$E:$E,$K140,FLOWS!$D:$D,N$128,FLOWS!$H:$H,"&gt;="&amp;$C$126,FLOWS!$H:$H,"&lt;="&amp;$U$126)+SUM(SUMIFS(DEALS!$J:$J,DEALS!$A:$A,{"*REFUND*","*EXECUTED*"},DEALS!$G:$G,$B$124,DEALS!$E:$E,"&gt;="&amp;$C$126,DEALS!$E:$E,"&lt;="&amp;$U$126,DEALS!$K:$K,N$128,DEALS!$M:$M,$K140,DEALS!$N:$N,"&lt;&gt;*RECEIVED*",DEALS!$N:$N,"&lt;&gt;*EXECUTED*"))+SUM(SUMIFS(DEALS!$R:$R,DEALS!$A:$A,{"*REFUND*","*EXECUTED*"},DEALS!$O:$O,$B$124,DEALS!$E:$E,"&gt;="&amp;$C$126,DEALS!$E:$E,"&lt;="&amp;$U$126,DEALS!$S:$S,N$128,DEALS!$U:$U,$K140,DEALS!$V:$V,"&lt;&gt;*RECEIVED*",DEALS!$V:$V,"&lt;&gt;*EXECUTED*"))</f>
        <v>0</v>
      </c>
      <c r="O140" s="32" cm="1">
        <f t="array" ref="O140">SUMIFS(FLOWS!$C:$C,FLOWS!$A:$A,$B$124,FLOWS!$E:$E,$K140,FLOWS!$D:$D,O$128,FLOWS!$H:$H,"&gt;="&amp;$C$126,FLOWS!$H:$H,"&lt;="&amp;$U$126)+SUM(SUMIFS(DEALS!$J:$J,DEALS!$A:$A,{"*REFUND*","*EXECUTED*"},DEALS!$G:$G,$B$124,DEALS!$E:$E,"&gt;="&amp;$C$126,DEALS!$E:$E,"&lt;="&amp;$U$126,DEALS!$K:$K,O$128,DEALS!$M:$M,$K140,DEALS!$N:$N,"&lt;&gt;*RECEIVED*",DEALS!$N:$N,"&lt;&gt;*EXECUTED*"))+SUM(SUMIFS(DEALS!$R:$R,DEALS!$A:$A,{"*REFUND*","*EXECUTED*"},DEALS!$O:$O,$B$124,DEALS!$E:$E,"&gt;="&amp;$C$126,DEALS!$E:$E,"&lt;="&amp;$U$126,DEALS!$S:$S,O$128,DEALS!$U:$U,$K140,DEALS!$V:$V,"&lt;&gt;*RECEIVED*",DEALS!$V:$V,"&lt;&gt;*EXECUTED*"))</f>
        <v>0</v>
      </c>
      <c r="P140" s="32" cm="1">
        <f t="array" ref="P140">SUMIFS(FLOWS!$C:$C,FLOWS!$A:$A,$B$124,FLOWS!$E:$E,$K140,FLOWS!$D:$D,P$128,FLOWS!$H:$H,"&gt;="&amp;$C$126,FLOWS!$H:$H,"&lt;="&amp;$U$126)+SUM(SUMIFS(DEALS!$J:$J,DEALS!$A:$A,{"*REFUND*","*EXECUTED*"},DEALS!$G:$G,$B$124,DEALS!$E:$E,"&gt;="&amp;$C$126,DEALS!$E:$E,"&lt;="&amp;$U$126,DEALS!$K:$K,P$128,DEALS!$M:$M,$K140,DEALS!$N:$N,"&lt;&gt;*RECEIVED*",DEALS!$N:$N,"&lt;&gt;*EXECUTED*"))+SUM(SUMIFS(DEALS!$R:$R,DEALS!$A:$A,{"*REFUND*","*EXECUTED*"},DEALS!$O:$O,$B$124,DEALS!$E:$E,"&gt;="&amp;$C$126,DEALS!$E:$E,"&lt;="&amp;$U$126,DEALS!$S:$S,P$128,DEALS!$U:$U,$K140,DEALS!$V:$V,"&lt;&gt;*RECEIVED*",DEALS!$V:$V,"&lt;&gt;*EXECUTED*"))</f>
        <v>0</v>
      </c>
      <c r="Q140" s="32" cm="1">
        <f t="array" ref="Q140">SUMIFS(FLOWS!$C:$C,FLOWS!$A:$A,$B$124,FLOWS!$E:$E,$K140,FLOWS!$D:$D,Q$128,FLOWS!$H:$H,"&gt;="&amp;$C$126,FLOWS!$H:$H,"&lt;="&amp;$U$126)+SUM(SUMIFS(DEALS!$J:$J,DEALS!$A:$A,{"*REFUND*","*EXECUTED*"},DEALS!$G:$G,$B$124,DEALS!$E:$E,"&gt;="&amp;$C$126,DEALS!$E:$E,"&lt;="&amp;$U$126,DEALS!$K:$K,Q$128,DEALS!$M:$M,$K140,DEALS!$N:$N,"&lt;&gt;*RECEIVED*",DEALS!$N:$N,"&lt;&gt;*EXECUTED*"))+SUM(SUMIFS(DEALS!$R:$R,DEALS!$A:$A,{"*REFUND*","*EXECUTED*"},DEALS!$O:$O,$B$124,DEALS!$E:$E,"&gt;="&amp;$C$126,DEALS!$E:$E,"&lt;="&amp;$U$126,DEALS!$S:$S,Q$128,DEALS!$U:$U,$K140,DEALS!$V:$V,"&lt;&gt;*RECEIVED*",DEALS!$V:$V,"&lt;&gt;*EXECUTED*"))</f>
        <v>0</v>
      </c>
      <c r="R140" s="33">
        <f ca="1">L140*VLOOKUP(L$128,'FX RATES'!$E$1:$F$50,2,FALSE)+M140*VLOOKUP(M$128,'FX RATES'!$E$1:$F$50,2,FALSE)+N140*VLOOKUP(N$128,'FX RATES'!$E$1:$F$50,2,FALSE)+O140*VLOOKUP(O$128,'FX RATES'!$E$1:$F$50,2,FALSE)+P140*VLOOKUP(P$128,'FX RATES'!$E$1:$F$50,2,FALSE)+Q140*VLOOKUP(Q$128,'FX RATES'!$E$1:$F$50,2,FALSE)</f>
        <v>0</v>
      </c>
      <c r="T140" s="31">
        <f>B140</f>
        <v>0</v>
      </c>
      <c r="U140" s="32" cm="1">
        <f t="array" ref="U140">SUMIFS(BALANCES!$C:$C,BALANCES!$A:$A,$B$124,BALANCES!$B:$B,$T140,BALANCES!$D:$D,U$128)+SUMIFS(FLOWS!$C:$C,FLOWS!$A:$A,$B$124,FLOWS!$E:$E,$T140,FLOWS!$D:$D,U$128,FLOWS!$H:$H,"&lt;="&amp;$U$126)+SUM(SUMIFS(DEALS!$J:$J,DEALS!$A:$A,{"*REFUND*","*EXECUTED*"},DEALS!$G:$G,$B$124,DEALS!$E:$E,"&lt;="&amp;$U$126,DEALS!$K:$K,U$128,DEALS!$M:$M,$T140,DEALS!$N:$N,"&lt;&gt;*RECEIVED*",DEALS!$N:$N,"&lt;&gt;*EXECUTED*"))+SUM(SUMIFS(DEALS!$R:$R,DEALS!$A:$A,{"*REFUND*","*EXECUTED*"},DEALS!$O:$O,$B$124,DEALS!$E:$E,"&lt;="&amp;$U$126,DEALS!$S:$S,U$128,DEALS!$U:$U,$T140,DEALS!$V:$V,"&lt;&gt;*RECEIVED*",DEALS!$V:$V,"&lt;&gt;*EXECUTED*"))</f>
        <v>0</v>
      </c>
      <c r="V140" s="32" cm="1">
        <f t="array" ref="V140">SUMIFS(BALANCES!$C:$C,BALANCES!$A:$A,$B$124,BALANCES!$B:$B,$T140,BALANCES!$D:$D,V$128)+SUMIFS(FLOWS!$C:$C,FLOWS!$A:$A,$B$124,FLOWS!$E:$E,$T140,FLOWS!$D:$D,V$128,FLOWS!$H:$H,"&lt;="&amp;$U$126)+SUM(SUMIFS(DEALS!$J:$J,DEALS!$A:$A,{"*REFUND*","*EXECUTED*"},DEALS!$G:$G,$B$124,DEALS!$E:$E,"&lt;="&amp;$U$126,DEALS!$K:$K,V$128,DEALS!$M:$M,$T140,DEALS!$N:$N,"&lt;&gt;*RECEIVED*",DEALS!$N:$N,"&lt;&gt;*EXECUTED*"))+SUM(SUMIFS(DEALS!$R:$R,DEALS!$A:$A,{"*REFUND*","*EXECUTED*"},DEALS!$O:$O,$B$124,DEALS!$E:$E,"&lt;="&amp;$U$126,DEALS!$S:$S,V$128,DEALS!$U:$U,$T140,DEALS!$V:$V,"&lt;&gt;*RECEIVED*",DEALS!$V:$V,"&lt;&gt;*EXECUTED*"))</f>
        <v>0</v>
      </c>
      <c r="W140" s="32" cm="1">
        <f t="array" ref="W140">SUMIFS(BALANCES!$C:$C,BALANCES!$A:$A,$B$124,BALANCES!$B:$B,$T140,BALANCES!$D:$D,W$128)+SUMIFS(FLOWS!$C:$C,FLOWS!$A:$A,$B$124,FLOWS!$E:$E,$T140,FLOWS!$D:$D,W$128,FLOWS!$H:$H,"&lt;="&amp;$U$126)+SUM(SUMIFS(DEALS!$J:$J,DEALS!$A:$A,{"*REFUND*","*EXECUTED*"},DEALS!$G:$G,$B$124,DEALS!$E:$E,"&lt;="&amp;$U$126,DEALS!$K:$K,W$128,DEALS!$M:$M,$T140,DEALS!$N:$N,"&lt;&gt;*RECEIVED*",DEALS!$N:$N,"&lt;&gt;*EXECUTED*"))+SUM(SUMIFS(DEALS!$R:$R,DEALS!$A:$A,{"*REFUND*","*EXECUTED*"},DEALS!$O:$O,$B$124,DEALS!$E:$E,"&lt;="&amp;$U$126,DEALS!$S:$S,W$128,DEALS!$U:$U,$T140,DEALS!$V:$V,"&lt;&gt;*RECEIVED*",DEALS!$V:$V,"&lt;&gt;*EXECUTED*"))</f>
        <v>0</v>
      </c>
      <c r="X140" s="32" cm="1">
        <f t="array" ref="X140">SUMIFS(BALANCES!$C:$C,BALANCES!$A:$A,$B$124,BALANCES!$B:$B,$T140,BALANCES!$D:$D,X$128)+SUMIFS(FLOWS!$C:$C,FLOWS!$A:$A,$B$124,FLOWS!$E:$E,$T140,FLOWS!$D:$D,X$128,FLOWS!$H:$H,"&lt;="&amp;$U$126)+SUM(SUMIFS(DEALS!$J:$J,DEALS!$A:$A,{"*REFUND*","*EXECUTED*"},DEALS!$G:$G,$B$124,DEALS!$E:$E,"&lt;="&amp;$U$126,DEALS!$K:$K,X$128,DEALS!$M:$M,$T140,DEALS!$N:$N,"&lt;&gt;*RECEIVED*",DEALS!$N:$N,"&lt;&gt;*EXECUTED*"))+SUM(SUMIFS(DEALS!$R:$R,DEALS!$A:$A,{"*REFUND*","*EXECUTED*"},DEALS!$O:$O,$B$124,DEALS!$E:$E,"&lt;="&amp;$U$126,DEALS!$S:$S,X$128,DEALS!$U:$U,$T140,DEALS!$V:$V,"&lt;&gt;*RECEIVED*",DEALS!$V:$V,"&lt;&gt;*EXECUTED*"))</f>
        <v>0</v>
      </c>
      <c r="Y140" s="32" cm="1">
        <f t="array" ref="Y140">SUMIFS(BALANCES!$C:$C,BALANCES!$A:$A,$B$124,BALANCES!$B:$B,$T140,BALANCES!$D:$D,Y$128)+SUMIFS(FLOWS!$C:$C,FLOWS!$A:$A,$B$124,FLOWS!$E:$E,$T140,FLOWS!$D:$D,Y$128,FLOWS!$H:$H,"&lt;="&amp;$U$126)+SUM(SUMIFS(DEALS!$J:$J,DEALS!$A:$A,{"*REFUND*","*EXECUTED*"},DEALS!$G:$G,$B$124,DEALS!$E:$E,"&lt;="&amp;$U$126,DEALS!$K:$K,Y$128,DEALS!$M:$M,$T140,DEALS!$N:$N,"&lt;&gt;*RECEIVED*",DEALS!$N:$N,"&lt;&gt;*EXECUTED*"))+SUM(SUMIFS(DEALS!$R:$R,DEALS!$A:$A,{"*REFUND*","*EXECUTED*"},DEALS!$O:$O,$B$124,DEALS!$E:$E,"&lt;="&amp;$U$126,DEALS!$S:$S,Y$128,DEALS!$U:$U,$T140,DEALS!$V:$V,"&lt;&gt;*RECEIVED*",DEALS!$V:$V,"&lt;&gt;*EXECUTED*"))</f>
        <v>0</v>
      </c>
      <c r="Z140" s="32" cm="1">
        <f t="array" ref="Z140">SUMIFS(BALANCES!$C:$C,BALANCES!$A:$A,$B$124,BALANCES!$B:$B,$T140,BALANCES!$D:$D,Z$128)+SUMIFS(FLOWS!$C:$C,FLOWS!$A:$A,$B$124,FLOWS!$E:$E,$T140,FLOWS!$D:$D,Z$128,FLOWS!$H:$H,"&lt;="&amp;$U$126)+SUM(SUMIFS(DEALS!$J:$J,DEALS!$A:$A,{"*REFUND*","*EXECUTED*"},DEALS!$G:$G,$B$124,DEALS!$E:$E,"&lt;="&amp;$U$126,DEALS!$K:$K,Z$128,DEALS!$M:$M,$T140,DEALS!$N:$N,"&lt;&gt;*RECEIVED*",DEALS!$N:$N,"&lt;&gt;*EXECUTED*"))+SUM(SUMIFS(DEALS!$R:$R,DEALS!$A:$A,{"*REFUND*","*EXECUTED*"},DEALS!$O:$O,$B$124,DEALS!$E:$E,"&lt;="&amp;$U$126,DEALS!$S:$S,Z$128,DEALS!$U:$U,$T140,DEALS!$V:$V,"&lt;&gt;*RECEIVED*",DEALS!$V:$V,"&lt;&gt;*EXECUTED*"))</f>
        <v>0</v>
      </c>
      <c r="AA140" s="33">
        <f ca="1">U140*VLOOKUP(U$128,'FX RATES'!$E$1:$F$50,2,FALSE)+V140*VLOOKUP(V$128,'FX RATES'!$E$1:$F$50,2,FALSE)+W140*VLOOKUP(W$128,'FX RATES'!$E$1:$F$50,2,FALSE)+X140*VLOOKUP(X$128,'FX RATES'!$E$1:$F$50,2,FALSE)+Y140*VLOOKUP(Y$128,'FX RATES'!$E$1:$F$50,2,FALSE)+Z140*VLOOKUP(Z$128,'FX RATES'!$E$1:$F$50,2,FALSE)</f>
        <v>0</v>
      </c>
      <c r="AC140" s="139">
        <f ca="1">I140+R140-AA140</f>
        <v>0</v>
      </c>
    </row>
    <row r="141" spans="2:29" ht="19" hidden="1">
      <c r="B141" s="28"/>
      <c r="C141" s="29" cm="1">
        <f t="array" ref="C141">SUMIFS(BALANCES!$C:$C,BALANCES!$A:$A,$B$124,BALANCES!$B:$B,$B141,BALANCES!$D:$D,C$128)+SUMIFS(FLOWS!$C:$C,FLOWS!$A:$A,$B$124,FLOWS!$E:$E,$B141,FLOWS!$D:$D,C$128,FLOWS!$H:$H,"&lt;"&amp;$C$126)+SUM(SUMIFS(DEALS!$J:$J,DEALS!$A:$A,{"*REFUND*","*EXECUTED*"},DEALS!$G:$G,$B$124,DEALS!$E:$E,"&lt;"&amp;$C$126,DEALS!$K:$K,C$128,DEALS!$M:$M,$B141,DEALS!$N:$N,"&lt;&gt;*RECEIVED*",DEALS!$N:$N,"&lt;&gt;*EXECUTED*"))+SUM(SUMIFS(DEALS!$R:$R,DEALS!$A:$A,{"*REFUND*","*EXECUTED*"},DEALS!$O:$O,$B$124,DEALS!$E:$E,"&lt;"&amp;$C$126,DEALS!$S:$S,C$128,DEALS!$U:$U,$B141,DEALS!$V:$V,"&lt;&gt;*RECEIVED*",DEALS!$V:$V,"&lt;&gt;*EXECUTED*"))</f>
        <v>0</v>
      </c>
      <c r="D141" s="29" cm="1">
        <f t="array" ref="D141">SUMIFS(BALANCES!$C:$C,BALANCES!$A:$A,$B$124,BALANCES!$B:$B,$B141,BALANCES!$D:$D,D$128)+SUMIFS(FLOWS!$C:$C,FLOWS!$A:$A,$B$124,FLOWS!$E:$E,$B141,FLOWS!$D:$D,D$128,FLOWS!$H:$H,"&lt;"&amp;$C$126)+SUM(SUMIFS(DEALS!$J:$J,DEALS!$A:$A,{"*REFUND*","*EXECUTED*"},DEALS!$G:$G,$B$124,DEALS!$E:$E,"&lt;"&amp;$C$126,DEALS!$K:$K,D$128,DEALS!$M:$M,$B141,DEALS!$N:$N,"&lt;&gt;*RECEIVED*",DEALS!$N:$N,"&lt;&gt;*EXECUTED*"))+SUM(SUMIFS(DEALS!$R:$R,DEALS!$A:$A,{"*REFUND*","*EXECUTED*"},DEALS!$O:$O,$B$124,DEALS!$E:$E,"&lt;"&amp;$C$126,DEALS!$S:$S,D$128,DEALS!$U:$U,$B141,DEALS!$V:$V,"&lt;&gt;*RECEIVED*",DEALS!$V:$V,"&lt;&gt;*EXECUTED*"))</f>
        <v>0</v>
      </c>
      <c r="E141" s="29" cm="1">
        <f t="array" ref="E141">SUMIFS(BALANCES!$C:$C,BALANCES!$A:$A,$B$124,BALANCES!$B:$B,$B141,BALANCES!$D:$D,E$128)+SUMIFS(FLOWS!$C:$C,FLOWS!$A:$A,$B$124,FLOWS!$E:$E,$B141,FLOWS!$D:$D,E$128,FLOWS!$H:$H,"&lt;"&amp;$C$126)+SUM(SUMIFS(DEALS!$J:$J,DEALS!$A:$A,{"*REFUND*","*EXECUTED*"},DEALS!$G:$G,$B$124,DEALS!$E:$E,"&lt;"&amp;$C$126,DEALS!$K:$K,E$128,DEALS!$M:$M,$B141,DEALS!$N:$N,"&lt;&gt;*RECEIVED*",DEALS!$N:$N,"&lt;&gt;*EXECUTED*"))+SUM(SUMIFS(DEALS!$R:$R,DEALS!$A:$A,{"*REFUND*","*EXECUTED*"},DEALS!$O:$O,$B$124,DEALS!$E:$E,"&lt;"&amp;$C$126,DEALS!$S:$S,E$128,DEALS!$U:$U,$B141,DEALS!$V:$V,"&lt;&gt;*RECEIVED*",DEALS!$V:$V,"&lt;&gt;*EXECUTED*"))</f>
        <v>0</v>
      </c>
      <c r="F141" s="29" cm="1">
        <f t="array" ref="F141">SUMIFS(BALANCES!$C:$C,BALANCES!$A:$A,$B$124,BALANCES!$B:$B,$B141,BALANCES!$D:$D,F$128)+SUMIFS(FLOWS!$C:$C,FLOWS!$A:$A,$B$124,FLOWS!$E:$E,$B141,FLOWS!$D:$D,F$128,FLOWS!$H:$H,"&lt;"&amp;$C$126)+SUM(SUMIFS(DEALS!$J:$J,DEALS!$A:$A,{"*REFUND*","*EXECUTED*"},DEALS!$G:$G,$B$124,DEALS!$E:$E,"&lt;"&amp;$C$126,DEALS!$K:$K,F$128,DEALS!$M:$M,$B141,DEALS!$N:$N,"&lt;&gt;*RECEIVED*",DEALS!$N:$N,"&lt;&gt;*EXECUTED*"))+SUM(SUMIFS(DEALS!$R:$R,DEALS!$A:$A,{"*REFUND*","*EXECUTED*"},DEALS!$O:$O,$B$124,DEALS!$E:$E,"&lt;"&amp;$C$126,DEALS!$S:$S,F$128,DEALS!$U:$U,$B141,DEALS!$V:$V,"&lt;&gt;*RECEIVED*",DEALS!$V:$V,"&lt;&gt;*EXECUTED*"))</f>
        <v>0</v>
      </c>
      <c r="G141" s="29" cm="1">
        <f t="array" ref="G141">SUMIFS(BALANCES!$C:$C,BALANCES!$A:$A,$B$124,BALANCES!$B:$B,$B141,BALANCES!$D:$D,G$128)+SUMIFS(FLOWS!$C:$C,FLOWS!$A:$A,$B$124,FLOWS!$E:$E,$B141,FLOWS!$D:$D,G$128,FLOWS!$H:$H,"&lt;"&amp;$C$126)+SUM(SUMIFS(DEALS!$J:$J,DEALS!$A:$A,{"*REFUND*","*EXECUTED*"},DEALS!$G:$G,$B$124,DEALS!$E:$E,"&lt;"&amp;$C$126,DEALS!$K:$K,G$128,DEALS!$M:$M,$B141,DEALS!$N:$N,"&lt;&gt;*RECEIVED*",DEALS!$N:$N,"&lt;&gt;*EXECUTED*"))+SUM(SUMIFS(DEALS!$R:$R,DEALS!$A:$A,{"*REFUND*","*EXECUTED*"},DEALS!$O:$O,$B$124,DEALS!$E:$E,"&lt;"&amp;$C$126,DEALS!$S:$S,G$128,DEALS!$U:$U,$B141,DEALS!$V:$V,"&lt;&gt;*RECEIVED*",DEALS!$V:$V,"&lt;&gt;*EXECUTED*"))</f>
        <v>0</v>
      </c>
      <c r="H141" s="29" cm="1">
        <f t="array" ref="H141">SUMIFS(BALANCES!$C:$C,BALANCES!$A:$A,$B$124,BALANCES!$B:$B,$B141,BALANCES!$D:$D,H$128)+SUMIFS(FLOWS!$C:$C,FLOWS!$A:$A,$B$124,FLOWS!$E:$E,$B141,FLOWS!$D:$D,H$128,FLOWS!$H:$H,"&lt;"&amp;$C$126)+SUM(SUMIFS(DEALS!$J:$J,DEALS!$A:$A,{"*REFUND*","*EXECUTED*"},DEALS!$G:$G,$B$124,DEALS!$E:$E,"&lt;"&amp;$C$126,DEALS!$K:$K,H$128,DEALS!$M:$M,$B141,DEALS!$N:$N,"&lt;&gt;*RECEIVED*",DEALS!$N:$N,"&lt;&gt;*EXECUTED*"))+SUM(SUMIFS(DEALS!$R:$R,DEALS!$A:$A,{"*REFUND*","*EXECUTED*"},DEALS!$O:$O,$B$124,DEALS!$E:$E,"&lt;"&amp;$C$126,DEALS!$S:$S,H$128,DEALS!$U:$U,$B141,DEALS!$V:$V,"&lt;&gt;*RECEIVED*",DEALS!$V:$V,"&lt;&gt;*EXECUTED*"))</f>
        <v>0</v>
      </c>
      <c r="I141" s="30">
        <f ca="1">C141*VLOOKUP(C$128,'FX RATES'!$E$1:$F$50,2,FALSE)+D141*VLOOKUP(D$128,'FX RATES'!$E$1:$F$50,2,FALSE)+E141*VLOOKUP(E$128,'FX RATES'!$E$1:$F$50,2,FALSE)+F141*VLOOKUP(F$128,'FX RATES'!$E$1:$F$50,2,FALSE)+G141*VLOOKUP(G$128,'FX RATES'!$E$1:$F$50,2,FALSE)+H141*VLOOKUP(H$128,'FX RATES'!$E$1:$F$50,2,FALSE)</f>
        <v>0</v>
      </c>
      <c r="J141" s="18"/>
      <c r="K141" s="28">
        <f>B141</f>
        <v>0</v>
      </c>
      <c r="L141" s="29" cm="1">
        <f t="array" ref="L141">SUMIFS(FLOWS!$C:$C,FLOWS!$A:$A,$B$124,FLOWS!$E:$E,$K141,FLOWS!$D:$D,L$128,FLOWS!$H:$H,"&gt;="&amp;$C$126,FLOWS!$H:$H,"&lt;="&amp;$U$126)+SUM(SUMIFS(DEALS!$J:$J,DEALS!$A:$A,{"*REFUND*","*EXECUTED*"},DEALS!$G:$G,$B$124,DEALS!$E:$E,"&gt;="&amp;$C$126,DEALS!$E:$E,"&lt;="&amp;$U$126,DEALS!$K:$K,L$128,DEALS!$M:$M,$K141,DEALS!$N:$N,"&lt;&gt;*RECEIVED*",DEALS!$N:$N,"&lt;&gt;*EXECUTED*"))+SUM(SUMIFS(DEALS!$R:$R,DEALS!$A:$A,{"*REFUND*","*EXECUTED*"},DEALS!$O:$O,$B$124,DEALS!$E:$E,"&gt;="&amp;$C$126,DEALS!$E:$E,"&lt;="&amp;$U$126,DEALS!$S:$S,L$128,DEALS!$U:$U,$K141,DEALS!$V:$V,"&lt;&gt;*RECEIVED*",DEALS!$V:$V,"&lt;&gt;*EXECUTED*"))</f>
        <v>0</v>
      </c>
      <c r="M141" s="29" cm="1">
        <f t="array" ref="M141">SUMIFS(FLOWS!$C:$C,FLOWS!$A:$A,$B$124,FLOWS!$E:$E,$K141,FLOWS!$D:$D,M$128,FLOWS!$H:$H,"&gt;="&amp;$C$126,FLOWS!$H:$H,"&lt;="&amp;$U$126)+SUM(SUMIFS(DEALS!$J:$J,DEALS!$A:$A,{"*REFUND*","*EXECUTED*"},DEALS!$G:$G,$B$124,DEALS!$E:$E,"&gt;="&amp;$C$126,DEALS!$E:$E,"&lt;="&amp;$U$126,DEALS!$K:$K,M$128,DEALS!$M:$M,$K141,DEALS!$N:$N,"&lt;&gt;*RECEIVED*",DEALS!$N:$N,"&lt;&gt;*EXECUTED*"))+SUM(SUMIFS(DEALS!$R:$R,DEALS!$A:$A,{"*REFUND*","*EXECUTED*"},DEALS!$O:$O,$B$124,DEALS!$E:$E,"&gt;="&amp;$C$126,DEALS!$E:$E,"&lt;="&amp;$U$126,DEALS!$S:$S,M$128,DEALS!$U:$U,$K141,DEALS!$V:$V,"&lt;&gt;*RECEIVED*",DEALS!$V:$V,"&lt;&gt;*EXECUTED*"))</f>
        <v>0</v>
      </c>
      <c r="N141" s="29" cm="1">
        <f t="array" ref="N141">SUMIFS(FLOWS!$C:$C,FLOWS!$A:$A,$B$124,FLOWS!$E:$E,$K141,FLOWS!$D:$D,N$128,FLOWS!$H:$H,"&gt;="&amp;$C$126,FLOWS!$H:$H,"&lt;="&amp;$U$126)+SUM(SUMIFS(DEALS!$J:$J,DEALS!$A:$A,{"*REFUND*","*EXECUTED*"},DEALS!$G:$G,$B$124,DEALS!$E:$E,"&gt;="&amp;$C$126,DEALS!$E:$E,"&lt;="&amp;$U$126,DEALS!$K:$K,N$128,DEALS!$M:$M,$K141,DEALS!$N:$N,"&lt;&gt;*RECEIVED*",DEALS!$N:$N,"&lt;&gt;*EXECUTED*"))+SUM(SUMIFS(DEALS!$R:$R,DEALS!$A:$A,{"*REFUND*","*EXECUTED*"},DEALS!$O:$O,$B$124,DEALS!$E:$E,"&gt;="&amp;$C$126,DEALS!$E:$E,"&lt;="&amp;$U$126,DEALS!$S:$S,N$128,DEALS!$U:$U,$K141,DEALS!$V:$V,"&lt;&gt;*RECEIVED*",DEALS!$V:$V,"&lt;&gt;*EXECUTED*"))</f>
        <v>0</v>
      </c>
      <c r="O141" s="29" cm="1">
        <f t="array" ref="O141">SUMIFS(FLOWS!$C:$C,FLOWS!$A:$A,$B$124,FLOWS!$E:$E,$K141,FLOWS!$D:$D,O$128,FLOWS!$H:$H,"&gt;="&amp;$C$126,FLOWS!$H:$H,"&lt;="&amp;$U$126)+SUM(SUMIFS(DEALS!$J:$J,DEALS!$A:$A,{"*REFUND*","*EXECUTED*"},DEALS!$G:$G,$B$124,DEALS!$E:$E,"&gt;="&amp;$C$126,DEALS!$E:$E,"&lt;="&amp;$U$126,DEALS!$K:$K,O$128,DEALS!$M:$M,$K141,DEALS!$N:$N,"&lt;&gt;*RECEIVED*",DEALS!$N:$N,"&lt;&gt;*EXECUTED*"))+SUM(SUMIFS(DEALS!$R:$R,DEALS!$A:$A,{"*REFUND*","*EXECUTED*"},DEALS!$O:$O,$B$124,DEALS!$E:$E,"&gt;="&amp;$C$126,DEALS!$E:$E,"&lt;="&amp;$U$126,DEALS!$S:$S,O$128,DEALS!$U:$U,$K141,DEALS!$V:$V,"&lt;&gt;*RECEIVED*",DEALS!$V:$V,"&lt;&gt;*EXECUTED*"))</f>
        <v>0</v>
      </c>
      <c r="P141" s="29" cm="1">
        <f t="array" ref="P141">SUMIFS(FLOWS!$C:$C,FLOWS!$A:$A,$B$124,FLOWS!$E:$E,$K141,FLOWS!$D:$D,P$128,FLOWS!$H:$H,"&gt;="&amp;$C$126,FLOWS!$H:$H,"&lt;="&amp;$U$126)+SUM(SUMIFS(DEALS!$J:$J,DEALS!$A:$A,{"*REFUND*","*EXECUTED*"},DEALS!$G:$G,$B$124,DEALS!$E:$E,"&gt;="&amp;$C$126,DEALS!$E:$E,"&lt;="&amp;$U$126,DEALS!$K:$K,P$128,DEALS!$M:$M,$K141,DEALS!$N:$N,"&lt;&gt;*RECEIVED*",DEALS!$N:$N,"&lt;&gt;*EXECUTED*"))+SUM(SUMIFS(DEALS!$R:$R,DEALS!$A:$A,{"*REFUND*","*EXECUTED*"},DEALS!$O:$O,$B$124,DEALS!$E:$E,"&gt;="&amp;$C$126,DEALS!$E:$E,"&lt;="&amp;$U$126,DEALS!$S:$S,P$128,DEALS!$U:$U,$K141,DEALS!$V:$V,"&lt;&gt;*RECEIVED*",DEALS!$V:$V,"&lt;&gt;*EXECUTED*"))</f>
        <v>0</v>
      </c>
      <c r="Q141" s="29" cm="1">
        <f t="array" ref="Q141">SUMIFS(FLOWS!$C:$C,FLOWS!$A:$A,$B$124,FLOWS!$E:$E,$K141,FLOWS!$D:$D,Q$128,FLOWS!$H:$H,"&gt;="&amp;$C$126,FLOWS!$H:$H,"&lt;="&amp;$U$126)+SUM(SUMIFS(DEALS!$J:$J,DEALS!$A:$A,{"*REFUND*","*EXECUTED*"},DEALS!$G:$G,$B$124,DEALS!$E:$E,"&gt;="&amp;$C$126,DEALS!$E:$E,"&lt;="&amp;$U$126,DEALS!$K:$K,Q$128,DEALS!$M:$M,$K141,DEALS!$N:$N,"&lt;&gt;*RECEIVED*",DEALS!$N:$N,"&lt;&gt;*EXECUTED*"))+SUM(SUMIFS(DEALS!$R:$R,DEALS!$A:$A,{"*REFUND*","*EXECUTED*"},DEALS!$O:$O,$B$124,DEALS!$E:$E,"&gt;="&amp;$C$126,DEALS!$E:$E,"&lt;="&amp;$U$126,DEALS!$S:$S,Q$128,DEALS!$U:$U,$K141,DEALS!$V:$V,"&lt;&gt;*RECEIVED*",DEALS!$V:$V,"&lt;&gt;*EXECUTED*"))</f>
        <v>0</v>
      </c>
      <c r="R141" s="30">
        <f ca="1">L141*VLOOKUP(L$128,'FX RATES'!$E$1:$F$50,2,FALSE)+M141*VLOOKUP(M$128,'FX RATES'!$E$1:$F$50,2,FALSE)+N141*VLOOKUP(N$128,'FX RATES'!$E$1:$F$50,2,FALSE)+O141*VLOOKUP(O$128,'FX RATES'!$E$1:$F$50,2,FALSE)+P141*VLOOKUP(P$128,'FX RATES'!$E$1:$F$50,2,FALSE)+Q141*VLOOKUP(Q$128,'FX RATES'!$E$1:$F$50,2,FALSE)</f>
        <v>0</v>
      </c>
      <c r="T141" s="28">
        <f>B141</f>
        <v>0</v>
      </c>
      <c r="U141" s="29" cm="1">
        <f t="array" ref="U141">SUMIFS(BALANCES!$C:$C,BALANCES!$A:$A,$B$124,BALANCES!$B:$B,$T141,BALANCES!$D:$D,U$128)+SUMIFS(FLOWS!$C:$C,FLOWS!$A:$A,$B$124,FLOWS!$E:$E,$T141,FLOWS!$D:$D,U$128,FLOWS!$H:$H,"&lt;="&amp;$U$126)+SUM(SUMIFS(DEALS!$J:$J,DEALS!$A:$A,{"*REFUND*","*EXECUTED*"},DEALS!$G:$G,$B$124,DEALS!$E:$E,"&lt;="&amp;$U$126,DEALS!$K:$K,U$128,DEALS!$M:$M,$T141,DEALS!$N:$N,"&lt;&gt;*RECEIVED*",DEALS!$N:$N,"&lt;&gt;*EXECUTED*"))+SUM(SUMIFS(DEALS!$R:$R,DEALS!$A:$A,{"*REFUND*","*EXECUTED*"},DEALS!$O:$O,$B$124,DEALS!$E:$E,"&lt;="&amp;$U$126,DEALS!$S:$S,U$128,DEALS!$U:$U,$T141,DEALS!$V:$V,"&lt;&gt;*RECEIVED*",DEALS!$V:$V,"&lt;&gt;*EXECUTED*"))</f>
        <v>0</v>
      </c>
      <c r="V141" s="29" cm="1">
        <f t="array" ref="V141">SUMIFS(BALANCES!$C:$C,BALANCES!$A:$A,$B$124,BALANCES!$B:$B,$T141,BALANCES!$D:$D,V$128)+SUMIFS(FLOWS!$C:$C,FLOWS!$A:$A,$B$124,FLOWS!$E:$E,$T141,FLOWS!$D:$D,V$128,FLOWS!$H:$H,"&lt;="&amp;$U$126)+SUM(SUMIFS(DEALS!$J:$J,DEALS!$A:$A,{"*REFUND*","*EXECUTED*"},DEALS!$G:$G,$B$124,DEALS!$E:$E,"&lt;="&amp;$U$126,DEALS!$K:$K,V$128,DEALS!$M:$M,$T141,DEALS!$N:$N,"&lt;&gt;*RECEIVED*",DEALS!$N:$N,"&lt;&gt;*EXECUTED*"))+SUM(SUMIFS(DEALS!$R:$R,DEALS!$A:$A,{"*REFUND*","*EXECUTED*"},DEALS!$O:$O,$B$124,DEALS!$E:$E,"&lt;="&amp;$U$126,DEALS!$S:$S,V$128,DEALS!$U:$U,$T141,DEALS!$V:$V,"&lt;&gt;*RECEIVED*",DEALS!$V:$V,"&lt;&gt;*EXECUTED*"))</f>
        <v>0</v>
      </c>
      <c r="W141" s="29" cm="1">
        <f t="array" ref="W141">SUMIFS(BALANCES!$C:$C,BALANCES!$A:$A,$B$124,BALANCES!$B:$B,$T141,BALANCES!$D:$D,W$128)+SUMIFS(FLOWS!$C:$C,FLOWS!$A:$A,$B$124,FLOWS!$E:$E,$T141,FLOWS!$D:$D,W$128,FLOWS!$H:$H,"&lt;="&amp;$U$126)+SUM(SUMIFS(DEALS!$J:$J,DEALS!$A:$A,{"*REFUND*","*EXECUTED*"},DEALS!$G:$G,$B$124,DEALS!$E:$E,"&lt;="&amp;$U$126,DEALS!$K:$K,W$128,DEALS!$M:$M,$T141,DEALS!$N:$N,"&lt;&gt;*RECEIVED*",DEALS!$N:$N,"&lt;&gt;*EXECUTED*"))+SUM(SUMIFS(DEALS!$R:$R,DEALS!$A:$A,{"*REFUND*","*EXECUTED*"},DEALS!$O:$O,$B$124,DEALS!$E:$E,"&lt;="&amp;$U$126,DEALS!$S:$S,W$128,DEALS!$U:$U,$T141,DEALS!$V:$V,"&lt;&gt;*RECEIVED*",DEALS!$V:$V,"&lt;&gt;*EXECUTED*"))</f>
        <v>0</v>
      </c>
      <c r="X141" s="29" cm="1">
        <f t="array" ref="X141">SUMIFS(BALANCES!$C:$C,BALANCES!$A:$A,$B$124,BALANCES!$B:$B,$T141,BALANCES!$D:$D,X$128)+SUMIFS(FLOWS!$C:$C,FLOWS!$A:$A,$B$124,FLOWS!$E:$E,$T141,FLOWS!$D:$D,X$128,FLOWS!$H:$H,"&lt;="&amp;$U$126)+SUM(SUMIFS(DEALS!$J:$J,DEALS!$A:$A,{"*REFUND*","*EXECUTED*"},DEALS!$G:$G,$B$124,DEALS!$E:$E,"&lt;="&amp;$U$126,DEALS!$K:$K,X$128,DEALS!$M:$M,$T141,DEALS!$N:$N,"&lt;&gt;*RECEIVED*",DEALS!$N:$N,"&lt;&gt;*EXECUTED*"))+SUM(SUMIFS(DEALS!$R:$R,DEALS!$A:$A,{"*REFUND*","*EXECUTED*"},DEALS!$O:$O,$B$124,DEALS!$E:$E,"&lt;="&amp;$U$126,DEALS!$S:$S,X$128,DEALS!$U:$U,$T141,DEALS!$V:$V,"&lt;&gt;*RECEIVED*",DEALS!$V:$V,"&lt;&gt;*EXECUTED*"))</f>
        <v>0</v>
      </c>
      <c r="Y141" s="29" cm="1">
        <f t="array" ref="Y141">SUMIFS(BALANCES!$C:$C,BALANCES!$A:$A,$B$124,BALANCES!$B:$B,$T141,BALANCES!$D:$D,Y$128)+SUMIFS(FLOWS!$C:$C,FLOWS!$A:$A,$B$124,FLOWS!$E:$E,$T141,FLOWS!$D:$D,Y$128,FLOWS!$H:$H,"&lt;="&amp;$U$126)+SUM(SUMIFS(DEALS!$J:$J,DEALS!$A:$A,{"*REFUND*","*EXECUTED*"},DEALS!$G:$G,$B$124,DEALS!$E:$E,"&lt;="&amp;$U$126,DEALS!$K:$K,Y$128,DEALS!$M:$M,$T141,DEALS!$N:$N,"&lt;&gt;*RECEIVED*",DEALS!$N:$N,"&lt;&gt;*EXECUTED*"))+SUM(SUMIFS(DEALS!$R:$R,DEALS!$A:$A,{"*REFUND*","*EXECUTED*"},DEALS!$O:$O,$B$124,DEALS!$E:$E,"&lt;="&amp;$U$126,DEALS!$S:$S,Y$128,DEALS!$U:$U,$T141,DEALS!$V:$V,"&lt;&gt;*RECEIVED*",DEALS!$V:$V,"&lt;&gt;*EXECUTED*"))</f>
        <v>0</v>
      </c>
      <c r="Z141" s="29" cm="1">
        <f t="array" ref="Z141">SUMIFS(BALANCES!$C:$C,BALANCES!$A:$A,$B$124,BALANCES!$B:$B,$T141,BALANCES!$D:$D,Z$128)+SUMIFS(FLOWS!$C:$C,FLOWS!$A:$A,$B$124,FLOWS!$E:$E,$T141,FLOWS!$D:$D,Z$128,FLOWS!$H:$H,"&lt;="&amp;$U$126)+SUM(SUMIFS(DEALS!$J:$J,DEALS!$A:$A,{"*REFUND*","*EXECUTED*"},DEALS!$G:$G,$B$124,DEALS!$E:$E,"&lt;="&amp;$U$126,DEALS!$K:$K,Z$128,DEALS!$M:$M,$T141,DEALS!$N:$N,"&lt;&gt;*RECEIVED*",DEALS!$N:$N,"&lt;&gt;*EXECUTED*"))+SUM(SUMIFS(DEALS!$R:$R,DEALS!$A:$A,{"*REFUND*","*EXECUTED*"},DEALS!$O:$O,$B$124,DEALS!$E:$E,"&lt;="&amp;$U$126,DEALS!$S:$S,Z$128,DEALS!$U:$U,$T141,DEALS!$V:$V,"&lt;&gt;*RECEIVED*",DEALS!$V:$V,"&lt;&gt;*EXECUTED*"))</f>
        <v>0</v>
      </c>
      <c r="AA141" s="30">
        <f ca="1">U141*VLOOKUP(U$128,'FX RATES'!$E$1:$F$50,2,FALSE)+V141*VLOOKUP(V$128,'FX RATES'!$E$1:$F$50,2,FALSE)+W141*VLOOKUP(W$128,'FX RATES'!$E$1:$F$50,2,FALSE)+X141*VLOOKUP(X$128,'FX RATES'!$E$1:$F$50,2,FALSE)+Y141*VLOOKUP(Y$128,'FX RATES'!$E$1:$F$50,2,FALSE)+Z141*VLOOKUP(Z$128,'FX RATES'!$E$1:$F$50,2,FALSE)</f>
        <v>0</v>
      </c>
      <c r="AC141" s="139">
        <f ca="1">I141+R141-AA141</f>
        <v>0</v>
      </c>
    </row>
    <row r="142" spans="2:29" ht="19" hidden="1">
      <c r="B142" s="31"/>
      <c r="C142" s="32" cm="1">
        <f t="array" ref="C142">SUMIFS(BALANCES!$C:$C,BALANCES!$A:$A,$B$124,BALANCES!$B:$B,$B142,BALANCES!$D:$D,C$128)+SUMIFS(FLOWS!$C:$C,FLOWS!$A:$A,$B$124,FLOWS!$E:$E,$B142,FLOWS!$D:$D,C$128,FLOWS!$H:$H,"&lt;"&amp;$C$126)+SUM(SUMIFS(DEALS!$J:$J,DEALS!$A:$A,{"*REFUND*","*EXECUTED*"},DEALS!$G:$G,$B$124,DEALS!$E:$E,"&lt;"&amp;$C$126,DEALS!$K:$K,C$128,DEALS!$M:$M,$B142,DEALS!$N:$N,"&lt;&gt;*RECEIVED*",DEALS!$N:$N,"&lt;&gt;*EXECUTED*"))+SUM(SUMIFS(DEALS!$R:$R,DEALS!$A:$A,{"*REFUND*","*EXECUTED*"},DEALS!$O:$O,$B$124,DEALS!$E:$E,"&lt;"&amp;$C$126,DEALS!$S:$S,C$128,DEALS!$U:$U,$B142,DEALS!$V:$V,"&lt;&gt;*RECEIVED*",DEALS!$V:$V,"&lt;&gt;*EXECUTED*"))</f>
        <v>0</v>
      </c>
      <c r="D142" s="32" cm="1">
        <f t="array" ref="D142">SUMIFS(BALANCES!$C:$C,BALANCES!$A:$A,$B$124,BALANCES!$B:$B,$B142,BALANCES!$D:$D,D$128)+SUMIFS(FLOWS!$C:$C,FLOWS!$A:$A,$B$124,FLOWS!$E:$E,$B142,FLOWS!$D:$D,D$128,FLOWS!$H:$H,"&lt;"&amp;$C$126)+SUM(SUMIFS(DEALS!$J:$J,DEALS!$A:$A,{"*REFUND*","*EXECUTED*"},DEALS!$G:$G,$B$124,DEALS!$E:$E,"&lt;"&amp;$C$126,DEALS!$K:$K,D$128,DEALS!$M:$M,$B142,DEALS!$N:$N,"&lt;&gt;*RECEIVED*",DEALS!$N:$N,"&lt;&gt;*EXECUTED*"))+SUM(SUMIFS(DEALS!$R:$R,DEALS!$A:$A,{"*REFUND*","*EXECUTED*"},DEALS!$O:$O,$B$124,DEALS!$E:$E,"&lt;"&amp;$C$126,DEALS!$S:$S,D$128,DEALS!$U:$U,$B142,DEALS!$V:$V,"&lt;&gt;*RECEIVED*",DEALS!$V:$V,"&lt;&gt;*EXECUTED*"))</f>
        <v>0</v>
      </c>
      <c r="E142" s="32" cm="1">
        <f t="array" ref="E142">SUMIFS(BALANCES!$C:$C,BALANCES!$A:$A,$B$124,BALANCES!$B:$B,$B142,BALANCES!$D:$D,E$128)+SUMIFS(FLOWS!$C:$C,FLOWS!$A:$A,$B$124,FLOWS!$E:$E,$B142,FLOWS!$D:$D,E$128,FLOWS!$H:$H,"&lt;"&amp;$C$126)+SUM(SUMIFS(DEALS!$J:$J,DEALS!$A:$A,{"*REFUND*","*EXECUTED*"},DEALS!$G:$G,$B$124,DEALS!$E:$E,"&lt;"&amp;$C$126,DEALS!$K:$K,E$128,DEALS!$M:$M,$B142,DEALS!$N:$N,"&lt;&gt;*RECEIVED*",DEALS!$N:$N,"&lt;&gt;*EXECUTED*"))+SUM(SUMIFS(DEALS!$R:$R,DEALS!$A:$A,{"*REFUND*","*EXECUTED*"},DEALS!$O:$O,$B$124,DEALS!$E:$E,"&lt;"&amp;$C$126,DEALS!$S:$S,E$128,DEALS!$U:$U,$B142,DEALS!$V:$V,"&lt;&gt;*RECEIVED*",DEALS!$V:$V,"&lt;&gt;*EXECUTED*"))</f>
        <v>0</v>
      </c>
      <c r="F142" s="32" cm="1">
        <f t="array" ref="F142">SUMIFS(BALANCES!$C:$C,BALANCES!$A:$A,$B$124,BALANCES!$B:$B,$B142,BALANCES!$D:$D,F$128)+SUMIFS(FLOWS!$C:$C,FLOWS!$A:$A,$B$124,FLOWS!$E:$E,$B142,FLOWS!$D:$D,F$128,FLOWS!$H:$H,"&lt;"&amp;$C$126)+SUM(SUMIFS(DEALS!$J:$J,DEALS!$A:$A,{"*REFUND*","*EXECUTED*"},DEALS!$G:$G,$B$124,DEALS!$E:$E,"&lt;"&amp;$C$126,DEALS!$K:$K,F$128,DEALS!$M:$M,$B142,DEALS!$N:$N,"&lt;&gt;*RECEIVED*",DEALS!$N:$N,"&lt;&gt;*EXECUTED*"))+SUM(SUMIFS(DEALS!$R:$R,DEALS!$A:$A,{"*REFUND*","*EXECUTED*"},DEALS!$O:$O,$B$124,DEALS!$E:$E,"&lt;"&amp;$C$126,DEALS!$S:$S,F$128,DEALS!$U:$U,$B142,DEALS!$V:$V,"&lt;&gt;*RECEIVED*",DEALS!$V:$V,"&lt;&gt;*EXECUTED*"))</f>
        <v>0</v>
      </c>
      <c r="G142" s="32" cm="1">
        <f t="array" ref="G142">SUMIFS(BALANCES!$C:$C,BALANCES!$A:$A,$B$124,BALANCES!$B:$B,$B142,BALANCES!$D:$D,G$128)+SUMIFS(FLOWS!$C:$C,FLOWS!$A:$A,$B$124,FLOWS!$E:$E,$B142,FLOWS!$D:$D,G$128,FLOWS!$H:$H,"&lt;"&amp;$C$126)+SUM(SUMIFS(DEALS!$J:$J,DEALS!$A:$A,{"*REFUND*","*EXECUTED*"},DEALS!$G:$G,$B$124,DEALS!$E:$E,"&lt;"&amp;$C$126,DEALS!$K:$K,G$128,DEALS!$M:$M,$B142,DEALS!$N:$N,"&lt;&gt;*RECEIVED*",DEALS!$N:$N,"&lt;&gt;*EXECUTED*"))+SUM(SUMIFS(DEALS!$R:$R,DEALS!$A:$A,{"*REFUND*","*EXECUTED*"},DEALS!$O:$O,$B$124,DEALS!$E:$E,"&lt;"&amp;$C$126,DEALS!$S:$S,G$128,DEALS!$U:$U,$B142,DEALS!$V:$V,"&lt;&gt;*RECEIVED*",DEALS!$V:$V,"&lt;&gt;*EXECUTED*"))</f>
        <v>0</v>
      </c>
      <c r="H142" s="32" cm="1">
        <f t="array" ref="H142">SUMIFS(BALANCES!$C:$C,BALANCES!$A:$A,$B$124,BALANCES!$B:$B,$B142,BALANCES!$D:$D,H$128)+SUMIFS(FLOWS!$C:$C,FLOWS!$A:$A,$B$124,FLOWS!$E:$E,$B142,FLOWS!$D:$D,H$128,FLOWS!$H:$H,"&lt;"&amp;$C$126)+SUM(SUMIFS(DEALS!$J:$J,DEALS!$A:$A,{"*REFUND*","*EXECUTED*"},DEALS!$G:$G,$B$124,DEALS!$E:$E,"&lt;"&amp;$C$126,DEALS!$K:$K,H$128,DEALS!$M:$M,$B142,DEALS!$N:$N,"&lt;&gt;*RECEIVED*",DEALS!$N:$N,"&lt;&gt;*EXECUTED*"))+SUM(SUMIFS(DEALS!$R:$R,DEALS!$A:$A,{"*REFUND*","*EXECUTED*"},DEALS!$O:$O,$B$124,DEALS!$E:$E,"&lt;"&amp;$C$126,DEALS!$S:$S,H$128,DEALS!$U:$U,$B142,DEALS!$V:$V,"&lt;&gt;*RECEIVED*",DEALS!$V:$V,"&lt;&gt;*EXECUTED*"))</f>
        <v>0</v>
      </c>
      <c r="I142" s="33">
        <f ca="1">C142*VLOOKUP(C$128,'FX RATES'!$E$1:$F$50,2,FALSE)+D142*VLOOKUP(D$128,'FX RATES'!$E$1:$F$50,2,FALSE)+E142*VLOOKUP(E$128,'FX RATES'!$E$1:$F$50,2,FALSE)+F142*VLOOKUP(F$128,'FX RATES'!$E$1:$F$50,2,FALSE)+G142*VLOOKUP(G$128,'FX RATES'!$E$1:$F$50,2,FALSE)+H142*VLOOKUP(H$128,'FX RATES'!$E$1:$F$50,2,FALSE)</f>
        <v>0</v>
      </c>
      <c r="J142" s="18"/>
      <c r="K142" s="31">
        <f t="shared" si="45"/>
        <v>0</v>
      </c>
      <c r="L142" s="32" cm="1">
        <f t="array" ref="L142">SUMIFS(FLOWS!$C:$C,FLOWS!$A:$A,$B$124,FLOWS!$E:$E,$K142,FLOWS!$D:$D,L$128,FLOWS!$H:$H,"&gt;="&amp;$C$126,FLOWS!$H:$H,"&lt;="&amp;$U$126)+SUM(SUMIFS(DEALS!$J:$J,DEALS!$A:$A,{"*REFUND*","*EXECUTED*"},DEALS!$G:$G,$B$124,DEALS!$E:$E,"&gt;="&amp;$C$126,DEALS!$E:$E,"&lt;="&amp;$U$126,DEALS!$K:$K,L$128,DEALS!$M:$M,$K142,DEALS!$N:$N,"&lt;&gt;*RECEIVED*",DEALS!$N:$N,"&lt;&gt;*EXECUTED*"))+SUM(SUMIFS(DEALS!$R:$R,DEALS!$A:$A,{"*REFUND*","*EXECUTED*"},DEALS!$O:$O,$B$124,DEALS!$E:$E,"&gt;="&amp;$C$126,DEALS!$E:$E,"&lt;="&amp;$U$126,DEALS!$S:$S,L$128,DEALS!$U:$U,$K142,DEALS!$V:$V,"&lt;&gt;*RECEIVED*",DEALS!$V:$V,"&lt;&gt;*EXECUTED*"))</f>
        <v>0</v>
      </c>
      <c r="M142" s="32" cm="1">
        <f t="array" ref="M142">SUMIFS(FLOWS!$C:$C,FLOWS!$A:$A,$B$124,FLOWS!$E:$E,$K142,FLOWS!$D:$D,M$128,FLOWS!$H:$H,"&gt;="&amp;$C$126,FLOWS!$H:$H,"&lt;="&amp;$U$126)+SUM(SUMIFS(DEALS!$J:$J,DEALS!$A:$A,{"*REFUND*","*EXECUTED*"},DEALS!$G:$G,$B$124,DEALS!$E:$E,"&gt;="&amp;$C$126,DEALS!$E:$E,"&lt;="&amp;$U$126,DEALS!$K:$K,M$128,DEALS!$M:$M,$K142,DEALS!$N:$N,"&lt;&gt;*RECEIVED*",DEALS!$N:$N,"&lt;&gt;*EXECUTED*"))+SUM(SUMIFS(DEALS!$R:$R,DEALS!$A:$A,{"*REFUND*","*EXECUTED*"},DEALS!$O:$O,$B$124,DEALS!$E:$E,"&gt;="&amp;$C$126,DEALS!$E:$E,"&lt;="&amp;$U$126,DEALS!$S:$S,M$128,DEALS!$U:$U,$K142,DEALS!$V:$V,"&lt;&gt;*RECEIVED*",DEALS!$V:$V,"&lt;&gt;*EXECUTED*"))</f>
        <v>0</v>
      </c>
      <c r="N142" s="32" cm="1">
        <f t="array" ref="N142">SUMIFS(FLOWS!$C:$C,FLOWS!$A:$A,$B$124,FLOWS!$E:$E,$K142,FLOWS!$D:$D,N$128,FLOWS!$H:$H,"&gt;="&amp;$C$126,FLOWS!$H:$H,"&lt;="&amp;$U$126)+SUM(SUMIFS(DEALS!$J:$J,DEALS!$A:$A,{"*REFUND*","*EXECUTED*"},DEALS!$G:$G,$B$124,DEALS!$E:$E,"&gt;="&amp;$C$126,DEALS!$E:$E,"&lt;="&amp;$U$126,DEALS!$K:$K,N$128,DEALS!$M:$M,$K142,DEALS!$N:$N,"&lt;&gt;*RECEIVED*",DEALS!$N:$N,"&lt;&gt;*EXECUTED*"))+SUM(SUMIFS(DEALS!$R:$R,DEALS!$A:$A,{"*REFUND*","*EXECUTED*"},DEALS!$O:$O,$B$124,DEALS!$E:$E,"&gt;="&amp;$C$126,DEALS!$E:$E,"&lt;="&amp;$U$126,DEALS!$S:$S,N$128,DEALS!$U:$U,$K142,DEALS!$V:$V,"&lt;&gt;*RECEIVED*",DEALS!$V:$V,"&lt;&gt;*EXECUTED*"))</f>
        <v>0</v>
      </c>
      <c r="O142" s="32" cm="1">
        <f t="array" ref="O142">SUMIFS(FLOWS!$C:$C,FLOWS!$A:$A,$B$124,FLOWS!$E:$E,$K142,FLOWS!$D:$D,O$128,FLOWS!$H:$H,"&gt;="&amp;$C$126,FLOWS!$H:$H,"&lt;="&amp;$U$126)+SUM(SUMIFS(DEALS!$J:$J,DEALS!$A:$A,{"*REFUND*","*EXECUTED*"},DEALS!$G:$G,$B$124,DEALS!$E:$E,"&gt;="&amp;$C$126,DEALS!$E:$E,"&lt;="&amp;$U$126,DEALS!$K:$K,O$128,DEALS!$M:$M,$K142,DEALS!$N:$N,"&lt;&gt;*RECEIVED*",DEALS!$N:$N,"&lt;&gt;*EXECUTED*"))+SUM(SUMIFS(DEALS!$R:$R,DEALS!$A:$A,{"*REFUND*","*EXECUTED*"},DEALS!$O:$O,$B$124,DEALS!$E:$E,"&gt;="&amp;$C$126,DEALS!$E:$E,"&lt;="&amp;$U$126,DEALS!$S:$S,O$128,DEALS!$U:$U,$K142,DEALS!$V:$V,"&lt;&gt;*RECEIVED*",DEALS!$V:$V,"&lt;&gt;*EXECUTED*"))</f>
        <v>0</v>
      </c>
      <c r="P142" s="32" cm="1">
        <f t="array" ref="P142">SUMIFS(FLOWS!$C:$C,FLOWS!$A:$A,$B$124,FLOWS!$E:$E,$K142,FLOWS!$D:$D,P$128,FLOWS!$H:$H,"&gt;="&amp;$C$126,FLOWS!$H:$H,"&lt;="&amp;$U$126)+SUM(SUMIFS(DEALS!$J:$J,DEALS!$A:$A,{"*REFUND*","*EXECUTED*"},DEALS!$G:$G,$B$124,DEALS!$E:$E,"&gt;="&amp;$C$126,DEALS!$E:$E,"&lt;="&amp;$U$126,DEALS!$K:$K,P$128,DEALS!$M:$M,$K142,DEALS!$N:$N,"&lt;&gt;*RECEIVED*",DEALS!$N:$N,"&lt;&gt;*EXECUTED*"))+SUM(SUMIFS(DEALS!$R:$R,DEALS!$A:$A,{"*REFUND*","*EXECUTED*"},DEALS!$O:$O,$B$124,DEALS!$E:$E,"&gt;="&amp;$C$126,DEALS!$E:$E,"&lt;="&amp;$U$126,DEALS!$S:$S,P$128,DEALS!$U:$U,$K142,DEALS!$V:$V,"&lt;&gt;*RECEIVED*",DEALS!$V:$V,"&lt;&gt;*EXECUTED*"))</f>
        <v>0</v>
      </c>
      <c r="Q142" s="32" cm="1">
        <f t="array" ref="Q142">SUMIFS(FLOWS!$C:$C,FLOWS!$A:$A,$B$124,FLOWS!$E:$E,$K142,FLOWS!$D:$D,Q$128,FLOWS!$H:$H,"&gt;="&amp;$C$126,FLOWS!$H:$H,"&lt;="&amp;$U$126)+SUM(SUMIFS(DEALS!$J:$J,DEALS!$A:$A,{"*REFUND*","*EXECUTED*"},DEALS!$G:$G,$B$124,DEALS!$E:$E,"&gt;="&amp;$C$126,DEALS!$E:$E,"&lt;="&amp;$U$126,DEALS!$K:$K,Q$128,DEALS!$M:$M,$K142,DEALS!$N:$N,"&lt;&gt;*RECEIVED*",DEALS!$N:$N,"&lt;&gt;*EXECUTED*"))+SUM(SUMIFS(DEALS!$R:$R,DEALS!$A:$A,{"*REFUND*","*EXECUTED*"},DEALS!$O:$O,$B$124,DEALS!$E:$E,"&gt;="&amp;$C$126,DEALS!$E:$E,"&lt;="&amp;$U$126,DEALS!$S:$S,Q$128,DEALS!$U:$U,$K142,DEALS!$V:$V,"&lt;&gt;*RECEIVED*",DEALS!$V:$V,"&lt;&gt;*EXECUTED*"))</f>
        <v>0</v>
      </c>
      <c r="R142" s="33">
        <f ca="1">L142*VLOOKUP(L$128,'FX RATES'!$E$1:$F$50,2,FALSE)+M142*VLOOKUP(M$128,'FX RATES'!$E$1:$F$50,2,FALSE)+N142*VLOOKUP(N$128,'FX RATES'!$E$1:$F$50,2,FALSE)+O142*VLOOKUP(O$128,'FX RATES'!$E$1:$F$50,2,FALSE)+P142*VLOOKUP(P$128,'FX RATES'!$E$1:$F$50,2,FALSE)+Q142*VLOOKUP(Q$128,'FX RATES'!$E$1:$F$50,2,FALSE)</f>
        <v>0</v>
      </c>
      <c r="T142" s="31">
        <f t="shared" si="46"/>
        <v>0</v>
      </c>
      <c r="U142" s="32" cm="1">
        <f t="array" ref="U142">SUMIFS(BALANCES!$C:$C,BALANCES!$A:$A,$B$124,BALANCES!$B:$B,$T142,BALANCES!$D:$D,U$128)+SUMIFS(FLOWS!$C:$C,FLOWS!$A:$A,$B$124,FLOWS!$E:$E,$T142,FLOWS!$D:$D,U$128,FLOWS!$H:$H,"&lt;="&amp;$U$126)+SUM(SUMIFS(DEALS!$J:$J,DEALS!$A:$A,{"*REFUND*","*EXECUTED*"},DEALS!$G:$G,$B$124,DEALS!$E:$E,"&lt;="&amp;$U$126,DEALS!$K:$K,U$128,DEALS!$M:$M,$T142,DEALS!$N:$N,"&lt;&gt;*RECEIVED*",DEALS!$N:$N,"&lt;&gt;*EXECUTED*"))+SUM(SUMIFS(DEALS!$R:$R,DEALS!$A:$A,{"*REFUND*","*EXECUTED*"},DEALS!$O:$O,$B$124,DEALS!$E:$E,"&lt;="&amp;$U$126,DEALS!$S:$S,U$128,DEALS!$U:$U,$T142,DEALS!$V:$V,"&lt;&gt;*RECEIVED*",DEALS!$V:$V,"&lt;&gt;*EXECUTED*"))</f>
        <v>0</v>
      </c>
      <c r="V142" s="32" cm="1">
        <f t="array" ref="V142">SUMIFS(BALANCES!$C:$C,BALANCES!$A:$A,$B$124,BALANCES!$B:$B,$T142,BALANCES!$D:$D,V$128)+SUMIFS(FLOWS!$C:$C,FLOWS!$A:$A,$B$124,FLOWS!$E:$E,$T142,FLOWS!$D:$D,V$128,FLOWS!$H:$H,"&lt;="&amp;$U$126)+SUM(SUMIFS(DEALS!$J:$J,DEALS!$A:$A,{"*REFUND*","*EXECUTED*"},DEALS!$G:$G,$B$124,DEALS!$E:$E,"&lt;="&amp;$U$126,DEALS!$K:$K,V$128,DEALS!$M:$M,$T142,DEALS!$N:$N,"&lt;&gt;*RECEIVED*",DEALS!$N:$N,"&lt;&gt;*EXECUTED*"))+SUM(SUMIFS(DEALS!$R:$R,DEALS!$A:$A,{"*REFUND*","*EXECUTED*"},DEALS!$O:$O,$B$124,DEALS!$E:$E,"&lt;="&amp;$U$126,DEALS!$S:$S,V$128,DEALS!$U:$U,$T142,DEALS!$V:$V,"&lt;&gt;*RECEIVED*",DEALS!$V:$V,"&lt;&gt;*EXECUTED*"))</f>
        <v>0</v>
      </c>
      <c r="W142" s="32" cm="1">
        <f t="array" ref="W142">SUMIFS(BALANCES!$C:$C,BALANCES!$A:$A,$B$124,BALANCES!$B:$B,$T142,BALANCES!$D:$D,W$128)+SUMIFS(FLOWS!$C:$C,FLOWS!$A:$A,$B$124,FLOWS!$E:$E,$T142,FLOWS!$D:$D,W$128,FLOWS!$H:$H,"&lt;="&amp;$U$126)+SUM(SUMIFS(DEALS!$J:$J,DEALS!$A:$A,{"*REFUND*","*EXECUTED*"},DEALS!$G:$G,$B$124,DEALS!$E:$E,"&lt;="&amp;$U$126,DEALS!$K:$K,W$128,DEALS!$M:$M,$T142,DEALS!$N:$N,"&lt;&gt;*RECEIVED*",DEALS!$N:$N,"&lt;&gt;*EXECUTED*"))+SUM(SUMIFS(DEALS!$R:$R,DEALS!$A:$A,{"*REFUND*","*EXECUTED*"},DEALS!$O:$O,$B$124,DEALS!$E:$E,"&lt;="&amp;$U$126,DEALS!$S:$S,W$128,DEALS!$U:$U,$T142,DEALS!$V:$V,"&lt;&gt;*RECEIVED*",DEALS!$V:$V,"&lt;&gt;*EXECUTED*"))</f>
        <v>0</v>
      </c>
      <c r="X142" s="32" cm="1">
        <f t="array" ref="X142">SUMIFS(BALANCES!$C:$C,BALANCES!$A:$A,$B$124,BALANCES!$B:$B,$T142,BALANCES!$D:$D,X$128)+SUMIFS(FLOWS!$C:$C,FLOWS!$A:$A,$B$124,FLOWS!$E:$E,$T142,FLOWS!$D:$D,X$128,FLOWS!$H:$H,"&lt;="&amp;$U$126)+SUM(SUMIFS(DEALS!$J:$J,DEALS!$A:$A,{"*REFUND*","*EXECUTED*"},DEALS!$G:$G,$B$124,DEALS!$E:$E,"&lt;="&amp;$U$126,DEALS!$K:$K,X$128,DEALS!$M:$M,$T142,DEALS!$N:$N,"&lt;&gt;*RECEIVED*",DEALS!$N:$N,"&lt;&gt;*EXECUTED*"))+SUM(SUMIFS(DEALS!$R:$R,DEALS!$A:$A,{"*REFUND*","*EXECUTED*"},DEALS!$O:$O,$B$124,DEALS!$E:$E,"&lt;="&amp;$U$126,DEALS!$S:$S,X$128,DEALS!$U:$U,$T142,DEALS!$V:$V,"&lt;&gt;*RECEIVED*",DEALS!$V:$V,"&lt;&gt;*EXECUTED*"))</f>
        <v>0</v>
      </c>
      <c r="Y142" s="32" cm="1">
        <f t="array" ref="Y142">SUMIFS(BALANCES!$C:$C,BALANCES!$A:$A,$B$124,BALANCES!$B:$B,$T142,BALANCES!$D:$D,Y$128)+SUMIFS(FLOWS!$C:$C,FLOWS!$A:$A,$B$124,FLOWS!$E:$E,$T142,FLOWS!$D:$D,Y$128,FLOWS!$H:$H,"&lt;="&amp;$U$126)+SUM(SUMIFS(DEALS!$J:$J,DEALS!$A:$A,{"*REFUND*","*EXECUTED*"},DEALS!$G:$G,$B$124,DEALS!$E:$E,"&lt;="&amp;$U$126,DEALS!$K:$K,Y$128,DEALS!$M:$M,$T142,DEALS!$N:$N,"&lt;&gt;*RECEIVED*",DEALS!$N:$N,"&lt;&gt;*EXECUTED*"))+SUM(SUMIFS(DEALS!$R:$R,DEALS!$A:$A,{"*REFUND*","*EXECUTED*"},DEALS!$O:$O,$B$124,DEALS!$E:$E,"&lt;="&amp;$U$126,DEALS!$S:$S,Y$128,DEALS!$U:$U,$T142,DEALS!$V:$V,"&lt;&gt;*RECEIVED*",DEALS!$V:$V,"&lt;&gt;*EXECUTED*"))</f>
        <v>0</v>
      </c>
      <c r="Z142" s="32" cm="1">
        <f t="array" ref="Z142">SUMIFS(BALANCES!$C:$C,BALANCES!$A:$A,$B$124,BALANCES!$B:$B,$T142,BALANCES!$D:$D,Z$128)+SUMIFS(FLOWS!$C:$C,FLOWS!$A:$A,$B$124,FLOWS!$E:$E,$T142,FLOWS!$D:$D,Z$128,FLOWS!$H:$H,"&lt;="&amp;$U$126)+SUM(SUMIFS(DEALS!$J:$J,DEALS!$A:$A,{"*REFUND*","*EXECUTED*"},DEALS!$G:$G,$B$124,DEALS!$E:$E,"&lt;="&amp;$U$126,DEALS!$K:$K,Z$128,DEALS!$M:$M,$T142,DEALS!$N:$N,"&lt;&gt;*RECEIVED*",DEALS!$N:$N,"&lt;&gt;*EXECUTED*"))+SUM(SUMIFS(DEALS!$R:$R,DEALS!$A:$A,{"*REFUND*","*EXECUTED*"},DEALS!$O:$O,$B$124,DEALS!$E:$E,"&lt;="&amp;$U$126,DEALS!$S:$S,Z$128,DEALS!$U:$U,$T142,DEALS!$V:$V,"&lt;&gt;*RECEIVED*",DEALS!$V:$V,"&lt;&gt;*EXECUTED*"))</f>
        <v>0</v>
      </c>
      <c r="AA142" s="33">
        <f ca="1">U142*VLOOKUP(U$128,'FX RATES'!$E$1:$F$50,2,FALSE)+V142*VLOOKUP(V$128,'FX RATES'!$E$1:$F$50,2,FALSE)+W142*VLOOKUP(W$128,'FX RATES'!$E$1:$F$50,2,FALSE)+X142*VLOOKUP(X$128,'FX RATES'!$E$1:$F$50,2,FALSE)+Y142*VLOOKUP(Y$128,'FX RATES'!$E$1:$F$50,2,FALSE)+Z142*VLOOKUP(Z$128,'FX RATES'!$E$1:$F$50,2,FALSE)</f>
        <v>0</v>
      </c>
      <c r="AC142" s="139">
        <f t="shared" ca="1" si="47"/>
        <v>0</v>
      </c>
    </row>
    <row r="143" spans="2:29" ht="18.75" hidden="1" customHeight="1">
      <c r="B143" s="28"/>
      <c r="C143" s="29" cm="1">
        <f t="array" ref="C143">SUMIFS(BALANCES!$C:$C,BALANCES!$A:$A,$B$124,BALANCES!$B:$B,$B143,BALANCES!$D:$D,C$128)+SUMIFS(FLOWS!$C:$C,FLOWS!$A:$A,$B$124,FLOWS!$E:$E,$B143,FLOWS!$D:$D,C$128,FLOWS!$H:$H,"&lt;"&amp;$C$126)+SUM(SUMIFS(DEALS!$J:$J,DEALS!$A:$A,{"*REFUND*","*EXECUTED*"},DEALS!$G:$G,$B$124,DEALS!$E:$E,"&lt;"&amp;$C$126,DEALS!$K:$K,C$128,DEALS!$M:$M,$B143,DEALS!$N:$N,"&lt;&gt;*RECEIVED*",DEALS!$N:$N,"&lt;&gt;*EXECUTED*"))+SUM(SUMIFS(DEALS!$R:$R,DEALS!$A:$A,{"*REFUND*","*EXECUTED*"},DEALS!$O:$O,$B$124,DEALS!$E:$E,"&lt;"&amp;$C$126,DEALS!$S:$S,C$128,DEALS!$U:$U,$B143,DEALS!$V:$V,"&lt;&gt;*RECEIVED*",DEALS!$V:$V,"&lt;&gt;*EXECUTED*"))</f>
        <v>0</v>
      </c>
      <c r="D143" s="29" cm="1">
        <f t="array" ref="D143">SUMIFS(BALANCES!$C:$C,BALANCES!$A:$A,$B$124,BALANCES!$B:$B,$B143,BALANCES!$D:$D,D$128)+SUMIFS(FLOWS!$C:$C,FLOWS!$A:$A,$B$124,FLOWS!$E:$E,$B143,FLOWS!$D:$D,D$128,FLOWS!$H:$H,"&lt;"&amp;$C$126)+SUM(SUMIFS(DEALS!$J:$J,DEALS!$A:$A,{"*REFUND*","*EXECUTED*"},DEALS!$G:$G,$B$124,DEALS!$E:$E,"&lt;"&amp;$C$126,DEALS!$K:$K,D$128,DEALS!$M:$M,$B143,DEALS!$N:$N,"&lt;&gt;*RECEIVED*",DEALS!$N:$N,"&lt;&gt;*EXECUTED*"))+SUM(SUMIFS(DEALS!$R:$R,DEALS!$A:$A,{"*REFUND*","*EXECUTED*"},DEALS!$O:$O,$B$124,DEALS!$E:$E,"&lt;"&amp;$C$126,DEALS!$S:$S,D$128,DEALS!$U:$U,$B143,DEALS!$V:$V,"&lt;&gt;*RECEIVED*",DEALS!$V:$V,"&lt;&gt;*EXECUTED*"))</f>
        <v>0</v>
      </c>
      <c r="E143" s="29" cm="1">
        <f t="array" ref="E143">SUMIFS(BALANCES!$C:$C,BALANCES!$A:$A,$B$124,BALANCES!$B:$B,$B143,BALANCES!$D:$D,E$128)+SUMIFS(FLOWS!$C:$C,FLOWS!$A:$A,$B$124,FLOWS!$E:$E,$B143,FLOWS!$D:$D,E$128,FLOWS!$H:$H,"&lt;"&amp;$C$126)+SUM(SUMIFS(DEALS!$J:$J,DEALS!$A:$A,{"*REFUND*","*EXECUTED*"},DEALS!$G:$G,$B$124,DEALS!$E:$E,"&lt;"&amp;$C$126,DEALS!$K:$K,E$128,DEALS!$M:$M,$B143,DEALS!$N:$N,"&lt;&gt;*RECEIVED*",DEALS!$N:$N,"&lt;&gt;*EXECUTED*"))+SUM(SUMIFS(DEALS!$R:$R,DEALS!$A:$A,{"*REFUND*","*EXECUTED*"},DEALS!$O:$O,$B$124,DEALS!$E:$E,"&lt;"&amp;$C$126,DEALS!$S:$S,E$128,DEALS!$U:$U,$B143,DEALS!$V:$V,"&lt;&gt;*RECEIVED*",DEALS!$V:$V,"&lt;&gt;*EXECUTED*"))</f>
        <v>0</v>
      </c>
      <c r="F143" s="29" cm="1">
        <f t="array" ref="F143">SUMIFS(BALANCES!$C:$C,BALANCES!$A:$A,$B$124,BALANCES!$B:$B,$B143,BALANCES!$D:$D,F$128)+SUMIFS(FLOWS!$C:$C,FLOWS!$A:$A,$B$124,FLOWS!$E:$E,$B143,FLOWS!$D:$D,F$128,FLOWS!$H:$H,"&lt;"&amp;$C$126)+SUM(SUMIFS(DEALS!$J:$J,DEALS!$A:$A,{"*REFUND*","*EXECUTED*"},DEALS!$G:$G,$B$124,DEALS!$E:$E,"&lt;"&amp;$C$126,DEALS!$K:$K,F$128,DEALS!$M:$M,$B143,DEALS!$N:$N,"&lt;&gt;*RECEIVED*",DEALS!$N:$N,"&lt;&gt;*EXECUTED*"))+SUM(SUMIFS(DEALS!$R:$R,DEALS!$A:$A,{"*REFUND*","*EXECUTED*"},DEALS!$O:$O,$B$124,DEALS!$E:$E,"&lt;"&amp;$C$126,DEALS!$S:$S,F$128,DEALS!$U:$U,$B143,DEALS!$V:$V,"&lt;&gt;*RECEIVED*",DEALS!$V:$V,"&lt;&gt;*EXECUTED*"))</f>
        <v>0</v>
      </c>
      <c r="G143" s="29" cm="1">
        <f t="array" ref="G143">SUMIFS(BALANCES!$C:$C,BALANCES!$A:$A,$B$124,BALANCES!$B:$B,$B143,BALANCES!$D:$D,G$128)+SUMIFS(FLOWS!$C:$C,FLOWS!$A:$A,$B$124,FLOWS!$E:$E,$B143,FLOWS!$D:$D,G$128,FLOWS!$H:$H,"&lt;"&amp;$C$126)+SUM(SUMIFS(DEALS!$J:$J,DEALS!$A:$A,{"*REFUND*","*EXECUTED*"},DEALS!$G:$G,$B$124,DEALS!$E:$E,"&lt;"&amp;$C$126,DEALS!$K:$K,G$128,DEALS!$M:$M,$B143,DEALS!$N:$N,"&lt;&gt;*RECEIVED*",DEALS!$N:$N,"&lt;&gt;*EXECUTED*"))+SUM(SUMIFS(DEALS!$R:$R,DEALS!$A:$A,{"*REFUND*","*EXECUTED*"},DEALS!$O:$O,$B$124,DEALS!$E:$E,"&lt;"&amp;$C$126,DEALS!$S:$S,G$128,DEALS!$U:$U,$B143,DEALS!$V:$V,"&lt;&gt;*RECEIVED*",DEALS!$V:$V,"&lt;&gt;*EXECUTED*"))</f>
        <v>0</v>
      </c>
      <c r="H143" s="29" cm="1">
        <f t="array" ref="H143">SUMIFS(BALANCES!$C:$C,BALANCES!$A:$A,$B$124,BALANCES!$B:$B,$B143,BALANCES!$D:$D,H$128)+SUMIFS(FLOWS!$C:$C,FLOWS!$A:$A,$B$124,FLOWS!$E:$E,$B143,FLOWS!$D:$D,H$128,FLOWS!$H:$H,"&lt;"&amp;$C$126)+SUM(SUMIFS(DEALS!$J:$J,DEALS!$A:$A,{"*REFUND*","*EXECUTED*"},DEALS!$G:$G,$B$124,DEALS!$E:$E,"&lt;"&amp;$C$126,DEALS!$K:$K,H$128,DEALS!$M:$M,$B143,DEALS!$N:$N,"&lt;&gt;*RECEIVED*",DEALS!$N:$N,"&lt;&gt;*EXECUTED*"))+SUM(SUMIFS(DEALS!$R:$R,DEALS!$A:$A,{"*REFUND*","*EXECUTED*"},DEALS!$O:$O,$B$124,DEALS!$E:$E,"&lt;"&amp;$C$126,DEALS!$S:$S,H$128,DEALS!$U:$U,$B143,DEALS!$V:$V,"&lt;&gt;*RECEIVED*",DEALS!$V:$V,"&lt;&gt;*EXECUTED*"))</f>
        <v>0</v>
      </c>
      <c r="I143" s="30">
        <f ca="1">C143*VLOOKUP(C$128,'FX RATES'!$E$1:$F$50,2,FALSE)+D143*VLOOKUP(D$128,'FX RATES'!$E$1:$F$50,2,FALSE)+E143*VLOOKUP(E$128,'FX RATES'!$E$1:$F$50,2,FALSE)+F143*VLOOKUP(F$128,'FX RATES'!$E$1:$F$50,2,FALSE)+G143*VLOOKUP(G$128,'FX RATES'!$E$1:$F$50,2,FALSE)+H143*VLOOKUP(H$128,'FX RATES'!$E$1:$F$50,2,FALSE)</f>
        <v>0</v>
      </c>
      <c r="K143" s="28">
        <f t="shared" si="45"/>
        <v>0</v>
      </c>
      <c r="L143" s="29" cm="1">
        <f t="array" ref="L143">SUMIFS(FLOWS!$C:$C,FLOWS!$A:$A,$B$124,FLOWS!$E:$E,$K143,FLOWS!$D:$D,L$128,FLOWS!$H:$H,"&gt;="&amp;$C$126,FLOWS!$H:$H,"&lt;="&amp;$U$126)+SUM(SUMIFS(DEALS!$J:$J,DEALS!$A:$A,{"*REFUND*","*EXECUTED*"},DEALS!$G:$G,$B$124,DEALS!$E:$E,"&gt;="&amp;$C$126,DEALS!$E:$E,"&lt;="&amp;$U$126,DEALS!$K:$K,L$128,DEALS!$M:$M,$K143,DEALS!$N:$N,"&lt;&gt;*RECEIVED*",DEALS!$N:$N,"&lt;&gt;*EXECUTED*"))+SUM(SUMIFS(DEALS!$R:$R,DEALS!$A:$A,{"*REFUND*","*EXECUTED*"},DEALS!$O:$O,$B$124,DEALS!$E:$E,"&gt;="&amp;$C$126,DEALS!$E:$E,"&lt;="&amp;$U$126,DEALS!$S:$S,L$128,DEALS!$U:$U,$K143,DEALS!$V:$V,"&lt;&gt;*RECEIVED*",DEALS!$V:$V,"&lt;&gt;*EXECUTED*"))</f>
        <v>0</v>
      </c>
      <c r="M143" s="29" cm="1">
        <f t="array" ref="M143">SUMIFS(FLOWS!$C:$C,FLOWS!$A:$A,$B$124,FLOWS!$E:$E,$K143,FLOWS!$D:$D,M$128,FLOWS!$H:$H,"&gt;="&amp;$C$126,FLOWS!$H:$H,"&lt;="&amp;$U$126)+SUM(SUMIFS(DEALS!$J:$J,DEALS!$A:$A,{"*REFUND*","*EXECUTED*"},DEALS!$G:$G,$B$124,DEALS!$E:$E,"&gt;="&amp;$C$126,DEALS!$E:$E,"&lt;="&amp;$U$126,DEALS!$K:$K,M$128,DEALS!$M:$M,$K143,DEALS!$N:$N,"&lt;&gt;*RECEIVED*",DEALS!$N:$N,"&lt;&gt;*EXECUTED*"))+SUM(SUMIFS(DEALS!$R:$R,DEALS!$A:$A,{"*REFUND*","*EXECUTED*"},DEALS!$O:$O,$B$124,DEALS!$E:$E,"&gt;="&amp;$C$126,DEALS!$E:$E,"&lt;="&amp;$U$126,DEALS!$S:$S,M$128,DEALS!$U:$U,$K143,DEALS!$V:$V,"&lt;&gt;*RECEIVED*",DEALS!$V:$V,"&lt;&gt;*EXECUTED*"))</f>
        <v>0</v>
      </c>
      <c r="N143" s="29" cm="1">
        <f t="array" ref="N143">SUMIFS(FLOWS!$C:$C,FLOWS!$A:$A,$B$124,FLOWS!$E:$E,$K143,FLOWS!$D:$D,N$128,FLOWS!$H:$H,"&gt;="&amp;$C$126,FLOWS!$H:$H,"&lt;="&amp;$U$126)+SUM(SUMIFS(DEALS!$J:$J,DEALS!$A:$A,{"*REFUND*","*EXECUTED*"},DEALS!$G:$G,$B$124,DEALS!$E:$E,"&gt;="&amp;$C$126,DEALS!$E:$E,"&lt;="&amp;$U$126,DEALS!$K:$K,N$128,DEALS!$M:$M,$K143,DEALS!$N:$N,"&lt;&gt;*RECEIVED*",DEALS!$N:$N,"&lt;&gt;*EXECUTED*"))+SUM(SUMIFS(DEALS!$R:$R,DEALS!$A:$A,{"*REFUND*","*EXECUTED*"},DEALS!$O:$O,$B$124,DEALS!$E:$E,"&gt;="&amp;$C$126,DEALS!$E:$E,"&lt;="&amp;$U$126,DEALS!$S:$S,N$128,DEALS!$U:$U,$K143,DEALS!$V:$V,"&lt;&gt;*RECEIVED*",DEALS!$V:$V,"&lt;&gt;*EXECUTED*"))</f>
        <v>0</v>
      </c>
      <c r="O143" s="29" cm="1">
        <f t="array" ref="O143">SUMIFS(FLOWS!$C:$C,FLOWS!$A:$A,$B$124,FLOWS!$E:$E,$K143,FLOWS!$D:$D,O$128,FLOWS!$H:$H,"&gt;="&amp;$C$126,FLOWS!$H:$H,"&lt;="&amp;$U$126)+SUM(SUMIFS(DEALS!$J:$J,DEALS!$A:$A,{"*REFUND*","*EXECUTED*"},DEALS!$G:$G,$B$124,DEALS!$E:$E,"&gt;="&amp;$C$126,DEALS!$E:$E,"&lt;="&amp;$U$126,DEALS!$K:$K,O$128,DEALS!$M:$M,$K143,DEALS!$N:$N,"&lt;&gt;*RECEIVED*",DEALS!$N:$N,"&lt;&gt;*EXECUTED*"))+SUM(SUMIFS(DEALS!$R:$R,DEALS!$A:$A,{"*REFUND*","*EXECUTED*"},DEALS!$O:$O,$B$124,DEALS!$E:$E,"&gt;="&amp;$C$126,DEALS!$E:$E,"&lt;="&amp;$U$126,DEALS!$S:$S,O$128,DEALS!$U:$U,$K143,DEALS!$V:$V,"&lt;&gt;*RECEIVED*",DEALS!$V:$V,"&lt;&gt;*EXECUTED*"))</f>
        <v>0</v>
      </c>
      <c r="P143" s="29" cm="1">
        <f t="array" ref="P143">SUMIFS(FLOWS!$C:$C,FLOWS!$A:$A,$B$124,FLOWS!$E:$E,$K143,FLOWS!$D:$D,P$128,FLOWS!$H:$H,"&gt;="&amp;$C$126,FLOWS!$H:$H,"&lt;="&amp;$U$126)+SUM(SUMIFS(DEALS!$J:$J,DEALS!$A:$A,{"*REFUND*","*EXECUTED*"},DEALS!$G:$G,$B$124,DEALS!$E:$E,"&gt;="&amp;$C$126,DEALS!$E:$E,"&lt;="&amp;$U$126,DEALS!$K:$K,P$128,DEALS!$M:$M,$K143,DEALS!$N:$N,"&lt;&gt;*RECEIVED*",DEALS!$N:$N,"&lt;&gt;*EXECUTED*"))+SUM(SUMIFS(DEALS!$R:$R,DEALS!$A:$A,{"*REFUND*","*EXECUTED*"},DEALS!$O:$O,$B$124,DEALS!$E:$E,"&gt;="&amp;$C$126,DEALS!$E:$E,"&lt;="&amp;$U$126,DEALS!$S:$S,P$128,DEALS!$U:$U,$K143,DEALS!$V:$V,"&lt;&gt;*RECEIVED*",DEALS!$V:$V,"&lt;&gt;*EXECUTED*"))</f>
        <v>0</v>
      </c>
      <c r="Q143" s="29" cm="1">
        <f t="array" ref="Q143">SUMIFS(FLOWS!$C:$C,FLOWS!$A:$A,$B$124,FLOWS!$E:$E,$K143,FLOWS!$D:$D,Q$128,FLOWS!$H:$H,"&gt;="&amp;$C$126,FLOWS!$H:$H,"&lt;="&amp;$U$126)+SUM(SUMIFS(DEALS!$J:$J,DEALS!$A:$A,{"*REFUND*","*EXECUTED*"},DEALS!$G:$G,$B$124,DEALS!$E:$E,"&gt;="&amp;$C$126,DEALS!$E:$E,"&lt;="&amp;$U$126,DEALS!$K:$K,Q$128,DEALS!$M:$M,$K143,DEALS!$N:$N,"&lt;&gt;*RECEIVED*",DEALS!$N:$N,"&lt;&gt;*EXECUTED*"))+SUM(SUMIFS(DEALS!$R:$R,DEALS!$A:$A,{"*REFUND*","*EXECUTED*"},DEALS!$O:$O,$B$124,DEALS!$E:$E,"&gt;="&amp;$C$126,DEALS!$E:$E,"&lt;="&amp;$U$126,DEALS!$S:$S,Q$128,DEALS!$U:$U,$K143,DEALS!$V:$V,"&lt;&gt;*RECEIVED*",DEALS!$V:$V,"&lt;&gt;*EXECUTED*"))</f>
        <v>0</v>
      </c>
      <c r="R143" s="30">
        <f ca="1">L143*VLOOKUP(L$128,'FX RATES'!$E$1:$F$50,2,FALSE)+M143*VLOOKUP(M$128,'FX RATES'!$E$1:$F$50,2,FALSE)+N143*VLOOKUP(N$128,'FX RATES'!$E$1:$F$50,2,FALSE)+O143*VLOOKUP(O$128,'FX RATES'!$E$1:$F$50,2,FALSE)+P143*VLOOKUP(P$128,'FX RATES'!$E$1:$F$50,2,FALSE)+Q143*VLOOKUP(Q$128,'FX RATES'!$E$1:$F$50,2,FALSE)</f>
        <v>0</v>
      </c>
      <c r="T143" s="28">
        <f t="shared" si="46"/>
        <v>0</v>
      </c>
      <c r="U143" s="29" cm="1">
        <f t="array" ref="U143">SUMIFS(BALANCES!$C:$C,BALANCES!$A:$A,$B$124,BALANCES!$B:$B,$T143,BALANCES!$D:$D,U$128)+SUMIFS(FLOWS!$C:$C,FLOWS!$A:$A,$B$124,FLOWS!$E:$E,$T143,FLOWS!$D:$D,U$128,FLOWS!$H:$H,"&lt;="&amp;$U$126)+SUM(SUMIFS(DEALS!$J:$J,DEALS!$A:$A,{"*REFUND*","*EXECUTED*"},DEALS!$G:$G,$B$124,DEALS!$E:$E,"&lt;="&amp;$U$126,DEALS!$K:$K,U$128,DEALS!$M:$M,$T143,DEALS!$N:$N,"&lt;&gt;*RECEIVED*",DEALS!$N:$N,"&lt;&gt;*EXECUTED*"))+SUM(SUMIFS(DEALS!$R:$R,DEALS!$A:$A,{"*REFUND*","*EXECUTED*"},DEALS!$O:$O,$B$124,DEALS!$E:$E,"&lt;="&amp;$U$126,DEALS!$S:$S,U$128,DEALS!$U:$U,$T143,DEALS!$V:$V,"&lt;&gt;*RECEIVED*",DEALS!$V:$V,"&lt;&gt;*EXECUTED*"))</f>
        <v>0</v>
      </c>
      <c r="V143" s="29" cm="1">
        <f t="array" ref="V143">SUMIFS(BALANCES!$C:$C,BALANCES!$A:$A,$B$124,BALANCES!$B:$B,$T143,BALANCES!$D:$D,V$128)+SUMIFS(FLOWS!$C:$C,FLOWS!$A:$A,$B$124,FLOWS!$E:$E,$T143,FLOWS!$D:$D,V$128,FLOWS!$H:$H,"&lt;="&amp;$U$126)+SUM(SUMIFS(DEALS!$J:$J,DEALS!$A:$A,{"*REFUND*","*EXECUTED*"},DEALS!$G:$G,$B$124,DEALS!$E:$E,"&lt;="&amp;$U$126,DEALS!$K:$K,V$128,DEALS!$M:$M,$T143,DEALS!$N:$N,"&lt;&gt;*RECEIVED*",DEALS!$N:$N,"&lt;&gt;*EXECUTED*"))+SUM(SUMIFS(DEALS!$R:$R,DEALS!$A:$A,{"*REFUND*","*EXECUTED*"},DEALS!$O:$O,$B$124,DEALS!$E:$E,"&lt;="&amp;$U$126,DEALS!$S:$S,V$128,DEALS!$U:$U,$T143,DEALS!$V:$V,"&lt;&gt;*RECEIVED*",DEALS!$V:$V,"&lt;&gt;*EXECUTED*"))</f>
        <v>0</v>
      </c>
      <c r="W143" s="29" cm="1">
        <f t="array" ref="W143">SUMIFS(BALANCES!$C:$C,BALANCES!$A:$A,$B$124,BALANCES!$B:$B,$T143,BALANCES!$D:$D,W$128)+SUMIFS(FLOWS!$C:$C,FLOWS!$A:$A,$B$124,FLOWS!$E:$E,$T143,FLOWS!$D:$D,W$128,FLOWS!$H:$H,"&lt;="&amp;$U$126)+SUM(SUMIFS(DEALS!$J:$J,DEALS!$A:$A,{"*REFUND*","*EXECUTED*"},DEALS!$G:$G,$B$124,DEALS!$E:$E,"&lt;="&amp;$U$126,DEALS!$K:$K,W$128,DEALS!$M:$M,$T143,DEALS!$N:$N,"&lt;&gt;*RECEIVED*",DEALS!$N:$N,"&lt;&gt;*EXECUTED*"))+SUM(SUMIFS(DEALS!$R:$R,DEALS!$A:$A,{"*REFUND*","*EXECUTED*"},DEALS!$O:$O,$B$124,DEALS!$E:$E,"&lt;="&amp;$U$126,DEALS!$S:$S,W$128,DEALS!$U:$U,$T143,DEALS!$V:$V,"&lt;&gt;*RECEIVED*",DEALS!$V:$V,"&lt;&gt;*EXECUTED*"))</f>
        <v>0</v>
      </c>
      <c r="X143" s="29" cm="1">
        <f t="array" ref="X143">SUMIFS(BALANCES!$C:$C,BALANCES!$A:$A,$B$124,BALANCES!$B:$B,$T143,BALANCES!$D:$D,X$128)+SUMIFS(FLOWS!$C:$C,FLOWS!$A:$A,$B$124,FLOWS!$E:$E,$T143,FLOWS!$D:$D,X$128,FLOWS!$H:$H,"&lt;="&amp;$U$126)+SUM(SUMIFS(DEALS!$J:$J,DEALS!$A:$A,{"*REFUND*","*EXECUTED*"},DEALS!$G:$G,$B$124,DEALS!$E:$E,"&lt;="&amp;$U$126,DEALS!$K:$K,X$128,DEALS!$M:$M,$T143,DEALS!$N:$N,"&lt;&gt;*RECEIVED*",DEALS!$N:$N,"&lt;&gt;*EXECUTED*"))+SUM(SUMIFS(DEALS!$R:$R,DEALS!$A:$A,{"*REFUND*","*EXECUTED*"},DEALS!$O:$O,$B$124,DEALS!$E:$E,"&lt;="&amp;$U$126,DEALS!$S:$S,X$128,DEALS!$U:$U,$T143,DEALS!$V:$V,"&lt;&gt;*RECEIVED*",DEALS!$V:$V,"&lt;&gt;*EXECUTED*"))</f>
        <v>0</v>
      </c>
      <c r="Y143" s="29" cm="1">
        <f t="array" ref="Y143">SUMIFS(BALANCES!$C:$C,BALANCES!$A:$A,$B$124,BALANCES!$B:$B,$T143,BALANCES!$D:$D,Y$128)+SUMIFS(FLOWS!$C:$C,FLOWS!$A:$A,$B$124,FLOWS!$E:$E,$T143,FLOWS!$D:$D,Y$128,FLOWS!$H:$H,"&lt;="&amp;$U$126)+SUM(SUMIFS(DEALS!$J:$J,DEALS!$A:$A,{"*REFUND*","*EXECUTED*"},DEALS!$G:$G,$B$124,DEALS!$E:$E,"&lt;="&amp;$U$126,DEALS!$K:$K,Y$128,DEALS!$M:$M,$T143,DEALS!$N:$N,"&lt;&gt;*RECEIVED*",DEALS!$N:$N,"&lt;&gt;*EXECUTED*"))+SUM(SUMIFS(DEALS!$R:$R,DEALS!$A:$A,{"*REFUND*","*EXECUTED*"},DEALS!$O:$O,$B$124,DEALS!$E:$E,"&lt;="&amp;$U$126,DEALS!$S:$S,Y$128,DEALS!$U:$U,$T143,DEALS!$V:$V,"&lt;&gt;*RECEIVED*",DEALS!$V:$V,"&lt;&gt;*EXECUTED*"))</f>
        <v>0</v>
      </c>
      <c r="Z143" s="29" cm="1">
        <f t="array" ref="Z143">SUMIFS(BALANCES!$C:$C,BALANCES!$A:$A,$B$124,BALANCES!$B:$B,$T143,BALANCES!$D:$D,Z$128)+SUMIFS(FLOWS!$C:$C,FLOWS!$A:$A,$B$124,FLOWS!$E:$E,$T143,FLOWS!$D:$D,Z$128,FLOWS!$H:$H,"&lt;="&amp;$U$126)+SUM(SUMIFS(DEALS!$J:$J,DEALS!$A:$A,{"*REFUND*","*EXECUTED*"},DEALS!$G:$G,$B$124,DEALS!$E:$E,"&lt;="&amp;$U$126,DEALS!$K:$K,Z$128,DEALS!$M:$M,$T143,DEALS!$N:$N,"&lt;&gt;*RECEIVED*",DEALS!$N:$N,"&lt;&gt;*EXECUTED*"))+SUM(SUMIFS(DEALS!$R:$R,DEALS!$A:$A,{"*REFUND*","*EXECUTED*"},DEALS!$O:$O,$B$124,DEALS!$E:$E,"&lt;="&amp;$U$126,DEALS!$S:$S,Z$128,DEALS!$U:$U,$T143,DEALS!$V:$V,"&lt;&gt;*RECEIVED*",DEALS!$V:$V,"&lt;&gt;*EXECUTED*"))</f>
        <v>0</v>
      </c>
      <c r="AA143" s="30">
        <f ca="1">U143*VLOOKUP(U$128,'FX RATES'!$E$1:$F$50,2,FALSE)+V143*VLOOKUP(V$128,'FX RATES'!$E$1:$F$50,2,FALSE)+W143*VLOOKUP(W$128,'FX RATES'!$E$1:$F$50,2,FALSE)+X143*VLOOKUP(X$128,'FX RATES'!$E$1:$F$50,2,FALSE)+Y143*VLOOKUP(Y$128,'FX RATES'!$E$1:$F$50,2,FALSE)+Z143*VLOOKUP(Z$128,'FX RATES'!$E$1:$F$50,2,FALSE)</f>
        <v>0</v>
      </c>
      <c r="AC143" s="139">
        <f t="shared" ca="1" si="47"/>
        <v>0</v>
      </c>
    </row>
    <row r="144" spans="2:29" ht="18.75" hidden="1" customHeight="1">
      <c r="B144" s="31"/>
      <c r="C144" s="32" cm="1">
        <f t="array" ref="C144">SUMIFS(BALANCES!$C:$C,BALANCES!$A:$A,$B$124,BALANCES!$B:$B,$B144,BALANCES!$D:$D,C$128)+SUMIFS(FLOWS!$C:$C,FLOWS!$A:$A,$B$124,FLOWS!$E:$E,$B144,FLOWS!$D:$D,C$128,FLOWS!$H:$H,"&lt;"&amp;$C$126)+SUM(SUMIFS(DEALS!$J:$J,DEALS!$A:$A,{"*REFUND*","*EXECUTED*"},DEALS!$G:$G,$B$124,DEALS!$E:$E,"&lt;"&amp;$C$126,DEALS!$K:$K,C$128,DEALS!$M:$M,$B144,DEALS!$N:$N,"&lt;&gt;*RECEIVED*",DEALS!$N:$N,"&lt;&gt;*EXECUTED*"))+SUM(SUMIFS(DEALS!$R:$R,DEALS!$A:$A,{"*REFUND*","*EXECUTED*"},DEALS!$O:$O,$B$124,DEALS!$E:$E,"&lt;"&amp;$C$126,DEALS!$S:$S,C$128,DEALS!$U:$U,$B144,DEALS!$V:$V,"&lt;&gt;*RECEIVED*",DEALS!$V:$V,"&lt;&gt;*EXECUTED*"))</f>
        <v>0</v>
      </c>
      <c r="D144" s="32" cm="1">
        <f t="array" ref="D144">SUMIFS(BALANCES!$C:$C,BALANCES!$A:$A,$B$124,BALANCES!$B:$B,$B144,BALANCES!$D:$D,D$128)+SUMIFS(FLOWS!$C:$C,FLOWS!$A:$A,$B$124,FLOWS!$E:$E,$B144,FLOWS!$D:$D,D$128,FLOWS!$H:$H,"&lt;"&amp;$C$126)+SUM(SUMIFS(DEALS!$J:$J,DEALS!$A:$A,{"*REFUND*","*EXECUTED*"},DEALS!$G:$G,$B$124,DEALS!$E:$E,"&lt;"&amp;$C$126,DEALS!$K:$K,D$128,DEALS!$M:$M,$B144,DEALS!$N:$N,"&lt;&gt;*RECEIVED*",DEALS!$N:$N,"&lt;&gt;*EXECUTED*"))+SUM(SUMIFS(DEALS!$R:$R,DEALS!$A:$A,{"*REFUND*","*EXECUTED*"},DEALS!$O:$O,$B$124,DEALS!$E:$E,"&lt;"&amp;$C$126,DEALS!$S:$S,D$128,DEALS!$U:$U,$B144,DEALS!$V:$V,"&lt;&gt;*RECEIVED*",DEALS!$V:$V,"&lt;&gt;*EXECUTED*"))</f>
        <v>0</v>
      </c>
      <c r="E144" s="32" cm="1">
        <f t="array" ref="E144">SUMIFS(BALANCES!$C:$C,BALANCES!$A:$A,$B$124,BALANCES!$B:$B,$B144,BALANCES!$D:$D,E$128)+SUMIFS(FLOWS!$C:$C,FLOWS!$A:$A,$B$124,FLOWS!$E:$E,$B144,FLOWS!$D:$D,E$128,FLOWS!$H:$H,"&lt;"&amp;$C$126)+SUM(SUMIFS(DEALS!$J:$J,DEALS!$A:$A,{"*REFUND*","*EXECUTED*"},DEALS!$G:$G,$B$124,DEALS!$E:$E,"&lt;"&amp;$C$126,DEALS!$K:$K,E$128,DEALS!$M:$M,$B144,DEALS!$N:$N,"&lt;&gt;*RECEIVED*",DEALS!$N:$N,"&lt;&gt;*EXECUTED*"))+SUM(SUMIFS(DEALS!$R:$R,DEALS!$A:$A,{"*REFUND*","*EXECUTED*"},DEALS!$O:$O,$B$124,DEALS!$E:$E,"&lt;"&amp;$C$126,DEALS!$S:$S,E$128,DEALS!$U:$U,$B144,DEALS!$V:$V,"&lt;&gt;*RECEIVED*",DEALS!$V:$V,"&lt;&gt;*EXECUTED*"))</f>
        <v>0</v>
      </c>
      <c r="F144" s="32" cm="1">
        <f t="array" ref="F144">SUMIFS(BALANCES!$C:$C,BALANCES!$A:$A,$B$124,BALANCES!$B:$B,$B144,BALANCES!$D:$D,F$128)+SUMIFS(FLOWS!$C:$C,FLOWS!$A:$A,$B$124,FLOWS!$E:$E,$B144,FLOWS!$D:$D,F$128,FLOWS!$H:$H,"&lt;"&amp;$C$126)+SUM(SUMIFS(DEALS!$J:$J,DEALS!$A:$A,{"*REFUND*","*EXECUTED*"},DEALS!$G:$G,$B$124,DEALS!$E:$E,"&lt;"&amp;$C$126,DEALS!$K:$K,F$128,DEALS!$M:$M,$B144,DEALS!$N:$N,"&lt;&gt;*RECEIVED*",DEALS!$N:$N,"&lt;&gt;*EXECUTED*"))+SUM(SUMIFS(DEALS!$R:$R,DEALS!$A:$A,{"*REFUND*","*EXECUTED*"},DEALS!$O:$O,$B$124,DEALS!$E:$E,"&lt;"&amp;$C$126,DEALS!$S:$S,F$128,DEALS!$U:$U,$B144,DEALS!$V:$V,"&lt;&gt;*RECEIVED*",DEALS!$V:$V,"&lt;&gt;*EXECUTED*"))</f>
        <v>0</v>
      </c>
      <c r="G144" s="32" cm="1">
        <f t="array" ref="G144">SUMIFS(BALANCES!$C:$C,BALANCES!$A:$A,$B$124,BALANCES!$B:$B,$B144,BALANCES!$D:$D,G$128)+SUMIFS(FLOWS!$C:$C,FLOWS!$A:$A,$B$124,FLOWS!$E:$E,$B144,FLOWS!$D:$D,G$128,FLOWS!$H:$H,"&lt;"&amp;$C$126)+SUM(SUMIFS(DEALS!$J:$J,DEALS!$A:$A,{"*REFUND*","*EXECUTED*"},DEALS!$G:$G,$B$124,DEALS!$E:$E,"&lt;"&amp;$C$126,DEALS!$K:$K,G$128,DEALS!$M:$M,$B144,DEALS!$N:$N,"&lt;&gt;*RECEIVED*",DEALS!$N:$N,"&lt;&gt;*EXECUTED*"))+SUM(SUMIFS(DEALS!$R:$R,DEALS!$A:$A,{"*REFUND*","*EXECUTED*"},DEALS!$O:$O,$B$124,DEALS!$E:$E,"&lt;"&amp;$C$126,DEALS!$S:$S,G$128,DEALS!$U:$U,$B144,DEALS!$V:$V,"&lt;&gt;*RECEIVED*",DEALS!$V:$V,"&lt;&gt;*EXECUTED*"))</f>
        <v>0</v>
      </c>
      <c r="H144" s="32" cm="1">
        <f t="array" ref="H144">SUMIFS(BALANCES!$C:$C,BALANCES!$A:$A,$B$124,BALANCES!$B:$B,$B144,BALANCES!$D:$D,H$128)+SUMIFS(FLOWS!$C:$C,FLOWS!$A:$A,$B$124,FLOWS!$E:$E,$B144,FLOWS!$D:$D,H$128,FLOWS!$H:$H,"&lt;"&amp;$C$126)+SUM(SUMIFS(DEALS!$J:$J,DEALS!$A:$A,{"*REFUND*","*EXECUTED*"},DEALS!$G:$G,$B$124,DEALS!$E:$E,"&lt;"&amp;$C$126,DEALS!$K:$K,H$128,DEALS!$M:$M,$B144,DEALS!$N:$N,"&lt;&gt;*RECEIVED*",DEALS!$N:$N,"&lt;&gt;*EXECUTED*"))+SUM(SUMIFS(DEALS!$R:$R,DEALS!$A:$A,{"*REFUND*","*EXECUTED*"},DEALS!$O:$O,$B$124,DEALS!$E:$E,"&lt;"&amp;$C$126,DEALS!$S:$S,H$128,DEALS!$U:$U,$B144,DEALS!$V:$V,"&lt;&gt;*RECEIVED*",DEALS!$V:$V,"&lt;&gt;*EXECUTED*"))</f>
        <v>0</v>
      </c>
      <c r="I144" s="33">
        <f ca="1">C144*VLOOKUP(C$128,'FX RATES'!$E$1:$F$50,2,FALSE)+D144*VLOOKUP(D$128,'FX RATES'!$E$1:$F$50,2,FALSE)+E144*VLOOKUP(E$128,'FX RATES'!$E$1:$F$50,2,FALSE)+F144*VLOOKUP(F$128,'FX RATES'!$E$1:$F$50,2,FALSE)+G144*VLOOKUP(G$128,'FX RATES'!$E$1:$F$50,2,FALSE)+H144*VLOOKUP(H$128,'FX RATES'!$E$1:$F$50,2,FALSE)</f>
        <v>0</v>
      </c>
      <c r="K144" s="31">
        <f t="shared" si="45"/>
        <v>0</v>
      </c>
      <c r="L144" s="32" cm="1">
        <f t="array" ref="L144">SUMIFS(FLOWS!$C:$C,FLOWS!$A:$A,$B$124,FLOWS!$E:$E,$K144,FLOWS!$D:$D,L$128,FLOWS!$H:$H,"&gt;="&amp;$C$126,FLOWS!$H:$H,"&lt;="&amp;$U$126)+SUM(SUMIFS(DEALS!$J:$J,DEALS!$A:$A,{"*REFUND*","*EXECUTED*"},DEALS!$G:$G,$B$124,DEALS!$E:$E,"&gt;="&amp;$C$126,DEALS!$E:$E,"&lt;="&amp;$U$126,DEALS!$K:$K,L$128,DEALS!$M:$M,$K144,DEALS!$N:$N,"&lt;&gt;*RECEIVED*",DEALS!$N:$N,"&lt;&gt;*EXECUTED*"))+SUM(SUMIFS(DEALS!$R:$R,DEALS!$A:$A,{"*REFUND*","*EXECUTED*"},DEALS!$O:$O,$B$124,DEALS!$E:$E,"&gt;="&amp;$C$126,DEALS!$E:$E,"&lt;="&amp;$U$126,DEALS!$S:$S,L$128,DEALS!$U:$U,$K144,DEALS!$V:$V,"&lt;&gt;*RECEIVED*",DEALS!$V:$V,"&lt;&gt;*EXECUTED*"))</f>
        <v>0</v>
      </c>
      <c r="M144" s="32" cm="1">
        <f t="array" ref="M144">SUMIFS(FLOWS!$C:$C,FLOWS!$A:$A,$B$124,FLOWS!$E:$E,$K144,FLOWS!$D:$D,M$128,FLOWS!$H:$H,"&gt;="&amp;$C$126,FLOWS!$H:$H,"&lt;="&amp;$U$126)+SUM(SUMIFS(DEALS!$J:$J,DEALS!$A:$A,{"*REFUND*","*EXECUTED*"},DEALS!$G:$G,$B$124,DEALS!$E:$E,"&gt;="&amp;$C$126,DEALS!$E:$E,"&lt;="&amp;$U$126,DEALS!$K:$K,M$128,DEALS!$M:$M,$K144,DEALS!$N:$N,"&lt;&gt;*RECEIVED*",DEALS!$N:$N,"&lt;&gt;*EXECUTED*"))+SUM(SUMIFS(DEALS!$R:$R,DEALS!$A:$A,{"*REFUND*","*EXECUTED*"},DEALS!$O:$O,$B$124,DEALS!$E:$E,"&gt;="&amp;$C$126,DEALS!$E:$E,"&lt;="&amp;$U$126,DEALS!$S:$S,M$128,DEALS!$U:$U,$K144,DEALS!$V:$V,"&lt;&gt;*RECEIVED*",DEALS!$V:$V,"&lt;&gt;*EXECUTED*"))</f>
        <v>0</v>
      </c>
      <c r="N144" s="32" cm="1">
        <f t="array" ref="N144">SUMIFS(FLOWS!$C:$C,FLOWS!$A:$A,$B$124,FLOWS!$E:$E,$K144,FLOWS!$D:$D,N$128,FLOWS!$H:$H,"&gt;="&amp;$C$126,FLOWS!$H:$H,"&lt;="&amp;$U$126)+SUM(SUMIFS(DEALS!$J:$J,DEALS!$A:$A,{"*REFUND*","*EXECUTED*"},DEALS!$G:$G,$B$124,DEALS!$E:$E,"&gt;="&amp;$C$126,DEALS!$E:$E,"&lt;="&amp;$U$126,DEALS!$K:$K,N$128,DEALS!$M:$M,$K144,DEALS!$N:$N,"&lt;&gt;*RECEIVED*",DEALS!$N:$N,"&lt;&gt;*EXECUTED*"))+SUM(SUMIFS(DEALS!$R:$R,DEALS!$A:$A,{"*REFUND*","*EXECUTED*"},DEALS!$O:$O,$B$124,DEALS!$E:$E,"&gt;="&amp;$C$126,DEALS!$E:$E,"&lt;="&amp;$U$126,DEALS!$S:$S,N$128,DEALS!$U:$U,$K144,DEALS!$V:$V,"&lt;&gt;*RECEIVED*",DEALS!$V:$V,"&lt;&gt;*EXECUTED*"))</f>
        <v>0</v>
      </c>
      <c r="O144" s="32" cm="1">
        <f t="array" ref="O144">SUMIFS(FLOWS!$C:$C,FLOWS!$A:$A,$B$124,FLOWS!$E:$E,$K144,FLOWS!$D:$D,O$128,FLOWS!$H:$H,"&gt;="&amp;$C$126,FLOWS!$H:$H,"&lt;="&amp;$U$126)+SUM(SUMIFS(DEALS!$J:$J,DEALS!$A:$A,{"*REFUND*","*EXECUTED*"},DEALS!$G:$G,$B$124,DEALS!$E:$E,"&gt;="&amp;$C$126,DEALS!$E:$E,"&lt;="&amp;$U$126,DEALS!$K:$K,O$128,DEALS!$M:$M,$K144,DEALS!$N:$N,"&lt;&gt;*RECEIVED*",DEALS!$N:$N,"&lt;&gt;*EXECUTED*"))+SUM(SUMIFS(DEALS!$R:$R,DEALS!$A:$A,{"*REFUND*","*EXECUTED*"},DEALS!$O:$O,$B$124,DEALS!$E:$E,"&gt;="&amp;$C$126,DEALS!$E:$E,"&lt;="&amp;$U$126,DEALS!$S:$S,O$128,DEALS!$U:$U,$K144,DEALS!$V:$V,"&lt;&gt;*RECEIVED*",DEALS!$V:$V,"&lt;&gt;*EXECUTED*"))</f>
        <v>0</v>
      </c>
      <c r="P144" s="32" cm="1">
        <f t="array" ref="P144">SUMIFS(FLOWS!$C:$C,FLOWS!$A:$A,$B$124,FLOWS!$E:$E,$K144,FLOWS!$D:$D,P$128,FLOWS!$H:$H,"&gt;="&amp;$C$126,FLOWS!$H:$H,"&lt;="&amp;$U$126)+SUM(SUMIFS(DEALS!$J:$J,DEALS!$A:$A,{"*REFUND*","*EXECUTED*"},DEALS!$G:$G,$B$124,DEALS!$E:$E,"&gt;="&amp;$C$126,DEALS!$E:$E,"&lt;="&amp;$U$126,DEALS!$K:$K,P$128,DEALS!$M:$M,$K144,DEALS!$N:$N,"&lt;&gt;*RECEIVED*",DEALS!$N:$N,"&lt;&gt;*EXECUTED*"))+SUM(SUMIFS(DEALS!$R:$R,DEALS!$A:$A,{"*REFUND*","*EXECUTED*"},DEALS!$O:$O,$B$124,DEALS!$E:$E,"&gt;="&amp;$C$126,DEALS!$E:$E,"&lt;="&amp;$U$126,DEALS!$S:$S,P$128,DEALS!$U:$U,$K144,DEALS!$V:$V,"&lt;&gt;*RECEIVED*",DEALS!$V:$V,"&lt;&gt;*EXECUTED*"))</f>
        <v>0</v>
      </c>
      <c r="Q144" s="32" cm="1">
        <f t="array" ref="Q144">SUMIFS(FLOWS!$C:$C,FLOWS!$A:$A,$B$124,FLOWS!$E:$E,$K144,FLOWS!$D:$D,Q$128,FLOWS!$H:$H,"&gt;="&amp;$C$126,FLOWS!$H:$H,"&lt;="&amp;$U$126)+SUM(SUMIFS(DEALS!$J:$J,DEALS!$A:$A,{"*REFUND*","*EXECUTED*"},DEALS!$G:$G,$B$124,DEALS!$E:$E,"&gt;="&amp;$C$126,DEALS!$E:$E,"&lt;="&amp;$U$126,DEALS!$K:$K,Q$128,DEALS!$M:$M,$K144,DEALS!$N:$N,"&lt;&gt;*RECEIVED*",DEALS!$N:$N,"&lt;&gt;*EXECUTED*"))+SUM(SUMIFS(DEALS!$R:$R,DEALS!$A:$A,{"*REFUND*","*EXECUTED*"},DEALS!$O:$O,$B$124,DEALS!$E:$E,"&gt;="&amp;$C$126,DEALS!$E:$E,"&lt;="&amp;$U$126,DEALS!$S:$S,Q$128,DEALS!$U:$U,$K144,DEALS!$V:$V,"&lt;&gt;*RECEIVED*",DEALS!$V:$V,"&lt;&gt;*EXECUTED*"))</f>
        <v>0</v>
      </c>
      <c r="R144" s="33">
        <f ca="1">L144*VLOOKUP(L$128,'FX RATES'!$E$1:$F$50,2,FALSE)+M144*VLOOKUP(M$128,'FX RATES'!$E$1:$F$50,2,FALSE)+N144*VLOOKUP(N$128,'FX RATES'!$E$1:$F$50,2,FALSE)+O144*VLOOKUP(O$128,'FX RATES'!$E$1:$F$50,2,FALSE)+P144*VLOOKUP(P$128,'FX RATES'!$E$1:$F$50,2,FALSE)+Q144*VLOOKUP(Q$128,'FX RATES'!$E$1:$F$50,2,FALSE)</f>
        <v>0</v>
      </c>
      <c r="T144" s="31">
        <f t="shared" si="46"/>
        <v>0</v>
      </c>
      <c r="U144" s="32" cm="1">
        <f t="array" ref="U144">SUMIFS(BALANCES!$C:$C,BALANCES!$A:$A,$B$124,BALANCES!$B:$B,$T144,BALANCES!$D:$D,U$128)+SUMIFS(FLOWS!$C:$C,FLOWS!$A:$A,$B$124,FLOWS!$E:$E,$T144,FLOWS!$D:$D,U$128,FLOWS!$H:$H,"&lt;="&amp;$U$126)+SUM(SUMIFS(DEALS!$J:$J,DEALS!$A:$A,{"*REFUND*","*EXECUTED*"},DEALS!$G:$G,$B$124,DEALS!$E:$E,"&lt;="&amp;$U$126,DEALS!$K:$K,U$128,DEALS!$M:$M,$T144,DEALS!$N:$N,"&lt;&gt;*RECEIVED*",DEALS!$N:$N,"&lt;&gt;*EXECUTED*"))+SUM(SUMIFS(DEALS!$R:$R,DEALS!$A:$A,{"*REFUND*","*EXECUTED*"},DEALS!$O:$O,$B$124,DEALS!$E:$E,"&lt;="&amp;$U$126,DEALS!$S:$S,U$128,DEALS!$U:$U,$T144,DEALS!$V:$V,"&lt;&gt;*RECEIVED*",DEALS!$V:$V,"&lt;&gt;*EXECUTED*"))</f>
        <v>0</v>
      </c>
      <c r="V144" s="32" cm="1">
        <f t="array" ref="V144">SUMIFS(BALANCES!$C:$C,BALANCES!$A:$A,$B$124,BALANCES!$B:$B,$T144,BALANCES!$D:$D,V$128)+SUMIFS(FLOWS!$C:$C,FLOWS!$A:$A,$B$124,FLOWS!$E:$E,$T144,FLOWS!$D:$D,V$128,FLOWS!$H:$H,"&lt;="&amp;$U$126)+SUM(SUMIFS(DEALS!$J:$J,DEALS!$A:$A,{"*REFUND*","*EXECUTED*"},DEALS!$G:$G,$B$124,DEALS!$E:$E,"&lt;="&amp;$U$126,DEALS!$K:$K,V$128,DEALS!$M:$M,$T144,DEALS!$N:$N,"&lt;&gt;*RECEIVED*",DEALS!$N:$N,"&lt;&gt;*EXECUTED*"))+SUM(SUMIFS(DEALS!$R:$R,DEALS!$A:$A,{"*REFUND*","*EXECUTED*"},DEALS!$O:$O,$B$124,DEALS!$E:$E,"&lt;="&amp;$U$126,DEALS!$S:$S,V$128,DEALS!$U:$U,$T144,DEALS!$V:$V,"&lt;&gt;*RECEIVED*",DEALS!$V:$V,"&lt;&gt;*EXECUTED*"))</f>
        <v>0</v>
      </c>
      <c r="W144" s="32" cm="1">
        <f t="array" ref="W144">SUMIFS(BALANCES!$C:$C,BALANCES!$A:$A,$B$124,BALANCES!$B:$B,$T144,BALANCES!$D:$D,W$128)+SUMIFS(FLOWS!$C:$C,FLOWS!$A:$A,$B$124,FLOWS!$E:$E,$T144,FLOWS!$D:$D,W$128,FLOWS!$H:$H,"&lt;="&amp;$U$126)+SUM(SUMIFS(DEALS!$J:$J,DEALS!$A:$A,{"*REFUND*","*EXECUTED*"},DEALS!$G:$G,$B$124,DEALS!$E:$E,"&lt;="&amp;$U$126,DEALS!$K:$K,W$128,DEALS!$M:$M,$T144,DEALS!$N:$N,"&lt;&gt;*RECEIVED*",DEALS!$N:$N,"&lt;&gt;*EXECUTED*"))+SUM(SUMIFS(DEALS!$R:$R,DEALS!$A:$A,{"*REFUND*","*EXECUTED*"},DEALS!$O:$O,$B$124,DEALS!$E:$E,"&lt;="&amp;$U$126,DEALS!$S:$S,W$128,DEALS!$U:$U,$T144,DEALS!$V:$V,"&lt;&gt;*RECEIVED*",DEALS!$V:$V,"&lt;&gt;*EXECUTED*"))</f>
        <v>0</v>
      </c>
      <c r="X144" s="32" cm="1">
        <f t="array" ref="X144">SUMIFS(BALANCES!$C:$C,BALANCES!$A:$A,$B$124,BALANCES!$B:$B,$T144,BALANCES!$D:$D,X$128)+SUMIFS(FLOWS!$C:$C,FLOWS!$A:$A,$B$124,FLOWS!$E:$E,$T144,FLOWS!$D:$D,X$128,FLOWS!$H:$H,"&lt;="&amp;$U$126)+SUM(SUMIFS(DEALS!$J:$J,DEALS!$A:$A,{"*REFUND*","*EXECUTED*"},DEALS!$G:$G,$B$124,DEALS!$E:$E,"&lt;="&amp;$U$126,DEALS!$K:$K,X$128,DEALS!$M:$M,$T144,DEALS!$N:$N,"&lt;&gt;*RECEIVED*",DEALS!$N:$N,"&lt;&gt;*EXECUTED*"))+SUM(SUMIFS(DEALS!$R:$R,DEALS!$A:$A,{"*REFUND*","*EXECUTED*"},DEALS!$O:$O,$B$124,DEALS!$E:$E,"&lt;="&amp;$U$126,DEALS!$S:$S,X$128,DEALS!$U:$U,$T144,DEALS!$V:$V,"&lt;&gt;*RECEIVED*",DEALS!$V:$V,"&lt;&gt;*EXECUTED*"))</f>
        <v>0</v>
      </c>
      <c r="Y144" s="32" cm="1">
        <f t="array" ref="Y144">SUMIFS(BALANCES!$C:$C,BALANCES!$A:$A,$B$124,BALANCES!$B:$B,$T144,BALANCES!$D:$D,Y$128)+SUMIFS(FLOWS!$C:$C,FLOWS!$A:$A,$B$124,FLOWS!$E:$E,$T144,FLOWS!$D:$D,Y$128,FLOWS!$H:$H,"&lt;="&amp;$U$126)+SUM(SUMIFS(DEALS!$J:$J,DEALS!$A:$A,{"*REFUND*","*EXECUTED*"},DEALS!$G:$G,$B$124,DEALS!$E:$E,"&lt;="&amp;$U$126,DEALS!$K:$K,Y$128,DEALS!$M:$M,$T144,DEALS!$N:$N,"&lt;&gt;*RECEIVED*",DEALS!$N:$N,"&lt;&gt;*EXECUTED*"))+SUM(SUMIFS(DEALS!$R:$R,DEALS!$A:$A,{"*REFUND*","*EXECUTED*"},DEALS!$O:$O,$B$124,DEALS!$E:$E,"&lt;="&amp;$U$126,DEALS!$S:$S,Y$128,DEALS!$U:$U,$T144,DEALS!$V:$V,"&lt;&gt;*RECEIVED*",DEALS!$V:$V,"&lt;&gt;*EXECUTED*"))</f>
        <v>0</v>
      </c>
      <c r="Z144" s="32" cm="1">
        <f t="array" ref="Z144">SUMIFS(BALANCES!$C:$C,BALANCES!$A:$A,$B$124,BALANCES!$B:$B,$T144,BALANCES!$D:$D,Z$128)+SUMIFS(FLOWS!$C:$C,FLOWS!$A:$A,$B$124,FLOWS!$E:$E,$T144,FLOWS!$D:$D,Z$128,FLOWS!$H:$H,"&lt;="&amp;$U$126)+SUM(SUMIFS(DEALS!$J:$J,DEALS!$A:$A,{"*REFUND*","*EXECUTED*"},DEALS!$G:$G,$B$124,DEALS!$E:$E,"&lt;="&amp;$U$126,DEALS!$K:$K,Z$128,DEALS!$M:$M,$T144,DEALS!$N:$N,"&lt;&gt;*RECEIVED*",DEALS!$N:$N,"&lt;&gt;*EXECUTED*"))+SUM(SUMIFS(DEALS!$R:$R,DEALS!$A:$A,{"*REFUND*","*EXECUTED*"},DEALS!$O:$O,$B$124,DEALS!$E:$E,"&lt;="&amp;$U$126,DEALS!$S:$S,Z$128,DEALS!$U:$U,$T144,DEALS!$V:$V,"&lt;&gt;*RECEIVED*",DEALS!$V:$V,"&lt;&gt;*EXECUTED*"))</f>
        <v>0</v>
      </c>
      <c r="AA144" s="33">
        <f ca="1">U144*VLOOKUP(U$128,'FX RATES'!$E$1:$F$50,2,FALSE)+V144*VLOOKUP(V$128,'FX RATES'!$E$1:$F$50,2,FALSE)+W144*VLOOKUP(W$128,'FX RATES'!$E$1:$F$50,2,FALSE)+X144*VLOOKUP(X$128,'FX RATES'!$E$1:$F$50,2,FALSE)+Y144*VLOOKUP(Y$128,'FX RATES'!$E$1:$F$50,2,FALSE)+Z144*VLOOKUP(Z$128,'FX RATES'!$E$1:$F$50,2,FALSE)</f>
        <v>0</v>
      </c>
      <c r="AC144" s="139">
        <f t="shared" ca="1" si="47"/>
        <v>0</v>
      </c>
    </row>
    <row r="145" spans="2:29" ht="18.75" hidden="1" customHeight="1">
      <c r="B145" s="28"/>
      <c r="C145" s="29" cm="1">
        <f t="array" ref="C145">SUMIFS(BALANCES!$C:$C,BALANCES!$A:$A,$B$124,BALANCES!$B:$B,$B145,BALANCES!$D:$D,C$128)+SUMIFS(FLOWS!$C:$C,FLOWS!$A:$A,$B$124,FLOWS!$E:$E,$B145,FLOWS!$D:$D,C$128,FLOWS!$H:$H,"&lt;"&amp;$C$126)+SUM(SUMIFS(DEALS!$J:$J,DEALS!$A:$A,{"*REFUND*","*EXECUTED*"},DEALS!$G:$G,$B$124,DEALS!$E:$E,"&lt;"&amp;$C$126,DEALS!$K:$K,C$128,DEALS!$M:$M,$B145,DEALS!$N:$N,"&lt;&gt;*RECEIVED*",DEALS!$N:$N,"&lt;&gt;*EXECUTED*"))+SUM(SUMIFS(DEALS!$R:$R,DEALS!$A:$A,{"*REFUND*","*EXECUTED*"},DEALS!$O:$O,$B$124,DEALS!$E:$E,"&lt;"&amp;$C$126,DEALS!$S:$S,C$128,DEALS!$U:$U,$B145,DEALS!$V:$V,"&lt;&gt;*RECEIVED*",DEALS!$V:$V,"&lt;&gt;*EXECUTED*"))</f>
        <v>0</v>
      </c>
      <c r="D145" s="29" cm="1">
        <f t="array" ref="D145">SUMIFS(BALANCES!$C:$C,BALANCES!$A:$A,$B$124,BALANCES!$B:$B,$B145,BALANCES!$D:$D,D$128)+SUMIFS(FLOWS!$C:$C,FLOWS!$A:$A,$B$124,FLOWS!$E:$E,$B145,FLOWS!$D:$D,D$128,FLOWS!$H:$H,"&lt;"&amp;$C$126)+SUM(SUMIFS(DEALS!$J:$J,DEALS!$A:$A,{"*REFUND*","*EXECUTED*"},DEALS!$G:$G,$B$124,DEALS!$E:$E,"&lt;"&amp;$C$126,DEALS!$K:$K,D$128,DEALS!$M:$M,$B145,DEALS!$N:$N,"&lt;&gt;*RECEIVED*",DEALS!$N:$N,"&lt;&gt;*EXECUTED*"))+SUM(SUMIFS(DEALS!$R:$R,DEALS!$A:$A,{"*REFUND*","*EXECUTED*"},DEALS!$O:$O,$B$124,DEALS!$E:$E,"&lt;"&amp;$C$126,DEALS!$S:$S,D$128,DEALS!$U:$U,$B145,DEALS!$V:$V,"&lt;&gt;*RECEIVED*",DEALS!$V:$V,"&lt;&gt;*EXECUTED*"))</f>
        <v>0</v>
      </c>
      <c r="E145" s="29" cm="1">
        <f t="array" ref="E145">SUMIFS(BALANCES!$C:$C,BALANCES!$A:$A,$B$124,BALANCES!$B:$B,$B145,BALANCES!$D:$D,E$128)+SUMIFS(FLOWS!$C:$C,FLOWS!$A:$A,$B$124,FLOWS!$E:$E,$B145,FLOWS!$D:$D,E$128,FLOWS!$H:$H,"&lt;"&amp;$C$126)+SUM(SUMIFS(DEALS!$J:$J,DEALS!$A:$A,{"*REFUND*","*EXECUTED*"},DEALS!$G:$G,$B$124,DEALS!$E:$E,"&lt;"&amp;$C$126,DEALS!$K:$K,E$128,DEALS!$M:$M,$B145,DEALS!$N:$N,"&lt;&gt;*RECEIVED*",DEALS!$N:$N,"&lt;&gt;*EXECUTED*"))+SUM(SUMIFS(DEALS!$R:$R,DEALS!$A:$A,{"*REFUND*","*EXECUTED*"},DEALS!$O:$O,$B$124,DEALS!$E:$E,"&lt;"&amp;$C$126,DEALS!$S:$S,E$128,DEALS!$U:$U,$B145,DEALS!$V:$V,"&lt;&gt;*RECEIVED*",DEALS!$V:$V,"&lt;&gt;*EXECUTED*"))</f>
        <v>0</v>
      </c>
      <c r="F145" s="29" cm="1">
        <f t="array" ref="F145">SUMIFS(BALANCES!$C:$C,BALANCES!$A:$A,$B$124,BALANCES!$B:$B,$B145,BALANCES!$D:$D,F$128)+SUMIFS(FLOWS!$C:$C,FLOWS!$A:$A,$B$124,FLOWS!$E:$E,$B145,FLOWS!$D:$D,F$128,FLOWS!$H:$H,"&lt;"&amp;$C$126)+SUM(SUMIFS(DEALS!$J:$J,DEALS!$A:$A,{"*REFUND*","*EXECUTED*"},DEALS!$G:$G,$B$124,DEALS!$E:$E,"&lt;"&amp;$C$126,DEALS!$K:$K,F$128,DEALS!$M:$M,$B145,DEALS!$N:$N,"&lt;&gt;*RECEIVED*",DEALS!$N:$N,"&lt;&gt;*EXECUTED*"))+SUM(SUMIFS(DEALS!$R:$R,DEALS!$A:$A,{"*REFUND*","*EXECUTED*"},DEALS!$O:$O,$B$124,DEALS!$E:$E,"&lt;"&amp;$C$126,DEALS!$S:$S,F$128,DEALS!$U:$U,$B145,DEALS!$V:$V,"&lt;&gt;*RECEIVED*",DEALS!$V:$V,"&lt;&gt;*EXECUTED*"))</f>
        <v>0</v>
      </c>
      <c r="G145" s="29" cm="1">
        <f t="array" ref="G145">SUMIFS(BALANCES!$C:$C,BALANCES!$A:$A,$B$124,BALANCES!$B:$B,$B145,BALANCES!$D:$D,G$128)+SUMIFS(FLOWS!$C:$C,FLOWS!$A:$A,$B$124,FLOWS!$E:$E,$B145,FLOWS!$D:$D,G$128,FLOWS!$H:$H,"&lt;"&amp;$C$126)+SUM(SUMIFS(DEALS!$J:$J,DEALS!$A:$A,{"*REFUND*","*EXECUTED*"},DEALS!$G:$G,$B$124,DEALS!$E:$E,"&lt;"&amp;$C$126,DEALS!$K:$K,G$128,DEALS!$M:$M,$B145,DEALS!$N:$N,"&lt;&gt;*RECEIVED*",DEALS!$N:$N,"&lt;&gt;*EXECUTED*"))+SUM(SUMIFS(DEALS!$R:$R,DEALS!$A:$A,{"*REFUND*","*EXECUTED*"},DEALS!$O:$O,$B$124,DEALS!$E:$E,"&lt;"&amp;$C$126,DEALS!$S:$S,G$128,DEALS!$U:$U,$B145,DEALS!$V:$V,"&lt;&gt;*RECEIVED*",DEALS!$V:$V,"&lt;&gt;*EXECUTED*"))</f>
        <v>0</v>
      </c>
      <c r="H145" s="29" cm="1">
        <f t="array" ref="H145">SUMIFS(BALANCES!$C:$C,BALANCES!$A:$A,$B$124,BALANCES!$B:$B,$B145,BALANCES!$D:$D,H$128)+SUMIFS(FLOWS!$C:$C,FLOWS!$A:$A,$B$124,FLOWS!$E:$E,$B145,FLOWS!$D:$D,H$128,FLOWS!$H:$H,"&lt;"&amp;$C$126)+SUM(SUMIFS(DEALS!$J:$J,DEALS!$A:$A,{"*REFUND*","*EXECUTED*"},DEALS!$G:$G,$B$124,DEALS!$E:$E,"&lt;"&amp;$C$126,DEALS!$K:$K,H$128,DEALS!$M:$M,$B145,DEALS!$N:$N,"&lt;&gt;*RECEIVED*",DEALS!$N:$N,"&lt;&gt;*EXECUTED*"))+SUM(SUMIFS(DEALS!$R:$R,DEALS!$A:$A,{"*REFUND*","*EXECUTED*"},DEALS!$O:$O,$B$124,DEALS!$E:$E,"&lt;"&amp;$C$126,DEALS!$S:$S,H$128,DEALS!$U:$U,$B145,DEALS!$V:$V,"&lt;&gt;*RECEIVED*",DEALS!$V:$V,"&lt;&gt;*EXECUTED*"))</f>
        <v>0</v>
      </c>
      <c r="I145" s="30">
        <f ca="1">C145*VLOOKUP(C$128,'FX RATES'!$E$1:$F$50,2,FALSE)+D145*VLOOKUP(D$128,'FX RATES'!$E$1:$F$50,2,FALSE)+E145*VLOOKUP(E$128,'FX RATES'!$E$1:$F$50,2,FALSE)+F145*VLOOKUP(F$128,'FX RATES'!$E$1:$F$50,2,FALSE)+G145*VLOOKUP(G$128,'FX RATES'!$E$1:$F$50,2,FALSE)+H145*VLOOKUP(H$128,'FX RATES'!$E$1:$F$50,2,FALSE)</f>
        <v>0</v>
      </c>
      <c r="K145" s="28">
        <f t="shared" si="45"/>
        <v>0</v>
      </c>
      <c r="L145" s="29" cm="1">
        <f t="array" ref="L145">SUMIFS(FLOWS!$C:$C,FLOWS!$A:$A,$B$124,FLOWS!$E:$E,$K145,FLOWS!$D:$D,L$128,FLOWS!$H:$H,"&gt;="&amp;$C$126,FLOWS!$H:$H,"&lt;="&amp;$U$126)+SUM(SUMIFS(DEALS!$J:$J,DEALS!$A:$A,{"*REFUND*","*EXECUTED*"},DEALS!$G:$G,$B$124,DEALS!$E:$E,"&gt;="&amp;$C$126,DEALS!$E:$E,"&lt;="&amp;$U$126,DEALS!$K:$K,L$128,DEALS!$M:$M,$K145,DEALS!$N:$N,"&lt;&gt;*RECEIVED*",DEALS!$N:$N,"&lt;&gt;*EXECUTED*"))+SUM(SUMIFS(DEALS!$R:$R,DEALS!$A:$A,{"*REFUND*","*EXECUTED*"},DEALS!$O:$O,$B$124,DEALS!$E:$E,"&gt;="&amp;$C$126,DEALS!$E:$E,"&lt;="&amp;$U$126,DEALS!$S:$S,L$128,DEALS!$U:$U,$K145,DEALS!$V:$V,"&lt;&gt;*RECEIVED*",DEALS!$V:$V,"&lt;&gt;*EXECUTED*"))</f>
        <v>0</v>
      </c>
      <c r="M145" s="29" cm="1">
        <f t="array" ref="M145">SUMIFS(FLOWS!$C:$C,FLOWS!$A:$A,$B$124,FLOWS!$E:$E,$K145,FLOWS!$D:$D,M$128,FLOWS!$H:$H,"&gt;="&amp;$C$126,FLOWS!$H:$H,"&lt;="&amp;$U$126)+SUM(SUMIFS(DEALS!$J:$J,DEALS!$A:$A,{"*REFUND*","*EXECUTED*"},DEALS!$G:$G,$B$124,DEALS!$E:$E,"&gt;="&amp;$C$126,DEALS!$E:$E,"&lt;="&amp;$U$126,DEALS!$K:$K,M$128,DEALS!$M:$M,$K145,DEALS!$N:$N,"&lt;&gt;*RECEIVED*",DEALS!$N:$N,"&lt;&gt;*EXECUTED*"))+SUM(SUMIFS(DEALS!$R:$R,DEALS!$A:$A,{"*REFUND*","*EXECUTED*"},DEALS!$O:$O,$B$124,DEALS!$E:$E,"&gt;="&amp;$C$126,DEALS!$E:$E,"&lt;="&amp;$U$126,DEALS!$S:$S,M$128,DEALS!$U:$U,$K145,DEALS!$V:$V,"&lt;&gt;*RECEIVED*",DEALS!$V:$V,"&lt;&gt;*EXECUTED*"))</f>
        <v>0</v>
      </c>
      <c r="N145" s="29" cm="1">
        <f t="array" ref="N145">SUMIFS(FLOWS!$C:$C,FLOWS!$A:$A,$B$124,FLOWS!$E:$E,$K145,FLOWS!$D:$D,N$128,FLOWS!$H:$H,"&gt;="&amp;$C$126,FLOWS!$H:$H,"&lt;="&amp;$U$126)+SUM(SUMIFS(DEALS!$J:$J,DEALS!$A:$A,{"*REFUND*","*EXECUTED*"},DEALS!$G:$G,$B$124,DEALS!$E:$E,"&gt;="&amp;$C$126,DEALS!$E:$E,"&lt;="&amp;$U$126,DEALS!$K:$K,N$128,DEALS!$M:$M,$K145,DEALS!$N:$N,"&lt;&gt;*RECEIVED*",DEALS!$N:$N,"&lt;&gt;*EXECUTED*"))+SUM(SUMIFS(DEALS!$R:$R,DEALS!$A:$A,{"*REFUND*","*EXECUTED*"},DEALS!$O:$O,$B$124,DEALS!$E:$E,"&gt;="&amp;$C$126,DEALS!$E:$E,"&lt;="&amp;$U$126,DEALS!$S:$S,N$128,DEALS!$U:$U,$K145,DEALS!$V:$V,"&lt;&gt;*RECEIVED*",DEALS!$V:$V,"&lt;&gt;*EXECUTED*"))</f>
        <v>0</v>
      </c>
      <c r="O145" s="29" cm="1">
        <f t="array" ref="O145">SUMIFS(FLOWS!$C:$C,FLOWS!$A:$A,$B$124,FLOWS!$E:$E,$K145,FLOWS!$D:$D,O$128,FLOWS!$H:$H,"&gt;="&amp;$C$126,FLOWS!$H:$H,"&lt;="&amp;$U$126)+SUM(SUMIFS(DEALS!$J:$J,DEALS!$A:$A,{"*REFUND*","*EXECUTED*"},DEALS!$G:$G,$B$124,DEALS!$E:$E,"&gt;="&amp;$C$126,DEALS!$E:$E,"&lt;="&amp;$U$126,DEALS!$K:$K,O$128,DEALS!$M:$M,$K145,DEALS!$N:$N,"&lt;&gt;*RECEIVED*",DEALS!$N:$N,"&lt;&gt;*EXECUTED*"))+SUM(SUMIFS(DEALS!$R:$R,DEALS!$A:$A,{"*REFUND*","*EXECUTED*"},DEALS!$O:$O,$B$124,DEALS!$E:$E,"&gt;="&amp;$C$126,DEALS!$E:$E,"&lt;="&amp;$U$126,DEALS!$S:$S,O$128,DEALS!$U:$U,$K145,DEALS!$V:$V,"&lt;&gt;*RECEIVED*",DEALS!$V:$V,"&lt;&gt;*EXECUTED*"))</f>
        <v>0</v>
      </c>
      <c r="P145" s="29" cm="1">
        <f t="array" ref="P145">SUMIFS(FLOWS!$C:$C,FLOWS!$A:$A,$B$124,FLOWS!$E:$E,$K145,FLOWS!$D:$D,P$128,FLOWS!$H:$H,"&gt;="&amp;$C$126,FLOWS!$H:$H,"&lt;="&amp;$U$126)+SUM(SUMIFS(DEALS!$J:$J,DEALS!$A:$A,{"*REFUND*","*EXECUTED*"},DEALS!$G:$G,$B$124,DEALS!$E:$E,"&gt;="&amp;$C$126,DEALS!$E:$E,"&lt;="&amp;$U$126,DEALS!$K:$K,P$128,DEALS!$M:$M,$K145,DEALS!$N:$N,"&lt;&gt;*RECEIVED*",DEALS!$N:$N,"&lt;&gt;*EXECUTED*"))+SUM(SUMIFS(DEALS!$R:$R,DEALS!$A:$A,{"*REFUND*","*EXECUTED*"},DEALS!$O:$O,$B$124,DEALS!$E:$E,"&gt;="&amp;$C$126,DEALS!$E:$E,"&lt;="&amp;$U$126,DEALS!$S:$S,P$128,DEALS!$U:$U,$K145,DEALS!$V:$V,"&lt;&gt;*RECEIVED*",DEALS!$V:$V,"&lt;&gt;*EXECUTED*"))</f>
        <v>0</v>
      </c>
      <c r="Q145" s="29" cm="1">
        <f t="array" ref="Q145">SUMIFS(FLOWS!$C:$C,FLOWS!$A:$A,$B$124,FLOWS!$E:$E,$K145,FLOWS!$D:$D,Q$128,FLOWS!$H:$H,"&gt;="&amp;$C$126,FLOWS!$H:$H,"&lt;="&amp;$U$126)+SUM(SUMIFS(DEALS!$J:$J,DEALS!$A:$A,{"*REFUND*","*EXECUTED*"},DEALS!$G:$G,$B$124,DEALS!$E:$E,"&gt;="&amp;$C$126,DEALS!$E:$E,"&lt;="&amp;$U$126,DEALS!$K:$K,Q$128,DEALS!$M:$M,$K145,DEALS!$N:$N,"&lt;&gt;*RECEIVED*",DEALS!$N:$N,"&lt;&gt;*EXECUTED*"))+SUM(SUMIFS(DEALS!$R:$R,DEALS!$A:$A,{"*REFUND*","*EXECUTED*"},DEALS!$O:$O,$B$124,DEALS!$E:$E,"&gt;="&amp;$C$126,DEALS!$E:$E,"&lt;="&amp;$U$126,DEALS!$S:$S,Q$128,DEALS!$U:$U,$K145,DEALS!$V:$V,"&lt;&gt;*RECEIVED*",DEALS!$V:$V,"&lt;&gt;*EXECUTED*"))</f>
        <v>0</v>
      </c>
      <c r="R145" s="30">
        <f ca="1">L145*VLOOKUP(L$128,'FX RATES'!$E$1:$F$50,2,FALSE)+M145*VLOOKUP(M$128,'FX RATES'!$E$1:$F$50,2,FALSE)+N145*VLOOKUP(N$128,'FX RATES'!$E$1:$F$50,2,FALSE)+O145*VLOOKUP(O$128,'FX RATES'!$E$1:$F$50,2,FALSE)+P145*VLOOKUP(P$128,'FX RATES'!$E$1:$F$50,2,FALSE)+Q145*VLOOKUP(Q$128,'FX RATES'!$E$1:$F$50,2,FALSE)</f>
        <v>0</v>
      </c>
      <c r="T145" s="28">
        <f t="shared" si="46"/>
        <v>0</v>
      </c>
      <c r="U145" s="29" cm="1">
        <f t="array" ref="U145">SUMIFS(BALANCES!$C:$C,BALANCES!$A:$A,$B$124,BALANCES!$B:$B,$T145,BALANCES!$D:$D,U$128)+SUMIFS(FLOWS!$C:$C,FLOWS!$A:$A,$B$124,FLOWS!$E:$E,$T145,FLOWS!$D:$D,U$128,FLOWS!$H:$H,"&lt;="&amp;$U$126)+SUM(SUMIFS(DEALS!$J:$J,DEALS!$A:$A,{"*REFUND*","*EXECUTED*"},DEALS!$G:$G,$B$124,DEALS!$E:$E,"&lt;="&amp;$U$126,DEALS!$K:$K,U$128,DEALS!$M:$M,$T145,DEALS!$N:$N,"&lt;&gt;*RECEIVED*",DEALS!$N:$N,"&lt;&gt;*EXECUTED*"))+SUM(SUMIFS(DEALS!$R:$R,DEALS!$A:$A,{"*REFUND*","*EXECUTED*"},DEALS!$O:$O,$B$124,DEALS!$E:$E,"&lt;="&amp;$U$126,DEALS!$S:$S,U$128,DEALS!$U:$U,$T145,DEALS!$V:$V,"&lt;&gt;*RECEIVED*",DEALS!$V:$V,"&lt;&gt;*EXECUTED*"))</f>
        <v>0</v>
      </c>
      <c r="V145" s="29" cm="1">
        <f t="array" ref="V145">SUMIFS(BALANCES!$C:$C,BALANCES!$A:$A,$B$124,BALANCES!$B:$B,$T145,BALANCES!$D:$D,V$128)+SUMIFS(FLOWS!$C:$C,FLOWS!$A:$A,$B$124,FLOWS!$E:$E,$T145,FLOWS!$D:$D,V$128,FLOWS!$H:$H,"&lt;="&amp;$U$126)+SUM(SUMIFS(DEALS!$J:$J,DEALS!$A:$A,{"*REFUND*","*EXECUTED*"},DEALS!$G:$G,$B$124,DEALS!$E:$E,"&lt;="&amp;$U$126,DEALS!$K:$K,V$128,DEALS!$M:$M,$T145,DEALS!$N:$N,"&lt;&gt;*RECEIVED*",DEALS!$N:$N,"&lt;&gt;*EXECUTED*"))+SUM(SUMIFS(DEALS!$R:$R,DEALS!$A:$A,{"*REFUND*","*EXECUTED*"},DEALS!$O:$O,$B$124,DEALS!$E:$E,"&lt;="&amp;$U$126,DEALS!$S:$S,V$128,DEALS!$U:$U,$T145,DEALS!$V:$V,"&lt;&gt;*RECEIVED*",DEALS!$V:$V,"&lt;&gt;*EXECUTED*"))</f>
        <v>0</v>
      </c>
      <c r="W145" s="29" cm="1">
        <f t="array" ref="W145">SUMIFS(BALANCES!$C:$C,BALANCES!$A:$A,$B$124,BALANCES!$B:$B,$T145,BALANCES!$D:$D,W$128)+SUMIFS(FLOWS!$C:$C,FLOWS!$A:$A,$B$124,FLOWS!$E:$E,$T145,FLOWS!$D:$D,W$128,FLOWS!$H:$H,"&lt;="&amp;$U$126)+SUM(SUMIFS(DEALS!$J:$J,DEALS!$A:$A,{"*REFUND*","*EXECUTED*"},DEALS!$G:$G,$B$124,DEALS!$E:$E,"&lt;="&amp;$U$126,DEALS!$K:$K,W$128,DEALS!$M:$M,$T145,DEALS!$N:$N,"&lt;&gt;*RECEIVED*",DEALS!$N:$N,"&lt;&gt;*EXECUTED*"))+SUM(SUMIFS(DEALS!$R:$R,DEALS!$A:$A,{"*REFUND*","*EXECUTED*"},DEALS!$O:$O,$B$124,DEALS!$E:$E,"&lt;="&amp;$U$126,DEALS!$S:$S,W$128,DEALS!$U:$U,$T145,DEALS!$V:$V,"&lt;&gt;*RECEIVED*",DEALS!$V:$V,"&lt;&gt;*EXECUTED*"))</f>
        <v>0</v>
      </c>
      <c r="X145" s="29" cm="1">
        <f t="array" ref="X145">SUMIFS(BALANCES!$C:$C,BALANCES!$A:$A,$B$124,BALANCES!$B:$B,$T145,BALANCES!$D:$D,X$128)+SUMIFS(FLOWS!$C:$C,FLOWS!$A:$A,$B$124,FLOWS!$E:$E,$T145,FLOWS!$D:$D,X$128,FLOWS!$H:$H,"&lt;="&amp;$U$126)+SUM(SUMIFS(DEALS!$J:$J,DEALS!$A:$A,{"*REFUND*","*EXECUTED*"},DEALS!$G:$G,$B$124,DEALS!$E:$E,"&lt;="&amp;$U$126,DEALS!$K:$K,X$128,DEALS!$M:$M,$T145,DEALS!$N:$N,"&lt;&gt;*RECEIVED*",DEALS!$N:$N,"&lt;&gt;*EXECUTED*"))+SUM(SUMIFS(DEALS!$R:$R,DEALS!$A:$A,{"*REFUND*","*EXECUTED*"},DEALS!$O:$O,$B$124,DEALS!$E:$E,"&lt;="&amp;$U$126,DEALS!$S:$S,X$128,DEALS!$U:$U,$T145,DEALS!$V:$V,"&lt;&gt;*RECEIVED*",DEALS!$V:$V,"&lt;&gt;*EXECUTED*"))</f>
        <v>0</v>
      </c>
      <c r="Y145" s="29" cm="1">
        <f t="array" ref="Y145">SUMIFS(BALANCES!$C:$C,BALANCES!$A:$A,$B$124,BALANCES!$B:$B,$T145,BALANCES!$D:$D,Y$128)+SUMIFS(FLOWS!$C:$C,FLOWS!$A:$A,$B$124,FLOWS!$E:$E,$T145,FLOWS!$D:$D,Y$128,FLOWS!$H:$H,"&lt;="&amp;$U$126)+SUM(SUMIFS(DEALS!$J:$J,DEALS!$A:$A,{"*REFUND*","*EXECUTED*"},DEALS!$G:$G,$B$124,DEALS!$E:$E,"&lt;="&amp;$U$126,DEALS!$K:$K,Y$128,DEALS!$M:$M,$T145,DEALS!$N:$N,"&lt;&gt;*RECEIVED*",DEALS!$N:$N,"&lt;&gt;*EXECUTED*"))+SUM(SUMIFS(DEALS!$R:$R,DEALS!$A:$A,{"*REFUND*","*EXECUTED*"},DEALS!$O:$O,$B$124,DEALS!$E:$E,"&lt;="&amp;$U$126,DEALS!$S:$S,Y$128,DEALS!$U:$U,$T145,DEALS!$V:$V,"&lt;&gt;*RECEIVED*",DEALS!$V:$V,"&lt;&gt;*EXECUTED*"))</f>
        <v>0</v>
      </c>
      <c r="Z145" s="29" cm="1">
        <f t="array" ref="Z145">SUMIFS(BALANCES!$C:$C,BALANCES!$A:$A,$B$124,BALANCES!$B:$B,$T145,BALANCES!$D:$D,Z$128)+SUMIFS(FLOWS!$C:$C,FLOWS!$A:$A,$B$124,FLOWS!$E:$E,$T145,FLOWS!$D:$D,Z$128,FLOWS!$H:$H,"&lt;="&amp;$U$126)+SUM(SUMIFS(DEALS!$J:$J,DEALS!$A:$A,{"*REFUND*","*EXECUTED*"},DEALS!$G:$G,$B$124,DEALS!$E:$E,"&lt;="&amp;$U$126,DEALS!$K:$K,Z$128,DEALS!$M:$M,$T145,DEALS!$N:$N,"&lt;&gt;*RECEIVED*",DEALS!$N:$N,"&lt;&gt;*EXECUTED*"))+SUM(SUMIFS(DEALS!$R:$R,DEALS!$A:$A,{"*REFUND*","*EXECUTED*"},DEALS!$O:$O,$B$124,DEALS!$E:$E,"&lt;="&amp;$U$126,DEALS!$S:$S,Z$128,DEALS!$U:$U,$T145,DEALS!$V:$V,"&lt;&gt;*RECEIVED*",DEALS!$V:$V,"&lt;&gt;*EXECUTED*"))</f>
        <v>0</v>
      </c>
      <c r="AA145" s="30">
        <f ca="1">U145*VLOOKUP(U$128,'FX RATES'!$E$1:$F$50,2,FALSE)+V145*VLOOKUP(V$128,'FX RATES'!$E$1:$F$50,2,FALSE)+W145*VLOOKUP(W$128,'FX RATES'!$E$1:$F$50,2,FALSE)+X145*VLOOKUP(X$128,'FX RATES'!$E$1:$F$50,2,FALSE)+Y145*VLOOKUP(Y$128,'FX RATES'!$E$1:$F$50,2,FALSE)+Z145*VLOOKUP(Z$128,'FX RATES'!$E$1:$F$50,2,FALSE)</f>
        <v>0</v>
      </c>
      <c r="AC145" s="139">
        <f t="shared" ca="1" si="47"/>
        <v>0</v>
      </c>
    </row>
    <row r="146" spans="2:29" ht="18.75" hidden="1" customHeight="1" thickBot="1">
      <c r="B146" s="31"/>
      <c r="C146" s="32" cm="1">
        <f t="array" ref="C146">SUMIFS(BALANCES!$C:$C,BALANCES!$A:$A,$B$124,BALANCES!$B:$B,$B146,BALANCES!$D:$D,C$128)+SUMIFS(FLOWS!$C:$C,FLOWS!$A:$A,$B$124,FLOWS!$E:$E,$B146,FLOWS!$D:$D,C$128,FLOWS!$H:$H,"&lt;"&amp;$C$126)+SUM(SUMIFS(DEALS!$J:$J,DEALS!$A:$A,{"*REFUND*","*EXECUTED*"},DEALS!$G:$G,$B$124,DEALS!$E:$E,"&lt;"&amp;$C$126,DEALS!$K:$K,C$128,DEALS!$M:$M,$B146,DEALS!$N:$N,"&lt;&gt;*RECEIVED*",DEALS!$N:$N,"&lt;&gt;*EXECUTED*"))+SUM(SUMIFS(DEALS!$R:$R,DEALS!$A:$A,{"*REFUND*","*EXECUTED*"},DEALS!$O:$O,$B$124,DEALS!$E:$E,"&lt;"&amp;$C$126,DEALS!$S:$S,C$128,DEALS!$U:$U,$B146,DEALS!$V:$V,"&lt;&gt;*RECEIVED*",DEALS!$V:$V,"&lt;&gt;*EXECUTED*"))</f>
        <v>0</v>
      </c>
      <c r="D146" s="32" cm="1">
        <f t="array" ref="D146">SUMIFS(BALANCES!$C:$C,BALANCES!$A:$A,$B$124,BALANCES!$B:$B,$B146,BALANCES!$D:$D,D$128)+SUMIFS(FLOWS!$C:$C,FLOWS!$A:$A,$B$124,FLOWS!$E:$E,$B146,FLOWS!$D:$D,D$128,FLOWS!$H:$H,"&lt;"&amp;$C$126)+SUM(SUMIFS(DEALS!$J:$J,DEALS!$A:$A,{"*REFUND*","*EXECUTED*"},DEALS!$G:$G,$B$124,DEALS!$E:$E,"&lt;"&amp;$C$126,DEALS!$K:$K,D$128,DEALS!$M:$M,$B146,DEALS!$N:$N,"&lt;&gt;*RECEIVED*",DEALS!$N:$N,"&lt;&gt;*EXECUTED*"))+SUM(SUMIFS(DEALS!$R:$R,DEALS!$A:$A,{"*REFUND*","*EXECUTED*"},DEALS!$O:$O,$B$124,DEALS!$E:$E,"&lt;"&amp;$C$126,DEALS!$S:$S,D$128,DEALS!$U:$U,$B146,DEALS!$V:$V,"&lt;&gt;*RECEIVED*",DEALS!$V:$V,"&lt;&gt;*EXECUTED*"))</f>
        <v>0</v>
      </c>
      <c r="E146" s="32" cm="1">
        <f t="array" ref="E146">SUMIFS(BALANCES!$C:$C,BALANCES!$A:$A,$B$124,BALANCES!$B:$B,$B146,BALANCES!$D:$D,E$128)+SUMIFS(FLOWS!$C:$C,FLOWS!$A:$A,$B$124,FLOWS!$E:$E,$B146,FLOWS!$D:$D,E$128,FLOWS!$H:$H,"&lt;"&amp;$C$126)+SUM(SUMIFS(DEALS!$J:$J,DEALS!$A:$A,{"*REFUND*","*EXECUTED*"},DEALS!$G:$G,$B$124,DEALS!$E:$E,"&lt;"&amp;$C$126,DEALS!$K:$K,E$128,DEALS!$M:$M,$B146,DEALS!$N:$N,"&lt;&gt;*RECEIVED*",DEALS!$N:$N,"&lt;&gt;*EXECUTED*"))+SUM(SUMIFS(DEALS!$R:$R,DEALS!$A:$A,{"*REFUND*","*EXECUTED*"},DEALS!$O:$O,$B$124,DEALS!$E:$E,"&lt;"&amp;$C$126,DEALS!$S:$S,E$128,DEALS!$U:$U,$B146,DEALS!$V:$V,"&lt;&gt;*RECEIVED*",DEALS!$V:$V,"&lt;&gt;*EXECUTED*"))</f>
        <v>0</v>
      </c>
      <c r="F146" s="32" cm="1">
        <f t="array" ref="F146">SUMIFS(BALANCES!$C:$C,BALANCES!$A:$A,$B$124,BALANCES!$B:$B,$B146,BALANCES!$D:$D,F$128)+SUMIFS(FLOWS!$C:$C,FLOWS!$A:$A,$B$124,FLOWS!$E:$E,$B146,FLOWS!$D:$D,F$128,FLOWS!$H:$H,"&lt;"&amp;$C$126)+SUM(SUMIFS(DEALS!$J:$J,DEALS!$A:$A,{"*REFUND*","*EXECUTED*"},DEALS!$G:$G,$B$124,DEALS!$E:$E,"&lt;"&amp;$C$126,DEALS!$K:$K,F$128,DEALS!$M:$M,$B146,DEALS!$N:$N,"&lt;&gt;*RECEIVED*",DEALS!$N:$N,"&lt;&gt;*EXECUTED*"))+SUM(SUMIFS(DEALS!$R:$R,DEALS!$A:$A,{"*REFUND*","*EXECUTED*"},DEALS!$O:$O,$B$124,DEALS!$E:$E,"&lt;"&amp;$C$126,DEALS!$S:$S,F$128,DEALS!$U:$U,$B146,DEALS!$V:$V,"&lt;&gt;*RECEIVED*",DEALS!$V:$V,"&lt;&gt;*EXECUTED*"))</f>
        <v>0</v>
      </c>
      <c r="G146" s="32" cm="1">
        <f t="array" ref="G146">SUMIFS(BALANCES!$C:$C,BALANCES!$A:$A,$B$124,BALANCES!$B:$B,$B146,BALANCES!$D:$D,G$128)+SUMIFS(FLOWS!$C:$C,FLOWS!$A:$A,$B$124,FLOWS!$E:$E,$B146,FLOWS!$D:$D,G$128,FLOWS!$H:$H,"&lt;"&amp;$C$126)+SUM(SUMIFS(DEALS!$J:$J,DEALS!$A:$A,{"*REFUND*","*EXECUTED*"},DEALS!$G:$G,$B$124,DEALS!$E:$E,"&lt;"&amp;$C$126,DEALS!$K:$K,G$128,DEALS!$M:$M,$B146,DEALS!$N:$N,"&lt;&gt;*RECEIVED*",DEALS!$N:$N,"&lt;&gt;*EXECUTED*"))+SUM(SUMIFS(DEALS!$R:$R,DEALS!$A:$A,{"*REFUND*","*EXECUTED*"},DEALS!$O:$O,$B$124,DEALS!$E:$E,"&lt;"&amp;$C$126,DEALS!$S:$S,G$128,DEALS!$U:$U,$B146,DEALS!$V:$V,"&lt;&gt;*RECEIVED*",DEALS!$V:$V,"&lt;&gt;*EXECUTED*"))</f>
        <v>0</v>
      </c>
      <c r="H146" s="32" cm="1">
        <f t="array" ref="H146">SUMIFS(BALANCES!$C:$C,BALANCES!$A:$A,$B$124,BALANCES!$B:$B,$B146,BALANCES!$D:$D,H$128)+SUMIFS(FLOWS!$C:$C,FLOWS!$A:$A,$B$124,FLOWS!$E:$E,$B146,FLOWS!$D:$D,H$128,FLOWS!$H:$H,"&lt;"&amp;$C$126)+SUM(SUMIFS(DEALS!$J:$J,DEALS!$A:$A,{"*REFUND*","*EXECUTED*"},DEALS!$G:$G,$B$124,DEALS!$E:$E,"&lt;"&amp;$C$126,DEALS!$K:$K,H$128,DEALS!$M:$M,$B146,DEALS!$N:$N,"&lt;&gt;*RECEIVED*",DEALS!$N:$N,"&lt;&gt;*EXECUTED*"))+SUM(SUMIFS(DEALS!$R:$R,DEALS!$A:$A,{"*REFUND*","*EXECUTED*"},DEALS!$O:$O,$B$124,DEALS!$E:$E,"&lt;"&amp;$C$126,DEALS!$S:$S,H$128,DEALS!$U:$U,$B146,DEALS!$V:$V,"&lt;&gt;*RECEIVED*",DEALS!$V:$V,"&lt;&gt;*EXECUTED*"))</f>
        <v>0</v>
      </c>
      <c r="I146" s="33">
        <f ca="1">C146*VLOOKUP(C$128,'FX RATES'!$E$1:$F$50,2,FALSE)+D146*VLOOKUP(D$128,'FX RATES'!$E$1:$F$50,2,FALSE)+E146*VLOOKUP(E$128,'FX RATES'!$E$1:$F$50,2,FALSE)+F146*VLOOKUP(F$128,'FX RATES'!$E$1:$F$50,2,FALSE)+G146*VLOOKUP(G$128,'FX RATES'!$E$1:$F$50,2,FALSE)+H146*VLOOKUP(H$128,'FX RATES'!$E$1:$F$50,2,FALSE)</f>
        <v>0</v>
      </c>
      <c r="K146" s="31">
        <f t="shared" si="45"/>
        <v>0</v>
      </c>
      <c r="L146" s="32" cm="1">
        <f t="array" ref="L146">SUMIFS(FLOWS!$C:$C,FLOWS!$A:$A,$B$124,FLOWS!$E:$E,$K146,FLOWS!$D:$D,L$128,FLOWS!$H:$H,"&gt;="&amp;$C$126,FLOWS!$H:$H,"&lt;="&amp;$U$126)+SUM(SUMIFS(DEALS!$J:$J,DEALS!$A:$A,{"*REFUND*","*EXECUTED*"},DEALS!$G:$G,$B$124,DEALS!$E:$E,"&gt;="&amp;$C$126,DEALS!$E:$E,"&lt;="&amp;$U$126,DEALS!$K:$K,L$128,DEALS!$M:$M,$K146,DEALS!$N:$N,"&lt;&gt;*RECEIVED*",DEALS!$N:$N,"&lt;&gt;*EXECUTED*"))+SUM(SUMIFS(DEALS!$R:$R,DEALS!$A:$A,{"*REFUND*","*EXECUTED*"},DEALS!$O:$O,$B$124,DEALS!$E:$E,"&gt;="&amp;$C$126,DEALS!$E:$E,"&lt;="&amp;$U$126,DEALS!$S:$S,L$128,DEALS!$U:$U,$K146,DEALS!$V:$V,"&lt;&gt;*RECEIVED*",DEALS!$V:$V,"&lt;&gt;*EXECUTED*"))</f>
        <v>0</v>
      </c>
      <c r="M146" s="32" cm="1">
        <f t="array" ref="M146">SUMIFS(FLOWS!$C:$C,FLOWS!$A:$A,$B$124,FLOWS!$E:$E,$K146,FLOWS!$D:$D,M$128,FLOWS!$H:$H,"&gt;="&amp;$C$126,FLOWS!$H:$H,"&lt;="&amp;$U$126)+SUM(SUMIFS(DEALS!$J:$J,DEALS!$A:$A,{"*REFUND*","*EXECUTED*"},DEALS!$G:$G,$B$124,DEALS!$E:$E,"&gt;="&amp;$C$126,DEALS!$E:$E,"&lt;="&amp;$U$126,DEALS!$K:$K,M$128,DEALS!$M:$M,$K146,DEALS!$N:$N,"&lt;&gt;*RECEIVED*",DEALS!$N:$N,"&lt;&gt;*EXECUTED*"))+SUM(SUMIFS(DEALS!$R:$R,DEALS!$A:$A,{"*REFUND*","*EXECUTED*"},DEALS!$O:$O,$B$124,DEALS!$E:$E,"&gt;="&amp;$C$126,DEALS!$E:$E,"&lt;="&amp;$U$126,DEALS!$S:$S,M$128,DEALS!$U:$U,$K146,DEALS!$V:$V,"&lt;&gt;*RECEIVED*",DEALS!$V:$V,"&lt;&gt;*EXECUTED*"))</f>
        <v>0</v>
      </c>
      <c r="N146" s="32" cm="1">
        <f t="array" ref="N146">SUMIFS(FLOWS!$C:$C,FLOWS!$A:$A,$B$124,FLOWS!$E:$E,$K146,FLOWS!$D:$D,N$128,FLOWS!$H:$H,"&gt;="&amp;$C$126,FLOWS!$H:$H,"&lt;="&amp;$U$126)+SUM(SUMIFS(DEALS!$J:$J,DEALS!$A:$A,{"*REFUND*","*EXECUTED*"},DEALS!$G:$G,$B$124,DEALS!$E:$E,"&gt;="&amp;$C$126,DEALS!$E:$E,"&lt;="&amp;$U$126,DEALS!$K:$K,N$128,DEALS!$M:$M,$K146,DEALS!$N:$N,"&lt;&gt;*RECEIVED*",DEALS!$N:$N,"&lt;&gt;*EXECUTED*"))+SUM(SUMIFS(DEALS!$R:$R,DEALS!$A:$A,{"*REFUND*","*EXECUTED*"},DEALS!$O:$O,$B$124,DEALS!$E:$E,"&gt;="&amp;$C$126,DEALS!$E:$E,"&lt;="&amp;$U$126,DEALS!$S:$S,N$128,DEALS!$U:$U,$K146,DEALS!$V:$V,"&lt;&gt;*RECEIVED*",DEALS!$V:$V,"&lt;&gt;*EXECUTED*"))</f>
        <v>0</v>
      </c>
      <c r="O146" s="32" cm="1">
        <f t="array" ref="O146">SUMIFS(FLOWS!$C:$C,FLOWS!$A:$A,$B$124,FLOWS!$E:$E,$K146,FLOWS!$D:$D,O$128,FLOWS!$H:$H,"&gt;="&amp;$C$126,FLOWS!$H:$H,"&lt;="&amp;$U$126)+SUM(SUMIFS(DEALS!$J:$J,DEALS!$A:$A,{"*REFUND*","*EXECUTED*"},DEALS!$G:$G,$B$124,DEALS!$E:$E,"&gt;="&amp;$C$126,DEALS!$E:$E,"&lt;="&amp;$U$126,DEALS!$K:$K,O$128,DEALS!$M:$M,$K146,DEALS!$N:$N,"&lt;&gt;*RECEIVED*",DEALS!$N:$N,"&lt;&gt;*EXECUTED*"))+SUM(SUMIFS(DEALS!$R:$R,DEALS!$A:$A,{"*REFUND*","*EXECUTED*"},DEALS!$O:$O,$B$124,DEALS!$E:$E,"&gt;="&amp;$C$126,DEALS!$E:$E,"&lt;="&amp;$U$126,DEALS!$S:$S,O$128,DEALS!$U:$U,$K146,DEALS!$V:$V,"&lt;&gt;*RECEIVED*",DEALS!$V:$V,"&lt;&gt;*EXECUTED*"))</f>
        <v>0</v>
      </c>
      <c r="P146" s="32" cm="1">
        <f t="array" ref="P146">SUMIFS(FLOWS!$C:$C,FLOWS!$A:$A,$B$124,FLOWS!$E:$E,$K146,FLOWS!$D:$D,P$128,FLOWS!$H:$H,"&gt;="&amp;$C$126,FLOWS!$H:$H,"&lt;="&amp;$U$126)+SUM(SUMIFS(DEALS!$J:$J,DEALS!$A:$A,{"*REFUND*","*EXECUTED*"},DEALS!$G:$G,$B$124,DEALS!$E:$E,"&gt;="&amp;$C$126,DEALS!$E:$E,"&lt;="&amp;$U$126,DEALS!$K:$K,P$128,DEALS!$M:$M,$K146,DEALS!$N:$N,"&lt;&gt;*RECEIVED*",DEALS!$N:$N,"&lt;&gt;*EXECUTED*"))+SUM(SUMIFS(DEALS!$R:$R,DEALS!$A:$A,{"*REFUND*","*EXECUTED*"},DEALS!$O:$O,$B$124,DEALS!$E:$E,"&gt;="&amp;$C$126,DEALS!$E:$E,"&lt;="&amp;$U$126,DEALS!$S:$S,P$128,DEALS!$U:$U,$K146,DEALS!$V:$V,"&lt;&gt;*RECEIVED*",DEALS!$V:$V,"&lt;&gt;*EXECUTED*"))</f>
        <v>0</v>
      </c>
      <c r="Q146" s="32" cm="1">
        <f t="array" ref="Q146">SUMIFS(FLOWS!$C:$C,FLOWS!$A:$A,$B$124,FLOWS!$E:$E,$K146,FLOWS!$D:$D,Q$128,FLOWS!$H:$H,"&gt;="&amp;$C$126,FLOWS!$H:$H,"&lt;="&amp;$U$126)+SUM(SUMIFS(DEALS!$J:$J,DEALS!$A:$A,{"*REFUND*","*EXECUTED*"},DEALS!$G:$G,$B$124,DEALS!$E:$E,"&gt;="&amp;$C$126,DEALS!$E:$E,"&lt;="&amp;$U$126,DEALS!$K:$K,Q$128,DEALS!$M:$M,$K146,DEALS!$N:$N,"&lt;&gt;*RECEIVED*",DEALS!$N:$N,"&lt;&gt;*EXECUTED*"))+SUM(SUMIFS(DEALS!$R:$R,DEALS!$A:$A,{"*REFUND*","*EXECUTED*"},DEALS!$O:$O,$B$124,DEALS!$E:$E,"&gt;="&amp;$C$126,DEALS!$E:$E,"&lt;="&amp;$U$126,DEALS!$S:$S,Q$128,DEALS!$U:$U,$K146,DEALS!$V:$V,"&lt;&gt;*RECEIVED*",DEALS!$V:$V,"&lt;&gt;*EXECUTED*"))</f>
        <v>0</v>
      </c>
      <c r="R146" s="33">
        <f ca="1">L146*VLOOKUP(L$128,'FX RATES'!$E$1:$F$50,2,FALSE)+M146*VLOOKUP(M$128,'FX RATES'!$E$1:$F$50,2,FALSE)+N146*VLOOKUP(N$128,'FX RATES'!$E$1:$F$50,2,FALSE)+O146*VLOOKUP(O$128,'FX RATES'!$E$1:$F$50,2,FALSE)+P146*VLOOKUP(P$128,'FX RATES'!$E$1:$F$50,2,FALSE)+Q146*VLOOKUP(Q$128,'FX RATES'!$E$1:$F$50,2,FALSE)</f>
        <v>0</v>
      </c>
      <c r="T146" s="31">
        <f t="shared" si="46"/>
        <v>0</v>
      </c>
      <c r="U146" s="32" cm="1">
        <f t="array" ref="U146">SUMIFS(BALANCES!$C:$C,BALANCES!$A:$A,$B$124,BALANCES!$B:$B,$T146,BALANCES!$D:$D,U$128)+SUMIFS(FLOWS!$C:$C,FLOWS!$A:$A,$B$124,FLOWS!$E:$E,$T146,FLOWS!$D:$D,U$128,FLOWS!$H:$H,"&lt;="&amp;$U$126)+SUM(SUMIFS(DEALS!$J:$J,DEALS!$A:$A,{"*REFUND*","*EXECUTED*"},DEALS!$G:$G,$B$124,DEALS!$E:$E,"&lt;="&amp;$U$126,DEALS!$K:$K,U$128,DEALS!$M:$M,$T146,DEALS!$N:$N,"&lt;&gt;*RECEIVED*",DEALS!$N:$N,"&lt;&gt;*EXECUTED*"))+SUM(SUMIFS(DEALS!$R:$R,DEALS!$A:$A,{"*REFUND*","*EXECUTED*"},DEALS!$O:$O,$B$124,DEALS!$E:$E,"&lt;="&amp;$U$126,DEALS!$S:$S,U$128,DEALS!$U:$U,$T146,DEALS!$V:$V,"&lt;&gt;*RECEIVED*",DEALS!$V:$V,"&lt;&gt;*EXECUTED*"))</f>
        <v>0</v>
      </c>
      <c r="V146" s="32" cm="1">
        <f t="array" ref="V146">SUMIFS(BALANCES!$C:$C,BALANCES!$A:$A,$B$124,BALANCES!$B:$B,$T146,BALANCES!$D:$D,V$128)+SUMIFS(FLOWS!$C:$C,FLOWS!$A:$A,$B$124,FLOWS!$E:$E,$T146,FLOWS!$D:$D,V$128,FLOWS!$H:$H,"&lt;="&amp;$U$126)+SUM(SUMIFS(DEALS!$J:$J,DEALS!$A:$A,{"*REFUND*","*EXECUTED*"},DEALS!$G:$G,$B$124,DEALS!$E:$E,"&lt;="&amp;$U$126,DEALS!$K:$K,V$128,DEALS!$M:$M,$T146,DEALS!$N:$N,"&lt;&gt;*RECEIVED*",DEALS!$N:$N,"&lt;&gt;*EXECUTED*"))+SUM(SUMIFS(DEALS!$R:$R,DEALS!$A:$A,{"*REFUND*","*EXECUTED*"},DEALS!$O:$O,$B$124,DEALS!$E:$E,"&lt;="&amp;$U$126,DEALS!$S:$S,V$128,DEALS!$U:$U,$T146,DEALS!$V:$V,"&lt;&gt;*RECEIVED*",DEALS!$V:$V,"&lt;&gt;*EXECUTED*"))</f>
        <v>0</v>
      </c>
      <c r="W146" s="32" cm="1">
        <f t="array" ref="W146">SUMIFS(BALANCES!$C:$C,BALANCES!$A:$A,$B$124,BALANCES!$B:$B,$T146,BALANCES!$D:$D,W$128)+SUMIFS(FLOWS!$C:$C,FLOWS!$A:$A,$B$124,FLOWS!$E:$E,$T146,FLOWS!$D:$D,W$128,FLOWS!$H:$H,"&lt;="&amp;$U$126)+SUM(SUMIFS(DEALS!$J:$J,DEALS!$A:$A,{"*REFUND*","*EXECUTED*"},DEALS!$G:$G,$B$124,DEALS!$E:$E,"&lt;="&amp;$U$126,DEALS!$K:$K,W$128,DEALS!$M:$M,$T146,DEALS!$N:$N,"&lt;&gt;*RECEIVED*",DEALS!$N:$N,"&lt;&gt;*EXECUTED*"))+SUM(SUMIFS(DEALS!$R:$R,DEALS!$A:$A,{"*REFUND*","*EXECUTED*"},DEALS!$O:$O,$B$124,DEALS!$E:$E,"&lt;="&amp;$U$126,DEALS!$S:$S,W$128,DEALS!$U:$U,$T146,DEALS!$V:$V,"&lt;&gt;*RECEIVED*",DEALS!$V:$V,"&lt;&gt;*EXECUTED*"))</f>
        <v>0</v>
      </c>
      <c r="X146" s="32" cm="1">
        <f t="array" ref="X146">SUMIFS(BALANCES!$C:$C,BALANCES!$A:$A,$B$124,BALANCES!$B:$B,$T146,BALANCES!$D:$D,X$128)+SUMIFS(FLOWS!$C:$C,FLOWS!$A:$A,$B$124,FLOWS!$E:$E,$T146,FLOWS!$D:$D,X$128,FLOWS!$H:$H,"&lt;="&amp;$U$126)+SUM(SUMIFS(DEALS!$J:$J,DEALS!$A:$A,{"*REFUND*","*EXECUTED*"},DEALS!$G:$G,$B$124,DEALS!$E:$E,"&lt;="&amp;$U$126,DEALS!$K:$K,X$128,DEALS!$M:$M,$T146,DEALS!$N:$N,"&lt;&gt;*RECEIVED*",DEALS!$N:$N,"&lt;&gt;*EXECUTED*"))+SUM(SUMIFS(DEALS!$R:$R,DEALS!$A:$A,{"*REFUND*","*EXECUTED*"},DEALS!$O:$O,$B$124,DEALS!$E:$E,"&lt;="&amp;$U$126,DEALS!$S:$S,X$128,DEALS!$U:$U,$T146,DEALS!$V:$V,"&lt;&gt;*RECEIVED*",DEALS!$V:$V,"&lt;&gt;*EXECUTED*"))</f>
        <v>0</v>
      </c>
      <c r="Y146" s="32" cm="1">
        <f t="array" ref="Y146">SUMIFS(BALANCES!$C:$C,BALANCES!$A:$A,$B$124,BALANCES!$B:$B,$T146,BALANCES!$D:$D,Y$128)+SUMIFS(FLOWS!$C:$C,FLOWS!$A:$A,$B$124,FLOWS!$E:$E,$T146,FLOWS!$D:$D,Y$128,FLOWS!$H:$H,"&lt;="&amp;$U$126)+SUM(SUMIFS(DEALS!$J:$J,DEALS!$A:$A,{"*REFUND*","*EXECUTED*"},DEALS!$G:$G,$B$124,DEALS!$E:$E,"&lt;="&amp;$U$126,DEALS!$K:$K,Y$128,DEALS!$M:$M,$T146,DEALS!$N:$N,"&lt;&gt;*RECEIVED*",DEALS!$N:$N,"&lt;&gt;*EXECUTED*"))+SUM(SUMIFS(DEALS!$R:$R,DEALS!$A:$A,{"*REFUND*","*EXECUTED*"},DEALS!$O:$O,$B$124,DEALS!$E:$E,"&lt;="&amp;$U$126,DEALS!$S:$S,Y$128,DEALS!$U:$U,$T146,DEALS!$V:$V,"&lt;&gt;*RECEIVED*",DEALS!$V:$V,"&lt;&gt;*EXECUTED*"))</f>
        <v>0</v>
      </c>
      <c r="Z146" s="32" cm="1">
        <f t="array" ref="Z146">SUMIFS(BALANCES!$C:$C,BALANCES!$A:$A,$B$124,BALANCES!$B:$B,$T146,BALANCES!$D:$D,Z$128)+SUMIFS(FLOWS!$C:$C,FLOWS!$A:$A,$B$124,FLOWS!$E:$E,$T146,FLOWS!$D:$D,Z$128,FLOWS!$H:$H,"&lt;="&amp;$U$126)+SUM(SUMIFS(DEALS!$J:$J,DEALS!$A:$A,{"*REFUND*","*EXECUTED*"},DEALS!$G:$G,$B$124,DEALS!$E:$E,"&lt;="&amp;$U$126,DEALS!$K:$K,Z$128,DEALS!$M:$M,$T146,DEALS!$N:$N,"&lt;&gt;*RECEIVED*",DEALS!$N:$N,"&lt;&gt;*EXECUTED*"))+SUM(SUMIFS(DEALS!$R:$R,DEALS!$A:$A,{"*REFUND*","*EXECUTED*"},DEALS!$O:$O,$B$124,DEALS!$E:$E,"&lt;="&amp;$U$126,DEALS!$S:$S,Z$128,DEALS!$U:$U,$T146,DEALS!$V:$V,"&lt;&gt;*RECEIVED*",DEALS!$V:$V,"&lt;&gt;*EXECUTED*"))</f>
        <v>0</v>
      </c>
      <c r="AA146" s="33">
        <f ca="1">U146*VLOOKUP(U$128,'FX RATES'!$E$1:$F$50,2,FALSE)+V146*VLOOKUP(V$128,'FX RATES'!$E$1:$F$50,2,FALSE)+W146*VLOOKUP(W$128,'FX RATES'!$E$1:$F$50,2,FALSE)+X146*VLOOKUP(X$128,'FX RATES'!$E$1:$F$50,2,FALSE)+Y146*VLOOKUP(Y$128,'FX RATES'!$E$1:$F$50,2,FALSE)+Z146*VLOOKUP(Z$128,'FX RATES'!$E$1:$F$50,2,FALSE)</f>
        <v>0</v>
      </c>
      <c r="AC146" s="139">
        <f t="shared" ca="1" si="47"/>
        <v>0</v>
      </c>
    </row>
    <row r="147" spans="2:29" ht="18.75" customHeight="1" thickBot="1">
      <c r="B147" s="13" t="s">
        <v>26</v>
      </c>
      <c r="C147" s="16">
        <f t="shared" ref="C147:I147" si="48">SUM(C129:C146)</f>
        <v>-4423473.5162450308</v>
      </c>
      <c r="D147" s="16">
        <f t="shared" si="48"/>
        <v>104.39</v>
      </c>
      <c r="E147" s="16">
        <f t="shared" si="48"/>
        <v>2269.83</v>
      </c>
      <c r="F147" s="16">
        <f t="shared" si="48"/>
        <v>12776530.210720671</v>
      </c>
      <c r="G147" s="16">
        <f>SUM(G129:G146)</f>
        <v>9732019.5399999991</v>
      </c>
      <c r="H147" s="16">
        <f t="shared" si="48"/>
        <v>0</v>
      </c>
      <c r="I147" s="16">
        <f t="shared" ca="1" si="48"/>
        <v>-817292.86969835707</v>
      </c>
      <c r="K147" s="13" t="s">
        <v>26</v>
      </c>
      <c r="L147" s="16">
        <f t="shared" ref="L147:R147" si="49">SUM(L129:L146)</f>
        <v>-1576399.54</v>
      </c>
      <c r="M147" s="16">
        <f t="shared" si="49"/>
        <v>0</v>
      </c>
      <c r="N147" s="16">
        <f t="shared" si="49"/>
        <v>0</v>
      </c>
      <c r="O147" s="16">
        <f t="shared" si="49"/>
        <v>1136640.8358931094</v>
      </c>
      <c r="P147" s="16">
        <f t="shared" si="49"/>
        <v>47686924</v>
      </c>
      <c r="Q147" s="16">
        <f t="shared" si="49"/>
        <v>0</v>
      </c>
      <c r="R147" s="16">
        <f t="shared" ca="1" si="49"/>
        <v>-645340.49085794517</v>
      </c>
      <c r="T147" s="13" t="s">
        <v>26</v>
      </c>
      <c r="U147" s="16">
        <f t="shared" ref="U147:AA147" si="50">SUM(U129:U146)</f>
        <v>-5999873.0562450308</v>
      </c>
      <c r="V147" s="16">
        <f t="shared" si="50"/>
        <v>104.39</v>
      </c>
      <c r="W147" s="16">
        <f t="shared" si="50"/>
        <v>2269.83</v>
      </c>
      <c r="X147" s="16">
        <f t="shared" si="50"/>
        <v>13913171.046613781</v>
      </c>
      <c r="Y147" s="16">
        <f t="shared" si="50"/>
        <v>57418943.539999999</v>
      </c>
      <c r="Z147" s="16">
        <f t="shared" si="50"/>
        <v>0</v>
      </c>
      <c r="AA147" s="16">
        <f t="shared" ca="1" si="50"/>
        <v>-1462633.3605563021</v>
      </c>
      <c r="AC147" s="139">
        <f t="shared" ca="1" si="47"/>
        <v>0</v>
      </c>
    </row>
    <row r="148" spans="2:29" ht="18.75" customHeight="1" thickBot="1">
      <c r="B148" s="10" t="s">
        <v>11</v>
      </c>
      <c r="C148" s="17">
        <f>VLOOKUP(C128,'FX RATES'!$E$1:$F$50,2,FALSE)*C147</f>
        <v>-4423473.5162450308</v>
      </c>
      <c r="D148" s="17">
        <f ca="1">VLOOKUP(D128,'FX RATES'!$E$1:$F$50,2,FALSE)*D147</f>
        <v>122.97141999999999</v>
      </c>
      <c r="E148" s="17">
        <f ca="1">VLOOKUP(E128,'FX RATES'!$E$1:$F$50,2,FALSE)*E147</f>
        <v>328.57990735379269</v>
      </c>
      <c r="F148" s="17">
        <f ca="1">VLOOKUP(F128,'FX RATES'!$E$1:$F$50,2,FALSE)*F147</f>
        <v>3478878.7808965505</v>
      </c>
      <c r="G148" s="17">
        <f ca="1">VLOOKUP(G128,'FX RATES'!$E$1:$F$50,2,FALSE)*G147</f>
        <v>126850.314322769</v>
      </c>
      <c r="H148" s="17">
        <f ca="1">VLOOKUP(H128,'FX RATES'!$E$1:$F$50,2,FALSE)*H147</f>
        <v>0</v>
      </c>
      <c r="I148" s="16">
        <f ca="1">SUM(C148:H148)</f>
        <v>-817292.86969835707</v>
      </c>
      <c r="K148" s="10" t="s">
        <v>11</v>
      </c>
      <c r="L148" s="17">
        <f>VLOOKUP(L128,'FX RATES'!$E$1:$F$50,2,FALSE)*L147</f>
        <v>-1576399.54</v>
      </c>
      <c r="M148" s="17">
        <f ca="1">VLOOKUP(M128,'FX RATES'!$E$1:$F$50,2,FALSE)*M147</f>
        <v>0</v>
      </c>
      <c r="N148" s="17">
        <f ca="1">VLOOKUP(N128,'FX RATES'!$E$1:$F$50,2,FALSE)*N147</f>
        <v>0</v>
      </c>
      <c r="O148" s="17">
        <f ca="1">VLOOKUP(O128,'FX RATES'!$E$1:$F$50,2,FALSE)*O147</f>
        <v>309492.14068864274</v>
      </c>
      <c r="P148" s="17">
        <f ca="1">VLOOKUP(P128,'FX RATES'!$E$1:$F$50,2,FALSE)*P147</f>
        <v>621566.908453412</v>
      </c>
      <c r="Q148" s="17">
        <f ca="1">VLOOKUP(Q128,'FX RATES'!$E$1:$F$50,2,FALSE)*Q147</f>
        <v>0</v>
      </c>
      <c r="R148" s="16">
        <f ca="1">SUM(L148:Q148)</f>
        <v>-645340.49085794517</v>
      </c>
      <c r="T148" s="10" t="s">
        <v>11</v>
      </c>
      <c r="U148" s="17">
        <f>VLOOKUP(U128,'FX RATES'!$E$1:$F$50,2,FALSE)*U147</f>
        <v>-5999873.0562450308</v>
      </c>
      <c r="V148" s="17">
        <f ca="1">VLOOKUP(V128,'FX RATES'!$E$1:$F$50,2,FALSE)*V147</f>
        <v>122.97141999999999</v>
      </c>
      <c r="W148" s="17">
        <f ca="1">VLOOKUP(W128,'FX RATES'!$E$1:$F$50,2,FALSE)*W147</f>
        <v>328.57990735379269</v>
      </c>
      <c r="X148" s="17">
        <f ca="1">VLOOKUP(X128,'FX RATES'!$E$1:$F$50,2,FALSE)*X147</f>
        <v>3788370.9215851929</v>
      </c>
      <c r="Y148" s="17">
        <f ca="1">VLOOKUP(Y128,'FX RATES'!$E$1:$F$50,2,FALSE)*Y147</f>
        <v>748417.22277618106</v>
      </c>
      <c r="Z148" s="17">
        <f ca="1">VLOOKUP(Z128,'FX RATES'!$E$1:$F$50,2,FALSE)*Z147</f>
        <v>0</v>
      </c>
      <c r="AA148" s="16">
        <f ca="1">SUM(U148:Z148)</f>
        <v>-1462633.3605563026</v>
      </c>
      <c r="AC148" s="139">
        <f t="shared" ca="1" si="47"/>
        <v>0</v>
      </c>
    </row>
    <row r="149" spans="2:29" ht="18.75" customHeight="1">
      <c r="B149" s="9"/>
      <c r="C149" s="19"/>
      <c r="D149" s="19"/>
      <c r="E149" s="19"/>
      <c r="F149" s="19"/>
      <c r="G149" s="19"/>
      <c r="H149" s="19"/>
      <c r="I149" s="20">
        <f ca="1">I130+I134+I129+I133</f>
        <v>-944905.84022381622</v>
      </c>
      <c r="K149" s="9"/>
      <c r="L149" s="19"/>
      <c r="M149" s="19"/>
      <c r="N149" s="19"/>
      <c r="O149" s="19"/>
      <c r="P149" s="19"/>
      <c r="Q149" s="19"/>
      <c r="R149" s="20"/>
      <c r="T149" s="9"/>
      <c r="U149" s="19"/>
      <c r="V149" s="19"/>
      <c r="W149" s="19"/>
      <c r="X149" s="19"/>
      <c r="Y149" s="19"/>
      <c r="Z149" s="19"/>
      <c r="AA149" s="20"/>
      <c r="AC149" s="139"/>
    </row>
    <row r="152" spans="2:29" ht="18.75" customHeight="1" thickBot="1">
      <c r="B152" s="593" t="s">
        <v>41</v>
      </c>
      <c r="C152" s="593"/>
      <c r="D152" s="593"/>
      <c r="E152" s="593"/>
      <c r="F152" s="593"/>
      <c r="G152" s="593"/>
      <c r="H152" s="593"/>
      <c r="I152" s="593"/>
      <c r="K152" s="593" t="str">
        <f>B152</f>
        <v>NLK+EVC</v>
      </c>
      <c r="L152" s="593"/>
      <c r="M152" s="593"/>
      <c r="N152" s="593"/>
      <c r="O152" s="593"/>
      <c r="P152" s="593"/>
      <c r="Q152" s="593"/>
      <c r="R152" s="593"/>
      <c r="T152" s="593" t="str">
        <f>B152</f>
        <v>NLK+EVC</v>
      </c>
      <c r="U152" s="593"/>
      <c r="V152" s="593"/>
      <c r="W152" s="593"/>
      <c r="X152" s="593"/>
      <c r="Y152" s="593"/>
      <c r="Z152" s="593"/>
      <c r="AA152" s="593"/>
    </row>
    <row r="154" spans="2:29" ht="18.75" customHeight="1">
      <c r="B154" s="9" t="s">
        <v>1</v>
      </c>
      <c r="C154" s="91">
        <f>BALANCES!B1</f>
        <v>46073</v>
      </c>
      <c r="K154" s="56" t="s">
        <v>2</v>
      </c>
      <c r="L154" s="110">
        <f>C154</f>
        <v>46073</v>
      </c>
      <c r="M154" s="144" t="s">
        <v>3</v>
      </c>
      <c r="N154" s="110">
        <f>U154</f>
        <v>46081</v>
      </c>
      <c r="O154" s="140"/>
      <c r="P154" s="140"/>
      <c r="Q154" s="140"/>
      <c r="R154" s="20"/>
      <c r="T154" s="9" t="s">
        <v>1</v>
      </c>
      <c r="U154" s="90">
        <f>U4</f>
        <v>46081</v>
      </c>
    </row>
    <row r="155" spans="2:29" ht="18.75" customHeight="1" thickBot="1">
      <c r="B155" s="14"/>
      <c r="C155" s="15"/>
      <c r="D155" s="15"/>
      <c r="E155" s="15"/>
      <c r="F155" s="15"/>
      <c r="G155" s="15"/>
      <c r="H155" s="15"/>
      <c r="I155" s="15"/>
      <c r="K155" s="23"/>
      <c r="L155" s="24"/>
      <c r="M155" s="24"/>
      <c r="N155" s="24"/>
      <c r="O155" s="24"/>
      <c r="P155" s="24"/>
      <c r="Q155" s="24"/>
      <c r="R155" s="25"/>
      <c r="T155" s="14"/>
      <c r="U155" s="15"/>
      <c r="V155" s="15"/>
      <c r="W155" s="15"/>
      <c r="X155" s="15"/>
      <c r="Y155" s="15"/>
      <c r="Z155" s="15"/>
      <c r="AA155" s="15"/>
    </row>
    <row r="156" spans="2:29" ht="18.75" customHeight="1" thickBot="1">
      <c r="B156" s="10" t="s">
        <v>33</v>
      </c>
      <c r="C156" s="11" t="s">
        <v>5</v>
      </c>
      <c r="D156" s="11" t="s">
        <v>6</v>
      </c>
      <c r="E156" s="11" t="s">
        <v>7</v>
      </c>
      <c r="F156" s="11" t="s">
        <v>8</v>
      </c>
      <c r="G156" s="11" t="s">
        <v>9</v>
      </c>
      <c r="H156" s="11" t="s">
        <v>35</v>
      </c>
      <c r="I156" s="12" t="s">
        <v>11</v>
      </c>
      <c r="K156" s="10" t="s">
        <v>33</v>
      </c>
      <c r="L156" s="11" t="str">
        <f t="shared" ref="L156:Q156" si="51">C156</f>
        <v>USD</v>
      </c>
      <c r="M156" s="11" t="str">
        <f t="shared" si="51"/>
        <v>EUR</v>
      </c>
      <c r="N156" s="11" t="str">
        <f t="shared" si="51"/>
        <v>CNY</v>
      </c>
      <c r="O156" s="11" t="str">
        <f t="shared" si="51"/>
        <v>AED</v>
      </c>
      <c r="P156" s="11" t="str">
        <f t="shared" si="51"/>
        <v>RUB</v>
      </c>
      <c r="Q156" s="11" t="str">
        <f t="shared" si="51"/>
        <v>HKD</v>
      </c>
      <c r="R156" s="12" t="s">
        <v>11</v>
      </c>
      <c r="T156" s="10" t="s">
        <v>33</v>
      </c>
      <c r="U156" s="11" t="str">
        <f t="shared" ref="U156:Z156" si="52">C156</f>
        <v>USD</v>
      </c>
      <c r="V156" s="11" t="str">
        <f t="shared" si="52"/>
        <v>EUR</v>
      </c>
      <c r="W156" s="11" t="str">
        <f t="shared" si="52"/>
        <v>CNY</v>
      </c>
      <c r="X156" s="11" t="str">
        <f t="shared" si="52"/>
        <v>AED</v>
      </c>
      <c r="Y156" s="11" t="str">
        <f t="shared" si="52"/>
        <v>RUB</v>
      </c>
      <c r="Z156" s="11" t="str">
        <f t="shared" si="52"/>
        <v>HKD</v>
      </c>
      <c r="AA156" s="12" t="s">
        <v>11</v>
      </c>
      <c r="AC156" s="40" t="s">
        <v>12</v>
      </c>
    </row>
    <row r="157" spans="2:29" s="35" customFormat="1" ht="18.75" customHeight="1" thickBot="1">
      <c r="B157" s="141" t="s">
        <v>26</v>
      </c>
      <c r="C157" s="142">
        <f>C119+C147</f>
        <v>-5437377.4562450312</v>
      </c>
      <c r="D157" s="142">
        <f t="shared" ref="D157:H157" si="53">D119+D147</f>
        <v>104.39</v>
      </c>
      <c r="E157" s="142">
        <f t="shared" si="53"/>
        <v>949495.5</v>
      </c>
      <c r="F157" s="142">
        <f t="shared" si="53"/>
        <v>22238606.380720671</v>
      </c>
      <c r="G157" s="142">
        <f t="shared" si="53"/>
        <v>10269556</v>
      </c>
      <c r="H157" s="142">
        <f t="shared" si="53"/>
        <v>0</v>
      </c>
      <c r="I157" s="142">
        <f ca="1">I119+I147</f>
        <v>889326.86764095724</v>
      </c>
      <c r="K157" s="141" t="s">
        <v>26</v>
      </c>
      <c r="L157" s="142">
        <f t="shared" ref="L157:R158" si="54">L119+L147+L186</f>
        <v>-1576399.54</v>
      </c>
      <c r="M157" s="142">
        <f t="shared" si="54"/>
        <v>0</v>
      </c>
      <c r="N157" s="142">
        <f t="shared" si="54"/>
        <v>0</v>
      </c>
      <c r="O157" s="142">
        <f t="shared" si="54"/>
        <v>6940804.7357050003</v>
      </c>
      <c r="P157" s="142">
        <f t="shared" si="54"/>
        <v>47686924</v>
      </c>
      <c r="Q157" s="142">
        <f t="shared" si="54"/>
        <v>0</v>
      </c>
      <c r="R157" s="142">
        <f t="shared" ca="1" si="54"/>
        <v>935055.93124407798</v>
      </c>
      <c r="T157" s="141" t="s">
        <v>26</v>
      </c>
      <c r="U157" s="142">
        <f t="shared" ref="U157:AA158" si="55">U119+U147+U186</f>
        <v>-6930176.8562450316</v>
      </c>
      <c r="V157" s="142">
        <f t="shared" si="55"/>
        <v>104.39</v>
      </c>
      <c r="W157" s="142">
        <f t="shared" si="55"/>
        <v>1212067.51</v>
      </c>
      <c r="X157" s="142">
        <f t="shared" si="55"/>
        <v>29179411.116425671</v>
      </c>
      <c r="Y157" s="142">
        <f t="shared" si="55"/>
        <v>57998990</v>
      </c>
      <c r="Z157" s="142">
        <f t="shared" si="55"/>
        <v>0</v>
      </c>
      <c r="AA157" s="142">
        <f t="shared" ca="1" si="55"/>
        <v>1946546.8731860495</v>
      </c>
      <c r="AC157" s="139">
        <f ca="1">I157+R157-AA157</f>
        <v>-122164.07430101419</v>
      </c>
    </row>
    <row r="158" spans="2:29" ht="18.75" customHeight="1" thickBot="1">
      <c r="B158" s="10" t="s">
        <v>11</v>
      </c>
      <c r="C158" s="16">
        <f>C120+C148</f>
        <v>-5437377.4562450312</v>
      </c>
      <c r="D158" s="16">
        <f t="shared" ref="D158:G158" ca="1" si="56">D120+D148</f>
        <v>122.97141999999999</v>
      </c>
      <c r="E158" s="16">
        <f t="shared" ca="1" si="56"/>
        <v>137448.68268674001</v>
      </c>
      <c r="F158" s="16">
        <f t="shared" ca="1" si="56"/>
        <v>6055275.9300551843</v>
      </c>
      <c r="G158" s="16">
        <f t="shared" ca="1" si="56"/>
        <v>133856.73972406331</v>
      </c>
      <c r="H158" s="16">
        <f ca="1">H120+H148</f>
        <v>0</v>
      </c>
      <c r="I158" s="16">
        <f ca="1">I120+I148</f>
        <v>889326.8676409577</v>
      </c>
      <c r="K158" s="10" t="s">
        <v>11</v>
      </c>
      <c r="L158" s="16">
        <f t="shared" si="54"/>
        <v>-1576399.54</v>
      </c>
      <c r="M158" s="16">
        <f t="shared" ca="1" si="54"/>
        <v>0</v>
      </c>
      <c r="N158" s="16">
        <f t="shared" ca="1" si="54"/>
        <v>0</v>
      </c>
      <c r="O158" s="16">
        <f t="shared" ca="1" si="54"/>
        <v>1889888.5627906658</v>
      </c>
      <c r="P158" s="16">
        <f t="shared" ca="1" si="54"/>
        <v>621566.908453412</v>
      </c>
      <c r="Q158" s="16">
        <f t="shared" ca="1" si="54"/>
        <v>0</v>
      </c>
      <c r="R158" s="16">
        <f t="shared" ca="1" si="54"/>
        <v>935055.93124407798</v>
      </c>
      <c r="T158" s="10" t="s">
        <v>11</v>
      </c>
      <c r="U158" s="16">
        <f t="shared" si="55"/>
        <v>-6930176.8562450316</v>
      </c>
      <c r="V158" s="16">
        <f t="shared" ca="1" si="55"/>
        <v>122.97141999999999</v>
      </c>
      <c r="W158" s="16">
        <f t="shared" ca="1" si="55"/>
        <v>175458.52779386219</v>
      </c>
      <c r="X158" s="16">
        <f t="shared" ca="1" si="55"/>
        <v>7945164.4928458501</v>
      </c>
      <c r="Y158" s="16">
        <f t="shared" ca="1" si="55"/>
        <v>755977.7373713674</v>
      </c>
      <c r="Z158" s="16">
        <f t="shared" ca="1" si="55"/>
        <v>0</v>
      </c>
      <c r="AA158" s="16">
        <f t="shared" ca="1" si="55"/>
        <v>1946546.8731860495</v>
      </c>
      <c r="AC158" s="139">
        <f ca="1">I158+R158-AA158</f>
        <v>-122164.07430101372</v>
      </c>
    </row>
    <row r="159" spans="2:29" ht="18.75" customHeight="1">
      <c r="I159" s="20">
        <f ca="1">I121+I149</f>
        <v>432119.71263954998</v>
      </c>
    </row>
    <row r="163" spans="2:29" ht="18.75" customHeight="1">
      <c r="B163" s="593" t="s">
        <v>42</v>
      </c>
      <c r="C163" s="593"/>
      <c r="D163" s="593"/>
      <c r="E163" s="593"/>
      <c r="F163" s="593"/>
      <c r="G163" s="593"/>
      <c r="H163" s="593"/>
      <c r="I163" s="593"/>
      <c r="J163" s="137"/>
      <c r="K163" s="593" t="str">
        <f>B163</f>
        <v>EVC HK</v>
      </c>
      <c r="L163" s="593"/>
      <c r="M163" s="593"/>
      <c r="N163" s="593"/>
      <c r="O163" s="593"/>
      <c r="P163" s="593"/>
      <c r="Q163" s="593"/>
      <c r="R163" s="593"/>
      <c r="S163" s="137"/>
      <c r="T163" s="593" t="str">
        <f>B163</f>
        <v>EVC HK</v>
      </c>
      <c r="U163" s="593"/>
      <c r="V163" s="593"/>
      <c r="W163" s="593"/>
      <c r="X163" s="593"/>
      <c r="Y163" s="593"/>
      <c r="Z163" s="593"/>
      <c r="AA163" s="593"/>
    </row>
    <row r="164" spans="2:29" ht="19"/>
    <row r="165" spans="2:29" ht="21">
      <c r="B165" s="9" t="s">
        <v>1</v>
      </c>
      <c r="C165" s="91">
        <f>BALANCES!B1</f>
        <v>46073</v>
      </c>
      <c r="K165" s="56" t="s">
        <v>2</v>
      </c>
      <c r="L165" s="110">
        <f>C165</f>
        <v>46073</v>
      </c>
      <c r="M165" s="144" t="s">
        <v>3</v>
      </c>
      <c r="N165" s="110">
        <f>U165</f>
        <v>46081</v>
      </c>
      <c r="O165" s="140"/>
      <c r="P165" s="140"/>
      <c r="Q165" s="140"/>
      <c r="R165" s="20"/>
      <c r="T165" s="9" t="s">
        <v>1</v>
      </c>
      <c r="U165" s="90">
        <f>U4</f>
        <v>46081</v>
      </c>
    </row>
    <row r="166" spans="2:29" ht="21">
      <c r="B166" s="14"/>
      <c r="C166" s="15"/>
      <c r="D166" s="15"/>
      <c r="E166" s="15"/>
      <c r="F166" s="15"/>
      <c r="G166" s="15"/>
      <c r="H166" s="15"/>
      <c r="I166" s="15"/>
      <c r="K166" s="23"/>
      <c r="L166" s="24"/>
      <c r="M166" s="24"/>
      <c r="N166" s="24"/>
      <c r="O166" s="24"/>
      <c r="P166" s="24"/>
      <c r="Q166" s="24"/>
      <c r="R166" s="25"/>
      <c r="T166" s="14"/>
      <c r="U166" s="15"/>
      <c r="V166" s="15"/>
      <c r="W166" s="15"/>
      <c r="X166" s="15"/>
      <c r="Y166" s="15"/>
      <c r="Z166" s="15"/>
      <c r="AA166" s="15"/>
    </row>
    <row r="167" spans="2:29" ht="21">
      <c r="B167" s="10" t="s">
        <v>4</v>
      </c>
      <c r="C167" s="11" t="s">
        <v>5</v>
      </c>
      <c r="D167" s="11" t="s">
        <v>6</v>
      </c>
      <c r="E167" s="11" t="s">
        <v>7</v>
      </c>
      <c r="F167" s="11" t="s">
        <v>8</v>
      </c>
      <c r="G167" s="11" t="s">
        <v>9</v>
      </c>
      <c r="H167" s="11" t="s">
        <v>35</v>
      </c>
      <c r="I167" s="12" t="s">
        <v>11</v>
      </c>
      <c r="K167" s="10" t="s">
        <v>4</v>
      </c>
      <c r="L167" s="11" t="str">
        <f t="shared" ref="L167:Q167" si="57">C167</f>
        <v>USD</v>
      </c>
      <c r="M167" s="11" t="str">
        <f t="shared" si="57"/>
        <v>EUR</v>
      </c>
      <c r="N167" s="11" t="str">
        <f t="shared" si="57"/>
        <v>CNY</v>
      </c>
      <c r="O167" s="11" t="str">
        <f t="shared" si="57"/>
        <v>AED</v>
      </c>
      <c r="P167" s="11" t="str">
        <f t="shared" si="57"/>
        <v>RUB</v>
      </c>
      <c r="Q167" s="11" t="str">
        <f t="shared" si="57"/>
        <v>HKD</v>
      </c>
      <c r="R167" s="12" t="s">
        <v>11</v>
      </c>
      <c r="T167" s="10" t="s">
        <v>4</v>
      </c>
      <c r="U167" s="11" t="str">
        <f t="shared" ref="U167:Z167" si="58">C167</f>
        <v>USD</v>
      </c>
      <c r="V167" s="11" t="str">
        <f t="shared" si="58"/>
        <v>EUR</v>
      </c>
      <c r="W167" s="11" t="str">
        <f t="shared" si="58"/>
        <v>CNY</v>
      </c>
      <c r="X167" s="11" t="str">
        <f t="shared" si="58"/>
        <v>AED</v>
      </c>
      <c r="Y167" s="11" t="str">
        <f t="shared" si="58"/>
        <v>RUB</v>
      </c>
      <c r="Z167" s="11" t="str">
        <f t="shared" si="58"/>
        <v>HKD</v>
      </c>
      <c r="AA167" s="12" t="s">
        <v>11</v>
      </c>
      <c r="AC167" s="40" t="s">
        <v>12</v>
      </c>
    </row>
    <row r="168" spans="2:29" ht="19">
      <c r="B168" s="28" t="s">
        <v>37</v>
      </c>
      <c r="C168" s="29" cm="1">
        <f t="array" ref="C168">SUMIFS(BALANCES!$C:$C,BALANCES!$A:$A,$B$163,BALANCES!$B:$B,$B168,BALANCES!$D:$D,C$167)+SUMIFS(FLOWS!$C:$C,FLOWS!$A:$A,$B$163,FLOWS!$E:$E,$B168,FLOWS!$D:$D,C$167,FLOWS!$H:$H,"&lt;"&amp;$C$165)+SUM(SUMIFS(DEALS!$J:$J,DEALS!$A:$A,{"*REFUND*","*EXECUTED*"},DEALS!$G:$G,$B$163,DEALS!$E:$E,"&lt;"&amp;$C$165,DEALS!$K:$K,C$167,DEALS!$M:$M,$B168,DEALS!$N:$N,"&lt;&gt;*RECEIVED*",DEALS!$N:$N,"&lt;&gt;*EXECUTED*"))+SUM(SUMIFS(DEALS!$R:$R,DEALS!$A:$A,{"*REFUND*","*EXECUTED*"},DEALS!$O:$O,$B$163,DEALS!$E:$E,"&lt;"&amp;$C$165,DEALS!$S:$S,C$167,DEALS!$U:$U,$B168,DEALS!$V:$V,"&lt;&gt;*RECEIVED*",DEALS!$V:$V,"&lt;&gt;*EXECUTED*"))</f>
        <v>82488.95</v>
      </c>
      <c r="D168" s="29" cm="1">
        <f t="array" ref="D168">SUMIFS(BALANCES!$C:$C,BALANCES!$A:$A,$B$163,BALANCES!$B:$B,$B168,BALANCES!$D:$D,D$167)+SUMIFS(FLOWS!$C:$C,FLOWS!$A:$A,$B$163,FLOWS!$E:$E,$B168,FLOWS!$D:$D,D$167,FLOWS!$H:$H,"&lt;"&amp;$C$165)+SUM(SUMIFS(DEALS!$J:$J,DEALS!$A:$A,{"*REFUND*","*EXECUTED*"},DEALS!$G:$G,$B$163,DEALS!$E:$E,"&lt;"&amp;$C$165,DEALS!$K:$K,D$167,DEALS!$M:$M,$B168,DEALS!$N:$N,"&lt;&gt;*RECEIVED*",DEALS!$N:$N,"&lt;&gt;*EXECUTED*"))+SUM(SUMIFS(DEALS!$R:$R,DEALS!$A:$A,{"*REFUND*","*EXECUTED*"},DEALS!$O:$O,$B$163,DEALS!$E:$E,"&lt;"&amp;$C$165,DEALS!$S:$S,D$167,DEALS!$U:$U,$B168,DEALS!$V:$V,"&lt;&gt;*RECEIVED*",DEALS!$V:$V,"&lt;&gt;*EXECUTED*"))</f>
        <v>0</v>
      </c>
      <c r="E168" s="29" cm="1">
        <f t="array" ref="E168">SUMIFS(BALANCES!$C:$C,BALANCES!$A:$A,$B$163,BALANCES!$B:$B,$B168,BALANCES!$D:$D,E$167)+SUMIFS(FLOWS!$C:$C,FLOWS!$A:$A,$B$163,FLOWS!$E:$E,$B168,FLOWS!$D:$D,E$167,FLOWS!$H:$H,"&lt;"&amp;$C$165)+SUM(SUMIFS(DEALS!$J:$J,DEALS!$A:$A,{"*REFUND*","*EXECUTED*"},DEALS!$G:$G,$B$163,DEALS!$E:$E,"&lt;"&amp;$C$165,DEALS!$K:$K,E$167,DEALS!$M:$M,$B168,DEALS!$N:$N,"&lt;&gt;*RECEIVED*",DEALS!$N:$N,"&lt;&gt;*EXECUTED*"))+SUM(SUMIFS(DEALS!$R:$R,DEALS!$A:$A,{"*REFUND*","*EXECUTED*"},DEALS!$O:$O,$B$163,DEALS!$E:$E,"&lt;"&amp;$C$165,DEALS!$S:$S,E$167,DEALS!$U:$U,$B168,DEALS!$V:$V,"&lt;&gt;*RECEIVED*",DEALS!$V:$V,"&lt;&gt;*EXECUTED*"))</f>
        <v>876.37</v>
      </c>
      <c r="F168" s="29" cm="1">
        <f t="array" ref="F168">SUMIFS(BALANCES!$C:$C,BALANCES!$A:$A,$B$163,BALANCES!$B:$B,$B168,BALANCES!$D:$D,F$167)+SUMIFS(FLOWS!$C:$C,FLOWS!$A:$A,$B$163,FLOWS!$E:$E,$B168,FLOWS!$D:$D,F$167,FLOWS!$H:$H,"&lt;"&amp;$C$165)+SUM(SUMIFS(DEALS!$J:$J,DEALS!$A:$A,{"*REFUND*","*EXECUTED*"},DEALS!$G:$G,$B$163,DEALS!$E:$E,"&lt;"&amp;$C$165,DEALS!$K:$K,F$167,DEALS!$M:$M,$B168,DEALS!$N:$N,"&lt;&gt;*RECEIVED*",DEALS!$N:$N,"&lt;&gt;*EXECUTED*"))+SUM(SUMIFS(DEALS!$R:$R,DEALS!$A:$A,{"*REFUND*","*EXECUTED*"},DEALS!$O:$O,$B$163,DEALS!$E:$E,"&lt;"&amp;$C$165,DEALS!$S:$S,F$167,DEALS!$U:$U,$B168,DEALS!$V:$V,"&lt;&gt;*RECEIVED*",DEALS!$V:$V,"&lt;&gt;*EXECUTED*"))</f>
        <v>0</v>
      </c>
      <c r="G168" s="29" cm="1">
        <f t="array" ref="G168">SUMIFS(BALANCES!$C:$C,BALANCES!$A:$A,$B$163,BALANCES!$B:$B,$B168,BALANCES!$D:$D,G$167)+SUMIFS(FLOWS!$C:$C,FLOWS!$A:$A,$B$163,FLOWS!$E:$E,$B168,FLOWS!$D:$D,G$167,FLOWS!$H:$H,"&lt;"&amp;$C$165)+SUM(SUMIFS(DEALS!$J:$J,DEALS!$A:$A,{"*REFUND*","*EXECUTED*"},DEALS!$G:$G,$B$163,DEALS!$E:$E,"&lt;"&amp;$C$165,DEALS!$K:$K,G$167,DEALS!$M:$M,$B168,DEALS!$N:$N,"&lt;&gt;*RECEIVED*",DEALS!$N:$N,"&lt;&gt;*EXECUTED*"))+SUM(SUMIFS(DEALS!$R:$R,DEALS!$A:$A,{"*REFUND*","*EXECUTED*"},DEALS!$O:$O,$B$163,DEALS!$E:$E,"&lt;"&amp;$C$165,DEALS!$S:$S,G$167,DEALS!$U:$U,$B168,DEALS!$V:$V,"&lt;&gt;*RECEIVED*",DEALS!$V:$V,"&lt;&gt;*EXECUTED*"))</f>
        <v>0</v>
      </c>
      <c r="H168" s="29" cm="1">
        <f t="array" ref="H168">SUMIFS(BALANCES!$C:$C,BALANCES!$A:$A,$B$163,BALANCES!$B:$B,$B168,BALANCES!$D:$D,H$167)+SUMIFS(FLOWS!$C:$C,FLOWS!$A:$A,$B$163,FLOWS!$E:$E,$B168,FLOWS!$D:$D,H$167,FLOWS!$H:$H,"&lt;"&amp;$C$165)+SUM(SUMIFS(DEALS!$J:$J,DEALS!$A:$A,{"*REFUND*","*EXECUTED*"},DEALS!$G:$G,$B$163,DEALS!$E:$E,"&lt;"&amp;$C$165,DEALS!$K:$K,H$167,DEALS!$M:$M,$B168,DEALS!$N:$N,"&lt;&gt;*RECEIVED*",DEALS!$N:$N,"&lt;&gt;*EXECUTED*"))+SUM(SUMIFS(DEALS!$R:$R,DEALS!$A:$A,{"*REFUND*","*EXECUTED*"},DEALS!$O:$O,$B$163,DEALS!$E:$E,"&lt;"&amp;$C$165,DEALS!$S:$S,H$167,DEALS!$U:$U,$B168,DEALS!$V:$V,"&lt;&gt;*RECEIVED*",DEALS!$V:$V,"&lt;&gt;*EXECUTED*"))</f>
        <v>0</v>
      </c>
      <c r="I168" s="30">
        <f ca="1">C168*VLOOKUP(C$167,'FX RATES'!$E$1:$F$50,2,FALSE)+D168*VLOOKUP(D$167,'FX RATES'!$E$1:$F$50,2,FALSE)+E168*VLOOKUP(E$167,'FX RATES'!$E$1:$F$50,2,FALSE)+F168*VLOOKUP(F$167,'FX RATES'!$E$1:$F$50,2,FALSE)+G168*VLOOKUP(G$167,'FX RATES'!$E$1:$F$50,2,FALSE)+H168*VLOOKUP(H$167,'FX RATES'!$E$1:$F$50,2,FALSE)</f>
        <v>82615.813057324835</v>
      </c>
      <c r="K168" s="28" t="str">
        <f t="shared" ref="K168:K185" si="59">B168</f>
        <v>PINGAN</v>
      </c>
      <c r="L168" s="29" cm="1">
        <f t="array" ref="L168">SUMIFS(FLOWS!$C:$C,FLOWS!$A:$A,$B$163,FLOWS!$E:$E,$K168,FLOWS!$D:$D,L$167,FLOWS!$H:$H,"&gt;="&amp;$C$165,FLOWS!$H:$H,"&lt;="&amp;$U$165)+SUM(SUMIFS(DEALS!$J:$J,DEALS!$A:$A,{"*REFUND*","*EXECUTED*"},DEALS!$G:$G,$B$163,DEALS!$E:$E,"&gt;="&amp;$C$165,DEALS!$E:$E,"&lt;="&amp;$U$165,DEALS!$K:$K,L$167,DEALS!$M:$M,$K168,DEALS!$N:$N,"&lt;&gt;*RECEIVED*",DEALS!$N:$N,"&lt;&gt;*EXECUTED*"))+SUM(SUMIFS(DEALS!$R:$R,DEALS!$A:$A,{"*REFUND*","*EXECUTED*"},DEALS!$O:$O,$B$163,DEALS!$E:$E,"&gt;="&amp;$C$165,DEALS!$E:$E,"&lt;="&amp;$U$165,DEALS!$S:$S,L$167,DEALS!$U:$U,$K168,DEALS!$V:$V,"&lt;&gt;*RECEIVED*",DEALS!$V:$V,"&lt;&gt;*EXECUTED*"))</f>
        <v>0</v>
      </c>
      <c r="M168" s="29" cm="1">
        <f t="array" ref="M168">SUMIFS(FLOWS!$C:$C,FLOWS!$A:$A,$B$163,FLOWS!$E:$E,$K168,FLOWS!$D:$D,M$167,FLOWS!$H:$H,"&gt;="&amp;$C$165,FLOWS!$H:$H,"&lt;="&amp;$U$165)+SUM(SUMIFS(DEALS!$J:$J,DEALS!$A:$A,{"*REFUND*","*EXECUTED*"},DEALS!$G:$G,$B$163,DEALS!$E:$E,"&gt;="&amp;$C$165,DEALS!$E:$E,"&lt;="&amp;$U$165,DEALS!$K:$K,M$167,DEALS!$M:$M,$K168,DEALS!$N:$N,"&lt;&gt;*RECEIVED*",DEALS!$N:$N,"&lt;&gt;*EXECUTED*"))+SUM(SUMIFS(DEALS!$R:$R,DEALS!$A:$A,{"*REFUND*","*EXECUTED*"},DEALS!$O:$O,$B$163,DEALS!$E:$E,"&gt;="&amp;$C$165,DEALS!$E:$E,"&lt;="&amp;$U$165,DEALS!$S:$S,M$167,DEALS!$U:$U,$K168,DEALS!$V:$V,"&lt;&gt;*RECEIVED*",DEALS!$V:$V,"&lt;&gt;*EXECUTED*"))</f>
        <v>0</v>
      </c>
      <c r="N168" s="29" cm="1">
        <f t="array" ref="N168">SUMIFS(FLOWS!$C:$C,FLOWS!$A:$A,$B$163,FLOWS!$E:$E,$K168,FLOWS!$D:$D,N$167,FLOWS!$H:$H,"&gt;="&amp;$C$165,FLOWS!$H:$H,"&lt;="&amp;$U$165)+SUM(SUMIFS(DEALS!$J:$J,DEALS!$A:$A,{"*REFUND*","*EXECUTED*"},DEALS!$G:$G,$B$163,DEALS!$E:$E,"&gt;="&amp;$C$165,DEALS!$E:$E,"&lt;="&amp;$U$165,DEALS!$K:$K,N$167,DEALS!$M:$M,$K168,DEALS!$N:$N,"&lt;&gt;*RECEIVED*",DEALS!$N:$N,"&lt;&gt;*EXECUTED*"))+SUM(SUMIFS(DEALS!$R:$R,DEALS!$A:$A,{"*REFUND*","*EXECUTED*"},DEALS!$O:$O,$B$163,DEALS!$E:$E,"&gt;="&amp;$C$165,DEALS!$E:$E,"&lt;="&amp;$U$165,DEALS!$S:$S,N$167,DEALS!$U:$U,$K168,DEALS!$V:$V,"&lt;&gt;*RECEIVED*",DEALS!$V:$V,"&lt;&gt;*EXECUTED*"))</f>
        <v>0</v>
      </c>
      <c r="O168" s="29" cm="1">
        <f t="array" ref="O168">SUMIFS(FLOWS!$C:$C,FLOWS!$A:$A,$B$163,FLOWS!$E:$E,$K168,FLOWS!$D:$D,O$167,FLOWS!$H:$H,"&gt;="&amp;$C$165,FLOWS!$H:$H,"&lt;="&amp;$U$165)+SUM(SUMIFS(DEALS!$J:$J,DEALS!$A:$A,{"*REFUND*","*EXECUTED*"},DEALS!$G:$G,$B$163,DEALS!$E:$E,"&gt;="&amp;$C$165,DEALS!$E:$E,"&lt;="&amp;$U$165,DEALS!$K:$K,O$167,DEALS!$M:$M,$K168,DEALS!$N:$N,"&lt;&gt;*RECEIVED*",DEALS!$N:$N,"&lt;&gt;*EXECUTED*"))+SUM(SUMIFS(DEALS!$R:$R,DEALS!$A:$A,{"*REFUND*","*EXECUTED*"},DEALS!$O:$O,$B$163,DEALS!$E:$E,"&gt;="&amp;$C$165,DEALS!$E:$E,"&lt;="&amp;$U$165,DEALS!$S:$S,O$167,DEALS!$U:$U,$K168,DEALS!$V:$V,"&lt;&gt;*RECEIVED*",DEALS!$V:$V,"&lt;&gt;*EXECUTED*"))</f>
        <v>0</v>
      </c>
      <c r="P168" s="29" cm="1">
        <f t="array" ref="P168">SUMIFS(FLOWS!$C:$C,FLOWS!$A:$A,$B$163,FLOWS!$E:$E,$K168,FLOWS!$D:$D,P$167,FLOWS!$H:$H,"&gt;="&amp;$C$165,FLOWS!$H:$H,"&lt;="&amp;$U$165)+SUM(SUMIFS(DEALS!$J:$J,DEALS!$A:$A,{"*REFUND*","*EXECUTED*"},DEALS!$G:$G,$B$163,DEALS!$E:$E,"&gt;="&amp;$C$165,DEALS!$E:$E,"&lt;="&amp;$U$165,DEALS!$K:$K,P$167,DEALS!$M:$M,$K168,DEALS!$N:$N,"&lt;&gt;*RECEIVED*",DEALS!$N:$N,"&lt;&gt;*EXECUTED*"))+SUM(SUMIFS(DEALS!$R:$R,DEALS!$A:$A,{"*REFUND*","*EXECUTED*"},DEALS!$O:$O,$B$163,DEALS!$E:$E,"&gt;="&amp;$C$165,DEALS!$E:$E,"&lt;="&amp;$U$165,DEALS!$S:$S,P$167,DEALS!$U:$U,$K168,DEALS!$V:$V,"&lt;&gt;*RECEIVED*",DEALS!$V:$V,"&lt;&gt;*EXECUTED*"))</f>
        <v>0</v>
      </c>
      <c r="Q168" s="29" cm="1">
        <f t="array" ref="Q168">SUMIFS(FLOWS!$C:$C,FLOWS!$A:$A,$B$163,FLOWS!$E:$E,$K168,FLOWS!$D:$D,Q$167,FLOWS!$H:$H,"&gt;="&amp;$C$165,FLOWS!$H:$H,"&lt;="&amp;$U$165)+SUM(SUMIFS(DEALS!$J:$J,DEALS!$A:$A,{"*REFUND*","*EXECUTED*"},DEALS!$G:$G,$B$163,DEALS!$E:$E,"&gt;="&amp;$C$165,DEALS!$E:$E,"&lt;="&amp;$U$165,DEALS!$K:$K,Q$167,DEALS!$M:$M,$K168,DEALS!$N:$N,"&lt;&gt;*RECEIVED*",DEALS!$N:$N,"&lt;&gt;*EXECUTED*"))+SUM(SUMIFS(DEALS!$R:$R,DEALS!$A:$A,{"*REFUND*","*EXECUTED*"},DEALS!$O:$O,$B$163,DEALS!$E:$E,"&gt;="&amp;$C$165,DEALS!$E:$E,"&lt;="&amp;$U$165,DEALS!$S:$S,Q$167,DEALS!$U:$U,$K168,DEALS!$V:$V,"&lt;&gt;*RECEIVED*",DEALS!$V:$V,"&lt;&gt;*EXECUTED*"))</f>
        <v>0</v>
      </c>
      <c r="R168" s="30">
        <f ca="1">L168*VLOOKUP(L$167,'FX RATES'!$E$1:$F$50,2,FALSE)+M168*VLOOKUP(M$167,'FX RATES'!$E$1:$F$50,2,FALSE)+N168*VLOOKUP(N$167,'FX RATES'!$E$1:$F$50,2,FALSE)+O168*VLOOKUP(O$167,'FX RATES'!$E$1:$F$50,2,FALSE)+P168*VLOOKUP(P$167,'FX RATES'!$E$1:$F$50,2,FALSE)+Q168*VLOOKUP(Q$167,'FX RATES'!$E$1:$F$50,2,FALSE)</f>
        <v>0</v>
      </c>
      <c r="T168" s="28" t="str">
        <f t="shared" ref="T168:T185" si="60">B168</f>
        <v>PINGAN</v>
      </c>
      <c r="U168" s="29" cm="1">
        <f t="array" ref="U168">SUMIFS(BALANCES!$C:$C,BALANCES!$A:$A,$B$163,BALANCES!$B:$B,$T168,BALANCES!$D:$D,U$167)+SUMIFS(FLOWS!$C:$C,FLOWS!$A:$A,$B$163,FLOWS!$E:$E,$T168,FLOWS!$D:$D,U$167,FLOWS!$H:$H,"&lt;="&amp;$U$165)+SUM(SUMIFS(DEALS!$J:$J,DEALS!$A:$A,{"*REFUND*","*EXECUTED*"},DEALS!$G:$G,$B$163,DEALS!$E:$E,"&lt;="&amp;$U$165,DEALS!$K:$K,U$167,DEALS!$M:$M,$T168,DEALS!$N:$N,"&lt;&gt;*RECEIVED*",DEALS!$N:$N,"&lt;&gt;*EXECUTED*"))+SUM(SUMIFS(DEALS!$R:$R,DEALS!$A:$A,{"*REFUND*","*EXECUTED*"},DEALS!$O:$O,$B$163,DEALS!$E:$E,"&lt;="&amp;$U$165,DEALS!$S:$S,U$167,DEALS!$U:$U,$T168,DEALS!$V:$V,"&lt;&gt;*RECEIVED*",DEALS!$V:$V,"&lt;&gt;*EXECUTED*"))</f>
        <v>82488.95</v>
      </c>
      <c r="V168" s="29" cm="1">
        <f t="array" ref="V168">SUMIFS(BALANCES!$C:$C,BALANCES!$A:$A,$B$163,BALANCES!$B:$B,$T168,BALANCES!$D:$D,V$167)+SUMIFS(FLOWS!$C:$C,FLOWS!$A:$A,$B$163,FLOWS!$E:$E,$T168,FLOWS!$D:$D,V$167,FLOWS!$H:$H,"&lt;="&amp;$U$165)+SUM(SUMIFS(DEALS!$J:$J,DEALS!$A:$A,{"*REFUND*","*EXECUTED*"},DEALS!$G:$G,$B$163,DEALS!$E:$E,"&lt;="&amp;$U$165,DEALS!$K:$K,V$167,DEALS!$M:$M,$T168,DEALS!$N:$N,"&lt;&gt;*RECEIVED*",DEALS!$N:$N,"&lt;&gt;*EXECUTED*"))+SUM(SUMIFS(DEALS!$R:$R,DEALS!$A:$A,{"*REFUND*","*EXECUTED*"},DEALS!$O:$O,$B$163,DEALS!$E:$E,"&lt;="&amp;$U$165,DEALS!$S:$S,V$167,DEALS!$U:$U,$T168,DEALS!$V:$V,"&lt;&gt;*RECEIVED*",DEALS!$V:$V,"&lt;&gt;*EXECUTED*"))</f>
        <v>0</v>
      </c>
      <c r="W168" s="29" cm="1">
        <f t="array" ref="W168">SUMIFS(BALANCES!$C:$C,BALANCES!$A:$A,$B$163,BALANCES!$B:$B,$T168,BALANCES!$D:$D,W$167)+SUMIFS(FLOWS!$C:$C,FLOWS!$A:$A,$B$163,FLOWS!$E:$E,$T168,FLOWS!$D:$D,W$167,FLOWS!$H:$H,"&lt;="&amp;$U$165)+SUM(SUMIFS(DEALS!$J:$J,DEALS!$A:$A,{"*REFUND*","*EXECUTED*"},DEALS!$G:$G,$B$163,DEALS!$E:$E,"&lt;="&amp;$U$165,DEALS!$K:$K,W$167,DEALS!$M:$M,$T168,DEALS!$N:$N,"&lt;&gt;*RECEIVED*",DEALS!$N:$N,"&lt;&gt;*EXECUTED*"))+SUM(SUMIFS(DEALS!$R:$R,DEALS!$A:$A,{"*REFUND*","*EXECUTED*"},DEALS!$O:$O,$B$163,DEALS!$E:$E,"&lt;="&amp;$U$165,DEALS!$S:$S,W$167,DEALS!$U:$U,$T168,DEALS!$V:$V,"&lt;&gt;*RECEIVED*",DEALS!$V:$V,"&lt;&gt;*EXECUTED*"))</f>
        <v>876.37</v>
      </c>
      <c r="X168" s="29" cm="1">
        <f t="array" ref="X168">SUMIFS(BALANCES!$C:$C,BALANCES!$A:$A,$B$163,BALANCES!$B:$B,$T168,BALANCES!$D:$D,X$167)+SUMIFS(FLOWS!$C:$C,FLOWS!$A:$A,$B$163,FLOWS!$E:$E,$T168,FLOWS!$D:$D,X$167,FLOWS!$H:$H,"&lt;="&amp;$U$165)+SUM(SUMIFS(DEALS!$J:$J,DEALS!$A:$A,{"*REFUND*","*EXECUTED*"},DEALS!$G:$G,$B$163,DEALS!$E:$E,"&lt;="&amp;$U$165,DEALS!$K:$K,X$167,DEALS!$M:$M,$T168,DEALS!$N:$N,"&lt;&gt;*RECEIVED*",DEALS!$N:$N,"&lt;&gt;*EXECUTED*"))+SUM(SUMIFS(DEALS!$R:$R,DEALS!$A:$A,{"*REFUND*","*EXECUTED*"},DEALS!$O:$O,$B$163,DEALS!$E:$E,"&lt;="&amp;$U$165,DEALS!$S:$S,X$167,DEALS!$U:$U,$T168,DEALS!$V:$V,"&lt;&gt;*RECEIVED*",DEALS!$V:$V,"&lt;&gt;*EXECUTED*"))</f>
        <v>0</v>
      </c>
      <c r="Y168" s="29" cm="1">
        <f t="array" ref="Y168">SUMIFS(BALANCES!$C:$C,BALANCES!$A:$A,$B$163,BALANCES!$B:$B,$T168,BALANCES!$D:$D,Y$167)+SUMIFS(FLOWS!$C:$C,FLOWS!$A:$A,$B$163,FLOWS!$E:$E,$T168,FLOWS!$D:$D,Y$167,FLOWS!$H:$H,"&lt;="&amp;$U$165)+SUM(SUMIFS(DEALS!$J:$J,DEALS!$A:$A,{"*REFUND*","*EXECUTED*"},DEALS!$G:$G,$B$163,DEALS!$E:$E,"&lt;="&amp;$U$165,DEALS!$K:$K,Y$167,DEALS!$M:$M,$T168,DEALS!$N:$N,"&lt;&gt;*RECEIVED*",DEALS!$N:$N,"&lt;&gt;*EXECUTED*"))+SUM(SUMIFS(DEALS!$R:$R,DEALS!$A:$A,{"*REFUND*","*EXECUTED*"},DEALS!$O:$O,$B$163,DEALS!$E:$E,"&lt;="&amp;$U$165,DEALS!$S:$S,Y$167,DEALS!$U:$U,$T168,DEALS!$V:$V,"&lt;&gt;*RECEIVED*",DEALS!$V:$V,"&lt;&gt;*EXECUTED*"))</f>
        <v>0</v>
      </c>
      <c r="Z168" s="29" cm="1">
        <f t="array" ref="Z168">SUMIFS(BALANCES!$C:$C,BALANCES!$A:$A,$B$163,BALANCES!$B:$B,$T168,BALANCES!$D:$D,Z$167)+SUMIFS(FLOWS!$C:$C,FLOWS!$A:$A,$B$163,FLOWS!$E:$E,$T168,FLOWS!$D:$D,Z$167,FLOWS!$H:$H,"&lt;="&amp;$U$165)+SUM(SUMIFS(DEALS!$J:$J,DEALS!$A:$A,{"*REFUND*","*EXECUTED*"},DEALS!$G:$G,$B$163,DEALS!$E:$E,"&lt;="&amp;$U$165,DEALS!$K:$K,Z$167,DEALS!$M:$M,$T168,DEALS!$N:$N,"&lt;&gt;*RECEIVED*",DEALS!$N:$N,"&lt;&gt;*EXECUTED*"))+SUM(SUMIFS(DEALS!$R:$R,DEALS!$A:$A,{"*REFUND*","*EXECUTED*"},DEALS!$O:$O,$B$163,DEALS!$E:$E,"&lt;="&amp;$U$165,DEALS!$S:$S,Z$167,DEALS!$U:$U,$T168,DEALS!$V:$V,"&lt;&gt;*RECEIVED*",DEALS!$V:$V,"&lt;&gt;*EXECUTED*"))</f>
        <v>0</v>
      </c>
      <c r="AA168" s="30">
        <f ca="1">U168*VLOOKUP(U$167,'FX RATES'!$E$1:$F$50,2,FALSE)+V168*VLOOKUP(V$167,'FX RATES'!$E$1:$F$50,2,FALSE)+W168*VLOOKUP(W$167,'FX RATES'!$E$1:$F$50,2,FALSE)+X168*VLOOKUP(X$167,'FX RATES'!$E$1:$F$50,2,FALSE)+Y168*VLOOKUP(Y$167,'FX RATES'!$E$1:$F$50,2,FALSE)+Z168*VLOOKUP(Z$167,'FX RATES'!$E$1:$F$50,2,FALSE)</f>
        <v>82615.813057324835</v>
      </c>
      <c r="AC168" s="139">
        <f t="shared" ref="AC168:AC187" ca="1" si="61">I168+R168-AA168</f>
        <v>0</v>
      </c>
    </row>
    <row r="169" spans="2:29" ht="19">
      <c r="B169" s="31" t="s">
        <v>22</v>
      </c>
      <c r="C169" s="32" cm="1">
        <f t="array" ref="C169">SUMIFS(BALANCES!$C:$C,BALANCES!$A:$A,$B$163,BALANCES!$B:$B,$B169,BALANCES!$D:$D,C$167)+SUMIFS(FLOWS!$C:$C,FLOWS!$A:$A,$B$163,FLOWS!$E:$E,$B169,FLOWS!$D:$D,C$167,FLOWS!$H:$H,"&lt;"&amp;$C$165)+SUM(SUMIFS(DEALS!$J:$J,DEALS!$A:$A,{"*REFUND*","*EXECUTED*"},DEALS!$G:$G,$B$163,DEALS!$E:$E,"&lt;"&amp;$C$165,DEALS!$K:$K,C$167,DEALS!$M:$M,$B169,DEALS!$N:$N,"&lt;&gt;*RECEIVED*",DEALS!$N:$N,"&lt;&gt;*EXECUTED*"))+SUM(SUMIFS(DEALS!$R:$R,DEALS!$A:$A,{"*REFUND*","*EXECUTED*"},DEALS!$O:$O,$B$163,DEALS!$E:$E,"&lt;"&amp;$C$165,DEALS!$S:$S,C$167,DEALS!$U:$U,$B169,DEALS!$V:$V,"&lt;&gt;*RECEIVED*",DEALS!$V:$V,"&lt;&gt;*EXECUTED*"))</f>
        <v>1111.19</v>
      </c>
      <c r="D169" s="32" cm="1">
        <f t="array" ref="D169">SUMIFS(BALANCES!$C:$C,BALANCES!$A:$A,$B$163,BALANCES!$B:$B,$B169,BALANCES!$D:$D,D$167)+SUMIFS(FLOWS!$C:$C,FLOWS!$A:$A,$B$163,FLOWS!$E:$E,$B169,FLOWS!$D:$D,D$167,FLOWS!$H:$H,"&lt;"&amp;$C$165)+SUM(SUMIFS(DEALS!$J:$J,DEALS!$A:$A,{"*REFUND*","*EXECUTED*"},DEALS!$G:$G,$B$163,DEALS!$E:$E,"&lt;"&amp;$C$165,DEALS!$K:$K,D$167,DEALS!$M:$M,$B169,DEALS!$N:$N,"&lt;&gt;*RECEIVED*",DEALS!$N:$N,"&lt;&gt;*EXECUTED*"))+SUM(SUMIFS(DEALS!$R:$R,DEALS!$A:$A,{"*REFUND*","*EXECUTED*"},DEALS!$O:$O,$B$163,DEALS!$E:$E,"&lt;"&amp;$C$165,DEALS!$S:$S,D$167,DEALS!$U:$U,$B169,DEALS!$V:$V,"&lt;&gt;*RECEIVED*",DEALS!$V:$V,"&lt;&gt;*EXECUTED*"))</f>
        <v>0</v>
      </c>
      <c r="E169" s="32" cm="1">
        <f t="array" ref="E169">SUMIFS(BALANCES!$C:$C,BALANCES!$A:$A,$B$163,BALANCES!$B:$B,$B169,BALANCES!$D:$D,E$167)+SUMIFS(FLOWS!$C:$C,FLOWS!$A:$A,$B$163,FLOWS!$E:$E,$B169,FLOWS!$D:$D,E$167,FLOWS!$H:$H,"&lt;"&amp;$C$165)+SUM(SUMIFS(DEALS!$J:$J,DEALS!$A:$A,{"*REFUND*","*EXECUTED*"},DEALS!$G:$G,$B$163,DEALS!$E:$E,"&lt;"&amp;$C$165,DEALS!$K:$K,E$167,DEALS!$M:$M,$B169,DEALS!$N:$N,"&lt;&gt;*RECEIVED*",DEALS!$N:$N,"&lt;&gt;*EXECUTED*"))+SUM(SUMIFS(DEALS!$R:$R,DEALS!$A:$A,{"*REFUND*","*EXECUTED*"},DEALS!$O:$O,$B$163,DEALS!$E:$E,"&lt;"&amp;$C$165,DEALS!$S:$S,E$167,DEALS!$U:$U,$B169,DEALS!$V:$V,"&lt;&gt;*RECEIVED*",DEALS!$V:$V,"&lt;&gt;*EXECUTED*"))</f>
        <v>261695.64</v>
      </c>
      <c r="F169" s="32" cm="1">
        <f t="array" ref="F169">SUMIFS(BALANCES!$C:$C,BALANCES!$A:$A,$B$163,BALANCES!$B:$B,$B169,BALANCES!$D:$D,F$167)+SUMIFS(FLOWS!$C:$C,FLOWS!$A:$A,$B$163,FLOWS!$E:$E,$B169,FLOWS!$D:$D,F$167,FLOWS!$H:$H,"&lt;"&amp;$C$165)+SUM(SUMIFS(DEALS!$J:$J,DEALS!$A:$A,{"*REFUND*","*EXECUTED*"},DEALS!$G:$G,$B$163,DEALS!$E:$E,"&lt;"&amp;$C$165,DEALS!$K:$K,F$167,DEALS!$M:$M,$B169,DEALS!$N:$N,"&lt;&gt;*RECEIVED*",DEALS!$N:$N,"&lt;&gt;*EXECUTED*"))+SUM(SUMIFS(DEALS!$R:$R,DEALS!$A:$A,{"*REFUND*","*EXECUTED*"},DEALS!$O:$O,$B$163,DEALS!$E:$E,"&lt;"&amp;$C$165,DEALS!$S:$S,F$167,DEALS!$U:$U,$B169,DEALS!$V:$V,"&lt;&gt;*RECEIVED*",DEALS!$V:$V,"&lt;&gt;*EXECUTED*"))</f>
        <v>0</v>
      </c>
      <c r="G169" s="32" cm="1">
        <f t="array" ref="G169">SUMIFS(BALANCES!$C:$C,BALANCES!$A:$A,$B$163,BALANCES!$B:$B,$B169,BALANCES!$D:$D,G$167)+SUMIFS(FLOWS!$C:$C,FLOWS!$A:$A,$B$163,FLOWS!$E:$E,$B169,FLOWS!$D:$D,G$167,FLOWS!$H:$H,"&lt;"&amp;$C$165)+SUM(SUMIFS(DEALS!$J:$J,DEALS!$A:$A,{"*REFUND*","*EXECUTED*"},DEALS!$G:$G,$B$163,DEALS!$E:$E,"&lt;"&amp;$C$165,DEALS!$K:$K,G$167,DEALS!$M:$M,$B169,DEALS!$N:$N,"&lt;&gt;*RECEIVED*",DEALS!$N:$N,"&lt;&gt;*EXECUTED*"))+SUM(SUMIFS(DEALS!$R:$R,DEALS!$A:$A,{"*REFUND*","*EXECUTED*"},DEALS!$O:$O,$B$163,DEALS!$E:$E,"&lt;"&amp;$C$165,DEALS!$S:$S,G$167,DEALS!$U:$U,$B169,DEALS!$V:$V,"&lt;&gt;*RECEIVED*",DEALS!$V:$V,"&lt;&gt;*EXECUTED*"))</f>
        <v>0</v>
      </c>
      <c r="H169" s="32" cm="1">
        <f t="array" ref="H169">SUMIFS(BALANCES!$C:$C,BALANCES!$A:$A,$B$163,BALANCES!$B:$B,$B169,BALANCES!$D:$D,H$167)+SUMIFS(FLOWS!$C:$C,FLOWS!$A:$A,$B$163,FLOWS!$E:$E,$B169,FLOWS!$D:$D,H$167,FLOWS!$H:$H,"&lt;"&amp;$C$165)+SUM(SUMIFS(DEALS!$J:$J,DEALS!$A:$A,{"*REFUND*","*EXECUTED*"},DEALS!$G:$G,$B$163,DEALS!$E:$E,"&lt;"&amp;$C$165,DEALS!$K:$K,H$167,DEALS!$M:$M,$B169,DEALS!$N:$N,"&lt;&gt;*RECEIVED*",DEALS!$N:$N,"&lt;&gt;*EXECUTED*"))+SUM(SUMIFS(DEALS!$R:$R,DEALS!$A:$A,{"*REFUND*","*EXECUTED*"},DEALS!$O:$O,$B$163,DEALS!$E:$E,"&lt;"&amp;$C$165,DEALS!$S:$S,H$167,DEALS!$U:$U,$B169,DEALS!$V:$V,"&lt;&gt;*RECEIVED*",DEALS!$V:$V,"&lt;&gt;*EXECUTED*"))</f>
        <v>0</v>
      </c>
      <c r="I169" s="33">
        <f ca="1">C169*VLOOKUP(C$167,'FX RATES'!$E$1:$F$50,2,FALSE)+D169*VLOOKUP(D$167,'FX RATES'!$E$1:$F$50,2,FALSE)+E169*VLOOKUP(E$167,'FX RATES'!$E$1:$F$50,2,FALSE)+F169*VLOOKUP(F$167,'FX RATES'!$E$1:$F$50,2,FALSE)+G169*VLOOKUP(G$167,'FX RATES'!$E$1:$F$50,2,FALSE)+H169*VLOOKUP(H$167,'FX RATES'!$E$1:$F$50,2,FALSE)</f>
        <v>38994.172049797344</v>
      </c>
      <c r="K169" s="31" t="str">
        <f t="shared" si="59"/>
        <v>CHZH</v>
      </c>
      <c r="L169" s="32" cm="1">
        <f t="array" ref="L169">SUMIFS(FLOWS!$C:$C,FLOWS!$A:$A,$B$163,FLOWS!$E:$E,$K169,FLOWS!$D:$D,L$167,FLOWS!$H:$H,"&gt;="&amp;$C$165,FLOWS!$H:$H,"&lt;="&amp;$U$165)+SUM(SUMIFS(DEALS!$J:$J,DEALS!$A:$A,{"*REFUND*","*EXECUTED*"},DEALS!$G:$G,$B$163,DEALS!$E:$E,"&gt;="&amp;$C$165,DEALS!$E:$E,"&lt;="&amp;$U$165,DEALS!$K:$K,L$167,DEALS!$M:$M,$K169,DEALS!$N:$N,"&lt;&gt;*RECEIVED*",DEALS!$N:$N,"&lt;&gt;*EXECUTED*"))+SUM(SUMIFS(DEALS!$R:$R,DEALS!$A:$A,{"*REFUND*","*EXECUTED*"},DEALS!$O:$O,$B$163,DEALS!$E:$E,"&gt;="&amp;$C$165,DEALS!$E:$E,"&lt;="&amp;$U$165,DEALS!$S:$S,L$167,DEALS!$U:$U,$K169,DEALS!$V:$V,"&lt;&gt;*RECEIVED*",DEALS!$V:$V,"&lt;&gt;*EXECUTED*"))</f>
        <v>0</v>
      </c>
      <c r="M169" s="32" cm="1">
        <f t="array" ref="M169">SUMIFS(FLOWS!$C:$C,FLOWS!$A:$A,$B$163,FLOWS!$E:$E,$K169,FLOWS!$D:$D,M$167,FLOWS!$H:$H,"&gt;="&amp;$C$165,FLOWS!$H:$H,"&lt;="&amp;$U$165)+SUM(SUMIFS(DEALS!$J:$J,DEALS!$A:$A,{"*REFUND*","*EXECUTED*"},DEALS!$G:$G,$B$163,DEALS!$E:$E,"&gt;="&amp;$C$165,DEALS!$E:$E,"&lt;="&amp;$U$165,DEALS!$K:$K,M$167,DEALS!$M:$M,$K169,DEALS!$N:$N,"&lt;&gt;*RECEIVED*",DEALS!$N:$N,"&lt;&gt;*EXECUTED*"))+SUM(SUMIFS(DEALS!$R:$R,DEALS!$A:$A,{"*REFUND*","*EXECUTED*"},DEALS!$O:$O,$B$163,DEALS!$E:$E,"&gt;="&amp;$C$165,DEALS!$E:$E,"&lt;="&amp;$U$165,DEALS!$S:$S,M$167,DEALS!$U:$U,$K169,DEALS!$V:$V,"&lt;&gt;*RECEIVED*",DEALS!$V:$V,"&lt;&gt;*EXECUTED*"))</f>
        <v>0</v>
      </c>
      <c r="N169" s="32" cm="1">
        <f t="array" ref="N169">SUMIFS(FLOWS!$C:$C,FLOWS!$A:$A,$B$163,FLOWS!$E:$E,$K169,FLOWS!$D:$D,N$167,FLOWS!$H:$H,"&gt;="&amp;$C$165,FLOWS!$H:$H,"&lt;="&amp;$U$165)+SUM(SUMIFS(DEALS!$J:$J,DEALS!$A:$A,{"*REFUND*","*EXECUTED*"},DEALS!$G:$G,$B$163,DEALS!$E:$E,"&gt;="&amp;$C$165,DEALS!$E:$E,"&lt;="&amp;$U$165,DEALS!$K:$K,N$167,DEALS!$M:$M,$K169,DEALS!$N:$N,"&lt;&gt;*RECEIVED*",DEALS!$N:$N,"&lt;&gt;*EXECUTED*"))+SUM(SUMIFS(DEALS!$R:$R,DEALS!$A:$A,{"*REFUND*","*EXECUTED*"},DEALS!$O:$O,$B$163,DEALS!$E:$E,"&gt;="&amp;$C$165,DEALS!$E:$E,"&lt;="&amp;$U$165,DEALS!$S:$S,N$167,DEALS!$U:$U,$K169,DEALS!$V:$V,"&lt;&gt;*RECEIVED*",DEALS!$V:$V,"&lt;&gt;*EXECUTED*"))</f>
        <v>0</v>
      </c>
      <c r="O169" s="32" cm="1">
        <f t="array" ref="O169">SUMIFS(FLOWS!$C:$C,FLOWS!$A:$A,$B$163,FLOWS!$E:$E,$K169,FLOWS!$D:$D,O$167,FLOWS!$H:$H,"&gt;="&amp;$C$165,FLOWS!$H:$H,"&lt;="&amp;$U$165)+SUM(SUMIFS(DEALS!$J:$J,DEALS!$A:$A,{"*REFUND*","*EXECUTED*"},DEALS!$G:$G,$B$163,DEALS!$E:$E,"&gt;="&amp;$C$165,DEALS!$E:$E,"&lt;="&amp;$U$165,DEALS!$K:$K,O$167,DEALS!$M:$M,$K169,DEALS!$N:$N,"&lt;&gt;*RECEIVED*",DEALS!$N:$N,"&lt;&gt;*EXECUTED*"))+SUM(SUMIFS(DEALS!$R:$R,DEALS!$A:$A,{"*REFUND*","*EXECUTED*"},DEALS!$O:$O,$B$163,DEALS!$E:$E,"&gt;="&amp;$C$165,DEALS!$E:$E,"&lt;="&amp;$U$165,DEALS!$S:$S,O$167,DEALS!$U:$U,$K169,DEALS!$V:$V,"&lt;&gt;*RECEIVED*",DEALS!$V:$V,"&lt;&gt;*EXECUTED*"))</f>
        <v>0</v>
      </c>
      <c r="P169" s="32" cm="1">
        <f t="array" ref="P169">SUMIFS(FLOWS!$C:$C,FLOWS!$A:$A,$B$163,FLOWS!$E:$E,$K169,FLOWS!$D:$D,P$167,FLOWS!$H:$H,"&gt;="&amp;$C$165,FLOWS!$H:$H,"&lt;="&amp;$U$165)+SUM(SUMIFS(DEALS!$J:$J,DEALS!$A:$A,{"*REFUND*","*EXECUTED*"},DEALS!$G:$G,$B$163,DEALS!$E:$E,"&gt;="&amp;$C$165,DEALS!$E:$E,"&lt;="&amp;$U$165,DEALS!$K:$K,P$167,DEALS!$M:$M,$K169,DEALS!$N:$N,"&lt;&gt;*RECEIVED*",DEALS!$N:$N,"&lt;&gt;*EXECUTED*"))+SUM(SUMIFS(DEALS!$R:$R,DEALS!$A:$A,{"*REFUND*","*EXECUTED*"},DEALS!$O:$O,$B$163,DEALS!$E:$E,"&gt;="&amp;$C$165,DEALS!$E:$E,"&lt;="&amp;$U$165,DEALS!$S:$S,P$167,DEALS!$U:$U,$K169,DEALS!$V:$V,"&lt;&gt;*RECEIVED*",DEALS!$V:$V,"&lt;&gt;*EXECUTED*"))</f>
        <v>0</v>
      </c>
      <c r="Q169" s="32" cm="1">
        <f t="array" ref="Q169">SUMIFS(FLOWS!$C:$C,FLOWS!$A:$A,$B$163,FLOWS!$E:$E,$K169,FLOWS!$D:$D,Q$167,FLOWS!$H:$H,"&gt;="&amp;$C$165,FLOWS!$H:$H,"&lt;="&amp;$U$165)+SUM(SUMIFS(DEALS!$J:$J,DEALS!$A:$A,{"*REFUND*","*EXECUTED*"},DEALS!$G:$G,$B$163,DEALS!$E:$E,"&gt;="&amp;$C$165,DEALS!$E:$E,"&lt;="&amp;$U$165,DEALS!$K:$K,Q$167,DEALS!$M:$M,$K169,DEALS!$N:$N,"&lt;&gt;*RECEIVED*",DEALS!$N:$N,"&lt;&gt;*EXECUTED*"))+SUM(SUMIFS(DEALS!$R:$R,DEALS!$A:$A,{"*REFUND*","*EXECUTED*"},DEALS!$O:$O,$B$163,DEALS!$E:$E,"&gt;="&amp;$C$165,DEALS!$E:$E,"&lt;="&amp;$U$165,DEALS!$S:$S,Q$167,DEALS!$U:$U,$K169,DEALS!$V:$V,"&lt;&gt;*RECEIVED*",DEALS!$V:$V,"&lt;&gt;*EXECUTED*"))</f>
        <v>0</v>
      </c>
      <c r="R169" s="33">
        <f ca="1">L169*VLOOKUP(L$167,'FX RATES'!$E$1:$F$50,2,FALSE)+M169*VLOOKUP(M$167,'FX RATES'!$E$1:$F$50,2,FALSE)+N169*VLOOKUP(N$167,'FX RATES'!$E$1:$F$50,2,FALSE)+O169*VLOOKUP(O$167,'FX RATES'!$E$1:$F$50,2,FALSE)+P169*VLOOKUP(P$167,'FX RATES'!$E$1:$F$50,2,FALSE)+Q169*VLOOKUP(Q$167,'FX RATES'!$E$1:$F$50,2,FALSE)</f>
        <v>0</v>
      </c>
      <c r="T169" s="31" t="str">
        <f t="shared" si="60"/>
        <v>CHZH</v>
      </c>
      <c r="U169" s="32" cm="1">
        <f t="array" ref="U169">SUMIFS(BALANCES!$C:$C,BALANCES!$A:$A,$B$163,BALANCES!$B:$B,$T169,BALANCES!$D:$D,U$167)+SUMIFS(FLOWS!$C:$C,FLOWS!$A:$A,$B$163,FLOWS!$E:$E,$T169,FLOWS!$D:$D,U$167,FLOWS!$H:$H,"&lt;="&amp;$U$165)+SUM(SUMIFS(DEALS!$J:$J,DEALS!$A:$A,{"*REFUND*","*EXECUTED*"},DEALS!$G:$G,$B$163,DEALS!$E:$E,"&lt;="&amp;$U$165,DEALS!$K:$K,U$167,DEALS!$M:$M,$T169,DEALS!$N:$N,"&lt;&gt;*RECEIVED*",DEALS!$N:$N,"&lt;&gt;*EXECUTED*"))+SUM(SUMIFS(DEALS!$R:$R,DEALS!$A:$A,{"*REFUND*","*EXECUTED*"},DEALS!$O:$O,$B$163,DEALS!$E:$E,"&lt;="&amp;$U$165,DEALS!$S:$S,U$167,DEALS!$U:$U,$T169,DEALS!$V:$V,"&lt;&gt;*RECEIVED*",DEALS!$V:$V,"&lt;&gt;*EXECUTED*"))</f>
        <v>1111.19</v>
      </c>
      <c r="V169" s="32" cm="1">
        <f t="array" ref="V169">SUMIFS(BALANCES!$C:$C,BALANCES!$A:$A,$B$163,BALANCES!$B:$B,$T169,BALANCES!$D:$D,V$167)+SUMIFS(FLOWS!$C:$C,FLOWS!$A:$A,$B$163,FLOWS!$E:$E,$T169,FLOWS!$D:$D,V$167,FLOWS!$H:$H,"&lt;="&amp;$U$165)+SUM(SUMIFS(DEALS!$J:$J,DEALS!$A:$A,{"*REFUND*","*EXECUTED*"},DEALS!$G:$G,$B$163,DEALS!$E:$E,"&lt;="&amp;$U$165,DEALS!$K:$K,V$167,DEALS!$M:$M,$T169,DEALS!$N:$N,"&lt;&gt;*RECEIVED*",DEALS!$N:$N,"&lt;&gt;*EXECUTED*"))+SUM(SUMIFS(DEALS!$R:$R,DEALS!$A:$A,{"*REFUND*","*EXECUTED*"},DEALS!$O:$O,$B$163,DEALS!$E:$E,"&lt;="&amp;$U$165,DEALS!$S:$S,V$167,DEALS!$U:$U,$T169,DEALS!$V:$V,"&lt;&gt;*RECEIVED*",DEALS!$V:$V,"&lt;&gt;*EXECUTED*"))</f>
        <v>0</v>
      </c>
      <c r="W169" s="32" cm="1">
        <f t="array" ref="W169">SUMIFS(BALANCES!$C:$C,BALANCES!$A:$A,$B$163,BALANCES!$B:$B,$T169,BALANCES!$D:$D,W$167)+SUMIFS(FLOWS!$C:$C,FLOWS!$A:$A,$B$163,FLOWS!$E:$E,$T169,FLOWS!$D:$D,W$167,FLOWS!$H:$H,"&lt;="&amp;$U$165)+SUM(SUMIFS(DEALS!$J:$J,DEALS!$A:$A,{"*REFUND*","*EXECUTED*"},DEALS!$G:$G,$B$163,DEALS!$E:$E,"&lt;="&amp;$U$165,DEALS!$K:$K,W$167,DEALS!$M:$M,$T169,DEALS!$N:$N,"&lt;&gt;*RECEIVED*",DEALS!$N:$N,"&lt;&gt;*EXECUTED*"))+SUM(SUMIFS(DEALS!$R:$R,DEALS!$A:$A,{"*REFUND*","*EXECUTED*"},DEALS!$O:$O,$B$163,DEALS!$E:$E,"&lt;="&amp;$U$165,DEALS!$S:$S,W$167,DEALS!$U:$U,$T169,DEALS!$V:$V,"&lt;&gt;*RECEIVED*",DEALS!$V:$V,"&lt;&gt;*EXECUTED*"))</f>
        <v>261695.64</v>
      </c>
      <c r="X169" s="32" cm="1">
        <f t="array" ref="X169">SUMIFS(BALANCES!$C:$C,BALANCES!$A:$A,$B$163,BALANCES!$B:$B,$T169,BALANCES!$D:$D,X$167)+SUMIFS(FLOWS!$C:$C,FLOWS!$A:$A,$B$163,FLOWS!$E:$E,$T169,FLOWS!$D:$D,X$167,FLOWS!$H:$H,"&lt;="&amp;$U$165)+SUM(SUMIFS(DEALS!$J:$J,DEALS!$A:$A,{"*REFUND*","*EXECUTED*"},DEALS!$G:$G,$B$163,DEALS!$E:$E,"&lt;="&amp;$U$165,DEALS!$K:$K,X$167,DEALS!$M:$M,$T169,DEALS!$N:$N,"&lt;&gt;*RECEIVED*",DEALS!$N:$N,"&lt;&gt;*EXECUTED*"))+SUM(SUMIFS(DEALS!$R:$R,DEALS!$A:$A,{"*REFUND*","*EXECUTED*"},DEALS!$O:$O,$B$163,DEALS!$E:$E,"&lt;="&amp;$U$165,DEALS!$S:$S,X$167,DEALS!$U:$U,$T169,DEALS!$V:$V,"&lt;&gt;*RECEIVED*",DEALS!$V:$V,"&lt;&gt;*EXECUTED*"))</f>
        <v>0</v>
      </c>
      <c r="Y169" s="32" cm="1">
        <f t="array" ref="Y169">SUMIFS(BALANCES!$C:$C,BALANCES!$A:$A,$B$163,BALANCES!$B:$B,$T169,BALANCES!$D:$D,Y$167)+SUMIFS(FLOWS!$C:$C,FLOWS!$A:$A,$B$163,FLOWS!$E:$E,$T169,FLOWS!$D:$D,Y$167,FLOWS!$H:$H,"&lt;="&amp;$U$165)+SUM(SUMIFS(DEALS!$J:$J,DEALS!$A:$A,{"*REFUND*","*EXECUTED*"},DEALS!$G:$G,$B$163,DEALS!$E:$E,"&lt;="&amp;$U$165,DEALS!$K:$K,Y$167,DEALS!$M:$M,$T169,DEALS!$N:$N,"&lt;&gt;*RECEIVED*",DEALS!$N:$N,"&lt;&gt;*EXECUTED*"))+SUM(SUMIFS(DEALS!$R:$R,DEALS!$A:$A,{"*REFUND*","*EXECUTED*"},DEALS!$O:$O,$B$163,DEALS!$E:$E,"&lt;="&amp;$U$165,DEALS!$S:$S,Y$167,DEALS!$U:$U,$T169,DEALS!$V:$V,"&lt;&gt;*RECEIVED*",DEALS!$V:$V,"&lt;&gt;*EXECUTED*"))</f>
        <v>0</v>
      </c>
      <c r="Z169" s="32" cm="1">
        <f t="array" ref="Z169">SUMIFS(BALANCES!$C:$C,BALANCES!$A:$A,$B$163,BALANCES!$B:$B,$T169,BALANCES!$D:$D,Z$167)+SUMIFS(FLOWS!$C:$C,FLOWS!$A:$A,$B$163,FLOWS!$E:$E,$T169,FLOWS!$D:$D,Z$167,FLOWS!$H:$H,"&lt;="&amp;$U$165)+SUM(SUMIFS(DEALS!$J:$J,DEALS!$A:$A,{"*REFUND*","*EXECUTED*"},DEALS!$G:$G,$B$163,DEALS!$E:$E,"&lt;="&amp;$U$165,DEALS!$K:$K,Z$167,DEALS!$M:$M,$T169,DEALS!$N:$N,"&lt;&gt;*RECEIVED*",DEALS!$N:$N,"&lt;&gt;*EXECUTED*"))+SUM(SUMIFS(DEALS!$R:$R,DEALS!$A:$A,{"*REFUND*","*EXECUTED*"},DEALS!$O:$O,$B$163,DEALS!$E:$E,"&lt;="&amp;$U$165,DEALS!$S:$S,Z$167,DEALS!$U:$U,$T169,DEALS!$V:$V,"&lt;&gt;*RECEIVED*",DEALS!$V:$V,"&lt;&gt;*EXECUTED*"))</f>
        <v>0</v>
      </c>
      <c r="AA169" s="33">
        <f ca="1">U169*VLOOKUP(U$167,'FX RATES'!$E$1:$F$50,2,FALSE)+V169*VLOOKUP(V$167,'FX RATES'!$E$1:$F$50,2,FALSE)+W169*VLOOKUP(W$167,'FX RATES'!$E$1:$F$50,2,FALSE)+X169*VLOOKUP(X$167,'FX RATES'!$E$1:$F$50,2,FALSE)+Y169*VLOOKUP(Y$167,'FX RATES'!$E$1:$F$50,2,FALSE)+Z169*VLOOKUP(Z$167,'FX RATES'!$E$1:$F$50,2,FALSE)</f>
        <v>38994.172049797344</v>
      </c>
      <c r="AC169" s="139">
        <f t="shared" ca="1" si="61"/>
        <v>0</v>
      </c>
    </row>
    <row r="170" spans="2:29" ht="20" thickBot="1">
      <c r="B170" s="28" t="s">
        <v>25</v>
      </c>
      <c r="C170" s="29" cm="1">
        <f t="array" ref="C170">SUMIFS(BALANCES!$C:$C,BALANCES!$A:$A,$B$163,BALANCES!$B:$B,$B170,BALANCES!$D:$D,C$167)+SUMIFS(FLOWS!$C:$C,FLOWS!$A:$A,$B$163,FLOWS!$E:$E,$B170,FLOWS!$D:$D,C$167,FLOWS!$H:$H,"&lt;"&amp;$C$165)+SUM(SUMIFS(DEALS!$J:$J,DEALS!$A:$A,{"*REFUND*","*EXECUTED*"},DEALS!$G:$G,$B$163,DEALS!$E:$E,"&lt;"&amp;$C$165,DEALS!$K:$K,C$167,DEALS!$M:$M,$B170,DEALS!$N:$N,"&lt;&gt;*RECEIVED*",DEALS!$N:$N,"&lt;&gt;*EXECUTED*"))+SUM(SUMIFS(DEALS!$R:$R,DEALS!$A:$A,{"*REFUND*","*EXECUTED*"},DEALS!$O:$O,$B$163,DEALS!$E:$E,"&lt;"&amp;$C$165,DEALS!$S:$S,C$167,DEALS!$U:$U,$B170,DEALS!$V:$V,"&lt;&gt;*RECEIVED*",DEALS!$V:$V,"&lt;&gt;*EXECUTED*"))</f>
        <v>0</v>
      </c>
      <c r="D170" s="29" cm="1">
        <f t="array" ref="D170">SUMIFS(BALANCES!$C:$C,BALANCES!$A:$A,$B$163,BALANCES!$B:$B,$B170,BALANCES!$D:$D,D$167)+SUMIFS(FLOWS!$C:$C,FLOWS!$A:$A,$B$163,FLOWS!$E:$E,$B170,FLOWS!$D:$D,D$167,FLOWS!$H:$H,"&lt;"&amp;$C$165)+SUM(SUMIFS(DEALS!$J:$J,DEALS!$A:$A,{"*REFUND*","*EXECUTED*"},DEALS!$G:$G,$B$163,DEALS!$E:$E,"&lt;"&amp;$C$165,DEALS!$K:$K,D$167,DEALS!$M:$M,$B170,DEALS!$N:$N,"&lt;&gt;*RECEIVED*",DEALS!$N:$N,"&lt;&gt;*EXECUTED*"))+SUM(SUMIFS(DEALS!$R:$R,DEALS!$A:$A,{"*REFUND*","*EXECUTED*"},DEALS!$O:$O,$B$163,DEALS!$E:$E,"&lt;"&amp;$C$165,DEALS!$S:$S,D$167,DEALS!$U:$U,$B170,DEALS!$V:$V,"&lt;&gt;*RECEIVED*",DEALS!$V:$V,"&lt;&gt;*EXECUTED*"))</f>
        <v>0</v>
      </c>
      <c r="E170" s="29" cm="1">
        <f t="array" ref="E170">SUMIFS(BALANCES!$C:$C,BALANCES!$A:$A,$B$163,BALANCES!$B:$B,$B170,BALANCES!$D:$D,E$167)+SUMIFS(FLOWS!$C:$C,FLOWS!$A:$A,$B$163,FLOWS!$E:$E,$B170,FLOWS!$D:$D,E$167,FLOWS!$H:$H,"&lt;"&amp;$C$165)+SUM(SUMIFS(DEALS!$J:$J,DEALS!$A:$A,{"*REFUND*","*EXECUTED*"},DEALS!$G:$G,$B$163,DEALS!$E:$E,"&lt;"&amp;$C$165,DEALS!$K:$K,E$167,DEALS!$M:$M,$B170,DEALS!$N:$N,"&lt;&gt;*RECEIVED*",DEALS!$N:$N,"&lt;&gt;*EXECUTED*"))+SUM(SUMIFS(DEALS!$R:$R,DEALS!$A:$A,{"*REFUND*","*EXECUTED*"},DEALS!$O:$O,$B$163,DEALS!$E:$E,"&lt;"&amp;$C$165,DEALS!$S:$S,E$167,DEALS!$U:$U,$B170,DEALS!$V:$V,"&lt;&gt;*RECEIVED*",DEALS!$V:$V,"&lt;&gt;*EXECUTED*"))</f>
        <v>0</v>
      </c>
      <c r="F170" s="29" cm="1">
        <f t="array" ref="F170">SUMIFS(BALANCES!$C:$C,BALANCES!$A:$A,$B$163,BALANCES!$B:$B,$B170,BALANCES!$D:$D,F$167)+SUMIFS(FLOWS!$C:$C,FLOWS!$A:$A,$B$163,FLOWS!$E:$E,$B170,FLOWS!$D:$D,F$167,FLOWS!$H:$H,"&lt;"&amp;$C$165)+SUM(SUMIFS(DEALS!$J:$J,DEALS!$A:$A,{"*REFUND*","*EXECUTED*"},DEALS!$G:$G,$B$163,DEALS!$E:$E,"&lt;"&amp;$C$165,DEALS!$K:$K,F$167,DEALS!$M:$M,$B170,DEALS!$N:$N,"&lt;&gt;*RECEIVED*",DEALS!$N:$N,"&lt;&gt;*EXECUTED*"))+SUM(SUMIFS(DEALS!$R:$R,DEALS!$A:$A,{"*REFUND*","*EXECUTED*"},DEALS!$O:$O,$B$163,DEALS!$E:$E,"&lt;"&amp;$C$165,DEALS!$S:$S,F$167,DEALS!$U:$U,$B170,DEALS!$V:$V,"&lt;&gt;*RECEIVED*",DEALS!$V:$V,"&lt;&gt;*EXECUTED*"))</f>
        <v>0</v>
      </c>
      <c r="G170" s="29" cm="1">
        <f t="array" ref="G170">SUMIFS(BALANCES!$C:$C,BALANCES!$A:$A,$B$163,BALANCES!$B:$B,$B170,BALANCES!$D:$D,G$167)+SUMIFS(FLOWS!$C:$C,FLOWS!$A:$A,$B$163,FLOWS!$E:$E,$B170,FLOWS!$D:$D,G$167,FLOWS!$H:$H,"&lt;"&amp;$C$165)+SUM(SUMIFS(DEALS!$J:$J,DEALS!$A:$A,{"*REFUND*","*EXECUTED*"},DEALS!$G:$G,$B$163,DEALS!$E:$E,"&lt;"&amp;$C$165,DEALS!$K:$K,G$167,DEALS!$M:$M,$B170,DEALS!$N:$N,"&lt;&gt;*RECEIVED*",DEALS!$N:$N,"&lt;&gt;*EXECUTED*"))+SUM(SUMIFS(DEALS!$R:$R,DEALS!$A:$A,{"*REFUND*","*EXECUTED*"},DEALS!$O:$O,$B$163,DEALS!$E:$E,"&lt;"&amp;$C$165,DEALS!$S:$S,G$167,DEALS!$U:$U,$B170,DEALS!$V:$V,"&lt;&gt;*RECEIVED*",DEALS!$V:$V,"&lt;&gt;*EXECUTED*"))</f>
        <v>42510</v>
      </c>
      <c r="H170" s="29" cm="1">
        <f t="array" ref="H170">SUMIFS(BALANCES!$C:$C,BALANCES!$A:$A,$B$163,BALANCES!$B:$B,$B170,BALANCES!$D:$D,H$167)+SUMIFS(FLOWS!$C:$C,FLOWS!$A:$A,$B$163,FLOWS!$E:$E,$B170,FLOWS!$D:$D,H$167,FLOWS!$H:$H,"&lt;"&amp;$C$165)+SUM(SUMIFS(DEALS!$J:$J,DEALS!$A:$A,{"*REFUND*","*EXECUTED*"},DEALS!$G:$G,$B$163,DEALS!$E:$E,"&lt;"&amp;$C$165,DEALS!$K:$K,H$167,DEALS!$M:$M,$B170,DEALS!$N:$N,"&lt;&gt;*RECEIVED*",DEALS!$N:$N,"&lt;&gt;*EXECUTED*"))+SUM(SUMIFS(DEALS!$R:$R,DEALS!$A:$A,{"*REFUND*","*EXECUTED*"},DEALS!$O:$O,$B$163,DEALS!$E:$E,"&lt;"&amp;$C$165,DEALS!$S:$S,H$167,DEALS!$U:$U,$B170,DEALS!$V:$V,"&lt;&gt;*RECEIVED*",DEALS!$V:$V,"&lt;&gt;*EXECUTED*"))</f>
        <v>0</v>
      </c>
      <c r="I170" s="30">
        <f ca="1">C170*VLOOKUP(C$167,'FX RATES'!$E$1:$F$50,2,FALSE)+D170*VLOOKUP(D$167,'FX RATES'!$E$1:$F$50,2,FALSE)+E170*VLOOKUP(E$167,'FX RATES'!$E$1:$F$50,2,FALSE)+F170*VLOOKUP(F$167,'FX RATES'!$E$1:$F$50,2,FALSE)+G170*VLOOKUP(G$167,'FX RATES'!$E$1:$F$50,2,FALSE)+H170*VLOOKUP(H$167,'FX RATES'!$E$1:$F$50,2,FALSE)</f>
        <v>554.08919389211485</v>
      </c>
      <c r="K170" s="28" t="str">
        <f t="shared" si="59"/>
        <v>CEB</v>
      </c>
      <c r="L170" s="29" cm="1">
        <f t="array" ref="L170">SUMIFS(FLOWS!$C:$C,FLOWS!$A:$A,$B$163,FLOWS!$E:$E,$K170,FLOWS!$D:$D,L$167,FLOWS!$H:$H,"&gt;="&amp;$C$165,FLOWS!$H:$H,"&lt;="&amp;$U$165)+SUM(SUMIFS(DEALS!$J:$J,DEALS!$A:$A,{"*REFUND*","*EXECUTED*"},DEALS!$G:$G,$B$163,DEALS!$E:$E,"&gt;="&amp;$C$165,DEALS!$E:$E,"&lt;="&amp;$U$165,DEALS!$K:$K,L$167,DEALS!$M:$M,$K170,DEALS!$N:$N,"&lt;&gt;*RECEIVED*",DEALS!$N:$N,"&lt;&gt;*EXECUTED*"))+SUM(SUMIFS(DEALS!$R:$R,DEALS!$A:$A,{"*REFUND*","*EXECUTED*"},DEALS!$O:$O,$B$163,DEALS!$E:$E,"&gt;="&amp;$C$165,DEALS!$E:$E,"&lt;="&amp;$U$165,DEALS!$S:$S,L$167,DEALS!$U:$U,$K170,DEALS!$V:$V,"&lt;&gt;*RECEIVED*",DEALS!$V:$V,"&lt;&gt;*EXECUTED*"))</f>
        <v>0</v>
      </c>
      <c r="M170" s="29" cm="1">
        <f t="array" ref="M170">SUMIFS(FLOWS!$C:$C,FLOWS!$A:$A,$B$163,FLOWS!$E:$E,$K170,FLOWS!$D:$D,M$167,FLOWS!$H:$H,"&gt;="&amp;$C$165,FLOWS!$H:$H,"&lt;="&amp;$U$165)+SUM(SUMIFS(DEALS!$J:$J,DEALS!$A:$A,{"*REFUND*","*EXECUTED*"},DEALS!$G:$G,$B$163,DEALS!$E:$E,"&gt;="&amp;$C$165,DEALS!$E:$E,"&lt;="&amp;$U$165,DEALS!$K:$K,M$167,DEALS!$M:$M,$K170,DEALS!$N:$N,"&lt;&gt;*RECEIVED*",DEALS!$N:$N,"&lt;&gt;*EXECUTED*"))+SUM(SUMIFS(DEALS!$R:$R,DEALS!$A:$A,{"*REFUND*","*EXECUTED*"},DEALS!$O:$O,$B$163,DEALS!$E:$E,"&gt;="&amp;$C$165,DEALS!$E:$E,"&lt;="&amp;$U$165,DEALS!$S:$S,M$167,DEALS!$U:$U,$K170,DEALS!$V:$V,"&lt;&gt;*RECEIVED*",DEALS!$V:$V,"&lt;&gt;*EXECUTED*"))</f>
        <v>0</v>
      </c>
      <c r="N170" s="29" cm="1">
        <f t="array" ref="N170">SUMIFS(FLOWS!$C:$C,FLOWS!$A:$A,$B$163,FLOWS!$E:$E,$K170,FLOWS!$D:$D,N$167,FLOWS!$H:$H,"&gt;="&amp;$C$165,FLOWS!$H:$H,"&lt;="&amp;$U$165)+SUM(SUMIFS(DEALS!$J:$J,DEALS!$A:$A,{"*REFUND*","*EXECUTED*"},DEALS!$G:$G,$B$163,DEALS!$E:$E,"&gt;="&amp;$C$165,DEALS!$E:$E,"&lt;="&amp;$U$165,DEALS!$K:$K,N$167,DEALS!$M:$M,$K170,DEALS!$N:$N,"&lt;&gt;*RECEIVED*",DEALS!$N:$N,"&lt;&gt;*EXECUTED*"))+SUM(SUMIFS(DEALS!$R:$R,DEALS!$A:$A,{"*REFUND*","*EXECUTED*"},DEALS!$O:$O,$B$163,DEALS!$E:$E,"&gt;="&amp;$C$165,DEALS!$E:$E,"&lt;="&amp;$U$165,DEALS!$S:$S,N$167,DEALS!$U:$U,$K170,DEALS!$V:$V,"&lt;&gt;*RECEIVED*",DEALS!$V:$V,"&lt;&gt;*EXECUTED*"))</f>
        <v>0</v>
      </c>
      <c r="O170" s="29" cm="1">
        <f t="array" ref="O170">SUMIFS(FLOWS!$C:$C,FLOWS!$A:$A,$B$163,FLOWS!$E:$E,$K170,FLOWS!$D:$D,O$167,FLOWS!$H:$H,"&gt;="&amp;$C$165,FLOWS!$H:$H,"&lt;="&amp;$U$165)+SUM(SUMIFS(DEALS!$J:$J,DEALS!$A:$A,{"*REFUND*","*EXECUTED*"},DEALS!$G:$G,$B$163,DEALS!$E:$E,"&gt;="&amp;$C$165,DEALS!$E:$E,"&lt;="&amp;$U$165,DEALS!$K:$K,O$167,DEALS!$M:$M,$K170,DEALS!$N:$N,"&lt;&gt;*RECEIVED*",DEALS!$N:$N,"&lt;&gt;*EXECUTED*"))+SUM(SUMIFS(DEALS!$R:$R,DEALS!$A:$A,{"*REFUND*","*EXECUTED*"},DEALS!$O:$O,$B$163,DEALS!$E:$E,"&gt;="&amp;$C$165,DEALS!$E:$E,"&lt;="&amp;$U$165,DEALS!$S:$S,O$167,DEALS!$U:$U,$K170,DEALS!$V:$V,"&lt;&gt;*RECEIVED*",DEALS!$V:$V,"&lt;&gt;*EXECUTED*"))</f>
        <v>0</v>
      </c>
      <c r="P170" s="29" cm="1">
        <f t="array" ref="P170">SUMIFS(FLOWS!$C:$C,FLOWS!$A:$A,$B$163,FLOWS!$E:$E,$K170,FLOWS!$D:$D,P$167,FLOWS!$H:$H,"&gt;="&amp;$C$165,FLOWS!$H:$H,"&lt;="&amp;$U$165)+SUM(SUMIFS(DEALS!$J:$J,DEALS!$A:$A,{"*REFUND*","*EXECUTED*"},DEALS!$G:$G,$B$163,DEALS!$E:$E,"&gt;="&amp;$C$165,DEALS!$E:$E,"&lt;="&amp;$U$165,DEALS!$K:$K,P$167,DEALS!$M:$M,$K170,DEALS!$N:$N,"&lt;&gt;*RECEIVED*",DEALS!$N:$N,"&lt;&gt;*EXECUTED*"))+SUM(SUMIFS(DEALS!$R:$R,DEALS!$A:$A,{"*REFUND*","*EXECUTED*"},DEALS!$O:$O,$B$163,DEALS!$E:$E,"&gt;="&amp;$C$165,DEALS!$E:$E,"&lt;="&amp;$U$165,DEALS!$S:$S,P$167,DEALS!$U:$U,$K170,DEALS!$V:$V,"&lt;&gt;*RECEIVED*",DEALS!$V:$V,"&lt;&gt;*EXECUTED*"))</f>
        <v>0</v>
      </c>
      <c r="Q170" s="29" cm="1">
        <f t="array" ref="Q170">SUMIFS(FLOWS!$C:$C,FLOWS!$A:$A,$B$163,FLOWS!$E:$E,$K170,FLOWS!$D:$D,Q$167,FLOWS!$H:$H,"&gt;="&amp;$C$165,FLOWS!$H:$H,"&lt;="&amp;$U$165)+SUM(SUMIFS(DEALS!$J:$J,DEALS!$A:$A,{"*REFUND*","*EXECUTED*"},DEALS!$G:$G,$B$163,DEALS!$E:$E,"&gt;="&amp;$C$165,DEALS!$E:$E,"&lt;="&amp;$U$165,DEALS!$K:$K,Q$167,DEALS!$M:$M,$K170,DEALS!$N:$N,"&lt;&gt;*RECEIVED*",DEALS!$N:$N,"&lt;&gt;*EXECUTED*"))+SUM(SUMIFS(DEALS!$R:$R,DEALS!$A:$A,{"*REFUND*","*EXECUTED*"},DEALS!$O:$O,$B$163,DEALS!$E:$E,"&gt;="&amp;$C$165,DEALS!$E:$E,"&lt;="&amp;$U$165,DEALS!$S:$S,Q$167,DEALS!$U:$U,$K170,DEALS!$V:$V,"&lt;&gt;*RECEIVED*",DEALS!$V:$V,"&lt;&gt;*EXECUTED*"))</f>
        <v>0</v>
      </c>
      <c r="R170" s="30">
        <f ca="1">L170*VLOOKUP(L$167,'FX RATES'!$E$1:$F$50,2,FALSE)+M170*VLOOKUP(M$167,'FX RATES'!$E$1:$F$50,2,FALSE)+N170*VLOOKUP(N$167,'FX RATES'!$E$1:$F$50,2,FALSE)+O170*VLOOKUP(O$167,'FX RATES'!$E$1:$F$50,2,FALSE)+P170*VLOOKUP(P$167,'FX RATES'!$E$1:$F$50,2,FALSE)+Q170*VLOOKUP(Q$167,'FX RATES'!$E$1:$F$50,2,FALSE)</f>
        <v>0</v>
      </c>
      <c r="T170" s="28" t="str">
        <f t="shared" si="60"/>
        <v>CEB</v>
      </c>
      <c r="U170" s="29" cm="1">
        <f t="array" ref="U170">SUMIFS(BALANCES!$C:$C,BALANCES!$A:$A,$B$163,BALANCES!$B:$B,$T170,BALANCES!$D:$D,U$167)+SUMIFS(FLOWS!$C:$C,FLOWS!$A:$A,$B$163,FLOWS!$E:$E,$T170,FLOWS!$D:$D,U$167,FLOWS!$H:$H,"&lt;="&amp;$U$165)+SUM(SUMIFS(DEALS!$J:$J,DEALS!$A:$A,{"*REFUND*","*EXECUTED*"},DEALS!$G:$G,$B$163,DEALS!$E:$E,"&lt;="&amp;$U$165,DEALS!$K:$K,U$167,DEALS!$M:$M,$T170,DEALS!$N:$N,"&lt;&gt;*RECEIVED*",DEALS!$N:$N,"&lt;&gt;*EXECUTED*"))+SUM(SUMIFS(DEALS!$R:$R,DEALS!$A:$A,{"*REFUND*","*EXECUTED*"},DEALS!$O:$O,$B$163,DEALS!$E:$E,"&lt;="&amp;$U$165,DEALS!$S:$S,U$167,DEALS!$U:$U,$T170,DEALS!$V:$V,"&lt;&gt;*RECEIVED*",DEALS!$V:$V,"&lt;&gt;*EXECUTED*"))</f>
        <v>0</v>
      </c>
      <c r="V170" s="29" cm="1">
        <f t="array" ref="V170">SUMIFS(BALANCES!$C:$C,BALANCES!$A:$A,$B$163,BALANCES!$B:$B,$T170,BALANCES!$D:$D,V$167)+SUMIFS(FLOWS!$C:$C,FLOWS!$A:$A,$B$163,FLOWS!$E:$E,$T170,FLOWS!$D:$D,V$167,FLOWS!$H:$H,"&lt;="&amp;$U$165)+SUM(SUMIFS(DEALS!$J:$J,DEALS!$A:$A,{"*REFUND*","*EXECUTED*"},DEALS!$G:$G,$B$163,DEALS!$E:$E,"&lt;="&amp;$U$165,DEALS!$K:$K,V$167,DEALS!$M:$M,$T170,DEALS!$N:$N,"&lt;&gt;*RECEIVED*",DEALS!$N:$N,"&lt;&gt;*EXECUTED*"))+SUM(SUMIFS(DEALS!$R:$R,DEALS!$A:$A,{"*REFUND*","*EXECUTED*"},DEALS!$O:$O,$B$163,DEALS!$E:$E,"&lt;="&amp;$U$165,DEALS!$S:$S,V$167,DEALS!$U:$U,$T170,DEALS!$V:$V,"&lt;&gt;*RECEIVED*",DEALS!$V:$V,"&lt;&gt;*EXECUTED*"))</f>
        <v>0</v>
      </c>
      <c r="W170" s="29" cm="1">
        <f t="array" ref="W170">SUMIFS(BALANCES!$C:$C,BALANCES!$A:$A,$B$163,BALANCES!$B:$B,$T170,BALANCES!$D:$D,W$167)+SUMIFS(FLOWS!$C:$C,FLOWS!$A:$A,$B$163,FLOWS!$E:$E,$T170,FLOWS!$D:$D,W$167,FLOWS!$H:$H,"&lt;="&amp;$U$165)+SUM(SUMIFS(DEALS!$J:$J,DEALS!$A:$A,{"*REFUND*","*EXECUTED*"},DEALS!$G:$G,$B$163,DEALS!$E:$E,"&lt;="&amp;$U$165,DEALS!$K:$K,W$167,DEALS!$M:$M,$T170,DEALS!$N:$N,"&lt;&gt;*RECEIVED*",DEALS!$N:$N,"&lt;&gt;*EXECUTED*"))+SUM(SUMIFS(DEALS!$R:$R,DEALS!$A:$A,{"*REFUND*","*EXECUTED*"},DEALS!$O:$O,$B$163,DEALS!$E:$E,"&lt;="&amp;$U$165,DEALS!$S:$S,W$167,DEALS!$U:$U,$T170,DEALS!$V:$V,"&lt;&gt;*RECEIVED*",DEALS!$V:$V,"&lt;&gt;*EXECUTED*"))</f>
        <v>0</v>
      </c>
      <c r="X170" s="29" cm="1">
        <f t="array" ref="X170">SUMIFS(BALANCES!$C:$C,BALANCES!$A:$A,$B$163,BALANCES!$B:$B,$T170,BALANCES!$D:$D,X$167)+SUMIFS(FLOWS!$C:$C,FLOWS!$A:$A,$B$163,FLOWS!$E:$E,$T170,FLOWS!$D:$D,X$167,FLOWS!$H:$H,"&lt;="&amp;$U$165)+SUM(SUMIFS(DEALS!$J:$J,DEALS!$A:$A,{"*REFUND*","*EXECUTED*"},DEALS!$G:$G,$B$163,DEALS!$E:$E,"&lt;="&amp;$U$165,DEALS!$K:$K,X$167,DEALS!$M:$M,$T170,DEALS!$N:$N,"&lt;&gt;*RECEIVED*",DEALS!$N:$N,"&lt;&gt;*EXECUTED*"))+SUM(SUMIFS(DEALS!$R:$R,DEALS!$A:$A,{"*REFUND*","*EXECUTED*"},DEALS!$O:$O,$B$163,DEALS!$E:$E,"&lt;="&amp;$U$165,DEALS!$S:$S,X$167,DEALS!$U:$U,$T170,DEALS!$V:$V,"&lt;&gt;*RECEIVED*",DEALS!$V:$V,"&lt;&gt;*EXECUTED*"))</f>
        <v>0</v>
      </c>
      <c r="Y170" s="29" cm="1">
        <f t="array" ref="Y170">SUMIFS(BALANCES!$C:$C,BALANCES!$A:$A,$B$163,BALANCES!$B:$B,$T170,BALANCES!$D:$D,Y$167)+SUMIFS(FLOWS!$C:$C,FLOWS!$A:$A,$B$163,FLOWS!$E:$E,$T170,FLOWS!$D:$D,Y$167,FLOWS!$H:$H,"&lt;="&amp;$U$165)+SUM(SUMIFS(DEALS!$J:$J,DEALS!$A:$A,{"*REFUND*","*EXECUTED*"},DEALS!$G:$G,$B$163,DEALS!$E:$E,"&lt;="&amp;$U$165,DEALS!$K:$K,Y$167,DEALS!$M:$M,$T170,DEALS!$N:$N,"&lt;&gt;*RECEIVED*",DEALS!$N:$N,"&lt;&gt;*EXECUTED*"))+SUM(SUMIFS(DEALS!$R:$R,DEALS!$A:$A,{"*REFUND*","*EXECUTED*"},DEALS!$O:$O,$B$163,DEALS!$E:$E,"&lt;="&amp;$U$165,DEALS!$S:$S,Y$167,DEALS!$U:$U,$T170,DEALS!$V:$V,"&lt;&gt;*RECEIVED*",DEALS!$V:$V,"&lt;&gt;*EXECUTED*"))</f>
        <v>42510</v>
      </c>
      <c r="Z170" s="29" cm="1">
        <f t="array" ref="Z170">SUMIFS(BALANCES!$C:$C,BALANCES!$A:$A,$B$163,BALANCES!$B:$B,$T170,BALANCES!$D:$D,Z$167)+SUMIFS(FLOWS!$C:$C,FLOWS!$A:$A,$B$163,FLOWS!$E:$E,$T170,FLOWS!$D:$D,Z$167,FLOWS!$H:$H,"&lt;="&amp;$U$165)+SUM(SUMIFS(DEALS!$J:$J,DEALS!$A:$A,{"*REFUND*","*EXECUTED*"},DEALS!$G:$G,$B$163,DEALS!$E:$E,"&lt;="&amp;$U$165,DEALS!$K:$K,Z$167,DEALS!$M:$M,$T170,DEALS!$N:$N,"&lt;&gt;*RECEIVED*",DEALS!$N:$N,"&lt;&gt;*EXECUTED*"))+SUM(SUMIFS(DEALS!$R:$R,DEALS!$A:$A,{"*REFUND*","*EXECUTED*"},DEALS!$O:$O,$B$163,DEALS!$E:$E,"&lt;="&amp;$U$165,DEALS!$S:$S,Z$167,DEALS!$U:$U,$T170,DEALS!$V:$V,"&lt;&gt;*RECEIVED*",DEALS!$V:$V,"&lt;&gt;*EXECUTED*"))</f>
        <v>0</v>
      </c>
      <c r="AA170" s="30">
        <f ca="1">U170*VLOOKUP(U$167,'FX RATES'!$E$1:$F$50,2,FALSE)+V170*VLOOKUP(V$167,'FX RATES'!$E$1:$F$50,2,FALSE)+W170*VLOOKUP(W$167,'FX RATES'!$E$1:$F$50,2,FALSE)+X170*VLOOKUP(X$167,'FX RATES'!$E$1:$F$50,2,FALSE)+Y170*VLOOKUP(Y$167,'FX RATES'!$E$1:$F$50,2,FALSE)+Z170*VLOOKUP(Z$167,'FX RATES'!$E$1:$F$50,2,FALSE)</f>
        <v>554.08919389211485</v>
      </c>
      <c r="AC170" s="139">
        <f t="shared" ca="1" si="61"/>
        <v>0</v>
      </c>
    </row>
    <row r="171" spans="2:29" ht="19" hidden="1">
      <c r="B171" s="31"/>
      <c r="C171" s="32" cm="1">
        <f t="array" ref="C171">SUMIFS(BALANCES!$C:$C,BALANCES!$A:$A,$B$163,BALANCES!$B:$B,$B171,BALANCES!$D:$D,C$167)+SUMIFS(FLOWS!$C:$C,FLOWS!$A:$A,$B$163,FLOWS!$E:$E,$B171,FLOWS!$D:$D,C$167,FLOWS!$H:$H,"&lt;"&amp;$C$165)+SUM(SUMIFS(DEALS!$J:$J,DEALS!$A:$A,{"*REFUND*","*EXECUTED*"},DEALS!$G:$G,$B$163,DEALS!$E:$E,"&lt;"&amp;$C$165,DEALS!$K:$K,C$167,DEALS!$M:$M,$B171,DEALS!$N:$N,"&lt;&gt;*RECEIVED*",DEALS!$N:$N,"&lt;&gt;*EXECUTED*"))+SUM(SUMIFS(DEALS!$R:$R,DEALS!$A:$A,{"*REFUND*","*EXECUTED*"},DEALS!$O:$O,$B$163,DEALS!$E:$E,"&lt;"&amp;$C$165,DEALS!$S:$S,C$167,DEALS!$U:$U,$B171,DEALS!$V:$V,"&lt;&gt;*RECEIVED*",DEALS!$V:$V,"&lt;&gt;*EXECUTED*"))</f>
        <v>0</v>
      </c>
      <c r="D171" s="32" cm="1">
        <f t="array" ref="D171">SUMIFS(BALANCES!$C:$C,BALANCES!$A:$A,$B$163,BALANCES!$B:$B,$B171,BALANCES!$D:$D,D$167)+SUMIFS(FLOWS!$C:$C,FLOWS!$A:$A,$B$163,FLOWS!$E:$E,$B171,FLOWS!$D:$D,D$167,FLOWS!$H:$H,"&lt;"&amp;$C$165)+SUM(SUMIFS(DEALS!$J:$J,DEALS!$A:$A,{"*REFUND*","*EXECUTED*"},DEALS!$G:$G,$B$163,DEALS!$E:$E,"&lt;"&amp;$C$165,DEALS!$K:$K,D$167,DEALS!$M:$M,$B171,DEALS!$N:$N,"&lt;&gt;*RECEIVED*",DEALS!$N:$N,"&lt;&gt;*EXECUTED*"))+SUM(SUMIFS(DEALS!$R:$R,DEALS!$A:$A,{"*REFUND*","*EXECUTED*"},DEALS!$O:$O,$B$163,DEALS!$E:$E,"&lt;"&amp;$C$165,DEALS!$S:$S,D$167,DEALS!$U:$U,$B171,DEALS!$V:$V,"&lt;&gt;*RECEIVED*",DEALS!$V:$V,"&lt;&gt;*EXECUTED*"))</f>
        <v>0</v>
      </c>
      <c r="E171" s="32" cm="1">
        <f t="array" ref="E171">SUMIFS(BALANCES!$C:$C,BALANCES!$A:$A,$B$163,BALANCES!$B:$B,$B171,BALANCES!$D:$D,E$167)+SUMIFS(FLOWS!$C:$C,FLOWS!$A:$A,$B$163,FLOWS!$E:$E,$B171,FLOWS!$D:$D,E$167,FLOWS!$H:$H,"&lt;"&amp;$C$165)+SUM(SUMIFS(DEALS!$J:$J,DEALS!$A:$A,{"*REFUND*","*EXECUTED*"},DEALS!$G:$G,$B$163,DEALS!$E:$E,"&lt;"&amp;$C$165,DEALS!$K:$K,E$167,DEALS!$M:$M,$B171,DEALS!$N:$N,"&lt;&gt;*RECEIVED*",DEALS!$N:$N,"&lt;&gt;*EXECUTED*"))+SUM(SUMIFS(DEALS!$R:$R,DEALS!$A:$A,{"*REFUND*","*EXECUTED*"},DEALS!$O:$O,$B$163,DEALS!$E:$E,"&lt;"&amp;$C$165,DEALS!$S:$S,E$167,DEALS!$U:$U,$B171,DEALS!$V:$V,"&lt;&gt;*RECEIVED*",DEALS!$V:$V,"&lt;&gt;*EXECUTED*"))</f>
        <v>0</v>
      </c>
      <c r="F171" s="32" cm="1">
        <f t="array" ref="F171">SUMIFS(BALANCES!$C:$C,BALANCES!$A:$A,$B$163,BALANCES!$B:$B,$B171,BALANCES!$D:$D,F$167)+SUMIFS(FLOWS!$C:$C,FLOWS!$A:$A,$B$163,FLOWS!$E:$E,$B171,FLOWS!$D:$D,F$167,FLOWS!$H:$H,"&lt;"&amp;$C$165)+SUM(SUMIFS(DEALS!$J:$J,DEALS!$A:$A,{"*REFUND*","*EXECUTED*"},DEALS!$G:$G,$B$163,DEALS!$E:$E,"&lt;"&amp;$C$165,DEALS!$K:$K,F$167,DEALS!$M:$M,$B171,DEALS!$N:$N,"&lt;&gt;*RECEIVED*",DEALS!$N:$N,"&lt;&gt;*EXECUTED*"))+SUM(SUMIFS(DEALS!$R:$R,DEALS!$A:$A,{"*REFUND*","*EXECUTED*"},DEALS!$O:$O,$B$163,DEALS!$E:$E,"&lt;"&amp;$C$165,DEALS!$S:$S,F$167,DEALS!$U:$U,$B171,DEALS!$V:$V,"&lt;&gt;*RECEIVED*",DEALS!$V:$V,"&lt;&gt;*EXECUTED*"))</f>
        <v>0</v>
      </c>
      <c r="G171" s="32" cm="1">
        <f t="array" ref="G171">SUMIFS(BALANCES!$C:$C,BALANCES!$A:$A,$B$163,BALANCES!$B:$B,$B171,BALANCES!$D:$D,G$167)+SUMIFS(FLOWS!$C:$C,FLOWS!$A:$A,$B$163,FLOWS!$E:$E,$B171,FLOWS!$D:$D,G$167,FLOWS!$H:$H,"&lt;"&amp;$C$165)+SUM(SUMIFS(DEALS!$J:$J,DEALS!$A:$A,{"*REFUND*","*EXECUTED*"},DEALS!$G:$G,$B$163,DEALS!$E:$E,"&lt;"&amp;$C$165,DEALS!$K:$K,G$167,DEALS!$M:$M,$B171,DEALS!$N:$N,"&lt;&gt;*RECEIVED*",DEALS!$N:$N,"&lt;&gt;*EXECUTED*"))+SUM(SUMIFS(DEALS!$R:$R,DEALS!$A:$A,{"*REFUND*","*EXECUTED*"},DEALS!$O:$O,$B$163,DEALS!$E:$E,"&lt;"&amp;$C$165,DEALS!$S:$S,G$167,DEALS!$U:$U,$B171,DEALS!$V:$V,"&lt;&gt;*RECEIVED*",DEALS!$V:$V,"&lt;&gt;*EXECUTED*"))</f>
        <v>0</v>
      </c>
      <c r="H171" s="32" cm="1">
        <f t="array" ref="H171">SUMIFS(BALANCES!$C:$C,BALANCES!$A:$A,$B$163,BALANCES!$B:$B,$B171,BALANCES!$D:$D,H$167)+SUMIFS(FLOWS!$C:$C,FLOWS!$A:$A,$B$163,FLOWS!$E:$E,$B171,FLOWS!$D:$D,H$167,FLOWS!$H:$H,"&lt;"&amp;$C$165)+SUM(SUMIFS(DEALS!$J:$J,DEALS!$A:$A,{"*REFUND*","*EXECUTED*"},DEALS!$G:$G,$B$163,DEALS!$E:$E,"&lt;"&amp;$C$165,DEALS!$K:$K,H$167,DEALS!$M:$M,$B171,DEALS!$N:$N,"&lt;&gt;*RECEIVED*",DEALS!$N:$N,"&lt;&gt;*EXECUTED*"))+SUM(SUMIFS(DEALS!$R:$R,DEALS!$A:$A,{"*REFUND*","*EXECUTED*"},DEALS!$O:$O,$B$163,DEALS!$E:$E,"&lt;"&amp;$C$165,DEALS!$S:$S,H$167,DEALS!$U:$U,$B171,DEALS!$V:$V,"&lt;&gt;*RECEIVED*",DEALS!$V:$V,"&lt;&gt;*EXECUTED*"))</f>
        <v>0</v>
      </c>
      <c r="I171" s="33">
        <f ca="1">C171*VLOOKUP(C$167,'FX RATES'!$E$1:$F$50,2,FALSE)+D171*VLOOKUP(D$167,'FX RATES'!$E$1:$F$50,2,FALSE)+E171*VLOOKUP(E$167,'FX RATES'!$E$1:$F$50,2,FALSE)+F171*VLOOKUP(F$167,'FX RATES'!$E$1:$F$50,2,FALSE)+G171*VLOOKUP(G$167,'FX RATES'!$E$1:$F$50,2,FALSE)+H171*VLOOKUP(H$167,'FX RATES'!$E$1:$F$50,2,FALSE)</f>
        <v>0</v>
      </c>
      <c r="K171" s="31">
        <f t="shared" si="59"/>
        <v>0</v>
      </c>
      <c r="L171" s="32" cm="1">
        <f t="array" ref="L171">SUMIFS(FLOWS!$C:$C,FLOWS!$A:$A,$B$163,FLOWS!$E:$E,$K171,FLOWS!$D:$D,L$167,FLOWS!$H:$H,"&gt;="&amp;$C$165,FLOWS!$H:$H,"&lt;="&amp;$U$165)+SUM(SUMIFS(DEALS!$J:$J,DEALS!$A:$A,{"*REFUND*","*EXECUTED*"},DEALS!$G:$G,$B$163,DEALS!$E:$E,"&gt;="&amp;$C$165,DEALS!$E:$E,"&lt;="&amp;$U$165,DEALS!$K:$K,L$167,DEALS!$M:$M,$K171,DEALS!$N:$N,"&lt;&gt;*RECEIVED*",DEALS!$N:$N,"&lt;&gt;*EXECUTED*"))+SUM(SUMIFS(DEALS!$R:$R,DEALS!$A:$A,{"*REFUND*","*EXECUTED*"},DEALS!$O:$O,$B$163,DEALS!$E:$E,"&gt;="&amp;$C$165,DEALS!$E:$E,"&lt;="&amp;$U$165,DEALS!$S:$S,L$167,DEALS!$U:$U,$K171,DEALS!$V:$V,"&lt;&gt;*RECEIVED*",DEALS!$V:$V,"&lt;&gt;*EXECUTED*"))</f>
        <v>0</v>
      </c>
      <c r="M171" s="32" cm="1">
        <f t="array" ref="M171">SUMIFS(FLOWS!$C:$C,FLOWS!$A:$A,$B$163,FLOWS!$E:$E,$K171,FLOWS!$D:$D,M$167,FLOWS!$H:$H,"&gt;="&amp;$C$165,FLOWS!$H:$H,"&lt;="&amp;$U$165)+SUM(SUMIFS(DEALS!$J:$J,DEALS!$A:$A,{"*REFUND*","*EXECUTED*"},DEALS!$G:$G,$B$163,DEALS!$E:$E,"&gt;="&amp;$C$165,DEALS!$E:$E,"&lt;="&amp;$U$165,DEALS!$K:$K,M$167,DEALS!$M:$M,$K171,DEALS!$N:$N,"&lt;&gt;*RECEIVED*",DEALS!$N:$N,"&lt;&gt;*EXECUTED*"))+SUM(SUMIFS(DEALS!$R:$R,DEALS!$A:$A,{"*REFUND*","*EXECUTED*"},DEALS!$O:$O,$B$163,DEALS!$E:$E,"&gt;="&amp;$C$165,DEALS!$E:$E,"&lt;="&amp;$U$165,DEALS!$S:$S,M$167,DEALS!$U:$U,$K171,DEALS!$V:$V,"&lt;&gt;*RECEIVED*",DEALS!$V:$V,"&lt;&gt;*EXECUTED*"))</f>
        <v>0</v>
      </c>
      <c r="N171" s="32" cm="1">
        <f t="array" ref="N171">SUMIFS(FLOWS!$C:$C,FLOWS!$A:$A,$B$163,FLOWS!$E:$E,$K171,FLOWS!$D:$D,N$167,FLOWS!$H:$H,"&gt;="&amp;$C$165,FLOWS!$H:$H,"&lt;="&amp;$U$165)+SUM(SUMIFS(DEALS!$J:$J,DEALS!$A:$A,{"*REFUND*","*EXECUTED*"},DEALS!$G:$G,$B$163,DEALS!$E:$E,"&gt;="&amp;$C$165,DEALS!$E:$E,"&lt;="&amp;$U$165,DEALS!$K:$K,N$167,DEALS!$M:$M,$K171,DEALS!$N:$N,"&lt;&gt;*RECEIVED*",DEALS!$N:$N,"&lt;&gt;*EXECUTED*"))+SUM(SUMIFS(DEALS!$R:$R,DEALS!$A:$A,{"*REFUND*","*EXECUTED*"},DEALS!$O:$O,$B$163,DEALS!$E:$E,"&gt;="&amp;$C$165,DEALS!$E:$E,"&lt;="&amp;$U$165,DEALS!$S:$S,N$167,DEALS!$U:$U,$K171,DEALS!$V:$V,"&lt;&gt;*RECEIVED*",DEALS!$V:$V,"&lt;&gt;*EXECUTED*"))</f>
        <v>0</v>
      </c>
      <c r="O171" s="32" cm="1">
        <f t="array" ref="O171">SUMIFS(FLOWS!$C:$C,FLOWS!$A:$A,$B$163,FLOWS!$E:$E,$K171,FLOWS!$D:$D,O$167,FLOWS!$H:$H,"&gt;="&amp;$C$165,FLOWS!$H:$H,"&lt;="&amp;$U$165)+SUM(SUMIFS(DEALS!$J:$J,DEALS!$A:$A,{"*REFUND*","*EXECUTED*"},DEALS!$G:$G,$B$163,DEALS!$E:$E,"&gt;="&amp;$C$165,DEALS!$E:$E,"&lt;="&amp;$U$165,DEALS!$K:$K,O$167,DEALS!$M:$M,$K171,DEALS!$N:$N,"&lt;&gt;*RECEIVED*",DEALS!$N:$N,"&lt;&gt;*EXECUTED*"))+SUM(SUMIFS(DEALS!$R:$R,DEALS!$A:$A,{"*REFUND*","*EXECUTED*"},DEALS!$O:$O,$B$163,DEALS!$E:$E,"&gt;="&amp;$C$165,DEALS!$E:$E,"&lt;="&amp;$U$165,DEALS!$S:$S,O$167,DEALS!$U:$U,$K171,DEALS!$V:$V,"&lt;&gt;*RECEIVED*",DEALS!$V:$V,"&lt;&gt;*EXECUTED*"))</f>
        <v>0</v>
      </c>
      <c r="P171" s="32" cm="1">
        <f t="array" ref="P171">SUMIFS(FLOWS!$C:$C,FLOWS!$A:$A,$B$163,FLOWS!$E:$E,$K171,FLOWS!$D:$D,P$167,FLOWS!$H:$H,"&gt;="&amp;$C$165,FLOWS!$H:$H,"&lt;="&amp;$U$165)+SUM(SUMIFS(DEALS!$J:$J,DEALS!$A:$A,{"*REFUND*","*EXECUTED*"},DEALS!$G:$G,$B$163,DEALS!$E:$E,"&gt;="&amp;$C$165,DEALS!$E:$E,"&lt;="&amp;$U$165,DEALS!$K:$K,P$167,DEALS!$M:$M,$K171,DEALS!$N:$N,"&lt;&gt;*RECEIVED*",DEALS!$N:$N,"&lt;&gt;*EXECUTED*"))+SUM(SUMIFS(DEALS!$R:$R,DEALS!$A:$A,{"*REFUND*","*EXECUTED*"},DEALS!$O:$O,$B$163,DEALS!$E:$E,"&gt;="&amp;$C$165,DEALS!$E:$E,"&lt;="&amp;$U$165,DEALS!$S:$S,P$167,DEALS!$U:$U,$K171,DEALS!$V:$V,"&lt;&gt;*RECEIVED*",DEALS!$V:$V,"&lt;&gt;*EXECUTED*"))</f>
        <v>0</v>
      </c>
      <c r="Q171" s="32" cm="1">
        <f t="array" ref="Q171">SUMIFS(FLOWS!$C:$C,FLOWS!$A:$A,$B$163,FLOWS!$E:$E,$K171,FLOWS!$D:$D,Q$167,FLOWS!$H:$H,"&gt;="&amp;$C$165,FLOWS!$H:$H,"&lt;="&amp;$U$165)+SUM(SUMIFS(DEALS!$J:$J,DEALS!$A:$A,{"*REFUND*","*EXECUTED*"},DEALS!$G:$G,$B$163,DEALS!$E:$E,"&gt;="&amp;$C$165,DEALS!$E:$E,"&lt;="&amp;$U$165,DEALS!$K:$K,Q$167,DEALS!$M:$M,$K171,DEALS!$N:$N,"&lt;&gt;*RECEIVED*",DEALS!$N:$N,"&lt;&gt;*EXECUTED*"))+SUM(SUMIFS(DEALS!$R:$R,DEALS!$A:$A,{"*REFUND*","*EXECUTED*"},DEALS!$O:$O,$B$163,DEALS!$E:$E,"&gt;="&amp;$C$165,DEALS!$E:$E,"&lt;="&amp;$U$165,DEALS!$S:$S,Q$167,DEALS!$U:$U,$K171,DEALS!$V:$V,"&lt;&gt;*RECEIVED*",DEALS!$V:$V,"&lt;&gt;*EXECUTED*"))</f>
        <v>0</v>
      </c>
      <c r="R171" s="33">
        <f ca="1">L171*VLOOKUP(L$167,'FX RATES'!$E$1:$F$50,2,FALSE)+M171*VLOOKUP(M$167,'FX RATES'!$E$1:$F$50,2,FALSE)+N171*VLOOKUP(N$167,'FX RATES'!$E$1:$F$50,2,FALSE)+O171*VLOOKUP(O$167,'FX RATES'!$E$1:$F$50,2,FALSE)+P171*VLOOKUP(P$167,'FX RATES'!$E$1:$F$50,2,FALSE)+Q171*VLOOKUP(Q$167,'FX RATES'!$E$1:$F$50,2,FALSE)</f>
        <v>0</v>
      </c>
      <c r="T171" s="31">
        <f t="shared" si="60"/>
        <v>0</v>
      </c>
      <c r="U171" s="32" cm="1">
        <f t="array" ref="U171">SUMIFS(BALANCES!$C:$C,BALANCES!$A:$A,$B$163,BALANCES!$B:$B,$T171,BALANCES!$D:$D,U$167)+SUMIFS(FLOWS!$C:$C,FLOWS!$A:$A,$B$163,FLOWS!$E:$E,$T171,FLOWS!$D:$D,U$167,FLOWS!$H:$H,"&lt;="&amp;$U$165)+SUM(SUMIFS(DEALS!$J:$J,DEALS!$A:$A,{"*REFUND*","*EXECUTED*"},DEALS!$G:$G,$B$163,DEALS!$E:$E,"&lt;="&amp;$U$165,DEALS!$K:$K,U$167,DEALS!$M:$M,$T171,DEALS!$N:$N,"&lt;&gt;*RECEIVED*",DEALS!$N:$N,"&lt;&gt;*EXECUTED*"))+SUM(SUMIFS(DEALS!$R:$R,DEALS!$A:$A,{"*REFUND*","*EXECUTED*"},DEALS!$O:$O,$B$163,DEALS!$E:$E,"&lt;="&amp;$U$165,DEALS!$S:$S,U$167,DEALS!$U:$U,$T171,DEALS!$V:$V,"&lt;&gt;*RECEIVED*",DEALS!$V:$V,"&lt;&gt;*EXECUTED*"))</f>
        <v>0</v>
      </c>
      <c r="V171" s="32" cm="1">
        <f t="array" ref="V171">SUMIFS(BALANCES!$C:$C,BALANCES!$A:$A,$B$163,BALANCES!$B:$B,$T171,BALANCES!$D:$D,V$167)+SUMIFS(FLOWS!$C:$C,FLOWS!$A:$A,$B$163,FLOWS!$E:$E,$T171,FLOWS!$D:$D,V$167,FLOWS!$H:$H,"&lt;="&amp;$U$165)+SUM(SUMIFS(DEALS!$J:$J,DEALS!$A:$A,{"*REFUND*","*EXECUTED*"},DEALS!$G:$G,$B$163,DEALS!$E:$E,"&lt;="&amp;$U$165,DEALS!$K:$K,V$167,DEALS!$M:$M,$T171,DEALS!$N:$N,"&lt;&gt;*RECEIVED*",DEALS!$N:$N,"&lt;&gt;*EXECUTED*"))+SUM(SUMIFS(DEALS!$R:$R,DEALS!$A:$A,{"*REFUND*","*EXECUTED*"},DEALS!$O:$O,$B$163,DEALS!$E:$E,"&lt;="&amp;$U$165,DEALS!$S:$S,V$167,DEALS!$U:$U,$T171,DEALS!$V:$V,"&lt;&gt;*RECEIVED*",DEALS!$V:$V,"&lt;&gt;*EXECUTED*"))</f>
        <v>0</v>
      </c>
      <c r="W171" s="32" cm="1">
        <f t="array" ref="W171">SUMIFS(BALANCES!$C:$C,BALANCES!$A:$A,$B$163,BALANCES!$B:$B,$T171,BALANCES!$D:$D,W$167)+SUMIFS(FLOWS!$C:$C,FLOWS!$A:$A,$B$163,FLOWS!$E:$E,$T171,FLOWS!$D:$D,W$167,FLOWS!$H:$H,"&lt;="&amp;$U$165)+SUM(SUMIFS(DEALS!$J:$J,DEALS!$A:$A,{"*REFUND*","*EXECUTED*"},DEALS!$G:$G,$B$163,DEALS!$E:$E,"&lt;="&amp;$U$165,DEALS!$K:$K,W$167,DEALS!$M:$M,$T171,DEALS!$N:$N,"&lt;&gt;*RECEIVED*",DEALS!$N:$N,"&lt;&gt;*EXECUTED*"))+SUM(SUMIFS(DEALS!$R:$R,DEALS!$A:$A,{"*REFUND*","*EXECUTED*"},DEALS!$O:$O,$B$163,DEALS!$E:$E,"&lt;="&amp;$U$165,DEALS!$S:$S,W$167,DEALS!$U:$U,$T171,DEALS!$V:$V,"&lt;&gt;*RECEIVED*",DEALS!$V:$V,"&lt;&gt;*EXECUTED*"))</f>
        <v>0</v>
      </c>
      <c r="X171" s="32" cm="1">
        <f t="array" ref="X171">SUMIFS(BALANCES!$C:$C,BALANCES!$A:$A,$B$163,BALANCES!$B:$B,$T171,BALANCES!$D:$D,X$167)+SUMIFS(FLOWS!$C:$C,FLOWS!$A:$A,$B$163,FLOWS!$E:$E,$T171,FLOWS!$D:$D,X$167,FLOWS!$H:$H,"&lt;="&amp;$U$165)+SUM(SUMIFS(DEALS!$J:$J,DEALS!$A:$A,{"*REFUND*","*EXECUTED*"},DEALS!$G:$G,$B$163,DEALS!$E:$E,"&lt;="&amp;$U$165,DEALS!$K:$K,X$167,DEALS!$M:$M,$T171,DEALS!$N:$N,"&lt;&gt;*RECEIVED*",DEALS!$N:$N,"&lt;&gt;*EXECUTED*"))+SUM(SUMIFS(DEALS!$R:$R,DEALS!$A:$A,{"*REFUND*","*EXECUTED*"},DEALS!$O:$O,$B$163,DEALS!$E:$E,"&lt;="&amp;$U$165,DEALS!$S:$S,X$167,DEALS!$U:$U,$T171,DEALS!$V:$V,"&lt;&gt;*RECEIVED*",DEALS!$V:$V,"&lt;&gt;*EXECUTED*"))</f>
        <v>0</v>
      </c>
      <c r="Y171" s="32" cm="1">
        <f t="array" ref="Y171">SUMIFS(BALANCES!$C:$C,BALANCES!$A:$A,$B$163,BALANCES!$B:$B,$T171,BALANCES!$D:$D,Y$167)+SUMIFS(FLOWS!$C:$C,FLOWS!$A:$A,$B$163,FLOWS!$E:$E,$T171,FLOWS!$D:$D,Y$167,FLOWS!$H:$H,"&lt;="&amp;$U$165)+SUM(SUMIFS(DEALS!$J:$J,DEALS!$A:$A,{"*REFUND*","*EXECUTED*"},DEALS!$G:$G,$B$163,DEALS!$E:$E,"&lt;="&amp;$U$165,DEALS!$K:$K,Y$167,DEALS!$M:$M,$T171,DEALS!$N:$N,"&lt;&gt;*RECEIVED*",DEALS!$N:$N,"&lt;&gt;*EXECUTED*"))+SUM(SUMIFS(DEALS!$R:$R,DEALS!$A:$A,{"*REFUND*","*EXECUTED*"},DEALS!$O:$O,$B$163,DEALS!$E:$E,"&lt;="&amp;$U$165,DEALS!$S:$S,Y$167,DEALS!$U:$U,$T171,DEALS!$V:$V,"&lt;&gt;*RECEIVED*",DEALS!$V:$V,"&lt;&gt;*EXECUTED*"))</f>
        <v>0</v>
      </c>
      <c r="Z171" s="32" cm="1">
        <f t="array" ref="Z171">SUMIFS(BALANCES!$C:$C,BALANCES!$A:$A,$B$163,BALANCES!$B:$B,$T171,BALANCES!$D:$D,Z$167)+SUMIFS(FLOWS!$C:$C,FLOWS!$A:$A,$B$163,FLOWS!$E:$E,$T171,FLOWS!$D:$D,Z$167,FLOWS!$H:$H,"&lt;="&amp;$U$165)+SUM(SUMIFS(DEALS!$J:$J,DEALS!$A:$A,{"*REFUND*","*EXECUTED*"},DEALS!$G:$G,$B$163,DEALS!$E:$E,"&lt;="&amp;$U$165,DEALS!$K:$K,Z$167,DEALS!$M:$M,$T171,DEALS!$N:$N,"&lt;&gt;*RECEIVED*",DEALS!$N:$N,"&lt;&gt;*EXECUTED*"))+SUM(SUMIFS(DEALS!$R:$R,DEALS!$A:$A,{"*REFUND*","*EXECUTED*"},DEALS!$O:$O,$B$163,DEALS!$E:$E,"&lt;="&amp;$U$165,DEALS!$S:$S,Z$167,DEALS!$U:$U,$T171,DEALS!$V:$V,"&lt;&gt;*RECEIVED*",DEALS!$V:$V,"&lt;&gt;*EXECUTED*"))</f>
        <v>0</v>
      </c>
      <c r="AA171" s="33">
        <f ca="1">U171*VLOOKUP(U$167,'FX RATES'!$E$1:$F$50,2,FALSE)+V171*VLOOKUP(V$167,'FX RATES'!$E$1:$F$50,2,FALSE)+W171*VLOOKUP(W$167,'FX RATES'!$E$1:$F$50,2,FALSE)+X171*VLOOKUP(X$167,'FX RATES'!$E$1:$F$50,2,FALSE)+Y171*VLOOKUP(Y$167,'FX RATES'!$E$1:$F$50,2,FALSE)+Z171*VLOOKUP(Z$167,'FX RATES'!$E$1:$F$50,2,FALSE)</f>
        <v>0</v>
      </c>
      <c r="AC171" s="139">
        <f t="shared" ca="1" si="61"/>
        <v>0</v>
      </c>
    </row>
    <row r="172" spans="2:29" ht="19" hidden="1">
      <c r="B172" s="28"/>
      <c r="C172" s="29" cm="1">
        <f t="array" ref="C172">SUMIFS(BALANCES!$C:$C,BALANCES!$A:$A,$B$163,BALANCES!$B:$B,$B172,BALANCES!$D:$D,C$167)+SUMIFS(FLOWS!$C:$C,FLOWS!$A:$A,$B$163,FLOWS!$E:$E,$B172,FLOWS!$D:$D,C$167,FLOWS!$H:$H,"&lt;"&amp;$C$165)+SUM(SUMIFS(DEALS!$J:$J,DEALS!$A:$A,{"*REFUND*","*EXECUTED*"},DEALS!$G:$G,$B$163,DEALS!$E:$E,"&lt;"&amp;$C$165,DEALS!$K:$K,C$167,DEALS!$M:$M,$B172,DEALS!$N:$N,"&lt;&gt;*RECEIVED*",DEALS!$N:$N,"&lt;&gt;*EXECUTED*"))+SUM(SUMIFS(DEALS!$R:$R,DEALS!$A:$A,{"*REFUND*","*EXECUTED*"},DEALS!$O:$O,$B$163,DEALS!$E:$E,"&lt;"&amp;$C$165,DEALS!$S:$S,C$167,DEALS!$U:$U,$B172,DEALS!$V:$V,"&lt;&gt;*RECEIVED*",DEALS!$V:$V,"&lt;&gt;*EXECUTED*"))</f>
        <v>0</v>
      </c>
      <c r="D172" s="29" cm="1">
        <f t="array" ref="D172">SUMIFS(BALANCES!$C:$C,BALANCES!$A:$A,$B$163,BALANCES!$B:$B,$B172,BALANCES!$D:$D,D$167)+SUMIFS(FLOWS!$C:$C,FLOWS!$A:$A,$B$163,FLOWS!$E:$E,$B172,FLOWS!$D:$D,D$167,FLOWS!$H:$H,"&lt;"&amp;$C$165)+SUM(SUMIFS(DEALS!$J:$J,DEALS!$A:$A,{"*REFUND*","*EXECUTED*"},DEALS!$G:$G,$B$163,DEALS!$E:$E,"&lt;"&amp;$C$165,DEALS!$K:$K,D$167,DEALS!$M:$M,$B172,DEALS!$N:$N,"&lt;&gt;*RECEIVED*",DEALS!$N:$N,"&lt;&gt;*EXECUTED*"))+SUM(SUMIFS(DEALS!$R:$R,DEALS!$A:$A,{"*REFUND*","*EXECUTED*"},DEALS!$O:$O,$B$163,DEALS!$E:$E,"&lt;"&amp;$C$165,DEALS!$S:$S,D$167,DEALS!$U:$U,$B172,DEALS!$V:$V,"&lt;&gt;*RECEIVED*",DEALS!$V:$V,"&lt;&gt;*EXECUTED*"))</f>
        <v>0</v>
      </c>
      <c r="E172" s="29" cm="1">
        <f t="array" ref="E172">SUMIFS(BALANCES!$C:$C,BALANCES!$A:$A,$B$163,BALANCES!$B:$B,$B172,BALANCES!$D:$D,E$167)+SUMIFS(FLOWS!$C:$C,FLOWS!$A:$A,$B$163,FLOWS!$E:$E,$B172,FLOWS!$D:$D,E$167,FLOWS!$H:$H,"&lt;"&amp;$C$165)+SUM(SUMIFS(DEALS!$J:$J,DEALS!$A:$A,{"*REFUND*","*EXECUTED*"},DEALS!$G:$G,$B$163,DEALS!$E:$E,"&lt;"&amp;$C$165,DEALS!$K:$K,E$167,DEALS!$M:$M,$B172,DEALS!$N:$N,"&lt;&gt;*RECEIVED*",DEALS!$N:$N,"&lt;&gt;*EXECUTED*"))+SUM(SUMIFS(DEALS!$R:$R,DEALS!$A:$A,{"*REFUND*","*EXECUTED*"},DEALS!$O:$O,$B$163,DEALS!$E:$E,"&lt;"&amp;$C$165,DEALS!$S:$S,E$167,DEALS!$U:$U,$B172,DEALS!$V:$V,"&lt;&gt;*RECEIVED*",DEALS!$V:$V,"&lt;&gt;*EXECUTED*"))</f>
        <v>0</v>
      </c>
      <c r="F172" s="29" cm="1">
        <f t="array" ref="F172">SUMIFS(BALANCES!$C:$C,BALANCES!$A:$A,$B$163,BALANCES!$B:$B,$B172,BALANCES!$D:$D,F$167)+SUMIFS(FLOWS!$C:$C,FLOWS!$A:$A,$B$163,FLOWS!$E:$E,$B172,FLOWS!$D:$D,F$167,FLOWS!$H:$H,"&lt;"&amp;$C$165)+SUM(SUMIFS(DEALS!$J:$J,DEALS!$A:$A,{"*REFUND*","*EXECUTED*"},DEALS!$G:$G,$B$163,DEALS!$E:$E,"&lt;"&amp;$C$165,DEALS!$K:$K,F$167,DEALS!$M:$M,$B172,DEALS!$N:$N,"&lt;&gt;*RECEIVED*",DEALS!$N:$N,"&lt;&gt;*EXECUTED*"))+SUM(SUMIFS(DEALS!$R:$R,DEALS!$A:$A,{"*REFUND*","*EXECUTED*"},DEALS!$O:$O,$B$163,DEALS!$E:$E,"&lt;"&amp;$C$165,DEALS!$S:$S,F$167,DEALS!$U:$U,$B172,DEALS!$V:$V,"&lt;&gt;*RECEIVED*",DEALS!$V:$V,"&lt;&gt;*EXECUTED*"))</f>
        <v>0</v>
      </c>
      <c r="G172" s="29" cm="1">
        <f t="array" ref="G172">SUMIFS(BALANCES!$C:$C,BALANCES!$A:$A,$B$163,BALANCES!$B:$B,$B172,BALANCES!$D:$D,G$167)+SUMIFS(FLOWS!$C:$C,FLOWS!$A:$A,$B$163,FLOWS!$E:$E,$B172,FLOWS!$D:$D,G$167,FLOWS!$H:$H,"&lt;"&amp;$C$165)+SUM(SUMIFS(DEALS!$J:$J,DEALS!$A:$A,{"*REFUND*","*EXECUTED*"},DEALS!$G:$G,$B$163,DEALS!$E:$E,"&lt;"&amp;$C$165,DEALS!$K:$K,G$167,DEALS!$M:$M,$B172,DEALS!$N:$N,"&lt;&gt;*RECEIVED*",DEALS!$N:$N,"&lt;&gt;*EXECUTED*"))+SUM(SUMIFS(DEALS!$R:$R,DEALS!$A:$A,{"*REFUND*","*EXECUTED*"},DEALS!$O:$O,$B$163,DEALS!$E:$E,"&lt;"&amp;$C$165,DEALS!$S:$S,G$167,DEALS!$U:$U,$B172,DEALS!$V:$V,"&lt;&gt;*RECEIVED*",DEALS!$V:$V,"&lt;&gt;*EXECUTED*"))</f>
        <v>0</v>
      </c>
      <c r="H172" s="29" cm="1">
        <f t="array" ref="H172">SUMIFS(BALANCES!$C:$C,BALANCES!$A:$A,$B$163,BALANCES!$B:$B,$B172,BALANCES!$D:$D,H$167)+SUMIFS(FLOWS!$C:$C,FLOWS!$A:$A,$B$163,FLOWS!$E:$E,$B172,FLOWS!$D:$D,H$167,FLOWS!$H:$H,"&lt;"&amp;$C$165)+SUM(SUMIFS(DEALS!$J:$J,DEALS!$A:$A,{"*REFUND*","*EXECUTED*"},DEALS!$G:$G,$B$163,DEALS!$E:$E,"&lt;"&amp;$C$165,DEALS!$K:$K,H$167,DEALS!$M:$M,$B172,DEALS!$N:$N,"&lt;&gt;*RECEIVED*",DEALS!$N:$N,"&lt;&gt;*EXECUTED*"))+SUM(SUMIFS(DEALS!$R:$R,DEALS!$A:$A,{"*REFUND*","*EXECUTED*"},DEALS!$O:$O,$B$163,DEALS!$E:$E,"&lt;"&amp;$C$165,DEALS!$S:$S,H$167,DEALS!$U:$U,$B172,DEALS!$V:$V,"&lt;&gt;*RECEIVED*",DEALS!$V:$V,"&lt;&gt;*EXECUTED*"))</f>
        <v>0</v>
      </c>
      <c r="I172" s="30">
        <f ca="1">C172*VLOOKUP(C$167,'FX RATES'!$E$1:$F$50,2,FALSE)+D172*VLOOKUP(D$167,'FX RATES'!$E$1:$F$50,2,FALSE)+E172*VLOOKUP(E$167,'FX RATES'!$E$1:$F$50,2,FALSE)+F172*VLOOKUP(F$167,'FX RATES'!$E$1:$F$50,2,FALSE)+G172*VLOOKUP(G$167,'FX RATES'!$E$1:$F$50,2,FALSE)+H172*VLOOKUP(H$167,'FX RATES'!$E$1:$F$50,2,FALSE)</f>
        <v>0</v>
      </c>
      <c r="K172" s="28">
        <f t="shared" si="59"/>
        <v>0</v>
      </c>
      <c r="L172" s="29" cm="1">
        <f t="array" ref="L172">SUMIFS(FLOWS!$C:$C,FLOWS!$A:$A,$B$163,FLOWS!$E:$E,$K172,FLOWS!$D:$D,L$167,FLOWS!$H:$H,"&gt;="&amp;$C$165,FLOWS!$H:$H,"&lt;="&amp;$U$165)+SUM(SUMIFS(DEALS!$J:$J,DEALS!$A:$A,{"*REFUND*","*EXECUTED*"},DEALS!$G:$G,$B$163,DEALS!$E:$E,"&gt;="&amp;$C$165,DEALS!$E:$E,"&lt;="&amp;$U$165,DEALS!$K:$K,L$167,DEALS!$M:$M,$K172,DEALS!$N:$N,"&lt;&gt;*RECEIVED*",DEALS!$N:$N,"&lt;&gt;*EXECUTED*"))+SUM(SUMIFS(DEALS!$R:$R,DEALS!$A:$A,{"*REFUND*","*EXECUTED*"},DEALS!$O:$O,$B$163,DEALS!$E:$E,"&gt;="&amp;$C$165,DEALS!$E:$E,"&lt;="&amp;$U$165,DEALS!$S:$S,L$167,DEALS!$U:$U,$K172,DEALS!$V:$V,"&lt;&gt;*RECEIVED*",DEALS!$V:$V,"&lt;&gt;*EXECUTED*"))</f>
        <v>0</v>
      </c>
      <c r="M172" s="29" cm="1">
        <f t="array" ref="M172">SUMIFS(FLOWS!$C:$C,FLOWS!$A:$A,$B$163,FLOWS!$E:$E,$K172,FLOWS!$D:$D,M$167,FLOWS!$H:$H,"&gt;="&amp;$C$165,FLOWS!$H:$H,"&lt;="&amp;$U$165)+SUM(SUMIFS(DEALS!$J:$J,DEALS!$A:$A,{"*REFUND*","*EXECUTED*"},DEALS!$G:$G,$B$163,DEALS!$E:$E,"&gt;="&amp;$C$165,DEALS!$E:$E,"&lt;="&amp;$U$165,DEALS!$K:$K,M$167,DEALS!$M:$M,$K172,DEALS!$N:$N,"&lt;&gt;*RECEIVED*",DEALS!$N:$N,"&lt;&gt;*EXECUTED*"))+SUM(SUMIFS(DEALS!$R:$R,DEALS!$A:$A,{"*REFUND*","*EXECUTED*"},DEALS!$O:$O,$B$163,DEALS!$E:$E,"&gt;="&amp;$C$165,DEALS!$E:$E,"&lt;="&amp;$U$165,DEALS!$S:$S,M$167,DEALS!$U:$U,$K172,DEALS!$V:$V,"&lt;&gt;*RECEIVED*",DEALS!$V:$V,"&lt;&gt;*EXECUTED*"))</f>
        <v>0</v>
      </c>
      <c r="N172" s="29" cm="1">
        <f t="array" ref="N172">SUMIFS(FLOWS!$C:$C,FLOWS!$A:$A,$B$163,FLOWS!$E:$E,$K172,FLOWS!$D:$D,N$167,FLOWS!$H:$H,"&gt;="&amp;$C$165,FLOWS!$H:$H,"&lt;="&amp;$U$165)+SUM(SUMIFS(DEALS!$J:$J,DEALS!$A:$A,{"*REFUND*","*EXECUTED*"},DEALS!$G:$G,$B$163,DEALS!$E:$E,"&gt;="&amp;$C$165,DEALS!$E:$E,"&lt;="&amp;$U$165,DEALS!$K:$K,N$167,DEALS!$M:$M,$K172,DEALS!$N:$N,"&lt;&gt;*RECEIVED*",DEALS!$N:$N,"&lt;&gt;*EXECUTED*"))+SUM(SUMIFS(DEALS!$R:$R,DEALS!$A:$A,{"*REFUND*","*EXECUTED*"},DEALS!$O:$O,$B$163,DEALS!$E:$E,"&gt;="&amp;$C$165,DEALS!$E:$E,"&lt;="&amp;$U$165,DEALS!$S:$S,N$167,DEALS!$U:$U,$K172,DEALS!$V:$V,"&lt;&gt;*RECEIVED*",DEALS!$V:$V,"&lt;&gt;*EXECUTED*"))</f>
        <v>0</v>
      </c>
      <c r="O172" s="29" cm="1">
        <f t="array" ref="O172">SUMIFS(FLOWS!$C:$C,FLOWS!$A:$A,$B$163,FLOWS!$E:$E,$K172,FLOWS!$D:$D,O$167,FLOWS!$H:$H,"&gt;="&amp;$C$165,FLOWS!$H:$H,"&lt;="&amp;$U$165)+SUM(SUMIFS(DEALS!$J:$J,DEALS!$A:$A,{"*REFUND*","*EXECUTED*"},DEALS!$G:$G,$B$163,DEALS!$E:$E,"&gt;="&amp;$C$165,DEALS!$E:$E,"&lt;="&amp;$U$165,DEALS!$K:$K,O$167,DEALS!$M:$M,$K172,DEALS!$N:$N,"&lt;&gt;*RECEIVED*",DEALS!$N:$N,"&lt;&gt;*EXECUTED*"))+SUM(SUMIFS(DEALS!$R:$R,DEALS!$A:$A,{"*REFUND*","*EXECUTED*"},DEALS!$O:$O,$B$163,DEALS!$E:$E,"&gt;="&amp;$C$165,DEALS!$E:$E,"&lt;="&amp;$U$165,DEALS!$S:$S,O$167,DEALS!$U:$U,$K172,DEALS!$V:$V,"&lt;&gt;*RECEIVED*",DEALS!$V:$V,"&lt;&gt;*EXECUTED*"))</f>
        <v>0</v>
      </c>
      <c r="P172" s="29" cm="1">
        <f t="array" ref="P172">SUMIFS(FLOWS!$C:$C,FLOWS!$A:$A,$B$163,FLOWS!$E:$E,$K172,FLOWS!$D:$D,P$167,FLOWS!$H:$H,"&gt;="&amp;$C$165,FLOWS!$H:$H,"&lt;="&amp;$U$165)+SUM(SUMIFS(DEALS!$J:$J,DEALS!$A:$A,{"*REFUND*","*EXECUTED*"},DEALS!$G:$G,$B$163,DEALS!$E:$E,"&gt;="&amp;$C$165,DEALS!$E:$E,"&lt;="&amp;$U$165,DEALS!$K:$K,P$167,DEALS!$M:$M,$K172,DEALS!$N:$N,"&lt;&gt;*RECEIVED*",DEALS!$N:$N,"&lt;&gt;*EXECUTED*"))+SUM(SUMIFS(DEALS!$R:$R,DEALS!$A:$A,{"*REFUND*","*EXECUTED*"},DEALS!$O:$O,$B$163,DEALS!$E:$E,"&gt;="&amp;$C$165,DEALS!$E:$E,"&lt;="&amp;$U$165,DEALS!$S:$S,P$167,DEALS!$U:$U,$K172,DEALS!$V:$V,"&lt;&gt;*RECEIVED*",DEALS!$V:$V,"&lt;&gt;*EXECUTED*"))</f>
        <v>0</v>
      </c>
      <c r="Q172" s="29" cm="1">
        <f t="array" ref="Q172">SUMIFS(FLOWS!$C:$C,FLOWS!$A:$A,$B$163,FLOWS!$E:$E,$K172,FLOWS!$D:$D,Q$167,FLOWS!$H:$H,"&gt;="&amp;$C$165,FLOWS!$H:$H,"&lt;="&amp;$U$165)+SUM(SUMIFS(DEALS!$J:$J,DEALS!$A:$A,{"*REFUND*","*EXECUTED*"},DEALS!$G:$G,$B$163,DEALS!$E:$E,"&gt;="&amp;$C$165,DEALS!$E:$E,"&lt;="&amp;$U$165,DEALS!$K:$K,Q$167,DEALS!$M:$M,$K172,DEALS!$N:$N,"&lt;&gt;*RECEIVED*",DEALS!$N:$N,"&lt;&gt;*EXECUTED*"))+SUM(SUMIFS(DEALS!$R:$R,DEALS!$A:$A,{"*REFUND*","*EXECUTED*"},DEALS!$O:$O,$B$163,DEALS!$E:$E,"&gt;="&amp;$C$165,DEALS!$E:$E,"&lt;="&amp;$U$165,DEALS!$S:$S,Q$167,DEALS!$U:$U,$K172,DEALS!$V:$V,"&lt;&gt;*RECEIVED*",DEALS!$V:$V,"&lt;&gt;*EXECUTED*"))</f>
        <v>0</v>
      </c>
      <c r="R172" s="30">
        <f ca="1">L172*VLOOKUP(L$167,'FX RATES'!$E$1:$F$50,2,FALSE)+M172*VLOOKUP(M$167,'FX RATES'!$E$1:$F$50,2,FALSE)+N172*VLOOKUP(N$167,'FX RATES'!$E$1:$F$50,2,FALSE)+O172*VLOOKUP(O$167,'FX RATES'!$E$1:$F$50,2,FALSE)+P172*VLOOKUP(P$167,'FX RATES'!$E$1:$F$50,2,FALSE)+Q172*VLOOKUP(Q$167,'FX RATES'!$E$1:$F$50,2,FALSE)</f>
        <v>0</v>
      </c>
      <c r="T172" s="28">
        <f t="shared" si="60"/>
        <v>0</v>
      </c>
      <c r="U172" s="29" cm="1">
        <f t="array" ref="U172">SUMIFS(BALANCES!$C:$C,BALANCES!$A:$A,$B$163,BALANCES!$B:$B,$T172,BALANCES!$D:$D,U$167)+SUMIFS(FLOWS!$C:$C,FLOWS!$A:$A,$B$163,FLOWS!$E:$E,$T172,FLOWS!$D:$D,U$167,FLOWS!$H:$H,"&lt;="&amp;$U$165)+SUM(SUMIFS(DEALS!$J:$J,DEALS!$A:$A,{"*REFUND*","*EXECUTED*"},DEALS!$G:$G,$B$163,DEALS!$E:$E,"&lt;="&amp;$U$165,DEALS!$K:$K,U$167,DEALS!$M:$M,$T172,DEALS!$N:$N,"&lt;&gt;*RECEIVED*",DEALS!$N:$N,"&lt;&gt;*EXECUTED*"))+SUM(SUMIFS(DEALS!$R:$R,DEALS!$A:$A,{"*REFUND*","*EXECUTED*"},DEALS!$O:$O,$B$163,DEALS!$E:$E,"&lt;="&amp;$U$165,DEALS!$S:$S,U$167,DEALS!$U:$U,$T172,DEALS!$V:$V,"&lt;&gt;*RECEIVED*",DEALS!$V:$V,"&lt;&gt;*EXECUTED*"))</f>
        <v>0</v>
      </c>
      <c r="V172" s="29" cm="1">
        <f t="array" ref="V172">SUMIFS(BALANCES!$C:$C,BALANCES!$A:$A,$B$163,BALANCES!$B:$B,$T172,BALANCES!$D:$D,V$167)+SUMIFS(FLOWS!$C:$C,FLOWS!$A:$A,$B$163,FLOWS!$E:$E,$T172,FLOWS!$D:$D,V$167,FLOWS!$H:$H,"&lt;="&amp;$U$165)+SUM(SUMIFS(DEALS!$J:$J,DEALS!$A:$A,{"*REFUND*","*EXECUTED*"},DEALS!$G:$G,$B$163,DEALS!$E:$E,"&lt;="&amp;$U$165,DEALS!$K:$K,V$167,DEALS!$M:$M,$T172,DEALS!$N:$N,"&lt;&gt;*RECEIVED*",DEALS!$N:$N,"&lt;&gt;*EXECUTED*"))+SUM(SUMIFS(DEALS!$R:$R,DEALS!$A:$A,{"*REFUND*","*EXECUTED*"},DEALS!$O:$O,$B$163,DEALS!$E:$E,"&lt;="&amp;$U$165,DEALS!$S:$S,V$167,DEALS!$U:$U,$T172,DEALS!$V:$V,"&lt;&gt;*RECEIVED*",DEALS!$V:$V,"&lt;&gt;*EXECUTED*"))</f>
        <v>0</v>
      </c>
      <c r="W172" s="29" cm="1">
        <f t="array" ref="W172">SUMIFS(BALANCES!$C:$C,BALANCES!$A:$A,$B$163,BALANCES!$B:$B,$T172,BALANCES!$D:$D,W$167)+SUMIFS(FLOWS!$C:$C,FLOWS!$A:$A,$B$163,FLOWS!$E:$E,$T172,FLOWS!$D:$D,W$167,FLOWS!$H:$H,"&lt;="&amp;$U$165)+SUM(SUMIFS(DEALS!$J:$J,DEALS!$A:$A,{"*REFUND*","*EXECUTED*"},DEALS!$G:$G,$B$163,DEALS!$E:$E,"&lt;="&amp;$U$165,DEALS!$K:$K,W$167,DEALS!$M:$M,$T172,DEALS!$N:$N,"&lt;&gt;*RECEIVED*",DEALS!$N:$N,"&lt;&gt;*EXECUTED*"))+SUM(SUMIFS(DEALS!$R:$R,DEALS!$A:$A,{"*REFUND*","*EXECUTED*"},DEALS!$O:$O,$B$163,DEALS!$E:$E,"&lt;="&amp;$U$165,DEALS!$S:$S,W$167,DEALS!$U:$U,$T172,DEALS!$V:$V,"&lt;&gt;*RECEIVED*",DEALS!$V:$V,"&lt;&gt;*EXECUTED*"))</f>
        <v>0</v>
      </c>
      <c r="X172" s="29" cm="1">
        <f t="array" ref="X172">SUMIFS(BALANCES!$C:$C,BALANCES!$A:$A,$B$163,BALANCES!$B:$B,$T172,BALANCES!$D:$D,X$167)+SUMIFS(FLOWS!$C:$C,FLOWS!$A:$A,$B$163,FLOWS!$E:$E,$T172,FLOWS!$D:$D,X$167,FLOWS!$H:$H,"&lt;="&amp;$U$165)+SUM(SUMIFS(DEALS!$J:$J,DEALS!$A:$A,{"*REFUND*","*EXECUTED*"},DEALS!$G:$G,$B$163,DEALS!$E:$E,"&lt;="&amp;$U$165,DEALS!$K:$K,X$167,DEALS!$M:$M,$T172,DEALS!$N:$N,"&lt;&gt;*RECEIVED*",DEALS!$N:$N,"&lt;&gt;*EXECUTED*"))+SUM(SUMIFS(DEALS!$R:$R,DEALS!$A:$A,{"*REFUND*","*EXECUTED*"},DEALS!$O:$O,$B$163,DEALS!$E:$E,"&lt;="&amp;$U$165,DEALS!$S:$S,X$167,DEALS!$U:$U,$T172,DEALS!$V:$V,"&lt;&gt;*RECEIVED*",DEALS!$V:$V,"&lt;&gt;*EXECUTED*"))</f>
        <v>0</v>
      </c>
      <c r="Y172" s="29" cm="1">
        <f t="array" ref="Y172">SUMIFS(BALANCES!$C:$C,BALANCES!$A:$A,$B$163,BALANCES!$B:$B,$T172,BALANCES!$D:$D,Y$167)+SUMIFS(FLOWS!$C:$C,FLOWS!$A:$A,$B$163,FLOWS!$E:$E,$T172,FLOWS!$D:$D,Y$167,FLOWS!$H:$H,"&lt;="&amp;$U$165)+SUM(SUMIFS(DEALS!$J:$J,DEALS!$A:$A,{"*REFUND*","*EXECUTED*"},DEALS!$G:$G,$B$163,DEALS!$E:$E,"&lt;="&amp;$U$165,DEALS!$K:$K,Y$167,DEALS!$M:$M,$T172,DEALS!$N:$N,"&lt;&gt;*RECEIVED*",DEALS!$N:$N,"&lt;&gt;*EXECUTED*"))+SUM(SUMIFS(DEALS!$R:$R,DEALS!$A:$A,{"*REFUND*","*EXECUTED*"},DEALS!$O:$O,$B$163,DEALS!$E:$E,"&lt;="&amp;$U$165,DEALS!$S:$S,Y$167,DEALS!$U:$U,$T172,DEALS!$V:$V,"&lt;&gt;*RECEIVED*",DEALS!$V:$V,"&lt;&gt;*EXECUTED*"))</f>
        <v>0</v>
      </c>
      <c r="Z172" s="29" cm="1">
        <f t="array" ref="Z172">SUMIFS(BALANCES!$C:$C,BALANCES!$A:$A,$B$163,BALANCES!$B:$B,$T172,BALANCES!$D:$D,Z$167)+SUMIFS(FLOWS!$C:$C,FLOWS!$A:$A,$B$163,FLOWS!$E:$E,$T172,FLOWS!$D:$D,Z$167,FLOWS!$H:$H,"&lt;="&amp;$U$165)+SUM(SUMIFS(DEALS!$J:$J,DEALS!$A:$A,{"*REFUND*","*EXECUTED*"},DEALS!$G:$G,$B$163,DEALS!$E:$E,"&lt;="&amp;$U$165,DEALS!$K:$K,Z$167,DEALS!$M:$M,$T172,DEALS!$N:$N,"&lt;&gt;*RECEIVED*",DEALS!$N:$N,"&lt;&gt;*EXECUTED*"))+SUM(SUMIFS(DEALS!$R:$R,DEALS!$A:$A,{"*REFUND*","*EXECUTED*"},DEALS!$O:$O,$B$163,DEALS!$E:$E,"&lt;="&amp;$U$165,DEALS!$S:$S,Z$167,DEALS!$U:$U,$T172,DEALS!$V:$V,"&lt;&gt;*RECEIVED*",DEALS!$V:$V,"&lt;&gt;*EXECUTED*"))</f>
        <v>0</v>
      </c>
      <c r="AA172" s="30">
        <f ca="1">U172*VLOOKUP(U$167,'FX RATES'!$E$1:$F$50,2,FALSE)+V172*VLOOKUP(V$167,'FX RATES'!$E$1:$F$50,2,FALSE)+W172*VLOOKUP(W$167,'FX RATES'!$E$1:$F$50,2,FALSE)+X172*VLOOKUP(X$167,'FX RATES'!$E$1:$F$50,2,FALSE)+Y172*VLOOKUP(Y$167,'FX RATES'!$E$1:$F$50,2,FALSE)+Z172*VLOOKUP(Z$167,'FX RATES'!$E$1:$F$50,2,FALSE)</f>
        <v>0</v>
      </c>
      <c r="AC172" s="139">
        <f t="shared" ca="1" si="61"/>
        <v>0</v>
      </c>
    </row>
    <row r="173" spans="2:29" ht="19" hidden="1">
      <c r="B173" s="31"/>
      <c r="C173" s="32" cm="1">
        <f t="array" ref="C173">SUMIFS(BALANCES!$C:$C,BALANCES!$A:$A,$B$163,BALANCES!$B:$B,$B173,BALANCES!$D:$D,C$167)+SUMIFS(FLOWS!$C:$C,FLOWS!$A:$A,$B$163,FLOWS!$E:$E,$B173,FLOWS!$D:$D,C$167,FLOWS!$H:$H,"&lt;"&amp;$C$165)+SUM(SUMIFS(DEALS!$J:$J,DEALS!$A:$A,{"*REFUND*","*EXECUTED*"},DEALS!$G:$G,$B$163,DEALS!$E:$E,"&lt;"&amp;$C$165,DEALS!$K:$K,C$167,DEALS!$M:$M,$B173,DEALS!$N:$N,"&lt;&gt;*RECEIVED*",DEALS!$N:$N,"&lt;&gt;*EXECUTED*"))+SUM(SUMIFS(DEALS!$R:$R,DEALS!$A:$A,{"*REFUND*","*EXECUTED*"},DEALS!$O:$O,$B$163,DEALS!$E:$E,"&lt;"&amp;$C$165,DEALS!$S:$S,C$167,DEALS!$U:$U,$B173,DEALS!$V:$V,"&lt;&gt;*RECEIVED*",DEALS!$V:$V,"&lt;&gt;*EXECUTED*"))</f>
        <v>0</v>
      </c>
      <c r="D173" s="32" cm="1">
        <f t="array" ref="D173">SUMIFS(BALANCES!$C:$C,BALANCES!$A:$A,$B$163,BALANCES!$B:$B,$B173,BALANCES!$D:$D,D$167)+SUMIFS(FLOWS!$C:$C,FLOWS!$A:$A,$B$163,FLOWS!$E:$E,$B173,FLOWS!$D:$D,D$167,FLOWS!$H:$H,"&lt;"&amp;$C$165)+SUM(SUMIFS(DEALS!$J:$J,DEALS!$A:$A,{"*REFUND*","*EXECUTED*"},DEALS!$G:$G,$B$163,DEALS!$E:$E,"&lt;"&amp;$C$165,DEALS!$K:$K,D$167,DEALS!$M:$M,$B173,DEALS!$N:$N,"&lt;&gt;*RECEIVED*",DEALS!$N:$N,"&lt;&gt;*EXECUTED*"))+SUM(SUMIFS(DEALS!$R:$R,DEALS!$A:$A,{"*REFUND*","*EXECUTED*"},DEALS!$O:$O,$B$163,DEALS!$E:$E,"&lt;"&amp;$C$165,DEALS!$S:$S,D$167,DEALS!$U:$U,$B173,DEALS!$V:$V,"&lt;&gt;*RECEIVED*",DEALS!$V:$V,"&lt;&gt;*EXECUTED*"))</f>
        <v>0</v>
      </c>
      <c r="E173" s="32" cm="1">
        <f t="array" ref="E173">SUMIFS(BALANCES!$C:$C,BALANCES!$A:$A,$B$163,BALANCES!$B:$B,$B173,BALANCES!$D:$D,E$167)+SUMIFS(FLOWS!$C:$C,FLOWS!$A:$A,$B$163,FLOWS!$E:$E,$B173,FLOWS!$D:$D,E$167,FLOWS!$H:$H,"&lt;"&amp;$C$165)+SUM(SUMIFS(DEALS!$J:$J,DEALS!$A:$A,{"*REFUND*","*EXECUTED*"},DEALS!$G:$G,$B$163,DEALS!$E:$E,"&lt;"&amp;$C$165,DEALS!$K:$K,E$167,DEALS!$M:$M,$B173,DEALS!$N:$N,"&lt;&gt;*RECEIVED*",DEALS!$N:$N,"&lt;&gt;*EXECUTED*"))+SUM(SUMIFS(DEALS!$R:$R,DEALS!$A:$A,{"*REFUND*","*EXECUTED*"},DEALS!$O:$O,$B$163,DEALS!$E:$E,"&lt;"&amp;$C$165,DEALS!$S:$S,E$167,DEALS!$U:$U,$B173,DEALS!$V:$V,"&lt;&gt;*RECEIVED*",DEALS!$V:$V,"&lt;&gt;*EXECUTED*"))</f>
        <v>0</v>
      </c>
      <c r="F173" s="32" cm="1">
        <f t="array" ref="F173">SUMIFS(BALANCES!$C:$C,BALANCES!$A:$A,$B$163,BALANCES!$B:$B,$B173,BALANCES!$D:$D,F$167)+SUMIFS(FLOWS!$C:$C,FLOWS!$A:$A,$B$163,FLOWS!$E:$E,$B173,FLOWS!$D:$D,F$167,FLOWS!$H:$H,"&lt;"&amp;$C$165)+SUM(SUMIFS(DEALS!$J:$J,DEALS!$A:$A,{"*REFUND*","*EXECUTED*"},DEALS!$G:$G,$B$163,DEALS!$E:$E,"&lt;"&amp;$C$165,DEALS!$K:$K,F$167,DEALS!$M:$M,$B173,DEALS!$N:$N,"&lt;&gt;*RECEIVED*",DEALS!$N:$N,"&lt;&gt;*EXECUTED*"))+SUM(SUMIFS(DEALS!$R:$R,DEALS!$A:$A,{"*REFUND*","*EXECUTED*"},DEALS!$O:$O,$B$163,DEALS!$E:$E,"&lt;"&amp;$C$165,DEALS!$S:$S,F$167,DEALS!$U:$U,$B173,DEALS!$V:$V,"&lt;&gt;*RECEIVED*",DEALS!$V:$V,"&lt;&gt;*EXECUTED*"))</f>
        <v>0</v>
      </c>
      <c r="G173" s="32" cm="1">
        <f t="array" ref="G173">SUMIFS(BALANCES!$C:$C,BALANCES!$A:$A,$B$163,BALANCES!$B:$B,$B173,BALANCES!$D:$D,G$167)+SUMIFS(FLOWS!$C:$C,FLOWS!$A:$A,$B$163,FLOWS!$E:$E,$B173,FLOWS!$D:$D,G$167,FLOWS!$H:$H,"&lt;"&amp;$C$165)+SUM(SUMIFS(DEALS!$J:$J,DEALS!$A:$A,{"*REFUND*","*EXECUTED*"},DEALS!$G:$G,$B$163,DEALS!$E:$E,"&lt;"&amp;$C$165,DEALS!$K:$K,G$167,DEALS!$M:$M,$B173,DEALS!$N:$N,"&lt;&gt;*RECEIVED*",DEALS!$N:$N,"&lt;&gt;*EXECUTED*"))+SUM(SUMIFS(DEALS!$R:$R,DEALS!$A:$A,{"*REFUND*","*EXECUTED*"},DEALS!$O:$O,$B$163,DEALS!$E:$E,"&lt;"&amp;$C$165,DEALS!$S:$S,G$167,DEALS!$U:$U,$B173,DEALS!$V:$V,"&lt;&gt;*RECEIVED*",DEALS!$V:$V,"&lt;&gt;*EXECUTED*"))</f>
        <v>0</v>
      </c>
      <c r="H173" s="32" cm="1">
        <f t="array" ref="H173">SUMIFS(BALANCES!$C:$C,BALANCES!$A:$A,$B$163,BALANCES!$B:$B,$B173,BALANCES!$D:$D,H$167)+SUMIFS(FLOWS!$C:$C,FLOWS!$A:$A,$B$163,FLOWS!$E:$E,$B173,FLOWS!$D:$D,H$167,FLOWS!$H:$H,"&lt;"&amp;$C$165)+SUM(SUMIFS(DEALS!$J:$J,DEALS!$A:$A,{"*REFUND*","*EXECUTED*"},DEALS!$G:$G,$B$163,DEALS!$E:$E,"&lt;"&amp;$C$165,DEALS!$K:$K,H$167,DEALS!$M:$M,$B173,DEALS!$N:$N,"&lt;&gt;*RECEIVED*",DEALS!$N:$N,"&lt;&gt;*EXECUTED*"))+SUM(SUMIFS(DEALS!$R:$R,DEALS!$A:$A,{"*REFUND*","*EXECUTED*"},DEALS!$O:$O,$B$163,DEALS!$E:$E,"&lt;"&amp;$C$165,DEALS!$S:$S,H$167,DEALS!$U:$U,$B173,DEALS!$V:$V,"&lt;&gt;*RECEIVED*",DEALS!$V:$V,"&lt;&gt;*EXECUTED*"))</f>
        <v>0</v>
      </c>
      <c r="I173" s="33">
        <f ca="1">C173*VLOOKUP(C$167,'FX RATES'!$E$1:$F$50,2,FALSE)+D173*VLOOKUP(D$167,'FX RATES'!$E$1:$F$50,2,FALSE)+E173*VLOOKUP(E$167,'FX RATES'!$E$1:$F$50,2,FALSE)+F173*VLOOKUP(F$167,'FX RATES'!$E$1:$F$50,2,FALSE)+G173*VLOOKUP(G$167,'FX RATES'!$E$1:$F$50,2,FALSE)+H173*VLOOKUP(H$167,'FX RATES'!$E$1:$F$50,2,FALSE)</f>
        <v>0</v>
      </c>
      <c r="K173" s="31">
        <f t="shared" si="59"/>
        <v>0</v>
      </c>
      <c r="L173" s="32" cm="1">
        <f t="array" ref="L173">SUMIFS(FLOWS!$C:$C,FLOWS!$A:$A,$B$163,FLOWS!$E:$E,$K173,FLOWS!$D:$D,L$167,FLOWS!$H:$H,"&gt;="&amp;$C$165,FLOWS!$H:$H,"&lt;="&amp;$U$165)+SUM(SUMIFS(DEALS!$J:$J,DEALS!$A:$A,{"*REFUND*","*EXECUTED*"},DEALS!$G:$G,$B$163,DEALS!$E:$E,"&gt;="&amp;$C$165,DEALS!$E:$E,"&lt;="&amp;$U$165,DEALS!$K:$K,L$167,DEALS!$M:$M,$K173,DEALS!$N:$N,"&lt;&gt;*RECEIVED*",DEALS!$N:$N,"&lt;&gt;*EXECUTED*"))+SUM(SUMIFS(DEALS!$R:$R,DEALS!$A:$A,{"*REFUND*","*EXECUTED*"},DEALS!$O:$O,$B$163,DEALS!$E:$E,"&gt;="&amp;$C$165,DEALS!$E:$E,"&lt;="&amp;$U$165,DEALS!$S:$S,L$167,DEALS!$U:$U,$K173,DEALS!$V:$V,"&lt;&gt;*RECEIVED*",DEALS!$V:$V,"&lt;&gt;*EXECUTED*"))</f>
        <v>0</v>
      </c>
      <c r="M173" s="32" cm="1">
        <f t="array" ref="M173">SUMIFS(FLOWS!$C:$C,FLOWS!$A:$A,$B$163,FLOWS!$E:$E,$K173,FLOWS!$D:$D,M$167,FLOWS!$H:$H,"&gt;="&amp;$C$165,FLOWS!$H:$H,"&lt;="&amp;$U$165)+SUM(SUMIFS(DEALS!$J:$J,DEALS!$A:$A,{"*REFUND*","*EXECUTED*"},DEALS!$G:$G,$B$163,DEALS!$E:$E,"&gt;="&amp;$C$165,DEALS!$E:$E,"&lt;="&amp;$U$165,DEALS!$K:$K,M$167,DEALS!$M:$M,$K173,DEALS!$N:$N,"&lt;&gt;*RECEIVED*",DEALS!$N:$N,"&lt;&gt;*EXECUTED*"))+SUM(SUMIFS(DEALS!$R:$R,DEALS!$A:$A,{"*REFUND*","*EXECUTED*"},DEALS!$O:$O,$B$163,DEALS!$E:$E,"&gt;="&amp;$C$165,DEALS!$E:$E,"&lt;="&amp;$U$165,DEALS!$S:$S,M$167,DEALS!$U:$U,$K173,DEALS!$V:$V,"&lt;&gt;*RECEIVED*",DEALS!$V:$V,"&lt;&gt;*EXECUTED*"))</f>
        <v>0</v>
      </c>
      <c r="N173" s="32" cm="1">
        <f t="array" ref="N173">SUMIFS(FLOWS!$C:$C,FLOWS!$A:$A,$B$163,FLOWS!$E:$E,$K173,FLOWS!$D:$D,N$167,FLOWS!$H:$H,"&gt;="&amp;$C$165,FLOWS!$H:$H,"&lt;="&amp;$U$165)+SUM(SUMIFS(DEALS!$J:$J,DEALS!$A:$A,{"*REFUND*","*EXECUTED*"},DEALS!$G:$G,$B$163,DEALS!$E:$E,"&gt;="&amp;$C$165,DEALS!$E:$E,"&lt;="&amp;$U$165,DEALS!$K:$K,N$167,DEALS!$M:$M,$K173,DEALS!$N:$N,"&lt;&gt;*RECEIVED*",DEALS!$N:$N,"&lt;&gt;*EXECUTED*"))+SUM(SUMIFS(DEALS!$R:$R,DEALS!$A:$A,{"*REFUND*","*EXECUTED*"},DEALS!$O:$O,$B$163,DEALS!$E:$E,"&gt;="&amp;$C$165,DEALS!$E:$E,"&lt;="&amp;$U$165,DEALS!$S:$S,N$167,DEALS!$U:$U,$K173,DEALS!$V:$V,"&lt;&gt;*RECEIVED*",DEALS!$V:$V,"&lt;&gt;*EXECUTED*"))</f>
        <v>0</v>
      </c>
      <c r="O173" s="32" cm="1">
        <f t="array" ref="O173">SUMIFS(FLOWS!$C:$C,FLOWS!$A:$A,$B$163,FLOWS!$E:$E,$K173,FLOWS!$D:$D,O$167,FLOWS!$H:$H,"&gt;="&amp;$C$165,FLOWS!$H:$H,"&lt;="&amp;$U$165)+SUM(SUMIFS(DEALS!$J:$J,DEALS!$A:$A,{"*REFUND*","*EXECUTED*"},DEALS!$G:$G,$B$163,DEALS!$E:$E,"&gt;="&amp;$C$165,DEALS!$E:$E,"&lt;="&amp;$U$165,DEALS!$K:$K,O$167,DEALS!$M:$M,$K173,DEALS!$N:$N,"&lt;&gt;*RECEIVED*",DEALS!$N:$N,"&lt;&gt;*EXECUTED*"))+SUM(SUMIFS(DEALS!$R:$R,DEALS!$A:$A,{"*REFUND*","*EXECUTED*"},DEALS!$O:$O,$B$163,DEALS!$E:$E,"&gt;="&amp;$C$165,DEALS!$E:$E,"&lt;="&amp;$U$165,DEALS!$S:$S,O$167,DEALS!$U:$U,$K173,DEALS!$V:$V,"&lt;&gt;*RECEIVED*",DEALS!$V:$V,"&lt;&gt;*EXECUTED*"))</f>
        <v>0</v>
      </c>
      <c r="P173" s="32" cm="1">
        <f t="array" ref="P173">SUMIFS(FLOWS!$C:$C,FLOWS!$A:$A,$B$163,FLOWS!$E:$E,$K173,FLOWS!$D:$D,P$167,FLOWS!$H:$H,"&gt;="&amp;$C$165,FLOWS!$H:$H,"&lt;="&amp;$U$165)+SUM(SUMIFS(DEALS!$J:$J,DEALS!$A:$A,{"*REFUND*","*EXECUTED*"},DEALS!$G:$G,$B$163,DEALS!$E:$E,"&gt;="&amp;$C$165,DEALS!$E:$E,"&lt;="&amp;$U$165,DEALS!$K:$K,P$167,DEALS!$M:$M,$K173,DEALS!$N:$N,"&lt;&gt;*RECEIVED*",DEALS!$N:$N,"&lt;&gt;*EXECUTED*"))+SUM(SUMIFS(DEALS!$R:$R,DEALS!$A:$A,{"*REFUND*","*EXECUTED*"},DEALS!$O:$O,$B$163,DEALS!$E:$E,"&gt;="&amp;$C$165,DEALS!$E:$E,"&lt;="&amp;$U$165,DEALS!$S:$S,P$167,DEALS!$U:$U,$K173,DEALS!$V:$V,"&lt;&gt;*RECEIVED*",DEALS!$V:$V,"&lt;&gt;*EXECUTED*"))</f>
        <v>0</v>
      </c>
      <c r="Q173" s="32" cm="1">
        <f t="array" ref="Q173">SUMIFS(FLOWS!$C:$C,FLOWS!$A:$A,$B$163,FLOWS!$E:$E,$K173,FLOWS!$D:$D,Q$167,FLOWS!$H:$H,"&gt;="&amp;$C$165,FLOWS!$H:$H,"&lt;="&amp;$U$165)+SUM(SUMIFS(DEALS!$J:$J,DEALS!$A:$A,{"*REFUND*","*EXECUTED*"},DEALS!$G:$G,$B$163,DEALS!$E:$E,"&gt;="&amp;$C$165,DEALS!$E:$E,"&lt;="&amp;$U$165,DEALS!$K:$K,Q$167,DEALS!$M:$M,$K173,DEALS!$N:$N,"&lt;&gt;*RECEIVED*",DEALS!$N:$N,"&lt;&gt;*EXECUTED*"))+SUM(SUMIFS(DEALS!$R:$R,DEALS!$A:$A,{"*REFUND*","*EXECUTED*"},DEALS!$O:$O,$B$163,DEALS!$E:$E,"&gt;="&amp;$C$165,DEALS!$E:$E,"&lt;="&amp;$U$165,DEALS!$S:$S,Q$167,DEALS!$U:$U,$K173,DEALS!$V:$V,"&lt;&gt;*RECEIVED*",DEALS!$V:$V,"&lt;&gt;*EXECUTED*"))</f>
        <v>0</v>
      </c>
      <c r="R173" s="33">
        <f ca="1">L173*VLOOKUP(L$167,'FX RATES'!$E$1:$F$50,2,FALSE)+M173*VLOOKUP(M$167,'FX RATES'!$E$1:$F$50,2,FALSE)+N173*VLOOKUP(N$167,'FX RATES'!$E$1:$F$50,2,FALSE)+O173*VLOOKUP(O$167,'FX RATES'!$E$1:$F$50,2,FALSE)+P173*VLOOKUP(P$167,'FX RATES'!$E$1:$F$50,2,FALSE)+Q173*VLOOKUP(Q$167,'FX RATES'!$E$1:$F$50,2,FALSE)</f>
        <v>0</v>
      </c>
      <c r="T173" s="31">
        <f t="shared" si="60"/>
        <v>0</v>
      </c>
      <c r="U173" s="32" cm="1">
        <f t="array" ref="U173">SUMIFS(BALANCES!$C:$C,BALANCES!$A:$A,$B$163,BALANCES!$B:$B,$T173,BALANCES!$D:$D,U$167)+SUMIFS(FLOWS!$C:$C,FLOWS!$A:$A,$B$163,FLOWS!$E:$E,$T173,FLOWS!$D:$D,U$167,FLOWS!$H:$H,"&lt;="&amp;$U$165)+SUM(SUMIFS(DEALS!$J:$J,DEALS!$A:$A,{"*REFUND*","*EXECUTED*"},DEALS!$G:$G,$B$163,DEALS!$E:$E,"&lt;="&amp;$U$165,DEALS!$K:$K,U$167,DEALS!$M:$M,$T173,DEALS!$N:$N,"&lt;&gt;*RECEIVED*",DEALS!$N:$N,"&lt;&gt;*EXECUTED*"))+SUM(SUMIFS(DEALS!$R:$R,DEALS!$A:$A,{"*REFUND*","*EXECUTED*"},DEALS!$O:$O,$B$163,DEALS!$E:$E,"&lt;="&amp;$U$165,DEALS!$S:$S,U$167,DEALS!$U:$U,$T173,DEALS!$V:$V,"&lt;&gt;*RECEIVED*",DEALS!$V:$V,"&lt;&gt;*EXECUTED*"))</f>
        <v>0</v>
      </c>
      <c r="V173" s="32" cm="1">
        <f t="array" ref="V173">SUMIFS(BALANCES!$C:$C,BALANCES!$A:$A,$B$163,BALANCES!$B:$B,$T173,BALANCES!$D:$D,V$167)+SUMIFS(FLOWS!$C:$C,FLOWS!$A:$A,$B$163,FLOWS!$E:$E,$T173,FLOWS!$D:$D,V$167,FLOWS!$H:$H,"&lt;="&amp;$U$165)+SUM(SUMIFS(DEALS!$J:$J,DEALS!$A:$A,{"*REFUND*","*EXECUTED*"},DEALS!$G:$G,$B$163,DEALS!$E:$E,"&lt;="&amp;$U$165,DEALS!$K:$K,V$167,DEALS!$M:$M,$T173,DEALS!$N:$N,"&lt;&gt;*RECEIVED*",DEALS!$N:$N,"&lt;&gt;*EXECUTED*"))+SUM(SUMIFS(DEALS!$R:$R,DEALS!$A:$A,{"*REFUND*","*EXECUTED*"},DEALS!$O:$O,$B$163,DEALS!$E:$E,"&lt;="&amp;$U$165,DEALS!$S:$S,V$167,DEALS!$U:$U,$T173,DEALS!$V:$V,"&lt;&gt;*RECEIVED*",DEALS!$V:$V,"&lt;&gt;*EXECUTED*"))</f>
        <v>0</v>
      </c>
      <c r="W173" s="32" cm="1">
        <f t="array" ref="W173">SUMIFS(BALANCES!$C:$C,BALANCES!$A:$A,$B$163,BALANCES!$B:$B,$T173,BALANCES!$D:$D,W$167)+SUMIFS(FLOWS!$C:$C,FLOWS!$A:$A,$B$163,FLOWS!$E:$E,$T173,FLOWS!$D:$D,W$167,FLOWS!$H:$H,"&lt;="&amp;$U$165)+SUM(SUMIFS(DEALS!$J:$J,DEALS!$A:$A,{"*REFUND*","*EXECUTED*"},DEALS!$G:$G,$B$163,DEALS!$E:$E,"&lt;="&amp;$U$165,DEALS!$K:$K,W$167,DEALS!$M:$M,$T173,DEALS!$N:$N,"&lt;&gt;*RECEIVED*",DEALS!$N:$N,"&lt;&gt;*EXECUTED*"))+SUM(SUMIFS(DEALS!$R:$R,DEALS!$A:$A,{"*REFUND*","*EXECUTED*"},DEALS!$O:$O,$B$163,DEALS!$E:$E,"&lt;="&amp;$U$165,DEALS!$S:$S,W$167,DEALS!$U:$U,$T173,DEALS!$V:$V,"&lt;&gt;*RECEIVED*",DEALS!$V:$V,"&lt;&gt;*EXECUTED*"))</f>
        <v>0</v>
      </c>
      <c r="X173" s="32" cm="1">
        <f t="array" ref="X173">SUMIFS(BALANCES!$C:$C,BALANCES!$A:$A,$B$163,BALANCES!$B:$B,$T173,BALANCES!$D:$D,X$167)+SUMIFS(FLOWS!$C:$C,FLOWS!$A:$A,$B$163,FLOWS!$E:$E,$T173,FLOWS!$D:$D,X$167,FLOWS!$H:$H,"&lt;="&amp;$U$165)+SUM(SUMIFS(DEALS!$J:$J,DEALS!$A:$A,{"*REFUND*","*EXECUTED*"},DEALS!$G:$G,$B$163,DEALS!$E:$E,"&lt;="&amp;$U$165,DEALS!$K:$K,X$167,DEALS!$M:$M,$T173,DEALS!$N:$N,"&lt;&gt;*RECEIVED*",DEALS!$N:$N,"&lt;&gt;*EXECUTED*"))+SUM(SUMIFS(DEALS!$R:$R,DEALS!$A:$A,{"*REFUND*","*EXECUTED*"},DEALS!$O:$O,$B$163,DEALS!$E:$E,"&lt;="&amp;$U$165,DEALS!$S:$S,X$167,DEALS!$U:$U,$T173,DEALS!$V:$V,"&lt;&gt;*RECEIVED*",DEALS!$V:$V,"&lt;&gt;*EXECUTED*"))</f>
        <v>0</v>
      </c>
      <c r="Y173" s="32" cm="1">
        <f t="array" ref="Y173">SUMIFS(BALANCES!$C:$C,BALANCES!$A:$A,$B$163,BALANCES!$B:$B,$T173,BALANCES!$D:$D,Y$167)+SUMIFS(FLOWS!$C:$C,FLOWS!$A:$A,$B$163,FLOWS!$E:$E,$T173,FLOWS!$D:$D,Y$167,FLOWS!$H:$H,"&lt;="&amp;$U$165)+SUM(SUMIFS(DEALS!$J:$J,DEALS!$A:$A,{"*REFUND*","*EXECUTED*"},DEALS!$G:$G,$B$163,DEALS!$E:$E,"&lt;="&amp;$U$165,DEALS!$K:$K,Y$167,DEALS!$M:$M,$T173,DEALS!$N:$N,"&lt;&gt;*RECEIVED*",DEALS!$N:$N,"&lt;&gt;*EXECUTED*"))+SUM(SUMIFS(DEALS!$R:$R,DEALS!$A:$A,{"*REFUND*","*EXECUTED*"},DEALS!$O:$O,$B$163,DEALS!$E:$E,"&lt;="&amp;$U$165,DEALS!$S:$S,Y$167,DEALS!$U:$U,$T173,DEALS!$V:$V,"&lt;&gt;*RECEIVED*",DEALS!$V:$V,"&lt;&gt;*EXECUTED*"))</f>
        <v>0</v>
      </c>
      <c r="Z173" s="32" cm="1">
        <f t="array" ref="Z173">SUMIFS(BALANCES!$C:$C,BALANCES!$A:$A,$B$163,BALANCES!$B:$B,$T173,BALANCES!$D:$D,Z$167)+SUMIFS(FLOWS!$C:$C,FLOWS!$A:$A,$B$163,FLOWS!$E:$E,$T173,FLOWS!$D:$D,Z$167,FLOWS!$H:$H,"&lt;="&amp;$U$165)+SUM(SUMIFS(DEALS!$J:$J,DEALS!$A:$A,{"*REFUND*","*EXECUTED*"},DEALS!$G:$G,$B$163,DEALS!$E:$E,"&lt;="&amp;$U$165,DEALS!$K:$K,Z$167,DEALS!$M:$M,$T173,DEALS!$N:$N,"&lt;&gt;*RECEIVED*",DEALS!$N:$N,"&lt;&gt;*EXECUTED*"))+SUM(SUMIFS(DEALS!$R:$R,DEALS!$A:$A,{"*REFUND*","*EXECUTED*"},DEALS!$O:$O,$B$163,DEALS!$E:$E,"&lt;="&amp;$U$165,DEALS!$S:$S,Z$167,DEALS!$U:$U,$T173,DEALS!$V:$V,"&lt;&gt;*RECEIVED*",DEALS!$V:$V,"&lt;&gt;*EXECUTED*"))</f>
        <v>0</v>
      </c>
      <c r="AA173" s="33">
        <f ca="1">U173*VLOOKUP(U$167,'FX RATES'!$E$1:$F$50,2,FALSE)+V173*VLOOKUP(V$167,'FX RATES'!$E$1:$F$50,2,FALSE)+W173*VLOOKUP(W$167,'FX RATES'!$E$1:$F$50,2,FALSE)+X173*VLOOKUP(X$167,'FX RATES'!$E$1:$F$50,2,FALSE)+Y173*VLOOKUP(Y$167,'FX RATES'!$E$1:$F$50,2,FALSE)+Z173*VLOOKUP(Z$167,'FX RATES'!$E$1:$F$50,2,FALSE)</f>
        <v>0</v>
      </c>
      <c r="AC173" s="139">
        <f t="shared" ca="1" si="61"/>
        <v>0</v>
      </c>
    </row>
    <row r="174" spans="2:29" ht="19" hidden="1">
      <c r="B174" s="28"/>
      <c r="C174" s="29" cm="1">
        <f t="array" ref="C174">SUMIFS(BALANCES!$C:$C,BALANCES!$A:$A,$B$163,BALANCES!$B:$B,$B174,BALANCES!$D:$D,C$167)+SUMIFS(FLOWS!$C:$C,FLOWS!$A:$A,$B$163,FLOWS!$E:$E,$B174,FLOWS!$D:$D,C$167,FLOWS!$H:$H,"&lt;"&amp;$C$165)+SUM(SUMIFS(DEALS!$J:$J,DEALS!$A:$A,{"*REFUND*","*EXECUTED*"},DEALS!$G:$G,$B$163,DEALS!$E:$E,"&lt;"&amp;$C$165,DEALS!$K:$K,C$167,DEALS!$M:$M,$B174,DEALS!$N:$N,"&lt;&gt;*RECEIVED*",DEALS!$N:$N,"&lt;&gt;*EXECUTED*"))+SUM(SUMIFS(DEALS!$R:$R,DEALS!$A:$A,{"*REFUND*","*EXECUTED*"},DEALS!$O:$O,$B$163,DEALS!$E:$E,"&lt;"&amp;$C$165,DEALS!$S:$S,C$167,DEALS!$U:$U,$B174,DEALS!$V:$V,"&lt;&gt;*RECEIVED*",DEALS!$V:$V,"&lt;&gt;*EXECUTED*"))</f>
        <v>0</v>
      </c>
      <c r="D174" s="29" cm="1">
        <f t="array" ref="D174">SUMIFS(BALANCES!$C:$C,BALANCES!$A:$A,$B$163,BALANCES!$B:$B,$B174,BALANCES!$D:$D,D$167)+SUMIFS(FLOWS!$C:$C,FLOWS!$A:$A,$B$163,FLOWS!$E:$E,$B174,FLOWS!$D:$D,D$167,FLOWS!$H:$H,"&lt;"&amp;$C$165)+SUM(SUMIFS(DEALS!$J:$J,DEALS!$A:$A,{"*REFUND*","*EXECUTED*"},DEALS!$G:$G,$B$163,DEALS!$E:$E,"&lt;"&amp;$C$165,DEALS!$K:$K,D$167,DEALS!$M:$M,$B174,DEALS!$N:$N,"&lt;&gt;*RECEIVED*",DEALS!$N:$N,"&lt;&gt;*EXECUTED*"))+SUM(SUMIFS(DEALS!$R:$R,DEALS!$A:$A,{"*REFUND*","*EXECUTED*"},DEALS!$O:$O,$B$163,DEALS!$E:$E,"&lt;"&amp;$C$165,DEALS!$S:$S,D$167,DEALS!$U:$U,$B174,DEALS!$V:$V,"&lt;&gt;*RECEIVED*",DEALS!$V:$V,"&lt;&gt;*EXECUTED*"))</f>
        <v>0</v>
      </c>
      <c r="E174" s="29" cm="1">
        <f t="array" ref="E174">SUMIFS(BALANCES!$C:$C,BALANCES!$A:$A,$B$163,BALANCES!$B:$B,$B174,BALANCES!$D:$D,E$167)+SUMIFS(FLOWS!$C:$C,FLOWS!$A:$A,$B$163,FLOWS!$E:$E,$B174,FLOWS!$D:$D,E$167,FLOWS!$H:$H,"&lt;"&amp;$C$165)+SUM(SUMIFS(DEALS!$J:$J,DEALS!$A:$A,{"*REFUND*","*EXECUTED*"},DEALS!$G:$G,$B$163,DEALS!$E:$E,"&lt;"&amp;$C$165,DEALS!$K:$K,E$167,DEALS!$M:$M,$B174,DEALS!$N:$N,"&lt;&gt;*RECEIVED*",DEALS!$N:$N,"&lt;&gt;*EXECUTED*"))+SUM(SUMIFS(DEALS!$R:$R,DEALS!$A:$A,{"*REFUND*","*EXECUTED*"},DEALS!$O:$O,$B$163,DEALS!$E:$E,"&lt;"&amp;$C$165,DEALS!$S:$S,E$167,DEALS!$U:$U,$B174,DEALS!$V:$V,"&lt;&gt;*RECEIVED*",DEALS!$V:$V,"&lt;&gt;*EXECUTED*"))</f>
        <v>0</v>
      </c>
      <c r="F174" s="29" cm="1">
        <f t="array" ref="F174">SUMIFS(BALANCES!$C:$C,BALANCES!$A:$A,$B$163,BALANCES!$B:$B,$B174,BALANCES!$D:$D,F$167)+SUMIFS(FLOWS!$C:$C,FLOWS!$A:$A,$B$163,FLOWS!$E:$E,$B174,FLOWS!$D:$D,F$167,FLOWS!$H:$H,"&lt;"&amp;$C$165)+SUM(SUMIFS(DEALS!$J:$J,DEALS!$A:$A,{"*REFUND*","*EXECUTED*"},DEALS!$G:$G,$B$163,DEALS!$E:$E,"&lt;"&amp;$C$165,DEALS!$K:$K,F$167,DEALS!$M:$M,$B174,DEALS!$N:$N,"&lt;&gt;*RECEIVED*",DEALS!$N:$N,"&lt;&gt;*EXECUTED*"))+SUM(SUMIFS(DEALS!$R:$R,DEALS!$A:$A,{"*REFUND*","*EXECUTED*"},DEALS!$O:$O,$B$163,DEALS!$E:$E,"&lt;"&amp;$C$165,DEALS!$S:$S,F$167,DEALS!$U:$U,$B174,DEALS!$V:$V,"&lt;&gt;*RECEIVED*",DEALS!$V:$V,"&lt;&gt;*EXECUTED*"))</f>
        <v>0</v>
      </c>
      <c r="G174" s="29" cm="1">
        <f t="array" ref="G174">SUMIFS(BALANCES!$C:$C,BALANCES!$A:$A,$B$163,BALANCES!$B:$B,$B174,BALANCES!$D:$D,G$167)+SUMIFS(FLOWS!$C:$C,FLOWS!$A:$A,$B$163,FLOWS!$E:$E,$B174,FLOWS!$D:$D,G$167,FLOWS!$H:$H,"&lt;"&amp;$C$165)+SUM(SUMIFS(DEALS!$J:$J,DEALS!$A:$A,{"*REFUND*","*EXECUTED*"},DEALS!$G:$G,$B$163,DEALS!$E:$E,"&lt;"&amp;$C$165,DEALS!$K:$K,G$167,DEALS!$M:$M,$B174,DEALS!$N:$N,"&lt;&gt;*RECEIVED*",DEALS!$N:$N,"&lt;&gt;*EXECUTED*"))+SUM(SUMIFS(DEALS!$R:$R,DEALS!$A:$A,{"*REFUND*","*EXECUTED*"},DEALS!$O:$O,$B$163,DEALS!$E:$E,"&lt;"&amp;$C$165,DEALS!$S:$S,G$167,DEALS!$U:$U,$B174,DEALS!$V:$V,"&lt;&gt;*RECEIVED*",DEALS!$V:$V,"&lt;&gt;*EXECUTED*"))</f>
        <v>0</v>
      </c>
      <c r="H174" s="29" cm="1">
        <f t="array" ref="H174">SUMIFS(BALANCES!$C:$C,BALANCES!$A:$A,$B$163,BALANCES!$B:$B,$B174,BALANCES!$D:$D,H$167)+SUMIFS(FLOWS!$C:$C,FLOWS!$A:$A,$B$163,FLOWS!$E:$E,$B174,FLOWS!$D:$D,H$167,FLOWS!$H:$H,"&lt;"&amp;$C$165)+SUM(SUMIFS(DEALS!$J:$J,DEALS!$A:$A,{"*REFUND*","*EXECUTED*"},DEALS!$G:$G,$B$163,DEALS!$E:$E,"&lt;"&amp;$C$165,DEALS!$K:$K,H$167,DEALS!$M:$M,$B174,DEALS!$N:$N,"&lt;&gt;*RECEIVED*",DEALS!$N:$N,"&lt;&gt;*EXECUTED*"))+SUM(SUMIFS(DEALS!$R:$R,DEALS!$A:$A,{"*REFUND*","*EXECUTED*"},DEALS!$O:$O,$B$163,DEALS!$E:$E,"&lt;"&amp;$C$165,DEALS!$S:$S,H$167,DEALS!$U:$U,$B174,DEALS!$V:$V,"&lt;&gt;*RECEIVED*",DEALS!$V:$V,"&lt;&gt;*EXECUTED*"))</f>
        <v>0</v>
      </c>
      <c r="I174" s="30">
        <f ca="1">C174*VLOOKUP(C$167,'FX RATES'!$E$1:$F$50,2,FALSE)+D174*VLOOKUP(D$167,'FX RATES'!$E$1:$F$50,2,FALSE)+E174*VLOOKUP(E$167,'FX RATES'!$E$1:$F$50,2,FALSE)+F174*VLOOKUP(F$167,'FX RATES'!$E$1:$F$50,2,FALSE)+G174*VLOOKUP(G$167,'FX RATES'!$E$1:$F$50,2,FALSE)+H174*VLOOKUP(H$167,'FX RATES'!$E$1:$F$50,2,FALSE)</f>
        <v>0</v>
      </c>
      <c r="K174" s="28">
        <f t="shared" si="59"/>
        <v>0</v>
      </c>
      <c r="L174" s="29" cm="1">
        <f t="array" ref="L174">SUMIFS(FLOWS!$C:$C,FLOWS!$A:$A,$B$163,FLOWS!$E:$E,$K174,FLOWS!$D:$D,L$167,FLOWS!$H:$H,"&gt;="&amp;$C$165,FLOWS!$H:$H,"&lt;="&amp;$U$165)+SUM(SUMIFS(DEALS!$J:$J,DEALS!$A:$A,{"*REFUND*","*EXECUTED*"},DEALS!$G:$G,$B$163,DEALS!$E:$E,"&gt;="&amp;$C$165,DEALS!$E:$E,"&lt;="&amp;$U$165,DEALS!$K:$K,L$167,DEALS!$M:$M,$K174,DEALS!$N:$N,"&lt;&gt;*RECEIVED*",DEALS!$N:$N,"&lt;&gt;*EXECUTED*"))+SUM(SUMIFS(DEALS!$R:$R,DEALS!$A:$A,{"*REFUND*","*EXECUTED*"},DEALS!$O:$O,$B$163,DEALS!$E:$E,"&gt;="&amp;$C$165,DEALS!$E:$E,"&lt;="&amp;$U$165,DEALS!$S:$S,L$167,DEALS!$U:$U,$K174,DEALS!$V:$V,"&lt;&gt;*RECEIVED*",DEALS!$V:$V,"&lt;&gt;*EXECUTED*"))</f>
        <v>0</v>
      </c>
      <c r="M174" s="29" cm="1">
        <f t="array" ref="M174">SUMIFS(FLOWS!$C:$C,FLOWS!$A:$A,$B$163,FLOWS!$E:$E,$K174,FLOWS!$D:$D,M$167,FLOWS!$H:$H,"&gt;="&amp;$C$165,FLOWS!$H:$H,"&lt;="&amp;$U$165)+SUM(SUMIFS(DEALS!$J:$J,DEALS!$A:$A,{"*REFUND*","*EXECUTED*"},DEALS!$G:$G,$B$163,DEALS!$E:$E,"&gt;="&amp;$C$165,DEALS!$E:$E,"&lt;="&amp;$U$165,DEALS!$K:$K,M$167,DEALS!$M:$M,$K174,DEALS!$N:$N,"&lt;&gt;*RECEIVED*",DEALS!$N:$N,"&lt;&gt;*EXECUTED*"))+SUM(SUMIFS(DEALS!$R:$R,DEALS!$A:$A,{"*REFUND*","*EXECUTED*"},DEALS!$O:$O,$B$163,DEALS!$E:$E,"&gt;="&amp;$C$165,DEALS!$E:$E,"&lt;="&amp;$U$165,DEALS!$S:$S,M$167,DEALS!$U:$U,$K174,DEALS!$V:$V,"&lt;&gt;*RECEIVED*",DEALS!$V:$V,"&lt;&gt;*EXECUTED*"))</f>
        <v>0</v>
      </c>
      <c r="N174" s="29" cm="1">
        <f t="array" ref="N174">SUMIFS(FLOWS!$C:$C,FLOWS!$A:$A,$B$163,FLOWS!$E:$E,$K174,FLOWS!$D:$D,N$167,FLOWS!$H:$H,"&gt;="&amp;$C$165,FLOWS!$H:$H,"&lt;="&amp;$U$165)+SUM(SUMIFS(DEALS!$J:$J,DEALS!$A:$A,{"*REFUND*","*EXECUTED*"},DEALS!$G:$G,$B$163,DEALS!$E:$E,"&gt;="&amp;$C$165,DEALS!$E:$E,"&lt;="&amp;$U$165,DEALS!$K:$K,N$167,DEALS!$M:$M,$K174,DEALS!$N:$N,"&lt;&gt;*RECEIVED*",DEALS!$N:$N,"&lt;&gt;*EXECUTED*"))+SUM(SUMIFS(DEALS!$R:$R,DEALS!$A:$A,{"*REFUND*","*EXECUTED*"},DEALS!$O:$O,$B$163,DEALS!$E:$E,"&gt;="&amp;$C$165,DEALS!$E:$E,"&lt;="&amp;$U$165,DEALS!$S:$S,N$167,DEALS!$U:$U,$K174,DEALS!$V:$V,"&lt;&gt;*RECEIVED*",DEALS!$V:$V,"&lt;&gt;*EXECUTED*"))</f>
        <v>0</v>
      </c>
      <c r="O174" s="29" cm="1">
        <f t="array" ref="O174">SUMIFS(FLOWS!$C:$C,FLOWS!$A:$A,$B$163,FLOWS!$E:$E,$K174,FLOWS!$D:$D,O$167,FLOWS!$H:$H,"&gt;="&amp;$C$165,FLOWS!$H:$H,"&lt;="&amp;$U$165)+SUM(SUMIFS(DEALS!$J:$J,DEALS!$A:$A,{"*REFUND*","*EXECUTED*"},DEALS!$G:$G,$B$163,DEALS!$E:$E,"&gt;="&amp;$C$165,DEALS!$E:$E,"&lt;="&amp;$U$165,DEALS!$K:$K,O$167,DEALS!$M:$M,$K174,DEALS!$N:$N,"&lt;&gt;*RECEIVED*",DEALS!$N:$N,"&lt;&gt;*EXECUTED*"))+SUM(SUMIFS(DEALS!$R:$R,DEALS!$A:$A,{"*REFUND*","*EXECUTED*"},DEALS!$O:$O,$B$163,DEALS!$E:$E,"&gt;="&amp;$C$165,DEALS!$E:$E,"&lt;="&amp;$U$165,DEALS!$S:$S,O$167,DEALS!$U:$U,$K174,DEALS!$V:$V,"&lt;&gt;*RECEIVED*",DEALS!$V:$V,"&lt;&gt;*EXECUTED*"))</f>
        <v>0</v>
      </c>
      <c r="P174" s="29" cm="1">
        <f t="array" ref="P174">SUMIFS(FLOWS!$C:$C,FLOWS!$A:$A,$B$163,FLOWS!$E:$E,$K174,FLOWS!$D:$D,P$167,FLOWS!$H:$H,"&gt;="&amp;$C$165,FLOWS!$H:$H,"&lt;="&amp;$U$165)+SUM(SUMIFS(DEALS!$J:$J,DEALS!$A:$A,{"*REFUND*","*EXECUTED*"},DEALS!$G:$G,$B$163,DEALS!$E:$E,"&gt;="&amp;$C$165,DEALS!$E:$E,"&lt;="&amp;$U$165,DEALS!$K:$K,P$167,DEALS!$M:$M,$K174,DEALS!$N:$N,"&lt;&gt;*RECEIVED*",DEALS!$N:$N,"&lt;&gt;*EXECUTED*"))+SUM(SUMIFS(DEALS!$R:$R,DEALS!$A:$A,{"*REFUND*","*EXECUTED*"},DEALS!$O:$O,$B$163,DEALS!$E:$E,"&gt;="&amp;$C$165,DEALS!$E:$E,"&lt;="&amp;$U$165,DEALS!$S:$S,P$167,DEALS!$U:$U,$K174,DEALS!$V:$V,"&lt;&gt;*RECEIVED*",DEALS!$V:$V,"&lt;&gt;*EXECUTED*"))</f>
        <v>0</v>
      </c>
      <c r="Q174" s="29" cm="1">
        <f t="array" ref="Q174">SUMIFS(FLOWS!$C:$C,FLOWS!$A:$A,$B$163,FLOWS!$E:$E,$K174,FLOWS!$D:$D,Q$167,FLOWS!$H:$H,"&gt;="&amp;$C$165,FLOWS!$H:$H,"&lt;="&amp;$U$165)+SUM(SUMIFS(DEALS!$J:$J,DEALS!$A:$A,{"*REFUND*","*EXECUTED*"},DEALS!$G:$G,$B$163,DEALS!$E:$E,"&gt;="&amp;$C$165,DEALS!$E:$E,"&lt;="&amp;$U$165,DEALS!$K:$K,Q$167,DEALS!$M:$M,$K174,DEALS!$N:$N,"&lt;&gt;*RECEIVED*",DEALS!$N:$N,"&lt;&gt;*EXECUTED*"))+SUM(SUMIFS(DEALS!$R:$R,DEALS!$A:$A,{"*REFUND*","*EXECUTED*"},DEALS!$O:$O,$B$163,DEALS!$E:$E,"&gt;="&amp;$C$165,DEALS!$E:$E,"&lt;="&amp;$U$165,DEALS!$S:$S,Q$167,DEALS!$U:$U,$K174,DEALS!$V:$V,"&lt;&gt;*RECEIVED*",DEALS!$V:$V,"&lt;&gt;*EXECUTED*"))</f>
        <v>0</v>
      </c>
      <c r="R174" s="30">
        <f ca="1">L174*VLOOKUP(L$167,'FX RATES'!$E$1:$F$50,2,FALSE)+M174*VLOOKUP(M$167,'FX RATES'!$E$1:$F$50,2,FALSE)+N174*VLOOKUP(N$167,'FX RATES'!$E$1:$F$50,2,FALSE)+O174*VLOOKUP(O$167,'FX RATES'!$E$1:$F$50,2,FALSE)+P174*VLOOKUP(P$167,'FX RATES'!$E$1:$F$50,2,FALSE)+Q174*VLOOKUP(Q$167,'FX RATES'!$E$1:$F$50,2,FALSE)</f>
        <v>0</v>
      </c>
      <c r="T174" s="28">
        <f t="shared" si="60"/>
        <v>0</v>
      </c>
      <c r="U174" s="29" cm="1">
        <f t="array" ref="U174">SUMIFS(BALANCES!$C:$C,BALANCES!$A:$A,$B$163,BALANCES!$B:$B,$T174,BALANCES!$D:$D,U$167)+SUMIFS(FLOWS!$C:$C,FLOWS!$A:$A,$B$163,FLOWS!$E:$E,$T174,FLOWS!$D:$D,U$167,FLOWS!$H:$H,"&lt;="&amp;$U$165)+SUM(SUMIFS(DEALS!$J:$J,DEALS!$A:$A,{"*REFUND*","*EXECUTED*"},DEALS!$G:$G,$B$163,DEALS!$E:$E,"&lt;="&amp;$U$165,DEALS!$K:$K,U$167,DEALS!$M:$M,$T174,DEALS!$N:$N,"&lt;&gt;*RECEIVED*",DEALS!$N:$N,"&lt;&gt;*EXECUTED*"))+SUM(SUMIFS(DEALS!$R:$R,DEALS!$A:$A,{"*REFUND*","*EXECUTED*"},DEALS!$O:$O,$B$163,DEALS!$E:$E,"&lt;="&amp;$U$165,DEALS!$S:$S,U$167,DEALS!$U:$U,$T174,DEALS!$V:$V,"&lt;&gt;*RECEIVED*",DEALS!$V:$V,"&lt;&gt;*EXECUTED*"))</f>
        <v>0</v>
      </c>
      <c r="V174" s="29" cm="1">
        <f t="array" ref="V174">SUMIFS(BALANCES!$C:$C,BALANCES!$A:$A,$B$163,BALANCES!$B:$B,$T174,BALANCES!$D:$D,V$167)+SUMIFS(FLOWS!$C:$C,FLOWS!$A:$A,$B$163,FLOWS!$E:$E,$T174,FLOWS!$D:$D,V$167,FLOWS!$H:$H,"&lt;="&amp;$U$165)+SUM(SUMIFS(DEALS!$J:$J,DEALS!$A:$A,{"*REFUND*","*EXECUTED*"},DEALS!$G:$G,$B$163,DEALS!$E:$E,"&lt;="&amp;$U$165,DEALS!$K:$K,V$167,DEALS!$M:$M,$T174,DEALS!$N:$N,"&lt;&gt;*RECEIVED*",DEALS!$N:$N,"&lt;&gt;*EXECUTED*"))+SUM(SUMIFS(DEALS!$R:$R,DEALS!$A:$A,{"*REFUND*","*EXECUTED*"},DEALS!$O:$O,$B$163,DEALS!$E:$E,"&lt;="&amp;$U$165,DEALS!$S:$S,V$167,DEALS!$U:$U,$T174,DEALS!$V:$V,"&lt;&gt;*RECEIVED*",DEALS!$V:$V,"&lt;&gt;*EXECUTED*"))</f>
        <v>0</v>
      </c>
      <c r="W174" s="29" cm="1">
        <f t="array" ref="W174">SUMIFS(BALANCES!$C:$C,BALANCES!$A:$A,$B$163,BALANCES!$B:$B,$T174,BALANCES!$D:$D,W$167)+SUMIFS(FLOWS!$C:$C,FLOWS!$A:$A,$B$163,FLOWS!$E:$E,$T174,FLOWS!$D:$D,W$167,FLOWS!$H:$H,"&lt;="&amp;$U$165)+SUM(SUMIFS(DEALS!$J:$J,DEALS!$A:$A,{"*REFUND*","*EXECUTED*"},DEALS!$G:$G,$B$163,DEALS!$E:$E,"&lt;="&amp;$U$165,DEALS!$K:$K,W$167,DEALS!$M:$M,$T174,DEALS!$N:$N,"&lt;&gt;*RECEIVED*",DEALS!$N:$N,"&lt;&gt;*EXECUTED*"))+SUM(SUMIFS(DEALS!$R:$R,DEALS!$A:$A,{"*REFUND*","*EXECUTED*"},DEALS!$O:$O,$B$163,DEALS!$E:$E,"&lt;="&amp;$U$165,DEALS!$S:$S,W$167,DEALS!$U:$U,$T174,DEALS!$V:$V,"&lt;&gt;*RECEIVED*",DEALS!$V:$V,"&lt;&gt;*EXECUTED*"))</f>
        <v>0</v>
      </c>
      <c r="X174" s="29" cm="1">
        <f t="array" ref="X174">SUMIFS(BALANCES!$C:$C,BALANCES!$A:$A,$B$163,BALANCES!$B:$B,$T174,BALANCES!$D:$D,X$167)+SUMIFS(FLOWS!$C:$C,FLOWS!$A:$A,$B$163,FLOWS!$E:$E,$T174,FLOWS!$D:$D,X$167,FLOWS!$H:$H,"&lt;="&amp;$U$165)+SUM(SUMIFS(DEALS!$J:$J,DEALS!$A:$A,{"*REFUND*","*EXECUTED*"},DEALS!$G:$G,$B$163,DEALS!$E:$E,"&lt;="&amp;$U$165,DEALS!$K:$K,X$167,DEALS!$M:$M,$T174,DEALS!$N:$N,"&lt;&gt;*RECEIVED*",DEALS!$N:$N,"&lt;&gt;*EXECUTED*"))+SUM(SUMIFS(DEALS!$R:$R,DEALS!$A:$A,{"*REFUND*","*EXECUTED*"},DEALS!$O:$O,$B$163,DEALS!$E:$E,"&lt;="&amp;$U$165,DEALS!$S:$S,X$167,DEALS!$U:$U,$T174,DEALS!$V:$V,"&lt;&gt;*RECEIVED*",DEALS!$V:$V,"&lt;&gt;*EXECUTED*"))</f>
        <v>0</v>
      </c>
      <c r="Y174" s="29" cm="1">
        <f t="array" ref="Y174">SUMIFS(BALANCES!$C:$C,BALANCES!$A:$A,$B$163,BALANCES!$B:$B,$T174,BALANCES!$D:$D,Y$167)+SUMIFS(FLOWS!$C:$C,FLOWS!$A:$A,$B$163,FLOWS!$E:$E,$T174,FLOWS!$D:$D,Y$167,FLOWS!$H:$H,"&lt;="&amp;$U$165)+SUM(SUMIFS(DEALS!$J:$J,DEALS!$A:$A,{"*REFUND*","*EXECUTED*"},DEALS!$G:$G,$B$163,DEALS!$E:$E,"&lt;="&amp;$U$165,DEALS!$K:$K,Y$167,DEALS!$M:$M,$T174,DEALS!$N:$N,"&lt;&gt;*RECEIVED*",DEALS!$N:$N,"&lt;&gt;*EXECUTED*"))+SUM(SUMIFS(DEALS!$R:$R,DEALS!$A:$A,{"*REFUND*","*EXECUTED*"},DEALS!$O:$O,$B$163,DEALS!$E:$E,"&lt;="&amp;$U$165,DEALS!$S:$S,Y$167,DEALS!$U:$U,$T174,DEALS!$V:$V,"&lt;&gt;*RECEIVED*",DEALS!$V:$V,"&lt;&gt;*EXECUTED*"))</f>
        <v>0</v>
      </c>
      <c r="Z174" s="29" cm="1">
        <f t="array" ref="Z174">SUMIFS(BALANCES!$C:$C,BALANCES!$A:$A,$B$163,BALANCES!$B:$B,$T174,BALANCES!$D:$D,Z$167)+SUMIFS(FLOWS!$C:$C,FLOWS!$A:$A,$B$163,FLOWS!$E:$E,$T174,FLOWS!$D:$D,Z$167,FLOWS!$H:$H,"&lt;="&amp;$U$165)+SUM(SUMIFS(DEALS!$J:$J,DEALS!$A:$A,{"*REFUND*","*EXECUTED*"},DEALS!$G:$G,$B$163,DEALS!$E:$E,"&lt;="&amp;$U$165,DEALS!$K:$K,Z$167,DEALS!$M:$M,$T174,DEALS!$N:$N,"&lt;&gt;*RECEIVED*",DEALS!$N:$N,"&lt;&gt;*EXECUTED*"))+SUM(SUMIFS(DEALS!$R:$R,DEALS!$A:$A,{"*REFUND*","*EXECUTED*"},DEALS!$O:$O,$B$163,DEALS!$E:$E,"&lt;="&amp;$U$165,DEALS!$S:$S,Z$167,DEALS!$U:$U,$T174,DEALS!$V:$V,"&lt;&gt;*RECEIVED*",DEALS!$V:$V,"&lt;&gt;*EXECUTED*"))</f>
        <v>0</v>
      </c>
      <c r="AA174" s="30">
        <f ca="1">U174*VLOOKUP(U$167,'FX RATES'!$E$1:$F$50,2,FALSE)+V174*VLOOKUP(V$167,'FX RATES'!$E$1:$F$50,2,FALSE)+W174*VLOOKUP(W$167,'FX RATES'!$E$1:$F$50,2,FALSE)+X174*VLOOKUP(X$167,'FX RATES'!$E$1:$F$50,2,FALSE)+Y174*VLOOKUP(Y$167,'FX RATES'!$E$1:$F$50,2,FALSE)+Z174*VLOOKUP(Z$167,'FX RATES'!$E$1:$F$50,2,FALSE)</f>
        <v>0</v>
      </c>
      <c r="AC174" s="139">
        <f t="shared" ca="1" si="61"/>
        <v>0</v>
      </c>
    </row>
    <row r="175" spans="2:29" ht="19" hidden="1">
      <c r="B175" s="31"/>
      <c r="C175" s="32" cm="1">
        <f t="array" ref="C175">SUMIFS(BALANCES!$C:$C,BALANCES!$A:$A,$B$163,BALANCES!$B:$B,$B175,BALANCES!$D:$D,C$167)+SUMIFS(FLOWS!$C:$C,FLOWS!$A:$A,$B$163,FLOWS!$E:$E,$B175,FLOWS!$D:$D,C$167,FLOWS!$H:$H,"&lt;"&amp;$C$165)+SUM(SUMIFS(DEALS!$J:$J,DEALS!$A:$A,{"*REFUND*","*EXECUTED*"},DEALS!$G:$G,$B$163,DEALS!$E:$E,"&lt;"&amp;$C$165,DEALS!$K:$K,C$167,DEALS!$M:$M,$B175,DEALS!$N:$N,"&lt;&gt;*RECEIVED*",DEALS!$N:$N,"&lt;&gt;*EXECUTED*"))+SUM(SUMIFS(DEALS!$R:$R,DEALS!$A:$A,{"*REFUND*","*EXECUTED*"},DEALS!$O:$O,$B$163,DEALS!$E:$E,"&lt;"&amp;$C$165,DEALS!$S:$S,C$167,DEALS!$U:$U,$B175,DEALS!$V:$V,"&lt;&gt;*RECEIVED*",DEALS!$V:$V,"&lt;&gt;*EXECUTED*"))</f>
        <v>0</v>
      </c>
      <c r="D175" s="32" cm="1">
        <f t="array" ref="D175">SUMIFS(BALANCES!$C:$C,BALANCES!$A:$A,$B$163,BALANCES!$B:$B,$B175,BALANCES!$D:$D,D$167)+SUMIFS(FLOWS!$C:$C,FLOWS!$A:$A,$B$163,FLOWS!$E:$E,$B175,FLOWS!$D:$D,D$167,FLOWS!$H:$H,"&lt;"&amp;$C$165)+SUM(SUMIFS(DEALS!$J:$J,DEALS!$A:$A,{"*REFUND*","*EXECUTED*"},DEALS!$G:$G,$B$163,DEALS!$E:$E,"&lt;"&amp;$C$165,DEALS!$K:$K,D$167,DEALS!$M:$M,$B175,DEALS!$N:$N,"&lt;&gt;*RECEIVED*",DEALS!$N:$N,"&lt;&gt;*EXECUTED*"))+SUM(SUMIFS(DEALS!$R:$R,DEALS!$A:$A,{"*REFUND*","*EXECUTED*"},DEALS!$O:$O,$B$163,DEALS!$E:$E,"&lt;"&amp;$C$165,DEALS!$S:$S,D$167,DEALS!$U:$U,$B175,DEALS!$V:$V,"&lt;&gt;*RECEIVED*",DEALS!$V:$V,"&lt;&gt;*EXECUTED*"))</f>
        <v>0</v>
      </c>
      <c r="E175" s="32" cm="1">
        <f t="array" ref="E175">SUMIFS(BALANCES!$C:$C,BALANCES!$A:$A,$B$163,BALANCES!$B:$B,$B175,BALANCES!$D:$D,E$167)+SUMIFS(FLOWS!$C:$C,FLOWS!$A:$A,$B$163,FLOWS!$E:$E,$B175,FLOWS!$D:$D,E$167,FLOWS!$H:$H,"&lt;"&amp;$C$165)+SUM(SUMIFS(DEALS!$J:$J,DEALS!$A:$A,{"*REFUND*","*EXECUTED*"},DEALS!$G:$G,$B$163,DEALS!$E:$E,"&lt;"&amp;$C$165,DEALS!$K:$K,E$167,DEALS!$M:$M,$B175,DEALS!$N:$N,"&lt;&gt;*RECEIVED*",DEALS!$N:$N,"&lt;&gt;*EXECUTED*"))+SUM(SUMIFS(DEALS!$R:$R,DEALS!$A:$A,{"*REFUND*","*EXECUTED*"},DEALS!$O:$O,$B$163,DEALS!$E:$E,"&lt;"&amp;$C$165,DEALS!$S:$S,E$167,DEALS!$U:$U,$B175,DEALS!$V:$V,"&lt;&gt;*RECEIVED*",DEALS!$V:$V,"&lt;&gt;*EXECUTED*"))</f>
        <v>0</v>
      </c>
      <c r="F175" s="32" cm="1">
        <f t="array" ref="F175">SUMIFS(BALANCES!$C:$C,BALANCES!$A:$A,$B$163,BALANCES!$B:$B,$B175,BALANCES!$D:$D,F$167)+SUMIFS(FLOWS!$C:$C,FLOWS!$A:$A,$B$163,FLOWS!$E:$E,$B175,FLOWS!$D:$D,F$167,FLOWS!$H:$H,"&lt;"&amp;$C$165)+SUM(SUMIFS(DEALS!$J:$J,DEALS!$A:$A,{"*REFUND*","*EXECUTED*"},DEALS!$G:$G,$B$163,DEALS!$E:$E,"&lt;"&amp;$C$165,DEALS!$K:$K,F$167,DEALS!$M:$M,$B175,DEALS!$N:$N,"&lt;&gt;*RECEIVED*",DEALS!$N:$N,"&lt;&gt;*EXECUTED*"))+SUM(SUMIFS(DEALS!$R:$R,DEALS!$A:$A,{"*REFUND*","*EXECUTED*"},DEALS!$O:$O,$B$163,DEALS!$E:$E,"&lt;"&amp;$C$165,DEALS!$S:$S,F$167,DEALS!$U:$U,$B175,DEALS!$V:$V,"&lt;&gt;*RECEIVED*",DEALS!$V:$V,"&lt;&gt;*EXECUTED*"))</f>
        <v>0</v>
      </c>
      <c r="G175" s="32" cm="1">
        <f t="array" ref="G175">SUMIFS(BALANCES!$C:$C,BALANCES!$A:$A,$B$163,BALANCES!$B:$B,$B175,BALANCES!$D:$D,G$167)+SUMIFS(FLOWS!$C:$C,FLOWS!$A:$A,$B$163,FLOWS!$E:$E,$B175,FLOWS!$D:$D,G$167,FLOWS!$H:$H,"&lt;"&amp;$C$165)+SUM(SUMIFS(DEALS!$J:$J,DEALS!$A:$A,{"*REFUND*","*EXECUTED*"},DEALS!$G:$G,$B$163,DEALS!$E:$E,"&lt;"&amp;$C$165,DEALS!$K:$K,G$167,DEALS!$M:$M,$B175,DEALS!$N:$N,"&lt;&gt;*RECEIVED*",DEALS!$N:$N,"&lt;&gt;*EXECUTED*"))+SUM(SUMIFS(DEALS!$R:$R,DEALS!$A:$A,{"*REFUND*","*EXECUTED*"},DEALS!$O:$O,$B$163,DEALS!$E:$E,"&lt;"&amp;$C$165,DEALS!$S:$S,G$167,DEALS!$U:$U,$B175,DEALS!$V:$V,"&lt;&gt;*RECEIVED*",DEALS!$V:$V,"&lt;&gt;*EXECUTED*"))</f>
        <v>0</v>
      </c>
      <c r="H175" s="32" cm="1">
        <f t="array" ref="H175">SUMIFS(BALANCES!$C:$C,BALANCES!$A:$A,$B$163,BALANCES!$B:$B,$B175,BALANCES!$D:$D,H$167)+SUMIFS(FLOWS!$C:$C,FLOWS!$A:$A,$B$163,FLOWS!$E:$E,$B175,FLOWS!$D:$D,H$167,FLOWS!$H:$H,"&lt;"&amp;$C$165)+SUM(SUMIFS(DEALS!$J:$J,DEALS!$A:$A,{"*REFUND*","*EXECUTED*"},DEALS!$G:$G,$B$163,DEALS!$E:$E,"&lt;"&amp;$C$165,DEALS!$K:$K,H$167,DEALS!$M:$M,$B175,DEALS!$N:$N,"&lt;&gt;*RECEIVED*",DEALS!$N:$N,"&lt;&gt;*EXECUTED*"))+SUM(SUMIFS(DEALS!$R:$R,DEALS!$A:$A,{"*REFUND*","*EXECUTED*"},DEALS!$O:$O,$B$163,DEALS!$E:$E,"&lt;"&amp;$C$165,DEALS!$S:$S,H$167,DEALS!$U:$U,$B175,DEALS!$V:$V,"&lt;&gt;*RECEIVED*",DEALS!$V:$V,"&lt;&gt;*EXECUTED*"))</f>
        <v>0</v>
      </c>
      <c r="I175" s="33">
        <f ca="1">C175*VLOOKUP(C$167,'FX RATES'!$E$1:$F$50,2,FALSE)+D175*VLOOKUP(D$167,'FX RATES'!$E$1:$F$50,2,FALSE)+E175*VLOOKUP(E$167,'FX RATES'!$E$1:$F$50,2,FALSE)+F175*VLOOKUP(F$167,'FX RATES'!$E$1:$F$50,2,FALSE)+G175*VLOOKUP(G$167,'FX RATES'!$E$1:$F$50,2,FALSE)+H175*VLOOKUP(H$167,'FX RATES'!$E$1:$F$50,2,FALSE)</f>
        <v>0</v>
      </c>
      <c r="K175" s="31">
        <f t="shared" si="59"/>
        <v>0</v>
      </c>
      <c r="L175" s="32" cm="1">
        <f t="array" ref="L175">SUMIFS(FLOWS!$C:$C,FLOWS!$A:$A,$B$163,FLOWS!$E:$E,$K175,FLOWS!$D:$D,L$167,FLOWS!$H:$H,"&gt;="&amp;$C$165,FLOWS!$H:$H,"&lt;="&amp;$U$165)+SUM(SUMIFS(DEALS!$J:$J,DEALS!$A:$A,{"*REFUND*","*EXECUTED*"},DEALS!$G:$G,$B$163,DEALS!$E:$E,"&gt;="&amp;$C$165,DEALS!$E:$E,"&lt;="&amp;$U$165,DEALS!$K:$K,L$167,DEALS!$M:$M,$K175,DEALS!$N:$N,"&lt;&gt;*RECEIVED*",DEALS!$N:$N,"&lt;&gt;*EXECUTED*"))+SUM(SUMIFS(DEALS!$R:$R,DEALS!$A:$A,{"*REFUND*","*EXECUTED*"},DEALS!$O:$O,$B$163,DEALS!$E:$E,"&gt;="&amp;$C$165,DEALS!$E:$E,"&lt;="&amp;$U$165,DEALS!$S:$S,L$167,DEALS!$U:$U,$K175,DEALS!$V:$V,"&lt;&gt;*RECEIVED*",DEALS!$V:$V,"&lt;&gt;*EXECUTED*"))</f>
        <v>0</v>
      </c>
      <c r="M175" s="32" cm="1">
        <f t="array" ref="M175">SUMIFS(FLOWS!$C:$C,FLOWS!$A:$A,$B$163,FLOWS!$E:$E,$K175,FLOWS!$D:$D,M$167,FLOWS!$H:$H,"&gt;="&amp;$C$165,FLOWS!$H:$H,"&lt;="&amp;$U$165)+SUM(SUMIFS(DEALS!$J:$J,DEALS!$A:$A,{"*REFUND*","*EXECUTED*"},DEALS!$G:$G,$B$163,DEALS!$E:$E,"&gt;="&amp;$C$165,DEALS!$E:$E,"&lt;="&amp;$U$165,DEALS!$K:$K,M$167,DEALS!$M:$M,$K175,DEALS!$N:$N,"&lt;&gt;*RECEIVED*",DEALS!$N:$N,"&lt;&gt;*EXECUTED*"))+SUM(SUMIFS(DEALS!$R:$R,DEALS!$A:$A,{"*REFUND*","*EXECUTED*"},DEALS!$O:$O,$B$163,DEALS!$E:$E,"&gt;="&amp;$C$165,DEALS!$E:$E,"&lt;="&amp;$U$165,DEALS!$S:$S,M$167,DEALS!$U:$U,$K175,DEALS!$V:$V,"&lt;&gt;*RECEIVED*",DEALS!$V:$V,"&lt;&gt;*EXECUTED*"))</f>
        <v>0</v>
      </c>
      <c r="N175" s="32" cm="1">
        <f t="array" ref="N175">SUMIFS(FLOWS!$C:$C,FLOWS!$A:$A,$B$163,FLOWS!$E:$E,$K175,FLOWS!$D:$D,N$167,FLOWS!$H:$H,"&gt;="&amp;$C$165,FLOWS!$H:$H,"&lt;="&amp;$U$165)+SUM(SUMIFS(DEALS!$J:$J,DEALS!$A:$A,{"*REFUND*","*EXECUTED*"},DEALS!$G:$G,$B$163,DEALS!$E:$E,"&gt;="&amp;$C$165,DEALS!$E:$E,"&lt;="&amp;$U$165,DEALS!$K:$K,N$167,DEALS!$M:$M,$K175,DEALS!$N:$N,"&lt;&gt;*RECEIVED*",DEALS!$N:$N,"&lt;&gt;*EXECUTED*"))+SUM(SUMIFS(DEALS!$R:$R,DEALS!$A:$A,{"*REFUND*","*EXECUTED*"},DEALS!$O:$O,$B$163,DEALS!$E:$E,"&gt;="&amp;$C$165,DEALS!$E:$E,"&lt;="&amp;$U$165,DEALS!$S:$S,N$167,DEALS!$U:$U,$K175,DEALS!$V:$V,"&lt;&gt;*RECEIVED*",DEALS!$V:$V,"&lt;&gt;*EXECUTED*"))</f>
        <v>0</v>
      </c>
      <c r="O175" s="32" cm="1">
        <f t="array" ref="O175">SUMIFS(FLOWS!$C:$C,FLOWS!$A:$A,$B$163,FLOWS!$E:$E,$K175,FLOWS!$D:$D,O$167,FLOWS!$H:$H,"&gt;="&amp;$C$165,FLOWS!$H:$H,"&lt;="&amp;$U$165)+SUM(SUMIFS(DEALS!$J:$J,DEALS!$A:$A,{"*REFUND*","*EXECUTED*"},DEALS!$G:$G,$B$163,DEALS!$E:$E,"&gt;="&amp;$C$165,DEALS!$E:$E,"&lt;="&amp;$U$165,DEALS!$K:$K,O$167,DEALS!$M:$M,$K175,DEALS!$N:$N,"&lt;&gt;*RECEIVED*",DEALS!$N:$N,"&lt;&gt;*EXECUTED*"))+SUM(SUMIFS(DEALS!$R:$R,DEALS!$A:$A,{"*REFUND*","*EXECUTED*"},DEALS!$O:$O,$B$163,DEALS!$E:$E,"&gt;="&amp;$C$165,DEALS!$E:$E,"&lt;="&amp;$U$165,DEALS!$S:$S,O$167,DEALS!$U:$U,$K175,DEALS!$V:$V,"&lt;&gt;*RECEIVED*",DEALS!$V:$V,"&lt;&gt;*EXECUTED*"))</f>
        <v>0</v>
      </c>
      <c r="P175" s="32" cm="1">
        <f t="array" ref="P175">SUMIFS(FLOWS!$C:$C,FLOWS!$A:$A,$B$163,FLOWS!$E:$E,$K175,FLOWS!$D:$D,P$167,FLOWS!$H:$H,"&gt;="&amp;$C$165,FLOWS!$H:$H,"&lt;="&amp;$U$165)+SUM(SUMIFS(DEALS!$J:$J,DEALS!$A:$A,{"*REFUND*","*EXECUTED*"},DEALS!$G:$G,$B$163,DEALS!$E:$E,"&gt;="&amp;$C$165,DEALS!$E:$E,"&lt;="&amp;$U$165,DEALS!$K:$K,P$167,DEALS!$M:$M,$K175,DEALS!$N:$N,"&lt;&gt;*RECEIVED*",DEALS!$N:$N,"&lt;&gt;*EXECUTED*"))+SUM(SUMIFS(DEALS!$R:$R,DEALS!$A:$A,{"*REFUND*","*EXECUTED*"},DEALS!$O:$O,$B$163,DEALS!$E:$E,"&gt;="&amp;$C$165,DEALS!$E:$E,"&lt;="&amp;$U$165,DEALS!$S:$S,P$167,DEALS!$U:$U,$K175,DEALS!$V:$V,"&lt;&gt;*RECEIVED*",DEALS!$V:$V,"&lt;&gt;*EXECUTED*"))</f>
        <v>0</v>
      </c>
      <c r="Q175" s="32" cm="1">
        <f t="array" ref="Q175">SUMIFS(FLOWS!$C:$C,FLOWS!$A:$A,$B$163,FLOWS!$E:$E,$K175,FLOWS!$D:$D,Q$167,FLOWS!$H:$H,"&gt;="&amp;$C$165,FLOWS!$H:$H,"&lt;="&amp;$U$165)+SUM(SUMIFS(DEALS!$J:$J,DEALS!$A:$A,{"*REFUND*","*EXECUTED*"},DEALS!$G:$G,$B$163,DEALS!$E:$E,"&gt;="&amp;$C$165,DEALS!$E:$E,"&lt;="&amp;$U$165,DEALS!$K:$K,Q$167,DEALS!$M:$M,$K175,DEALS!$N:$N,"&lt;&gt;*RECEIVED*",DEALS!$N:$N,"&lt;&gt;*EXECUTED*"))+SUM(SUMIFS(DEALS!$R:$R,DEALS!$A:$A,{"*REFUND*","*EXECUTED*"},DEALS!$O:$O,$B$163,DEALS!$E:$E,"&gt;="&amp;$C$165,DEALS!$E:$E,"&lt;="&amp;$U$165,DEALS!$S:$S,Q$167,DEALS!$U:$U,$K175,DEALS!$V:$V,"&lt;&gt;*RECEIVED*",DEALS!$V:$V,"&lt;&gt;*EXECUTED*"))</f>
        <v>0</v>
      </c>
      <c r="R175" s="33">
        <f ca="1">L175*VLOOKUP(L$167,'FX RATES'!$E$1:$F$50,2,FALSE)+M175*VLOOKUP(M$167,'FX RATES'!$E$1:$F$50,2,FALSE)+N175*VLOOKUP(N$167,'FX RATES'!$E$1:$F$50,2,FALSE)+O175*VLOOKUP(O$167,'FX RATES'!$E$1:$F$50,2,FALSE)+P175*VLOOKUP(P$167,'FX RATES'!$E$1:$F$50,2,FALSE)+Q175*VLOOKUP(Q$167,'FX RATES'!$E$1:$F$50,2,FALSE)</f>
        <v>0</v>
      </c>
      <c r="T175" s="31">
        <f t="shared" si="60"/>
        <v>0</v>
      </c>
      <c r="U175" s="32" cm="1">
        <f t="array" ref="U175">SUMIFS(BALANCES!$C:$C,BALANCES!$A:$A,$B$163,BALANCES!$B:$B,$T175,BALANCES!$D:$D,U$167)+SUMIFS(FLOWS!$C:$C,FLOWS!$A:$A,$B$163,FLOWS!$E:$E,$T175,FLOWS!$D:$D,U$167,FLOWS!$H:$H,"&lt;="&amp;$U$165)+SUM(SUMIFS(DEALS!$J:$J,DEALS!$A:$A,{"*REFUND*","*EXECUTED*"},DEALS!$G:$G,$B$163,DEALS!$E:$E,"&lt;="&amp;$U$165,DEALS!$K:$K,U$167,DEALS!$M:$M,$T175,DEALS!$N:$N,"&lt;&gt;*RECEIVED*",DEALS!$N:$N,"&lt;&gt;*EXECUTED*"))+SUM(SUMIFS(DEALS!$R:$R,DEALS!$A:$A,{"*REFUND*","*EXECUTED*"},DEALS!$O:$O,$B$163,DEALS!$E:$E,"&lt;="&amp;$U$165,DEALS!$S:$S,U$167,DEALS!$U:$U,$T175,DEALS!$V:$V,"&lt;&gt;*RECEIVED*",DEALS!$V:$V,"&lt;&gt;*EXECUTED*"))</f>
        <v>0</v>
      </c>
      <c r="V175" s="32" cm="1">
        <f t="array" ref="V175">SUMIFS(BALANCES!$C:$C,BALANCES!$A:$A,$B$163,BALANCES!$B:$B,$T175,BALANCES!$D:$D,V$167)+SUMIFS(FLOWS!$C:$C,FLOWS!$A:$A,$B$163,FLOWS!$E:$E,$T175,FLOWS!$D:$D,V$167,FLOWS!$H:$H,"&lt;="&amp;$U$165)+SUM(SUMIFS(DEALS!$J:$J,DEALS!$A:$A,{"*REFUND*","*EXECUTED*"},DEALS!$G:$G,$B$163,DEALS!$E:$E,"&lt;="&amp;$U$165,DEALS!$K:$K,V$167,DEALS!$M:$M,$T175,DEALS!$N:$N,"&lt;&gt;*RECEIVED*",DEALS!$N:$N,"&lt;&gt;*EXECUTED*"))+SUM(SUMIFS(DEALS!$R:$R,DEALS!$A:$A,{"*REFUND*","*EXECUTED*"},DEALS!$O:$O,$B$163,DEALS!$E:$E,"&lt;="&amp;$U$165,DEALS!$S:$S,V$167,DEALS!$U:$U,$T175,DEALS!$V:$V,"&lt;&gt;*RECEIVED*",DEALS!$V:$V,"&lt;&gt;*EXECUTED*"))</f>
        <v>0</v>
      </c>
      <c r="W175" s="32" cm="1">
        <f t="array" ref="W175">SUMIFS(BALANCES!$C:$C,BALANCES!$A:$A,$B$163,BALANCES!$B:$B,$T175,BALANCES!$D:$D,W$167)+SUMIFS(FLOWS!$C:$C,FLOWS!$A:$A,$B$163,FLOWS!$E:$E,$T175,FLOWS!$D:$D,W$167,FLOWS!$H:$H,"&lt;="&amp;$U$165)+SUM(SUMIFS(DEALS!$J:$J,DEALS!$A:$A,{"*REFUND*","*EXECUTED*"},DEALS!$G:$G,$B$163,DEALS!$E:$E,"&lt;="&amp;$U$165,DEALS!$K:$K,W$167,DEALS!$M:$M,$T175,DEALS!$N:$N,"&lt;&gt;*RECEIVED*",DEALS!$N:$N,"&lt;&gt;*EXECUTED*"))+SUM(SUMIFS(DEALS!$R:$R,DEALS!$A:$A,{"*REFUND*","*EXECUTED*"},DEALS!$O:$O,$B$163,DEALS!$E:$E,"&lt;="&amp;$U$165,DEALS!$S:$S,W$167,DEALS!$U:$U,$T175,DEALS!$V:$V,"&lt;&gt;*RECEIVED*",DEALS!$V:$V,"&lt;&gt;*EXECUTED*"))</f>
        <v>0</v>
      </c>
      <c r="X175" s="32" cm="1">
        <f t="array" ref="X175">SUMIFS(BALANCES!$C:$C,BALANCES!$A:$A,$B$163,BALANCES!$B:$B,$T175,BALANCES!$D:$D,X$167)+SUMIFS(FLOWS!$C:$C,FLOWS!$A:$A,$B$163,FLOWS!$E:$E,$T175,FLOWS!$D:$D,X$167,FLOWS!$H:$H,"&lt;="&amp;$U$165)+SUM(SUMIFS(DEALS!$J:$J,DEALS!$A:$A,{"*REFUND*","*EXECUTED*"},DEALS!$G:$G,$B$163,DEALS!$E:$E,"&lt;="&amp;$U$165,DEALS!$K:$K,X$167,DEALS!$M:$M,$T175,DEALS!$N:$N,"&lt;&gt;*RECEIVED*",DEALS!$N:$N,"&lt;&gt;*EXECUTED*"))+SUM(SUMIFS(DEALS!$R:$R,DEALS!$A:$A,{"*REFUND*","*EXECUTED*"},DEALS!$O:$O,$B$163,DEALS!$E:$E,"&lt;="&amp;$U$165,DEALS!$S:$S,X$167,DEALS!$U:$U,$T175,DEALS!$V:$V,"&lt;&gt;*RECEIVED*",DEALS!$V:$V,"&lt;&gt;*EXECUTED*"))</f>
        <v>0</v>
      </c>
      <c r="Y175" s="32" cm="1">
        <f t="array" ref="Y175">SUMIFS(BALANCES!$C:$C,BALANCES!$A:$A,$B$163,BALANCES!$B:$B,$T175,BALANCES!$D:$D,Y$167)+SUMIFS(FLOWS!$C:$C,FLOWS!$A:$A,$B$163,FLOWS!$E:$E,$T175,FLOWS!$D:$D,Y$167,FLOWS!$H:$H,"&lt;="&amp;$U$165)+SUM(SUMIFS(DEALS!$J:$J,DEALS!$A:$A,{"*REFUND*","*EXECUTED*"},DEALS!$G:$G,$B$163,DEALS!$E:$E,"&lt;="&amp;$U$165,DEALS!$K:$K,Y$167,DEALS!$M:$M,$T175,DEALS!$N:$N,"&lt;&gt;*RECEIVED*",DEALS!$N:$N,"&lt;&gt;*EXECUTED*"))+SUM(SUMIFS(DEALS!$R:$R,DEALS!$A:$A,{"*REFUND*","*EXECUTED*"},DEALS!$O:$O,$B$163,DEALS!$E:$E,"&lt;="&amp;$U$165,DEALS!$S:$S,Y$167,DEALS!$U:$U,$T175,DEALS!$V:$V,"&lt;&gt;*RECEIVED*",DEALS!$V:$V,"&lt;&gt;*EXECUTED*"))</f>
        <v>0</v>
      </c>
      <c r="Z175" s="32" cm="1">
        <f t="array" ref="Z175">SUMIFS(BALANCES!$C:$C,BALANCES!$A:$A,$B$163,BALANCES!$B:$B,$T175,BALANCES!$D:$D,Z$167)+SUMIFS(FLOWS!$C:$C,FLOWS!$A:$A,$B$163,FLOWS!$E:$E,$T175,FLOWS!$D:$D,Z$167,FLOWS!$H:$H,"&lt;="&amp;$U$165)+SUM(SUMIFS(DEALS!$J:$J,DEALS!$A:$A,{"*REFUND*","*EXECUTED*"},DEALS!$G:$G,$B$163,DEALS!$E:$E,"&lt;="&amp;$U$165,DEALS!$K:$K,Z$167,DEALS!$M:$M,$T175,DEALS!$N:$N,"&lt;&gt;*RECEIVED*",DEALS!$N:$N,"&lt;&gt;*EXECUTED*"))+SUM(SUMIFS(DEALS!$R:$R,DEALS!$A:$A,{"*REFUND*","*EXECUTED*"},DEALS!$O:$O,$B$163,DEALS!$E:$E,"&lt;="&amp;$U$165,DEALS!$S:$S,Z$167,DEALS!$U:$U,$T175,DEALS!$V:$V,"&lt;&gt;*RECEIVED*",DEALS!$V:$V,"&lt;&gt;*EXECUTED*"))</f>
        <v>0</v>
      </c>
      <c r="AA175" s="33">
        <f ca="1">U175*VLOOKUP(U$167,'FX RATES'!$E$1:$F$50,2,FALSE)+V175*VLOOKUP(V$167,'FX RATES'!$E$1:$F$50,2,FALSE)+W175*VLOOKUP(W$167,'FX RATES'!$E$1:$F$50,2,FALSE)+X175*VLOOKUP(X$167,'FX RATES'!$E$1:$F$50,2,FALSE)+Y175*VLOOKUP(Y$167,'FX RATES'!$E$1:$F$50,2,FALSE)+Z175*VLOOKUP(Z$167,'FX RATES'!$E$1:$F$50,2,FALSE)</f>
        <v>0</v>
      </c>
      <c r="AC175" s="139">
        <f t="shared" ca="1" si="61"/>
        <v>0</v>
      </c>
    </row>
    <row r="176" spans="2:29" ht="19" hidden="1">
      <c r="B176" s="28"/>
      <c r="C176" s="29" cm="1">
        <f t="array" ref="C176">SUMIFS(BALANCES!$C:$C,BALANCES!$A:$A,$B$163,BALANCES!$B:$B,$B176,BALANCES!$D:$D,C$167)+SUMIFS(FLOWS!$C:$C,FLOWS!$A:$A,$B$163,FLOWS!$E:$E,$B176,FLOWS!$D:$D,C$167,FLOWS!$H:$H,"&lt;"&amp;$C$165)+SUM(SUMIFS(DEALS!$J:$J,DEALS!$A:$A,{"*REFUND*","*EXECUTED*"},DEALS!$G:$G,$B$163,DEALS!$E:$E,"&lt;"&amp;$C$165,DEALS!$K:$K,C$167,DEALS!$M:$M,$B176,DEALS!$N:$N,"&lt;&gt;*RECEIVED*",DEALS!$N:$N,"&lt;&gt;*EXECUTED*"))+SUM(SUMIFS(DEALS!$R:$R,DEALS!$A:$A,{"*REFUND*","*EXECUTED*"},DEALS!$O:$O,$B$163,DEALS!$E:$E,"&lt;"&amp;$C$165,DEALS!$S:$S,C$167,DEALS!$U:$U,$B176,DEALS!$V:$V,"&lt;&gt;*RECEIVED*",DEALS!$V:$V,"&lt;&gt;*EXECUTED*"))</f>
        <v>0</v>
      </c>
      <c r="D176" s="29" cm="1">
        <f t="array" ref="D176">SUMIFS(BALANCES!$C:$C,BALANCES!$A:$A,$B$163,BALANCES!$B:$B,$B176,BALANCES!$D:$D,D$167)+SUMIFS(FLOWS!$C:$C,FLOWS!$A:$A,$B$163,FLOWS!$E:$E,$B176,FLOWS!$D:$D,D$167,FLOWS!$H:$H,"&lt;"&amp;$C$165)+SUM(SUMIFS(DEALS!$J:$J,DEALS!$A:$A,{"*REFUND*","*EXECUTED*"},DEALS!$G:$G,$B$163,DEALS!$E:$E,"&lt;"&amp;$C$165,DEALS!$K:$K,D$167,DEALS!$M:$M,$B176,DEALS!$N:$N,"&lt;&gt;*RECEIVED*",DEALS!$N:$N,"&lt;&gt;*EXECUTED*"))+SUM(SUMIFS(DEALS!$R:$R,DEALS!$A:$A,{"*REFUND*","*EXECUTED*"},DEALS!$O:$O,$B$163,DEALS!$E:$E,"&lt;"&amp;$C$165,DEALS!$S:$S,D$167,DEALS!$U:$U,$B176,DEALS!$V:$V,"&lt;&gt;*RECEIVED*",DEALS!$V:$V,"&lt;&gt;*EXECUTED*"))</f>
        <v>0</v>
      </c>
      <c r="E176" s="29" cm="1">
        <f t="array" ref="E176">SUMIFS(BALANCES!$C:$C,BALANCES!$A:$A,$B$163,BALANCES!$B:$B,$B176,BALANCES!$D:$D,E$167)+SUMIFS(FLOWS!$C:$C,FLOWS!$A:$A,$B$163,FLOWS!$E:$E,$B176,FLOWS!$D:$D,E$167,FLOWS!$H:$H,"&lt;"&amp;$C$165)+SUM(SUMIFS(DEALS!$J:$J,DEALS!$A:$A,{"*REFUND*","*EXECUTED*"},DEALS!$G:$G,$B$163,DEALS!$E:$E,"&lt;"&amp;$C$165,DEALS!$K:$K,E$167,DEALS!$M:$M,$B176,DEALS!$N:$N,"&lt;&gt;*RECEIVED*",DEALS!$N:$N,"&lt;&gt;*EXECUTED*"))+SUM(SUMIFS(DEALS!$R:$R,DEALS!$A:$A,{"*REFUND*","*EXECUTED*"},DEALS!$O:$O,$B$163,DEALS!$E:$E,"&lt;"&amp;$C$165,DEALS!$S:$S,E$167,DEALS!$U:$U,$B176,DEALS!$V:$V,"&lt;&gt;*RECEIVED*",DEALS!$V:$V,"&lt;&gt;*EXECUTED*"))</f>
        <v>0</v>
      </c>
      <c r="F176" s="29" cm="1">
        <f t="array" ref="F176">SUMIFS(BALANCES!$C:$C,BALANCES!$A:$A,$B$163,BALANCES!$B:$B,$B176,BALANCES!$D:$D,F$167)+SUMIFS(FLOWS!$C:$C,FLOWS!$A:$A,$B$163,FLOWS!$E:$E,$B176,FLOWS!$D:$D,F$167,FLOWS!$H:$H,"&lt;"&amp;$C$165)+SUM(SUMIFS(DEALS!$J:$J,DEALS!$A:$A,{"*REFUND*","*EXECUTED*"},DEALS!$G:$G,$B$163,DEALS!$E:$E,"&lt;"&amp;$C$165,DEALS!$K:$K,F$167,DEALS!$M:$M,$B176,DEALS!$N:$N,"&lt;&gt;*RECEIVED*",DEALS!$N:$N,"&lt;&gt;*EXECUTED*"))+SUM(SUMIFS(DEALS!$R:$R,DEALS!$A:$A,{"*REFUND*","*EXECUTED*"},DEALS!$O:$O,$B$163,DEALS!$E:$E,"&lt;"&amp;$C$165,DEALS!$S:$S,F$167,DEALS!$U:$U,$B176,DEALS!$V:$V,"&lt;&gt;*RECEIVED*",DEALS!$V:$V,"&lt;&gt;*EXECUTED*"))</f>
        <v>0</v>
      </c>
      <c r="G176" s="29" cm="1">
        <f t="array" ref="G176">SUMIFS(BALANCES!$C:$C,BALANCES!$A:$A,$B$163,BALANCES!$B:$B,$B176,BALANCES!$D:$D,G$167)+SUMIFS(FLOWS!$C:$C,FLOWS!$A:$A,$B$163,FLOWS!$E:$E,$B176,FLOWS!$D:$D,G$167,FLOWS!$H:$H,"&lt;"&amp;$C$165)+SUM(SUMIFS(DEALS!$J:$J,DEALS!$A:$A,{"*REFUND*","*EXECUTED*"},DEALS!$G:$G,$B$163,DEALS!$E:$E,"&lt;"&amp;$C$165,DEALS!$K:$K,G$167,DEALS!$M:$M,$B176,DEALS!$N:$N,"&lt;&gt;*RECEIVED*",DEALS!$N:$N,"&lt;&gt;*EXECUTED*"))+SUM(SUMIFS(DEALS!$R:$R,DEALS!$A:$A,{"*REFUND*","*EXECUTED*"},DEALS!$O:$O,$B$163,DEALS!$E:$E,"&lt;"&amp;$C$165,DEALS!$S:$S,G$167,DEALS!$U:$U,$B176,DEALS!$V:$V,"&lt;&gt;*RECEIVED*",DEALS!$V:$V,"&lt;&gt;*EXECUTED*"))</f>
        <v>0</v>
      </c>
      <c r="H176" s="29" cm="1">
        <f t="array" ref="H176">SUMIFS(BALANCES!$C:$C,BALANCES!$A:$A,$B$163,BALANCES!$B:$B,$B176,BALANCES!$D:$D,H$167)+SUMIFS(FLOWS!$C:$C,FLOWS!$A:$A,$B$163,FLOWS!$E:$E,$B176,FLOWS!$D:$D,H$167,FLOWS!$H:$H,"&lt;"&amp;$C$165)+SUM(SUMIFS(DEALS!$J:$J,DEALS!$A:$A,{"*REFUND*","*EXECUTED*"},DEALS!$G:$G,$B$163,DEALS!$E:$E,"&lt;"&amp;$C$165,DEALS!$K:$K,H$167,DEALS!$M:$M,$B176,DEALS!$N:$N,"&lt;&gt;*RECEIVED*",DEALS!$N:$N,"&lt;&gt;*EXECUTED*"))+SUM(SUMIFS(DEALS!$R:$R,DEALS!$A:$A,{"*REFUND*","*EXECUTED*"},DEALS!$O:$O,$B$163,DEALS!$E:$E,"&lt;"&amp;$C$165,DEALS!$S:$S,H$167,DEALS!$U:$U,$B176,DEALS!$V:$V,"&lt;&gt;*RECEIVED*",DEALS!$V:$V,"&lt;&gt;*EXECUTED*"))</f>
        <v>0</v>
      </c>
      <c r="I176" s="30">
        <f ca="1">C176*VLOOKUP(C$167,'FX RATES'!$E$1:$F$50,2,FALSE)+D176*VLOOKUP(D$167,'FX RATES'!$E$1:$F$50,2,FALSE)+E176*VLOOKUP(E$167,'FX RATES'!$E$1:$F$50,2,FALSE)+F176*VLOOKUP(F$167,'FX RATES'!$E$1:$F$50,2,FALSE)+G176*VLOOKUP(G$167,'FX RATES'!$E$1:$F$50,2,FALSE)+H176*VLOOKUP(H$167,'FX RATES'!$E$1:$F$50,2,FALSE)</f>
        <v>0</v>
      </c>
      <c r="K176" s="28">
        <f t="shared" si="59"/>
        <v>0</v>
      </c>
      <c r="L176" s="29" cm="1">
        <f t="array" ref="L176">SUMIFS(FLOWS!$C:$C,FLOWS!$A:$A,$B$163,FLOWS!$E:$E,$K176,FLOWS!$D:$D,L$167,FLOWS!$H:$H,"&gt;="&amp;$C$165,FLOWS!$H:$H,"&lt;="&amp;$U$165)+SUM(SUMIFS(DEALS!$J:$J,DEALS!$A:$A,{"*REFUND*","*EXECUTED*"},DEALS!$G:$G,$B$163,DEALS!$E:$E,"&gt;="&amp;$C$165,DEALS!$E:$E,"&lt;="&amp;$U$165,DEALS!$K:$K,L$167,DEALS!$M:$M,$K176,DEALS!$N:$N,"&lt;&gt;*RECEIVED*",DEALS!$N:$N,"&lt;&gt;*EXECUTED*"))+SUM(SUMIFS(DEALS!$R:$R,DEALS!$A:$A,{"*REFUND*","*EXECUTED*"},DEALS!$O:$O,$B$163,DEALS!$E:$E,"&gt;="&amp;$C$165,DEALS!$E:$E,"&lt;="&amp;$U$165,DEALS!$S:$S,L$167,DEALS!$U:$U,$K176,DEALS!$V:$V,"&lt;&gt;*RECEIVED*",DEALS!$V:$V,"&lt;&gt;*EXECUTED*"))</f>
        <v>0</v>
      </c>
      <c r="M176" s="29" cm="1">
        <f t="array" ref="M176">SUMIFS(FLOWS!$C:$C,FLOWS!$A:$A,$B$163,FLOWS!$E:$E,$K176,FLOWS!$D:$D,M$167,FLOWS!$H:$H,"&gt;="&amp;$C$165,FLOWS!$H:$H,"&lt;="&amp;$U$165)+SUM(SUMIFS(DEALS!$J:$J,DEALS!$A:$A,{"*REFUND*","*EXECUTED*"},DEALS!$G:$G,$B$163,DEALS!$E:$E,"&gt;="&amp;$C$165,DEALS!$E:$E,"&lt;="&amp;$U$165,DEALS!$K:$K,M$167,DEALS!$M:$M,$K176,DEALS!$N:$N,"&lt;&gt;*RECEIVED*",DEALS!$N:$N,"&lt;&gt;*EXECUTED*"))+SUM(SUMIFS(DEALS!$R:$R,DEALS!$A:$A,{"*REFUND*","*EXECUTED*"},DEALS!$O:$O,$B$163,DEALS!$E:$E,"&gt;="&amp;$C$165,DEALS!$E:$E,"&lt;="&amp;$U$165,DEALS!$S:$S,M$167,DEALS!$U:$U,$K176,DEALS!$V:$V,"&lt;&gt;*RECEIVED*",DEALS!$V:$V,"&lt;&gt;*EXECUTED*"))</f>
        <v>0</v>
      </c>
      <c r="N176" s="29" cm="1">
        <f t="array" ref="N176">SUMIFS(FLOWS!$C:$C,FLOWS!$A:$A,$B$163,FLOWS!$E:$E,$K176,FLOWS!$D:$D,N$167,FLOWS!$H:$H,"&gt;="&amp;$C$165,FLOWS!$H:$H,"&lt;="&amp;$U$165)+SUM(SUMIFS(DEALS!$J:$J,DEALS!$A:$A,{"*REFUND*","*EXECUTED*"},DEALS!$G:$G,$B$163,DEALS!$E:$E,"&gt;="&amp;$C$165,DEALS!$E:$E,"&lt;="&amp;$U$165,DEALS!$K:$K,N$167,DEALS!$M:$M,$K176,DEALS!$N:$N,"&lt;&gt;*RECEIVED*",DEALS!$N:$N,"&lt;&gt;*EXECUTED*"))+SUM(SUMIFS(DEALS!$R:$R,DEALS!$A:$A,{"*REFUND*","*EXECUTED*"},DEALS!$O:$O,$B$163,DEALS!$E:$E,"&gt;="&amp;$C$165,DEALS!$E:$E,"&lt;="&amp;$U$165,DEALS!$S:$S,N$167,DEALS!$U:$U,$K176,DEALS!$V:$V,"&lt;&gt;*RECEIVED*",DEALS!$V:$V,"&lt;&gt;*EXECUTED*"))</f>
        <v>0</v>
      </c>
      <c r="O176" s="29" cm="1">
        <f t="array" ref="O176">SUMIFS(FLOWS!$C:$C,FLOWS!$A:$A,$B$163,FLOWS!$E:$E,$K176,FLOWS!$D:$D,O$167,FLOWS!$H:$H,"&gt;="&amp;$C$165,FLOWS!$H:$H,"&lt;="&amp;$U$165)+SUM(SUMIFS(DEALS!$J:$J,DEALS!$A:$A,{"*REFUND*","*EXECUTED*"},DEALS!$G:$G,$B$163,DEALS!$E:$E,"&gt;="&amp;$C$165,DEALS!$E:$E,"&lt;="&amp;$U$165,DEALS!$K:$K,O$167,DEALS!$M:$M,$K176,DEALS!$N:$N,"&lt;&gt;*RECEIVED*",DEALS!$N:$N,"&lt;&gt;*EXECUTED*"))+SUM(SUMIFS(DEALS!$R:$R,DEALS!$A:$A,{"*REFUND*","*EXECUTED*"},DEALS!$O:$O,$B$163,DEALS!$E:$E,"&gt;="&amp;$C$165,DEALS!$E:$E,"&lt;="&amp;$U$165,DEALS!$S:$S,O$167,DEALS!$U:$U,$K176,DEALS!$V:$V,"&lt;&gt;*RECEIVED*",DEALS!$V:$V,"&lt;&gt;*EXECUTED*"))</f>
        <v>0</v>
      </c>
      <c r="P176" s="29" cm="1">
        <f t="array" ref="P176">SUMIFS(FLOWS!$C:$C,FLOWS!$A:$A,$B$163,FLOWS!$E:$E,$K176,FLOWS!$D:$D,P$167,FLOWS!$H:$H,"&gt;="&amp;$C$165,FLOWS!$H:$H,"&lt;="&amp;$U$165)+SUM(SUMIFS(DEALS!$J:$J,DEALS!$A:$A,{"*REFUND*","*EXECUTED*"},DEALS!$G:$G,$B$163,DEALS!$E:$E,"&gt;="&amp;$C$165,DEALS!$E:$E,"&lt;="&amp;$U$165,DEALS!$K:$K,P$167,DEALS!$M:$M,$K176,DEALS!$N:$N,"&lt;&gt;*RECEIVED*",DEALS!$N:$N,"&lt;&gt;*EXECUTED*"))+SUM(SUMIFS(DEALS!$R:$R,DEALS!$A:$A,{"*REFUND*","*EXECUTED*"},DEALS!$O:$O,$B$163,DEALS!$E:$E,"&gt;="&amp;$C$165,DEALS!$E:$E,"&lt;="&amp;$U$165,DEALS!$S:$S,P$167,DEALS!$U:$U,$K176,DEALS!$V:$V,"&lt;&gt;*RECEIVED*",DEALS!$V:$V,"&lt;&gt;*EXECUTED*"))</f>
        <v>0</v>
      </c>
      <c r="Q176" s="29" cm="1">
        <f t="array" ref="Q176">SUMIFS(FLOWS!$C:$C,FLOWS!$A:$A,$B$163,FLOWS!$E:$E,$K176,FLOWS!$D:$D,Q$167,FLOWS!$H:$H,"&gt;="&amp;$C$165,FLOWS!$H:$H,"&lt;="&amp;$U$165)+SUM(SUMIFS(DEALS!$J:$J,DEALS!$A:$A,{"*REFUND*","*EXECUTED*"},DEALS!$G:$G,$B$163,DEALS!$E:$E,"&gt;="&amp;$C$165,DEALS!$E:$E,"&lt;="&amp;$U$165,DEALS!$K:$K,Q$167,DEALS!$M:$M,$K176,DEALS!$N:$N,"&lt;&gt;*RECEIVED*",DEALS!$N:$N,"&lt;&gt;*EXECUTED*"))+SUM(SUMIFS(DEALS!$R:$R,DEALS!$A:$A,{"*REFUND*","*EXECUTED*"},DEALS!$O:$O,$B$163,DEALS!$E:$E,"&gt;="&amp;$C$165,DEALS!$E:$E,"&lt;="&amp;$U$165,DEALS!$S:$S,Q$167,DEALS!$U:$U,$K176,DEALS!$V:$V,"&lt;&gt;*RECEIVED*",DEALS!$V:$V,"&lt;&gt;*EXECUTED*"))</f>
        <v>0</v>
      </c>
      <c r="R176" s="30">
        <f ca="1">L176*VLOOKUP(L$167,'FX RATES'!$E$1:$F$50,2,FALSE)+M176*VLOOKUP(M$167,'FX RATES'!$E$1:$F$50,2,FALSE)+N176*VLOOKUP(N$167,'FX RATES'!$E$1:$F$50,2,FALSE)+O176*VLOOKUP(O$167,'FX RATES'!$E$1:$F$50,2,FALSE)+P176*VLOOKUP(P$167,'FX RATES'!$E$1:$F$50,2,FALSE)+Q176*VLOOKUP(Q$167,'FX RATES'!$E$1:$F$50,2,FALSE)</f>
        <v>0</v>
      </c>
      <c r="T176" s="28">
        <f t="shared" si="60"/>
        <v>0</v>
      </c>
      <c r="U176" s="29" cm="1">
        <f t="array" ref="U176">SUMIFS(BALANCES!$C:$C,BALANCES!$A:$A,$B$163,BALANCES!$B:$B,$T176,BALANCES!$D:$D,U$167)+SUMIFS(FLOWS!$C:$C,FLOWS!$A:$A,$B$163,FLOWS!$E:$E,$T176,FLOWS!$D:$D,U$167,FLOWS!$H:$H,"&lt;="&amp;$U$165)+SUM(SUMIFS(DEALS!$J:$J,DEALS!$A:$A,{"*REFUND*","*EXECUTED*"},DEALS!$G:$G,$B$163,DEALS!$E:$E,"&lt;="&amp;$U$165,DEALS!$K:$K,U$167,DEALS!$M:$M,$T176,DEALS!$N:$N,"&lt;&gt;*RECEIVED*",DEALS!$N:$N,"&lt;&gt;*EXECUTED*"))+SUM(SUMIFS(DEALS!$R:$R,DEALS!$A:$A,{"*REFUND*","*EXECUTED*"},DEALS!$O:$O,$B$163,DEALS!$E:$E,"&lt;="&amp;$U$165,DEALS!$S:$S,U$167,DEALS!$U:$U,$T176,DEALS!$V:$V,"&lt;&gt;*RECEIVED*",DEALS!$V:$V,"&lt;&gt;*EXECUTED*"))</f>
        <v>0</v>
      </c>
      <c r="V176" s="29" cm="1">
        <f t="array" ref="V176">SUMIFS(BALANCES!$C:$C,BALANCES!$A:$A,$B$163,BALANCES!$B:$B,$T176,BALANCES!$D:$D,V$167)+SUMIFS(FLOWS!$C:$C,FLOWS!$A:$A,$B$163,FLOWS!$E:$E,$T176,FLOWS!$D:$D,V$167,FLOWS!$H:$H,"&lt;="&amp;$U$165)+SUM(SUMIFS(DEALS!$J:$J,DEALS!$A:$A,{"*REFUND*","*EXECUTED*"},DEALS!$G:$G,$B$163,DEALS!$E:$E,"&lt;="&amp;$U$165,DEALS!$K:$K,V$167,DEALS!$M:$M,$T176,DEALS!$N:$N,"&lt;&gt;*RECEIVED*",DEALS!$N:$N,"&lt;&gt;*EXECUTED*"))+SUM(SUMIFS(DEALS!$R:$R,DEALS!$A:$A,{"*REFUND*","*EXECUTED*"},DEALS!$O:$O,$B$163,DEALS!$E:$E,"&lt;="&amp;$U$165,DEALS!$S:$S,V$167,DEALS!$U:$U,$T176,DEALS!$V:$V,"&lt;&gt;*RECEIVED*",DEALS!$V:$V,"&lt;&gt;*EXECUTED*"))</f>
        <v>0</v>
      </c>
      <c r="W176" s="29" cm="1">
        <f t="array" ref="W176">SUMIFS(BALANCES!$C:$C,BALANCES!$A:$A,$B$163,BALANCES!$B:$B,$T176,BALANCES!$D:$D,W$167)+SUMIFS(FLOWS!$C:$C,FLOWS!$A:$A,$B$163,FLOWS!$E:$E,$T176,FLOWS!$D:$D,W$167,FLOWS!$H:$H,"&lt;="&amp;$U$165)+SUM(SUMIFS(DEALS!$J:$J,DEALS!$A:$A,{"*REFUND*","*EXECUTED*"},DEALS!$G:$G,$B$163,DEALS!$E:$E,"&lt;="&amp;$U$165,DEALS!$K:$K,W$167,DEALS!$M:$M,$T176,DEALS!$N:$N,"&lt;&gt;*RECEIVED*",DEALS!$N:$N,"&lt;&gt;*EXECUTED*"))+SUM(SUMIFS(DEALS!$R:$R,DEALS!$A:$A,{"*REFUND*","*EXECUTED*"},DEALS!$O:$O,$B$163,DEALS!$E:$E,"&lt;="&amp;$U$165,DEALS!$S:$S,W$167,DEALS!$U:$U,$T176,DEALS!$V:$V,"&lt;&gt;*RECEIVED*",DEALS!$V:$V,"&lt;&gt;*EXECUTED*"))</f>
        <v>0</v>
      </c>
      <c r="X176" s="29" cm="1">
        <f t="array" ref="X176">SUMIFS(BALANCES!$C:$C,BALANCES!$A:$A,$B$163,BALANCES!$B:$B,$T176,BALANCES!$D:$D,X$167)+SUMIFS(FLOWS!$C:$C,FLOWS!$A:$A,$B$163,FLOWS!$E:$E,$T176,FLOWS!$D:$D,X$167,FLOWS!$H:$H,"&lt;="&amp;$U$165)+SUM(SUMIFS(DEALS!$J:$J,DEALS!$A:$A,{"*REFUND*","*EXECUTED*"},DEALS!$G:$G,$B$163,DEALS!$E:$E,"&lt;="&amp;$U$165,DEALS!$K:$K,X$167,DEALS!$M:$M,$T176,DEALS!$N:$N,"&lt;&gt;*RECEIVED*",DEALS!$N:$N,"&lt;&gt;*EXECUTED*"))+SUM(SUMIFS(DEALS!$R:$R,DEALS!$A:$A,{"*REFUND*","*EXECUTED*"},DEALS!$O:$O,$B$163,DEALS!$E:$E,"&lt;="&amp;$U$165,DEALS!$S:$S,X$167,DEALS!$U:$U,$T176,DEALS!$V:$V,"&lt;&gt;*RECEIVED*",DEALS!$V:$V,"&lt;&gt;*EXECUTED*"))</f>
        <v>0</v>
      </c>
      <c r="Y176" s="29" cm="1">
        <f t="array" ref="Y176">SUMIFS(BALANCES!$C:$C,BALANCES!$A:$A,$B$163,BALANCES!$B:$B,$T176,BALANCES!$D:$D,Y$167)+SUMIFS(FLOWS!$C:$C,FLOWS!$A:$A,$B$163,FLOWS!$E:$E,$T176,FLOWS!$D:$D,Y$167,FLOWS!$H:$H,"&lt;="&amp;$U$165)+SUM(SUMIFS(DEALS!$J:$J,DEALS!$A:$A,{"*REFUND*","*EXECUTED*"},DEALS!$G:$G,$B$163,DEALS!$E:$E,"&lt;="&amp;$U$165,DEALS!$K:$K,Y$167,DEALS!$M:$M,$T176,DEALS!$N:$N,"&lt;&gt;*RECEIVED*",DEALS!$N:$N,"&lt;&gt;*EXECUTED*"))+SUM(SUMIFS(DEALS!$R:$R,DEALS!$A:$A,{"*REFUND*","*EXECUTED*"},DEALS!$O:$O,$B$163,DEALS!$E:$E,"&lt;="&amp;$U$165,DEALS!$S:$S,Y$167,DEALS!$U:$U,$T176,DEALS!$V:$V,"&lt;&gt;*RECEIVED*",DEALS!$V:$V,"&lt;&gt;*EXECUTED*"))</f>
        <v>0</v>
      </c>
      <c r="Z176" s="29" cm="1">
        <f t="array" ref="Z176">SUMIFS(BALANCES!$C:$C,BALANCES!$A:$A,$B$163,BALANCES!$B:$B,$T176,BALANCES!$D:$D,Z$167)+SUMIFS(FLOWS!$C:$C,FLOWS!$A:$A,$B$163,FLOWS!$E:$E,$T176,FLOWS!$D:$D,Z$167,FLOWS!$H:$H,"&lt;="&amp;$U$165)+SUM(SUMIFS(DEALS!$J:$J,DEALS!$A:$A,{"*REFUND*","*EXECUTED*"},DEALS!$G:$G,$B$163,DEALS!$E:$E,"&lt;="&amp;$U$165,DEALS!$K:$K,Z$167,DEALS!$M:$M,$T176,DEALS!$N:$N,"&lt;&gt;*RECEIVED*",DEALS!$N:$N,"&lt;&gt;*EXECUTED*"))+SUM(SUMIFS(DEALS!$R:$R,DEALS!$A:$A,{"*REFUND*","*EXECUTED*"},DEALS!$O:$O,$B$163,DEALS!$E:$E,"&lt;="&amp;$U$165,DEALS!$S:$S,Z$167,DEALS!$U:$U,$T176,DEALS!$V:$V,"&lt;&gt;*RECEIVED*",DEALS!$V:$V,"&lt;&gt;*EXECUTED*"))</f>
        <v>0</v>
      </c>
      <c r="AA176" s="30">
        <f ca="1">U176*VLOOKUP(U$167,'FX RATES'!$E$1:$F$50,2,FALSE)+V176*VLOOKUP(V$167,'FX RATES'!$E$1:$F$50,2,FALSE)+W176*VLOOKUP(W$167,'FX RATES'!$E$1:$F$50,2,FALSE)+X176*VLOOKUP(X$167,'FX RATES'!$E$1:$F$50,2,FALSE)+Y176*VLOOKUP(Y$167,'FX RATES'!$E$1:$F$50,2,FALSE)+Z176*VLOOKUP(Z$167,'FX RATES'!$E$1:$F$50,2,FALSE)</f>
        <v>0</v>
      </c>
      <c r="AC176" s="139">
        <f t="shared" ca="1" si="61"/>
        <v>0</v>
      </c>
    </row>
    <row r="177" spans="2:29" ht="19" hidden="1">
      <c r="B177" s="31"/>
      <c r="C177" s="32" cm="1">
        <f t="array" ref="C177">SUMIFS(BALANCES!$C:$C,BALANCES!$A:$A,$B$163,BALANCES!$B:$B,$B177,BALANCES!$D:$D,C$167)+SUMIFS(FLOWS!$C:$C,FLOWS!$A:$A,$B$163,FLOWS!$E:$E,$B177,FLOWS!$D:$D,C$167,FLOWS!$H:$H,"&lt;"&amp;$C$165)+SUM(SUMIFS(DEALS!$J:$J,DEALS!$A:$A,{"*REFUND*","*EXECUTED*"},DEALS!$G:$G,$B$163,DEALS!$E:$E,"&lt;"&amp;$C$165,DEALS!$K:$K,C$167,DEALS!$M:$M,$B177,DEALS!$N:$N,"&lt;&gt;*RECEIVED*",DEALS!$N:$N,"&lt;&gt;*EXECUTED*"))+SUM(SUMIFS(DEALS!$R:$R,DEALS!$A:$A,{"*REFUND*","*EXECUTED*"},DEALS!$O:$O,$B$163,DEALS!$E:$E,"&lt;"&amp;$C$165,DEALS!$S:$S,C$167,DEALS!$U:$U,$B177,DEALS!$V:$V,"&lt;&gt;*RECEIVED*",DEALS!$V:$V,"&lt;&gt;*EXECUTED*"))</f>
        <v>0</v>
      </c>
      <c r="D177" s="32" cm="1">
        <f t="array" ref="D177">SUMIFS(BALANCES!$C:$C,BALANCES!$A:$A,$B$163,BALANCES!$B:$B,$B177,BALANCES!$D:$D,D$167)+SUMIFS(FLOWS!$C:$C,FLOWS!$A:$A,$B$163,FLOWS!$E:$E,$B177,FLOWS!$D:$D,D$167,FLOWS!$H:$H,"&lt;"&amp;$C$165)+SUM(SUMIFS(DEALS!$J:$J,DEALS!$A:$A,{"*REFUND*","*EXECUTED*"},DEALS!$G:$G,$B$163,DEALS!$E:$E,"&lt;"&amp;$C$165,DEALS!$K:$K,D$167,DEALS!$M:$M,$B177,DEALS!$N:$N,"&lt;&gt;*RECEIVED*",DEALS!$N:$N,"&lt;&gt;*EXECUTED*"))+SUM(SUMIFS(DEALS!$R:$R,DEALS!$A:$A,{"*REFUND*","*EXECUTED*"},DEALS!$O:$O,$B$163,DEALS!$E:$E,"&lt;"&amp;$C$165,DEALS!$S:$S,D$167,DEALS!$U:$U,$B177,DEALS!$V:$V,"&lt;&gt;*RECEIVED*",DEALS!$V:$V,"&lt;&gt;*EXECUTED*"))</f>
        <v>0</v>
      </c>
      <c r="E177" s="32" cm="1">
        <f t="array" ref="E177">SUMIFS(BALANCES!$C:$C,BALANCES!$A:$A,$B$163,BALANCES!$B:$B,$B177,BALANCES!$D:$D,E$167)+SUMIFS(FLOWS!$C:$C,FLOWS!$A:$A,$B$163,FLOWS!$E:$E,$B177,FLOWS!$D:$D,E$167,FLOWS!$H:$H,"&lt;"&amp;$C$165)+SUM(SUMIFS(DEALS!$J:$J,DEALS!$A:$A,{"*REFUND*","*EXECUTED*"},DEALS!$G:$G,$B$163,DEALS!$E:$E,"&lt;"&amp;$C$165,DEALS!$K:$K,E$167,DEALS!$M:$M,$B177,DEALS!$N:$N,"&lt;&gt;*RECEIVED*",DEALS!$N:$N,"&lt;&gt;*EXECUTED*"))+SUM(SUMIFS(DEALS!$R:$R,DEALS!$A:$A,{"*REFUND*","*EXECUTED*"},DEALS!$O:$O,$B$163,DEALS!$E:$E,"&lt;"&amp;$C$165,DEALS!$S:$S,E$167,DEALS!$U:$U,$B177,DEALS!$V:$V,"&lt;&gt;*RECEIVED*",DEALS!$V:$V,"&lt;&gt;*EXECUTED*"))</f>
        <v>0</v>
      </c>
      <c r="F177" s="32" cm="1">
        <f t="array" ref="F177">SUMIFS(BALANCES!$C:$C,BALANCES!$A:$A,$B$163,BALANCES!$B:$B,$B177,BALANCES!$D:$D,F$167)+SUMIFS(FLOWS!$C:$C,FLOWS!$A:$A,$B$163,FLOWS!$E:$E,$B177,FLOWS!$D:$D,F$167,FLOWS!$H:$H,"&lt;"&amp;$C$165)+SUM(SUMIFS(DEALS!$J:$J,DEALS!$A:$A,{"*REFUND*","*EXECUTED*"},DEALS!$G:$G,$B$163,DEALS!$E:$E,"&lt;"&amp;$C$165,DEALS!$K:$K,F$167,DEALS!$M:$M,$B177,DEALS!$N:$N,"&lt;&gt;*RECEIVED*",DEALS!$N:$N,"&lt;&gt;*EXECUTED*"))+SUM(SUMIFS(DEALS!$R:$R,DEALS!$A:$A,{"*REFUND*","*EXECUTED*"},DEALS!$O:$O,$B$163,DEALS!$E:$E,"&lt;"&amp;$C$165,DEALS!$S:$S,F$167,DEALS!$U:$U,$B177,DEALS!$V:$V,"&lt;&gt;*RECEIVED*",DEALS!$V:$V,"&lt;&gt;*EXECUTED*"))</f>
        <v>0</v>
      </c>
      <c r="G177" s="32" cm="1">
        <f t="array" ref="G177">SUMIFS(BALANCES!$C:$C,BALANCES!$A:$A,$B$163,BALANCES!$B:$B,$B177,BALANCES!$D:$D,G$167)+SUMIFS(FLOWS!$C:$C,FLOWS!$A:$A,$B$163,FLOWS!$E:$E,$B177,FLOWS!$D:$D,G$167,FLOWS!$H:$H,"&lt;"&amp;$C$165)+SUM(SUMIFS(DEALS!$J:$J,DEALS!$A:$A,{"*REFUND*","*EXECUTED*"},DEALS!$G:$G,$B$163,DEALS!$E:$E,"&lt;"&amp;$C$165,DEALS!$K:$K,G$167,DEALS!$M:$M,$B177,DEALS!$N:$N,"&lt;&gt;*RECEIVED*",DEALS!$N:$N,"&lt;&gt;*EXECUTED*"))+SUM(SUMIFS(DEALS!$R:$R,DEALS!$A:$A,{"*REFUND*","*EXECUTED*"},DEALS!$O:$O,$B$163,DEALS!$E:$E,"&lt;"&amp;$C$165,DEALS!$S:$S,G$167,DEALS!$U:$U,$B177,DEALS!$V:$V,"&lt;&gt;*RECEIVED*",DEALS!$V:$V,"&lt;&gt;*EXECUTED*"))</f>
        <v>0</v>
      </c>
      <c r="H177" s="32" cm="1">
        <f t="array" ref="H177">SUMIFS(BALANCES!$C:$C,BALANCES!$A:$A,$B$163,BALANCES!$B:$B,$B177,BALANCES!$D:$D,H$167)+SUMIFS(FLOWS!$C:$C,FLOWS!$A:$A,$B$163,FLOWS!$E:$E,$B177,FLOWS!$D:$D,H$167,FLOWS!$H:$H,"&lt;"&amp;$C$165)+SUM(SUMIFS(DEALS!$J:$J,DEALS!$A:$A,{"*REFUND*","*EXECUTED*"},DEALS!$G:$G,$B$163,DEALS!$E:$E,"&lt;"&amp;$C$165,DEALS!$K:$K,H$167,DEALS!$M:$M,$B177,DEALS!$N:$N,"&lt;&gt;*RECEIVED*",DEALS!$N:$N,"&lt;&gt;*EXECUTED*"))+SUM(SUMIFS(DEALS!$R:$R,DEALS!$A:$A,{"*REFUND*","*EXECUTED*"},DEALS!$O:$O,$B$163,DEALS!$E:$E,"&lt;"&amp;$C$165,DEALS!$S:$S,H$167,DEALS!$U:$U,$B177,DEALS!$V:$V,"&lt;&gt;*RECEIVED*",DEALS!$V:$V,"&lt;&gt;*EXECUTED*"))</f>
        <v>0</v>
      </c>
      <c r="I177" s="33">
        <f ca="1">C177*VLOOKUP(C$167,'FX RATES'!$E$1:$F$50,2,FALSE)+D177*VLOOKUP(D$167,'FX RATES'!$E$1:$F$50,2,FALSE)+E177*VLOOKUP(E$167,'FX RATES'!$E$1:$F$50,2,FALSE)+F177*VLOOKUP(F$167,'FX RATES'!$E$1:$F$50,2,FALSE)+G177*VLOOKUP(G$167,'FX RATES'!$E$1:$F$50,2,FALSE)+H177*VLOOKUP(H$167,'FX RATES'!$E$1:$F$50,2,FALSE)</f>
        <v>0</v>
      </c>
      <c r="K177" s="31">
        <f>B177</f>
        <v>0</v>
      </c>
      <c r="L177" s="32" cm="1">
        <f t="array" ref="L177">SUMIFS(FLOWS!$C:$C,FLOWS!$A:$A,$B$163,FLOWS!$E:$E,$K177,FLOWS!$D:$D,L$167,FLOWS!$H:$H,"&gt;="&amp;$C$165,FLOWS!$H:$H,"&lt;="&amp;$U$165)+SUM(SUMIFS(DEALS!$J:$J,DEALS!$A:$A,{"*REFUND*","*EXECUTED*"},DEALS!$G:$G,$B$163,DEALS!$E:$E,"&gt;="&amp;$C$165,DEALS!$E:$E,"&lt;="&amp;$U$165,DEALS!$K:$K,L$167,DEALS!$M:$M,$K177,DEALS!$N:$N,"&lt;&gt;*RECEIVED*",DEALS!$N:$N,"&lt;&gt;*EXECUTED*"))+SUM(SUMIFS(DEALS!$R:$R,DEALS!$A:$A,{"*REFUND*","*EXECUTED*"},DEALS!$O:$O,$B$163,DEALS!$E:$E,"&gt;="&amp;$C$165,DEALS!$E:$E,"&lt;="&amp;$U$165,DEALS!$S:$S,L$167,DEALS!$U:$U,$K177,DEALS!$V:$V,"&lt;&gt;*RECEIVED*",DEALS!$V:$V,"&lt;&gt;*EXECUTED*"))</f>
        <v>0</v>
      </c>
      <c r="M177" s="32" cm="1">
        <f t="array" ref="M177">SUMIFS(FLOWS!$C:$C,FLOWS!$A:$A,$B$163,FLOWS!$E:$E,$K177,FLOWS!$D:$D,M$167,FLOWS!$H:$H,"&gt;="&amp;$C$165,FLOWS!$H:$H,"&lt;="&amp;$U$165)+SUM(SUMIFS(DEALS!$J:$J,DEALS!$A:$A,{"*REFUND*","*EXECUTED*"},DEALS!$G:$G,$B$163,DEALS!$E:$E,"&gt;="&amp;$C$165,DEALS!$E:$E,"&lt;="&amp;$U$165,DEALS!$K:$K,M$167,DEALS!$M:$M,$K177,DEALS!$N:$N,"&lt;&gt;*RECEIVED*",DEALS!$N:$N,"&lt;&gt;*EXECUTED*"))+SUM(SUMIFS(DEALS!$R:$R,DEALS!$A:$A,{"*REFUND*","*EXECUTED*"},DEALS!$O:$O,$B$163,DEALS!$E:$E,"&gt;="&amp;$C$165,DEALS!$E:$E,"&lt;="&amp;$U$165,DEALS!$S:$S,M$167,DEALS!$U:$U,$K177,DEALS!$V:$V,"&lt;&gt;*RECEIVED*",DEALS!$V:$V,"&lt;&gt;*EXECUTED*"))</f>
        <v>0</v>
      </c>
      <c r="N177" s="32" cm="1">
        <f t="array" ref="N177">SUMIFS(FLOWS!$C:$C,FLOWS!$A:$A,$B$163,FLOWS!$E:$E,$K177,FLOWS!$D:$D,N$167,FLOWS!$H:$H,"&gt;="&amp;$C$165,FLOWS!$H:$H,"&lt;="&amp;$U$165)+SUM(SUMIFS(DEALS!$J:$J,DEALS!$A:$A,{"*REFUND*","*EXECUTED*"},DEALS!$G:$G,$B$163,DEALS!$E:$E,"&gt;="&amp;$C$165,DEALS!$E:$E,"&lt;="&amp;$U$165,DEALS!$K:$K,N$167,DEALS!$M:$M,$K177,DEALS!$N:$N,"&lt;&gt;*RECEIVED*",DEALS!$N:$N,"&lt;&gt;*EXECUTED*"))+SUM(SUMIFS(DEALS!$R:$R,DEALS!$A:$A,{"*REFUND*","*EXECUTED*"},DEALS!$O:$O,$B$163,DEALS!$E:$E,"&gt;="&amp;$C$165,DEALS!$E:$E,"&lt;="&amp;$U$165,DEALS!$S:$S,N$167,DEALS!$U:$U,$K177,DEALS!$V:$V,"&lt;&gt;*RECEIVED*",DEALS!$V:$V,"&lt;&gt;*EXECUTED*"))</f>
        <v>0</v>
      </c>
      <c r="O177" s="32" cm="1">
        <f t="array" ref="O177">SUMIFS(FLOWS!$C:$C,FLOWS!$A:$A,$B$163,FLOWS!$E:$E,$K177,FLOWS!$D:$D,O$167,FLOWS!$H:$H,"&gt;="&amp;$C$165,FLOWS!$H:$H,"&lt;="&amp;$U$165)+SUM(SUMIFS(DEALS!$J:$J,DEALS!$A:$A,{"*REFUND*","*EXECUTED*"},DEALS!$G:$G,$B$163,DEALS!$E:$E,"&gt;="&amp;$C$165,DEALS!$E:$E,"&lt;="&amp;$U$165,DEALS!$K:$K,O$167,DEALS!$M:$M,$K177,DEALS!$N:$N,"&lt;&gt;*RECEIVED*",DEALS!$N:$N,"&lt;&gt;*EXECUTED*"))+SUM(SUMIFS(DEALS!$R:$R,DEALS!$A:$A,{"*REFUND*","*EXECUTED*"},DEALS!$O:$O,$B$163,DEALS!$E:$E,"&gt;="&amp;$C$165,DEALS!$E:$E,"&lt;="&amp;$U$165,DEALS!$S:$S,O$167,DEALS!$U:$U,$K177,DEALS!$V:$V,"&lt;&gt;*RECEIVED*",DEALS!$V:$V,"&lt;&gt;*EXECUTED*"))</f>
        <v>0</v>
      </c>
      <c r="P177" s="32" cm="1">
        <f t="array" ref="P177">SUMIFS(FLOWS!$C:$C,FLOWS!$A:$A,$B$163,FLOWS!$E:$E,$K177,FLOWS!$D:$D,P$167,FLOWS!$H:$H,"&gt;="&amp;$C$165,FLOWS!$H:$H,"&lt;="&amp;$U$165)+SUM(SUMIFS(DEALS!$J:$J,DEALS!$A:$A,{"*REFUND*","*EXECUTED*"},DEALS!$G:$G,$B$163,DEALS!$E:$E,"&gt;="&amp;$C$165,DEALS!$E:$E,"&lt;="&amp;$U$165,DEALS!$K:$K,P$167,DEALS!$M:$M,$K177,DEALS!$N:$N,"&lt;&gt;*RECEIVED*",DEALS!$N:$N,"&lt;&gt;*EXECUTED*"))+SUM(SUMIFS(DEALS!$R:$R,DEALS!$A:$A,{"*REFUND*","*EXECUTED*"},DEALS!$O:$O,$B$163,DEALS!$E:$E,"&gt;="&amp;$C$165,DEALS!$E:$E,"&lt;="&amp;$U$165,DEALS!$S:$S,P$167,DEALS!$U:$U,$K177,DEALS!$V:$V,"&lt;&gt;*RECEIVED*",DEALS!$V:$V,"&lt;&gt;*EXECUTED*"))</f>
        <v>0</v>
      </c>
      <c r="Q177" s="32" cm="1">
        <f t="array" ref="Q177">SUMIFS(FLOWS!$C:$C,FLOWS!$A:$A,$B$163,FLOWS!$E:$E,$K177,FLOWS!$D:$D,Q$167,FLOWS!$H:$H,"&gt;="&amp;$C$165,FLOWS!$H:$H,"&lt;="&amp;$U$165)+SUM(SUMIFS(DEALS!$J:$J,DEALS!$A:$A,{"*REFUND*","*EXECUTED*"},DEALS!$G:$G,$B$163,DEALS!$E:$E,"&gt;="&amp;$C$165,DEALS!$E:$E,"&lt;="&amp;$U$165,DEALS!$K:$K,Q$167,DEALS!$M:$M,$K177,DEALS!$N:$N,"&lt;&gt;*RECEIVED*",DEALS!$N:$N,"&lt;&gt;*EXECUTED*"))+SUM(SUMIFS(DEALS!$R:$R,DEALS!$A:$A,{"*REFUND*","*EXECUTED*"},DEALS!$O:$O,$B$163,DEALS!$E:$E,"&gt;="&amp;$C$165,DEALS!$E:$E,"&lt;="&amp;$U$165,DEALS!$S:$S,Q$167,DEALS!$U:$U,$K177,DEALS!$V:$V,"&lt;&gt;*RECEIVED*",DEALS!$V:$V,"&lt;&gt;*EXECUTED*"))</f>
        <v>0</v>
      </c>
      <c r="R177" s="33">
        <f ca="1">L177*VLOOKUP(L$167,'FX RATES'!$E$1:$F$50,2,FALSE)+M177*VLOOKUP(M$167,'FX RATES'!$E$1:$F$50,2,FALSE)+N177*VLOOKUP(N$167,'FX RATES'!$E$1:$F$50,2,FALSE)+O177*VLOOKUP(O$167,'FX RATES'!$E$1:$F$50,2,FALSE)+P177*VLOOKUP(P$167,'FX RATES'!$E$1:$F$50,2,FALSE)+Q177*VLOOKUP(Q$167,'FX RATES'!$E$1:$F$50,2,FALSE)</f>
        <v>0</v>
      </c>
      <c r="T177" s="31">
        <f>B177</f>
        <v>0</v>
      </c>
      <c r="U177" s="32" cm="1">
        <f t="array" ref="U177">SUMIFS(BALANCES!$C:$C,BALANCES!$A:$A,$B$163,BALANCES!$B:$B,$T177,BALANCES!$D:$D,U$167)+SUMIFS(FLOWS!$C:$C,FLOWS!$A:$A,$B$163,FLOWS!$E:$E,$T177,FLOWS!$D:$D,U$167,FLOWS!$H:$H,"&lt;="&amp;$U$165)+SUM(SUMIFS(DEALS!$J:$J,DEALS!$A:$A,{"*REFUND*","*EXECUTED*"},DEALS!$G:$G,$B$163,DEALS!$E:$E,"&lt;="&amp;$U$165,DEALS!$K:$K,U$167,DEALS!$M:$M,$T177,DEALS!$N:$N,"&lt;&gt;*RECEIVED*",DEALS!$N:$N,"&lt;&gt;*EXECUTED*"))+SUM(SUMIFS(DEALS!$R:$R,DEALS!$A:$A,{"*REFUND*","*EXECUTED*"},DEALS!$O:$O,$B$163,DEALS!$E:$E,"&lt;="&amp;$U$165,DEALS!$S:$S,U$167,DEALS!$U:$U,$T177,DEALS!$V:$V,"&lt;&gt;*RECEIVED*",DEALS!$V:$V,"&lt;&gt;*EXECUTED*"))</f>
        <v>0</v>
      </c>
      <c r="V177" s="32" cm="1">
        <f t="array" ref="V177">SUMIFS(BALANCES!$C:$C,BALANCES!$A:$A,$B$163,BALANCES!$B:$B,$T177,BALANCES!$D:$D,V$167)+SUMIFS(FLOWS!$C:$C,FLOWS!$A:$A,$B$163,FLOWS!$E:$E,$T177,FLOWS!$D:$D,V$167,FLOWS!$H:$H,"&lt;="&amp;$U$165)+SUM(SUMIFS(DEALS!$J:$J,DEALS!$A:$A,{"*REFUND*","*EXECUTED*"},DEALS!$G:$G,$B$163,DEALS!$E:$E,"&lt;="&amp;$U$165,DEALS!$K:$K,V$167,DEALS!$M:$M,$T177,DEALS!$N:$N,"&lt;&gt;*RECEIVED*",DEALS!$N:$N,"&lt;&gt;*EXECUTED*"))+SUM(SUMIFS(DEALS!$R:$R,DEALS!$A:$A,{"*REFUND*","*EXECUTED*"},DEALS!$O:$O,$B$163,DEALS!$E:$E,"&lt;="&amp;$U$165,DEALS!$S:$S,V$167,DEALS!$U:$U,$T177,DEALS!$V:$V,"&lt;&gt;*RECEIVED*",DEALS!$V:$V,"&lt;&gt;*EXECUTED*"))</f>
        <v>0</v>
      </c>
      <c r="W177" s="32" cm="1">
        <f t="array" ref="W177">SUMIFS(BALANCES!$C:$C,BALANCES!$A:$A,$B$163,BALANCES!$B:$B,$T177,BALANCES!$D:$D,W$167)+SUMIFS(FLOWS!$C:$C,FLOWS!$A:$A,$B$163,FLOWS!$E:$E,$T177,FLOWS!$D:$D,W$167,FLOWS!$H:$H,"&lt;="&amp;$U$165)+SUM(SUMIFS(DEALS!$J:$J,DEALS!$A:$A,{"*REFUND*","*EXECUTED*"},DEALS!$G:$G,$B$163,DEALS!$E:$E,"&lt;="&amp;$U$165,DEALS!$K:$K,W$167,DEALS!$M:$M,$T177,DEALS!$N:$N,"&lt;&gt;*RECEIVED*",DEALS!$N:$N,"&lt;&gt;*EXECUTED*"))+SUM(SUMIFS(DEALS!$R:$R,DEALS!$A:$A,{"*REFUND*","*EXECUTED*"},DEALS!$O:$O,$B$163,DEALS!$E:$E,"&lt;="&amp;$U$165,DEALS!$S:$S,W$167,DEALS!$U:$U,$T177,DEALS!$V:$V,"&lt;&gt;*RECEIVED*",DEALS!$V:$V,"&lt;&gt;*EXECUTED*"))</f>
        <v>0</v>
      </c>
      <c r="X177" s="32" cm="1">
        <f t="array" ref="X177">SUMIFS(BALANCES!$C:$C,BALANCES!$A:$A,$B$163,BALANCES!$B:$B,$T177,BALANCES!$D:$D,X$167)+SUMIFS(FLOWS!$C:$C,FLOWS!$A:$A,$B$163,FLOWS!$E:$E,$T177,FLOWS!$D:$D,X$167,FLOWS!$H:$H,"&lt;="&amp;$U$165)+SUM(SUMIFS(DEALS!$J:$J,DEALS!$A:$A,{"*REFUND*","*EXECUTED*"},DEALS!$G:$G,$B$163,DEALS!$E:$E,"&lt;="&amp;$U$165,DEALS!$K:$K,X$167,DEALS!$M:$M,$T177,DEALS!$N:$N,"&lt;&gt;*RECEIVED*",DEALS!$N:$N,"&lt;&gt;*EXECUTED*"))+SUM(SUMIFS(DEALS!$R:$R,DEALS!$A:$A,{"*REFUND*","*EXECUTED*"},DEALS!$O:$O,$B$163,DEALS!$E:$E,"&lt;="&amp;$U$165,DEALS!$S:$S,X$167,DEALS!$U:$U,$T177,DEALS!$V:$V,"&lt;&gt;*RECEIVED*",DEALS!$V:$V,"&lt;&gt;*EXECUTED*"))</f>
        <v>0</v>
      </c>
      <c r="Y177" s="32" cm="1">
        <f t="array" ref="Y177">SUMIFS(BALANCES!$C:$C,BALANCES!$A:$A,$B$163,BALANCES!$B:$B,$T177,BALANCES!$D:$D,Y$167)+SUMIFS(FLOWS!$C:$C,FLOWS!$A:$A,$B$163,FLOWS!$E:$E,$T177,FLOWS!$D:$D,Y$167,FLOWS!$H:$H,"&lt;="&amp;$U$165)+SUM(SUMIFS(DEALS!$J:$J,DEALS!$A:$A,{"*REFUND*","*EXECUTED*"},DEALS!$G:$G,$B$163,DEALS!$E:$E,"&lt;="&amp;$U$165,DEALS!$K:$K,Y$167,DEALS!$M:$M,$T177,DEALS!$N:$N,"&lt;&gt;*RECEIVED*",DEALS!$N:$N,"&lt;&gt;*EXECUTED*"))+SUM(SUMIFS(DEALS!$R:$R,DEALS!$A:$A,{"*REFUND*","*EXECUTED*"},DEALS!$O:$O,$B$163,DEALS!$E:$E,"&lt;="&amp;$U$165,DEALS!$S:$S,Y$167,DEALS!$U:$U,$T177,DEALS!$V:$V,"&lt;&gt;*RECEIVED*",DEALS!$V:$V,"&lt;&gt;*EXECUTED*"))</f>
        <v>0</v>
      </c>
      <c r="Z177" s="32" cm="1">
        <f t="array" ref="Z177">SUMIFS(BALANCES!$C:$C,BALANCES!$A:$A,$B$163,BALANCES!$B:$B,$T177,BALANCES!$D:$D,Z$167)+SUMIFS(FLOWS!$C:$C,FLOWS!$A:$A,$B$163,FLOWS!$E:$E,$T177,FLOWS!$D:$D,Z$167,FLOWS!$H:$H,"&lt;="&amp;$U$165)+SUM(SUMIFS(DEALS!$J:$J,DEALS!$A:$A,{"*REFUND*","*EXECUTED*"},DEALS!$G:$G,$B$163,DEALS!$E:$E,"&lt;="&amp;$U$165,DEALS!$K:$K,Z$167,DEALS!$M:$M,$T177,DEALS!$N:$N,"&lt;&gt;*RECEIVED*",DEALS!$N:$N,"&lt;&gt;*EXECUTED*"))+SUM(SUMIFS(DEALS!$R:$R,DEALS!$A:$A,{"*REFUND*","*EXECUTED*"},DEALS!$O:$O,$B$163,DEALS!$E:$E,"&lt;="&amp;$U$165,DEALS!$S:$S,Z$167,DEALS!$U:$U,$T177,DEALS!$V:$V,"&lt;&gt;*RECEIVED*",DEALS!$V:$V,"&lt;&gt;*EXECUTED*"))</f>
        <v>0</v>
      </c>
      <c r="AA177" s="33">
        <f ca="1">U177*VLOOKUP(U$167,'FX RATES'!$E$1:$F$50,2,FALSE)+V177*VLOOKUP(V$167,'FX RATES'!$E$1:$F$50,2,FALSE)+W177*VLOOKUP(W$167,'FX RATES'!$E$1:$F$50,2,FALSE)+X177*VLOOKUP(X$167,'FX RATES'!$E$1:$F$50,2,FALSE)+Y177*VLOOKUP(Y$167,'FX RATES'!$E$1:$F$50,2,FALSE)+Z177*VLOOKUP(Z$167,'FX RATES'!$E$1:$F$50,2,FALSE)</f>
        <v>0</v>
      </c>
      <c r="AC177" s="139">
        <f ca="1">I177+R177-AA177</f>
        <v>0</v>
      </c>
    </row>
    <row r="178" spans="2:29" ht="19" hidden="1">
      <c r="B178" s="28"/>
      <c r="C178" s="29" cm="1">
        <f t="array" ref="C178">SUMIFS(BALANCES!$C:$C,BALANCES!$A:$A,$B$163,BALANCES!$B:$B,$B178,BALANCES!$D:$D,C$167)+SUMIFS(FLOWS!$C:$C,FLOWS!$A:$A,$B$163,FLOWS!$E:$E,$B178,FLOWS!$D:$D,C$167,FLOWS!$H:$H,"&lt;"&amp;$C$165)+SUM(SUMIFS(DEALS!$J:$J,DEALS!$A:$A,{"*REFUND*","*EXECUTED*"},DEALS!$G:$G,$B$163,DEALS!$E:$E,"&lt;"&amp;$C$165,DEALS!$K:$K,C$167,DEALS!$M:$M,$B178,DEALS!$N:$N,"&lt;&gt;*RECEIVED*",DEALS!$N:$N,"&lt;&gt;*EXECUTED*"))+SUM(SUMIFS(DEALS!$R:$R,DEALS!$A:$A,{"*REFUND*","*EXECUTED*"},DEALS!$O:$O,$B$163,DEALS!$E:$E,"&lt;"&amp;$C$165,DEALS!$S:$S,C$167,DEALS!$U:$U,$B178,DEALS!$V:$V,"&lt;&gt;*RECEIVED*",DEALS!$V:$V,"&lt;&gt;*EXECUTED*"))</f>
        <v>0</v>
      </c>
      <c r="D178" s="29" cm="1">
        <f t="array" ref="D178">SUMIFS(BALANCES!$C:$C,BALANCES!$A:$A,$B$163,BALANCES!$B:$B,$B178,BALANCES!$D:$D,D$167)+SUMIFS(FLOWS!$C:$C,FLOWS!$A:$A,$B$163,FLOWS!$E:$E,$B178,FLOWS!$D:$D,D$167,FLOWS!$H:$H,"&lt;"&amp;$C$165)+SUM(SUMIFS(DEALS!$J:$J,DEALS!$A:$A,{"*REFUND*","*EXECUTED*"},DEALS!$G:$G,$B$163,DEALS!$E:$E,"&lt;"&amp;$C$165,DEALS!$K:$K,D$167,DEALS!$M:$M,$B178,DEALS!$N:$N,"&lt;&gt;*RECEIVED*",DEALS!$N:$N,"&lt;&gt;*EXECUTED*"))+SUM(SUMIFS(DEALS!$R:$R,DEALS!$A:$A,{"*REFUND*","*EXECUTED*"},DEALS!$O:$O,$B$163,DEALS!$E:$E,"&lt;"&amp;$C$165,DEALS!$S:$S,D$167,DEALS!$U:$U,$B178,DEALS!$V:$V,"&lt;&gt;*RECEIVED*",DEALS!$V:$V,"&lt;&gt;*EXECUTED*"))</f>
        <v>0</v>
      </c>
      <c r="E178" s="29" cm="1">
        <f t="array" ref="E178">SUMIFS(BALANCES!$C:$C,BALANCES!$A:$A,$B$163,BALANCES!$B:$B,$B178,BALANCES!$D:$D,E$167)+SUMIFS(FLOWS!$C:$C,FLOWS!$A:$A,$B$163,FLOWS!$E:$E,$B178,FLOWS!$D:$D,E$167,FLOWS!$H:$H,"&lt;"&amp;$C$165)+SUM(SUMIFS(DEALS!$J:$J,DEALS!$A:$A,{"*REFUND*","*EXECUTED*"},DEALS!$G:$G,$B$163,DEALS!$E:$E,"&lt;"&amp;$C$165,DEALS!$K:$K,E$167,DEALS!$M:$M,$B178,DEALS!$N:$N,"&lt;&gt;*RECEIVED*",DEALS!$N:$N,"&lt;&gt;*EXECUTED*"))+SUM(SUMIFS(DEALS!$R:$R,DEALS!$A:$A,{"*REFUND*","*EXECUTED*"},DEALS!$O:$O,$B$163,DEALS!$E:$E,"&lt;"&amp;$C$165,DEALS!$S:$S,E$167,DEALS!$U:$U,$B178,DEALS!$V:$V,"&lt;&gt;*RECEIVED*",DEALS!$V:$V,"&lt;&gt;*EXECUTED*"))</f>
        <v>0</v>
      </c>
      <c r="F178" s="29" cm="1">
        <f t="array" ref="F178">SUMIFS(BALANCES!$C:$C,BALANCES!$A:$A,$B$163,BALANCES!$B:$B,$B178,BALANCES!$D:$D,F$167)+SUMIFS(FLOWS!$C:$C,FLOWS!$A:$A,$B$163,FLOWS!$E:$E,$B178,FLOWS!$D:$D,F$167,FLOWS!$H:$H,"&lt;"&amp;$C$165)+SUM(SUMIFS(DEALS!$J:$J,DEALS!$A:$A,{"*REFUND*","*EXECUTED*"},DEALS!$G:$G,$B$163,DEALS!$E:$E,"&lt;"&amp;$C$165,DEALS!$K:$K,F$167,DEALS!$M:$M,$B178,DEALS!$N:$N,"&lt;&gt;*RECEIVED*",DEALS!$N:$N,"&lt;&gt;*EXECUTED*"))+SUM(SUMIFS(DEALS!$R:$R,DEALS!$A:$A,{"*REFUND*","*EXECUTED*"},DEALS!$O:$O,$B$163,DEALS!$E:$E,"&lt;"&amp;$C$165,DEALS!$S:$S,F$167,DEALS!$U:$U,$B178,DEALS!$V:$V,"&lt;&gt;*RECEIVED*",DEALS!$V:$V,"&lt;&gt;*EXECUTED*"))</f>
        <v>0</v>
      </c>
      <c r="G178" s="29" cm="1">
        <f t="array" ref="G178">SUMIFS(BALANCES!$C:$C,BALANCES!$A:$A,$B$163,BALANCES!$B:$B,$B178,BALANCES!$D:$D,G$167)+SUMIFS(FLOWS!$C:$C,FLOWS!$A:$A,$B$163,FLOWS!$E:$E,$B178,FLOWS!$D:$D,G$167,FLOWS!$H:$H,"&lt;"&amp;$C$165)+SUM(SUMIFS(DEALS!$J:$J,DEALS!$A:$A,{"*REFUND*","*EXECUTED*"},DEALS!$G:$G,$B$163,DEALS!$E:$E,"&lt;"&amp;$C$165,DEALS!$K:$K,G$167,DEALS!$M:$M,$B178,DEALS!$N:$N,"&lt;&gt;*RECEIVED*",DEALS!$N:$N,"&lt;&gt;*EXECUTED*"))+SUM(SUMIFS(DEALS!$R:$R,DEALS!$A:$A,{"*REFUND*","*EXECUTED*"},DEALS!$O:$O,$B$163,DEALS!$E:$E,"&lt;"&amp;$C$165,DEALS!$S:$S,G$167,DEALS!$U:$U,$B178,DEALS!$V:$V,"&lt;&gt;*RECEIVED*",DEALS!$V:$V,"&lt;&gt;*EXECUTED*"))</f>
        <v>0</v>
      </c>
      <c r="H178" s="29" cm="1">
        <f t="array" ref="H178">SUMIFS(BALANCES!$C:$C,BALANCES!$A:$A,$B$163,BALANCES!$B:$B,$B178,BALANCES!$D:$D,H$167)+SUMIFS(FLOWS!$C:$C,FLOWS!$A:$A,$B$163,FLOWS!$E:$E,$B178,FLOWS!$D:$D,H$167,FLOWS!$H:$H,"&lt;"&amp;$C$165)+SUM(SUMIFS(DEALS!$J:$J,DEALS!$A:$A,{"*REFUND*","*EXECUTED*"},DEALS!$G:$G,$B$163,DEALS!$E:$E,"&lt;"&amp;$C$165,DEALS!$K:$K,H$167,DEALS!$M:$M,$B178,DEALS!$N:$N,"&lt;&gt;*RECEIVED*",DEALS!$N:$N,"&lt;&gt;*EXECUTED*"))+SUM(SUMIFS(DEALS!$R:$R,DEALS!$A:$A,{"*REFUND*","*EXECUTED*"},DEALS!$O:$O,$B$163,DEALS!$E:$E,"&lt;"&amp;$C$165,DEALS!$S:$S,H$167,DEALS!$U:$U,$B178,DEALS!$V:$V,"&lt;&gt;*RECEIVED*",DEALS!$V:$V,"&lt;&gt;*EXECUTED*"))</f>
        <v>0</v>
      </c>
      <c r="I178" s="30">
        <f ca="1">C178*VLOOKUP(C$167,'FX RATES'!$E$1:$F$50,2,FALSE)+D178*VLOOKUP(D$167,'FX RATES'!$E$1:$F$50,2,FALSE)+E178*VLOOKUP(E$167,'FX RATES'!$E$1:$F$50,2,FALSE)+F178*VLOOKUP(F$167,'FX RATES'!$E$1:$F$50,2,FALSE)+G178*VLOOKUP(G$167,'FX RATES'!$E$1:$F$50,2,FALSE)+H178*VLOOKUP(H$167,'FX RATES'!$E$1:$F$50,2,FALSE)</f>
        <v>0</v>
      </c>
      <c r="K178" s="28">
        <f>B178</f>
        <v>0</v>
      </c>
      <c r="L178" s="29" cm="1">
        <f t="array" ref="L178">SUMIFS(FLOWS!$C:$C,FLOWS!$A:$A,$B$163,FLOWS!$E:$E,$K178,FLOWS!$D:$D,L$167,FLOWS!$H:$H,"&gt;="&amp;$C$165,FLOWS!$H:$H,"&lt;="&amp;$U$165)+SUM(SUMIFS(DEALS!$J:$J,DEALS!$A:$A,{"*REFUND*","*EXECUTED*"},DEALS!$G:$G,$B$163,DEALS!$E:$E,"&gt;="&amp;$C$165,DEALS!$E:$E,"&lt;="&amp;$U$165,DEALS!$K:$K,L$167,DEALS!$M:$M,$K178,DEALS!$N:$N,"&lt;&gt;*RECEIVED*",DEALS!$N:$N,"&lt;&gt;*EXECUTED*"))+SUM(SUMIFS(DEALS!$R:$R,DEALS!$A:$A,{"*REFUND*","*EXECUTED*"},DEALS!$O:$O,$B$163,DEALS!$E:$E,"&gt;="&amp;$C$165,DEALS!$E:$E,"&lt;="&amp;$U$165,DEALS!$S:$S,L$167,DEALS!$U:$U,$K178,DEALS!$V:$V,"&lt;&gt;*RECEIVED*",DEALS!$V:$V,"&lt;&gt;*EXECUTED*"))</f>
        <v>0</v>
      </c>
      <c r="M178" s="29" cm="1">
        <f t="array" ref="M178">SUMIFS(FLOWS!$C:$C,FLOWS!$A:$A,$B$163,FLOWS!$E:$E,$K178,FLOWS!$D:$D,M$167,FLOWS!$H:$H,"&gt;="&amp;$C$165,FLOWS!$H:$H,"&lt;="&amp;$U$165)+SUM(SUMIFS(DEALS!$J:$J,DEALS!$A:$A,{"*REFUND*","*EXECUTED*"},DEALS!$G:$G,$B$163,DEALS!$E:$E,"&gt;="&amp;$C$165,DEALS!$E:$E,"&lt;="&amp;$U$165,DEALS!$K:$K,M$167,DEALS!$M:$M,$K178,DEALS!$N:$N,"&lt;&gt;*RECEIVED*",DEALS!$N:$N,"&lt;&gt;*EXECUTED*"))+SUM(SUMIFS(DEALS!$R:$R,DEALS!$A:$A,{"*REFUND*","*EXECUTED*"},DEALS!$O:$O,$B$163,DEALS!$E:$E,"&gt;="&amp;$C$165,DEALS!$E:$E,"&lt;="&amp;$U$165,DEALS!$S:$S,M$167,DEALS!$U:$U,$K178,DEALS!$V:$V,"&lt;&gt;*RECEIVED*",DEALS!$V:$V,"&lt;&gt;*EXECUTED*"))</f>
        <v>0</v>
      </c>
      <c r="N178" s="29" cm="1">
        <f t="array" ref="N178">SUMIFS(FLOWS!$C:$C,FLOWS!$A:$A,$B$163,FLOWS!$E:$E,$K178,FLOWS!$D:$D,N$167,FLOWS!$H:$H,"&gt;="&amp;$C$165,FLOWS!$H:$H,"&lt;="&amp;$U$165)+SUM(SUMIFS(DEALS!$J:$J,DEALS!$A:$A,{"*REFUND*","*EXECUTED*"},DEALS!$G:$G,$B$163,DEALS!$E:$E,"&gt;="&amp;$C$165,DEALS!$E:$E,"&lt;="&amp;$U$165,DEALS!$K:$K,N$167,DEALS!$M:$M,$K178,DEALS!$N:$N,"&lt;&gt;*RECEIVED*",DEALS!$N:$N,"&lt;&gt;*EXECUTED*"))+SUM(SUMIFS(DEALS!$R:$R,DEALS!$A:$A,{"*REFUND*","*EXECUTED*"},DEALS!$O:$O,$B$163,DEALS!$E:$E,"&gt;="&amp;$C$165,DEALS!$E:$E,"&lt;="&amp;$U$165,DEALS!$S:$S,N$167,DEALS!$U:$U,$K178,DEALS!$V:$V,"&lt;&gt;*RECEIVED*",DEALS!$V:$V,"&lt;&gt;*EXECUTED*"))</f>
        <v>0</v>
      </c>
      <c r="O178" s="29" cm="1">
        <f t="array" ref="O178">SUMIFS(FLOWS!$C:$C,FLOWS!$A:$A,$B$163,FLOWS!$E:$E,$K178,FLOWS!$D:$D,O$167,FLOWS!$H:$H,"&gt;="&amp;$C$165,FLOWS!$H:$H,"&lt;="&amp;$U$165)+SUM(SUMIFS(DEALS!$J:$J,DEALS!$A:$A,{"*REFUND*","*EXECUTED*"},DEALS!$G:$G,$B$163,DEALS!$E:$E,"&gt;="&amp;$C$165,DEALS!$E:$E,"&lt;="&amp;$U$165,DEALS!$K:$K,O$167,DEALS!$M:$M,$K178,DEALS!$N:$N,"&lt;&gt;*RECEIVED*",DEALS!$N:$N,"&lt;&gt;*EXECUTED*"))+SUM(SUMIFS(DEALS!$R:$R,DEALS!$A:$A,{"*REFUND*","*EXECUTED*"},DEALS!$O:$O,$B$163,DEALS!$E:$E,"&gt;="&amp;$C$165,DEALS!$E:$E,"&lt;="&amp;$U$165,DEALS!$S:$S,O$167,DEALS!$U:$U,$K178,DEALS!$V:$V,"&lt;&gt;*RECEIVED*",DEALS!$V:$V,"&lt;&gt;*EXECUTED*"))</f>
        <v>0</v>
      </c>
      <c r="P178" s="29" cm="1">
        <f t="array" ref="P178">SUMIFS(FLOWS!$C:$C,FLOWS!$A:$A,$B$163,FLOWS!$E:$E,$K178,FLOWS!$D:$D,P$167,FLOWS!$H:$H,"&gt;="&amp;$C$165,FLOWS!$H:$H,"&lt;="&amp;$U$165)+SUM(SUMIFS(DEALS!$J:$J,DEALS!$A:$A,{"*REFUND*","*EXECUTED*"},DEALS!$G:$G,$B$163,DEALS!$E:$E,"&gt;="&amp;$C$165,DEALS!$E:$E,"&lt;="&amp;$U$165,DEALS!$K:$K,P$167,DEALS!$M:$M,$K178,DEALS!$N:$N,"&lt;&gt;*RECEIVED*",DEALS!$N:$N,"&lt;&gt;*EXECUTED*"))+SUM(SUMIFS(DEALS!$R:$R,DEALS!$A:$A,{"*REFUND*","*EXECUTED*"},DEALS!$O:$O,$B$163,DEALS!$E:$E,"&gt;="&amp;$C$165,DEALS!$E:$E,"&lt;="&amp;$U$165,DEALS!$S:$S,P$167,DEALS!$U:$U,$K178,DEALS!$V:$V,"&lt;&gt;*RECEIVED*",DEALS!$V:$V,"&lt;&gt;*EXECUTED*"))</f>
        <v>0</v>
      </c>
      <c r="Q178" s="29" cm="1">
        <f t="array" ref="Q178">SUMIFS(FLOWS!$C:$C,FLOWS!$A:$A,$B$163,FLOWS!$E:$E,$K178,FLOWS!$D:$D,Q$167,FLOWS!$H:$H,"&gt;="&amp;$C$165,FLOWS!$H:$H,"&lt;="&amp;$U$165)+SUM(SUMIFS(DEALS!$J:$J,DEALS!$A:$A,{"*REFUND*","*EXECUTED*"},DEALS!$G:$G,$B$163,DEALS!$E:$E,"&gt;="&amp;$C$165,DEALS!$E:$E,"&lt;="&amp;$U$165,DEALS!$K:$K,Q$167,DEALS!$M:$M,$K178,DEALS!$N:$N,"&lt;&gt;*RECEIVED*",DEALS!$N:$N,"&lt;&gt;*EXECUTED*"))+SUM(SUMIFS(DEALS!$R:$R,DEALS!$A:$A,{"*REFUND*","*EXECUTED*"},DEALS!$O:$O,$B$163,DEALS!$E:$E,"&gt;="&amp;$C$165,DEALS!$E:$E,"&lt;="&amp;$U$165,DEALS!$S:$S,Q$167,DEALS!$U:$U,$K178,DEALS!$V:$V,"&lt;&gt;*RECEIVED*",DEALS!$V:$V,"&lt;&gt;*EXECUTED*"))</f>
        <v>0</v>
      </c>
      <c r="R178" s="30">
        <f ca="1">L178*VLOOKUP(L$167,'FX RATES'!$E$1:$F$50,2,FALSE)+M178*VLOOKUP(M$167,'FX RATES'!$E$1:$F$50,2,FALSE)+N178*VLOOKUP(N$167,'FX RATES'!$E$1:$F$50,2,FALSE)+O178*VLOOKUP(O$167,'FX RATES'!$E$1:$F$50,2,FALSE)+P178*VLOOKUP(P$167,'FX RATES'!$E$1:$F$50,2,FALSE)+Q178*VLOOKUP(Q$167,'FX RATES'!$E$1:$F$50,2,FALSE)</f>
        <v>0</v>
      </c>
      <c r="T178" s="28">
        <f>B178</f>
        <v>0</v>
      </c>
      <c r="U178" s="29" cm="1">
        <f t="array" ref="U178">SUMIFS(BALANCES!$C:$C,BALANCES!$A:$A,$B$163,BALANCES!$B:$B,$T178,BALANCES!$D:$D,U$167)+SUMIFS(FLOWS!$C:$C,FLOWS!$A:$A,$B$163,FLOWS!$E:$E,$T178,FLOWS!$D:$D,U$167,FLOWS!$H:$H,"&lt;="&amp;$U$165)+SUM(SUMIFS(DEALS!$J:$J,DEALS!$A:$A,{"*REFUND*","*EXECUTED*"},DEALS!$G:$G,$B$163,DEALS!$E:$E,"&lt;="&amp;$U$165,DEALS!$K:$K,U$167,DEALS!$M:$M,$T178,DEALS!$N:$N,"&lt;&gt;*RECEIVED*",DEALS!$N:$N,"&lt;&gt;*EXECUTED*"))+SUM(SUMIFS(DEALS!$R:$R,DEALS!$A:$A,{"*REFUND*","*EXECUTED*"},DEALS!$O:$O,$B$163,DEALS!$E:$E,"&lt;="&amp;$U$165,DEALS!$S:$S,U$167,DEALS!$U:$U,$T178,DEALS!$V:$V,"&lt;&gt;*RECEIVED*",DEALS!$V:$V,"&lt;&gt;*EXECUTED*"))</f>
        <v>0</v>
      </c>
      <c r="V178" s="29" cm="1">
        <f t="array" ref="V178">SUMIFS(BALANCES!$C:$C,BALANCES!$A:$A,$B$163,BALANCES!$B:$B,$T178,BALANCES!$D:$D,V$167)+SUMIFS(FLOWS!$C:$C,FLOWS!$A:$A,$B$163,FLOWS!$E:$E,$T178,FLOWS!$D:$D,V$167,FLOWS!$H:$H,"&lt;="&amp;$U$165)+SUM(SUMIFS(DEALS!$J:$J,DEALS!$A:$A,{"*REFUND*","*EXECUTED*"},DEALS!$G:$G,$B$163,DEALS!$E:$E,"&lt;="&amp;$U$165,DEALS!$K:$K,V$167,DEALS!$M:$M,$T178,DEALS!$N:$N,"&lt;&gt;*RECEIVED*",DEALS!$N:$N,"&lt;&gt;*EXECUTED*"))+SUM(SUMIFS(DEALS!$R:$R,DEALS!$A:$A,{"*REFUND*","*EXECUTED*"},DEALS!$O:$O,$B$163,DEALS!$E:$E,"&lt;="&amp;$U$165,DEALS!$S:$S,V$167,DEALS!$U:$U,$T178,DEALS!$V:$V,"&lt;&gt;*RECEIVED*",DEALS!$V:$V,"&lt;&gt;*EXECUTED*"))</f>
        <v>0</v>
      </c>
      <c r="W178" s="29" cm="1">
        <f t="array" ref="W178">SUMIFS(BALANCES!$C:$C,BALANCES!$A:$A,$B$163,BALANCES!$B:$B,$T178,BALANCES!$D:$D,W$167)+SUMIFS(FLOWS!$C:$C,FLOWS!$A:$A,$B$163,FLOWS!$E:$E,$T178,FLOWS!$D:$D,W$167,FLOWS!$H:$H,"&lt;="&amp;$U$165)+SUM(SUMIFS(DEALS!$J:$J,DEALS!$A:$A,{"*REFUND*","*EXECUTED*"},DEALS!$G:$G,$B$163,DEALS!$E:$E,"&lt;="&amp;$U$165,DEALS!$K:$K,W$167,DEALS!$M:$M,$T178,DEALS!$N:$N,"&lt;&gt;*RECEIVED*",DEALS!$N:$N,"&lt;&gt;*EXECUTED*"))+SUM(SUMIFS(DEALS!$R:$R,DEALS!$A:$A,{"*REFUND*","*EXECUTED*"},DEALS!$O:$O,$B$163,DEALS!$E:$E,"&lt;="&amp;$U$165,DEALS!$S:$S,W$167,DEALS!$U:$U,$T178,DEALS!$V:$V,"&lt;&gt;*RECEIVED*",DEALS!$V:$V,"&lt;&gt;*EXECUTED*"))</f>
        <v>0</v>
      </c>
      <c r="X178" s="29" cm="1">
        <f t="array" ref="X178">SUMIFS(BALANCES!$C:$C,BALANCES!$A:$A,$B$163,BALANCES!$B:$B,$T178,BALANCES!$D:$D,X$167)+SUMIFS(FLOWS!$C:$C,FLOWS!$A:$A,$B$163,FLOWS!$E:$E,$T178,FLOWS!$D:$D,X$167,FLOWS!$H:$H,"&lt;="&amp;$U$165)+SUM(SUMIFS(DEALS!$J:$J,DEALS!$A:$A,{"*REFUND*","*EXECUTED*"},DEALS!$G:$G,$B$163,DEALS!$E:$E,"&lt;="&amp;$U$165,DEALS!$K:$K,X$167,DEALS!$M:$M,$T178,DEALS!$N:$N,"&lt;&gt;*RECEIVED*",DEALS!$N:$N,"&lt;&gt;*EXECUTED*"))+SUM(SUMIFS(DEALS!$R:$R,DEALS!$A:$A,{"*REFUND*","*EXECUTED*"},DEALS!$O:$O,$B$163,DEALS!$E:$E,"&lt;="&amp;$U$165,DEALS!$S:$S,X$167,DEALS!$U:$U,$T178,DEALS!$V:$V,"&lt;&gt;*RECEIVED*",DEALS!$V:$V,"&lt;&gt;*EXECUTED*"))</f>
        <v>0</v>
      </c>
      <c r="Y178" s="29" cm="1">
        <f t="array" ref="Y178">SUMIFS(BALANCES!$C:$C,BALANCES!$A:$A,$B$163,BALANCES!$B:$B,$T178,BALANCES!$D:$D,Y$167)+SUMIFS(FLOWS!$C:$C,FLOWS!$A:$A,$B$163,FLOWS!$E:$E,$T178,FLOWS!$D:$D,Y$167,FLOWS!$H:$H,"&lt;="&amp;$U$165)+SUM(SUMIFS(DEALS!$J:$J,DEALS!$A:$A,{"*REFUND*","*EXECUTED*"},DEALS!$G:$G,$B$163,DEALS!$E:$E,"&lt;="&amp;$U$165,DEALS!$K:$K,Y$167,DEALS!$M:$M,$T178,DEALS!$N:$N,"&lt;&gt;*RECEIVED*",DEALS!$N:$N,"&lt;&gt;*EXECUTED*"))+SUM(SUMIFS(DEALS!$R:$R,DEALS!$A:$A,{"*REFUND*","*EXECUTED*"},DEALS!$O:$O,$B$163,DEALS!$E:$E,"&lt;="&amp;$U$165,DEALS!$S:$S,Y$167,DEALS!$U:$U,$T178,DEALS!$V:$V,"&lt;&gt;*RECEIVED*",DEALS!$V:$V,"&lt;&gt;*EXECUTED*"))</f>
        <v>0</v>
      </c>
      <c r="Z178" s="29" cm="1">
        <f t="array" ref="Z178">SUMIFS(BALANCES!$C:$C,BALANCES!$A:$A,$B$163,BALANCES!$B:$B,$T178,BALANCES!$D:$D,Z$167)+SUMIFS(FLOWS!$C:$C,FLOWS!$A:$A,$B$163,FLOWS!$E:$E,$T178,FLOWS!$D:$D,Z$167,FLOWS!$H:$H,"&lt;="&amp;$U$165)+SUM(SUMIFS(DEALS!$J:$J,DEALS!$A:$A,{"*REFUND*","*EXECUTED*"},DEALS!$G:$G,$B$163,DEALS!$E:$E,"&lt;="&amp;$U$165,DEALS!$K:$K,Z$167,DEALS!$M:$M,$T178,DEALS!$N:$N,"&lt;&gt;*RECEIVED*",DEALS!$N:$N,"&lt;&gt;*EXECUTED*"))+SUM(SUMIFS(DEALS!$R:$R,DEALS!$A:$A,{"*REFUND*","*EXECUTED*"},DEALS!$O:$O,$B$163,DEALS!$E:$E,"&lt;="&amp;$U$165,DEALS!$S:$S,Z$167,DEALS!$U:$U,$T178,DEALS!$V:$V,"&lt;&gt;*RECEIVED*",DEALS!$V:$V,"&lt;&gt;*EXECUTED*"))</f>
        <v>0</v>
      </c>
      <c r="AA178" s="30">
        <f ca="1">U178*VLOOKUP(U$167,'FX RATES'!$E$1:$F$50,2,FALSE)+V178*VLOOKUP(V$167,'FX RATES'!$E$1:$F$50,2,FALSE)+W178*VLOOKUP(W$167,'FX RATES'!$E$1:$F$50,2,FALSE)+X178*VLOOKUP(X$167,'FX RATES'!$E$1:$F$50,2,FALSE)+Y178*VLOOKUP(Y$167,'FX RATES'!$E$1:$F$50,2,FALSE)+Z178*VLOOKUP(Z$167,'FX RATES'!$E$1:$F$50,2,FALSE)</f>
        <v>0</v>
      </c>
      <c r="AC178" s="139">
        <f ca="1">I178+R178-AA178</f>
        <v>0</v>
      </c>
    </row>
    <row r="179" spans="2:29" ht="19" hidden="1">
      <c r="B179" s="31"/>
      <c r="C179" s="32" cm="1">
        <f t="array" ref="C179">SUMIFS(BALANCES!$C:$C,BALANCES!$A:$A,$B$163,BALANCES!$B:$B,$B179,BALANCES!$D:$D,C$167)+SUMIFS(FLOWS!$C:$C,FLOWS!$A:$A,$B$163,FLOWS!$E:$E,$B179,FLOWS!$D:$D,C$167,FLOWS!$H:$H,"&lt;"&amp;$C$165)+SUM(SUMIFS(DEALS!$J:$J,DEALS!$A:$A,{"*REFUND*","*EXECUTED*"},DEALS!$G:$G,$B$163,DEALS!$E:$E,"&lt;"&amp;$C$165,DEALS!$K:$K,C$167,DEALS!$M:$M,$B179,DEALS!$N:$N,"&lt;&gt;*RECEIVED*",DEALS!$N:$N,"&lt;&gt;*EXECUTED*"))+SUM(SUMIFS(DEALS!$R:$R,DEALS!$A:$A,{"*REFUND*","*EXECUTED*"},DEALS!$O:$O,$B$163,DEALS!$E:$E,"&lt;"&amp;$C$165,DEALS!$S:$S,C$167,DEALS!$U:$U,$B179,DEALS!$V:$V,"&lt;&gt;*RECEIVED*",DEALS!$V:$V,"&lt;&gt;*EXECUTED*"))</f>
        <v>0</v>
      </c>
      <c r="D179" s="32" cm="1">
        <f t="array" ref="D179">SUMIFS(BALANCES!$C:$C,BALANCES!$A:$A,$B$163,BALANCES!$B:$B,$B179,BALANCES!$D:$D,D$167)+SUMIFS(FLOWS!$C:$C,FLOWS!$A:$A,$B$163,FLOWS!$E:$E,$B179,FLOWS!$D:$D,D$167,FLOWS!$H:$H,"&lt;"&amp;$C$165)+SUM(SUMIFS(DEALS!$J:$J,DEALS!$A:$A,{"*REFUND*","*EXECUTED*"},DEALS!$G:$G,$B$163,DEALS!$E:$E,"&lt;"&amp;$C$165,DEALS!$K:$K,D$167,DEALS!$M:$M,$B179,DEALS!$N:$N,"&lt;&gt;*RECEIVED*",DEALS!$N:$N,"&lt;&gt;*EXECUTED*"))+SUM(SUMIFS(DEALS!$R:$R,DEALS!$A:$A,{"*REFUND*","*EXECUTED*"},DEALS!$O:$O,$B$163,DEALS!$E:$E,"&lt;"&amp;$C$165,DEALS!$S:$S,D$167,DEALS!$U:$U,$B179,DEALS!$V:$V,"&lt;&gt;*RECEIVED*",DEALS!$V:$V,"&lt;&gt;*EXECUTED*"))</f>
        <v>0</v>
      </c>
      <c r="E179" s="32" cm="1">
        <f t="array" ref="E179">SUMIFS(BALANCES!$C:$C,BALANCES!$A:$A,$B$163,BALANCES!$B:$B,$B179,BALANCES!$D:$D,E$167)+SUMIFS(FLOWS!$C:$C,FLOWS!$A:$A,$B$163,FLOWS!$E:$E,$B179,FLOWS!$D:$D,E$167,FLOWS!$H:$H,"&lt;"&amp;$C$165)+SUM(SUMIFS(DEALS!$J:$J,DEALS!$A:$A,{"*REFUND*","*EXECUTED*"},DEALS!$G:$G,$B$163,DEALS!$E:$E,"&lt;"&amp;$C$165,DEALS!$K:$K,E$167,DEALS!$M:$M,$B179,DEALS!$N:$N,"&lt;&gt;*RECEIVED*",DEALS!$N:$N,"&lt;&gt;*EXECUTED*"))+SUM(SUMIFS(DEALS!$R:$R,DEALS!$A:$A,{"*REFUND*","*EXECUTED*"},DEALS!$O:$O,$B$163,DEALS!$E:$E,"&lt;"&amp;$C$165,DEALS!$S:$S,E$167,DEALS!$U:$U,$B179,DEALS!$V:$V,"&lt;&gt;*RECEIVED*",DEALS!$V:$V,"&lt;&gt;*EXECUTED*"))</f>
        <v>0</v>
      </c>
      <c r="F179" s="32" cm="1">
        <f t="array" ref="F179">SUMIFS(BALANCES!$C:$C,BALANCES!$A:$A,$B$163,BALANCES!$B:$B,$B179,BALANCES!$D:$D,F$167)+SUMIFS(FLOWS!$C:$C,FLOWS!$A:$A,$B$163,FLOWS!$E:$E,$B179,FLOWS!$D:$D,F$167,FLOWS!$H:$H,"&lt;"&amp;$C$165)+SUM(SUMIFS(DEALS!$J:$J,DEALS!$A:$A,{"*REFUND*","*EXECUTED*"},DEALS!$G:$G,$B$163,DEALS!$E:$E,"&lt;"&amp;$C$165,DEALS!$K:$K,F$167,DEALS!$M:$M,$B179,DEALS!$N:$N,"&lt;&gt;*RECEIVED*",DEALS!$N:$N,"&lt;&gt;*EXECUTED*"))+SUM(SUMIFS(DEALS!$R:$R,DEALS!$A:$A,{"*REFUND*","*EXECUTED*"},DEALS!$O:$O,$B$163,DEALS!$E:$E,"&lt;"&amp;$C$165,DEALS!$S:$S,F$167,DEALS!$U:$U,$B179,DEALS!$V:$V,"&lt;&gt;*RECEIVED*",DEALS!$V:$V,"&lt;&gt;*EXECUTED*"))</f>
        <v>0</v>
      </c>
      <c r="G179" s="32" cm="1">
        <f t="array" ref="G179">SUMIFS(BALANCES!$C:$C,BALANCES!$A:$A,$B$163,BALANCES!$B:$B,$B179,BALANCES!$D:$D,G$167)+SUMIFS(FLOWS!$C:$C,FLOWS!$A:$A,$B$163,FLOWS!$E:$E,$B179,FLOWS!$D:$D,G$167,FLOWS!$H:$H,"&lt;"&amp;$C$165)+SUM(SUMIFS(DEALS!$J:$J,DEALS!$A:$A,{"*REFUND*","*EXECUTED*"},DEALS!$G:$G,$B$163,DEALS!$E:$E,"&lt;"&amp;$C$165,DEALS!$K:$K,G$167,DEALS!$M:$M,$B179,DEALS!$N:$N,"&lt;&gt;*RECEIVED*",DEALS!$N:$N,"&lt;&gt;*EXECUTED*"))+SUM(SUMIFS(DEALS!$R:$R,DEALS!$A:$A,{"*REFUND*","*EXECUTED*"},DEALS!$O:$O,$B$163,DEALS!$E:$E,"&lt;"&amp;$C$165,DEALS!$S:$S,G$167,DEALS!$U:$U,$B179,DEALS!$V:$V,"&lt;&gt;*RECEIVED*",DEALS!$V:$V,"&lt;&gt;*EXECUTED*"))</f>
        <v>0</v>
      </c>
      <c r="H179" s="32" cm="1">
        <f t="array" ref="H179">SUMIFS(BALANCES!$C:$C,BALANCES!$A:$A,$B$163,BALANCES!$B:$B,$B179,BALANCES!$D:$D,H$167)+SUMIFS(FLOWS!$C:$C,FLOWS!$A:$A,$B$163,FLOWS!$E:$E,$B179,FLOWS!$D:$D,H$167,FLOWS!$H:$H,"&lt;"&amp;$C$165)+SUM(SUMIFS(DEALS!$J:$J,DEALS!$A:$A,{"*REFUND*","*EXECUTED*"},DEALS!$G:$G,$B$163,DEALS!$E:$E,"&lt;"&amp;$C$165,DEALS!$K:$K,H$167,DEALS!$M:$M,$B179,DEALS!$N:$N,"&lt;&gt;*RECEIVED*",DEALS!$N:$N,"&lt;&gt;*EXECUTED*"))+SUM(SUMIFS(DEALS!$R:$R,DEALS!$A:$A,{"*REFUND*","*EXECUTED*"},DEALS!$O:$O,$B$163,DEALS!$E:$E,"&lt;"&amp;$C$165,DEALS!$S:$S,H$167,DEALS!$U:$U,$B179,DEALS!$V:$V,"&lt;&gt;*RECEIVED*",DEALS!$V:$V,"&lt;&gt;*EXECUTED*"))</f>
        <v>0</v>
      </c>
      <c r="I179" s="33">
        <f ca="1">C179*VLOOKUP(C$167,'FX RATES'!$E$1:$F$50,2,FALSE)+D179*VLOOKUP(D$167,'FX RATES'!$E$1:$F$50,2,FALSE)+E179*VLOOKUP(E$167,'FX RATES'!$E$1:$F$50,2,FALSE)+F179*VLOOKUP(F$167,'FX RATES'!$E$1:$F$50,2,FALSE)+G179*VLOOKUP(G$167,'FX RATES'!$E$1:$F$50,2,FALSE)+H179*VLOOKUP(H$167,'FX RATES'!$E$1:$F$50,2,FALSE)</f>
        <v>0</v>
      </c>
      <c r="K179" s="31">
        <f t="shared" si="59"/>
        <v>0</v>
      </c>
      <c r="L179" s="32" cm="1">
        <f t="array" ref="L179">SUMIFS(FLOWS!$C:$C,FLOWS!$A:$A,$B$163,FLOWS!$E:$E,$K179,FLOWS!$D:$D,L$167,FLOWS!$H:$H,"&gt;="&amp;$C$165,FLOWS!$H:$H,"&lt;="&amp;$U$165)+SUM(SUMIFS(DEALS!$J:$J,DEALS!$A:$A,{"*REFUND*","*EXECUTED*"},DEALS!$G:$G,$B$163,DEALS!$E:$E,"&gt;="&amp;$C$165,DEALS!$E:$E,"&lt;="&amp;$U$165,DEALS!$K:$K,L$167,DEALS!$M:$M,$K179,DEALS!$N:$N,"&lt;&gt;*RECEIVED*",DEALS!$N:$N,"&lt;&gt;*EXECUTED*"))+SUM(SUMIFS(DEALS!$R:$R,DEALS!$A:$A,{"*REFUND*","*EXECUTED*"},DEALS!$O:$O,$B$163,DEALS!$E:$E,"&gt;="&amp;$C$165,DEALS!$E:$E,"&lt;="&amp;$U$165,DEALS!$S:$S,L$167,DEALS!$U:$U,$K179,DEALS!$V:$V,"&lt;&gt;*RECEIVED*",DEALS!$V:$V,"&lt;&gt;*EXECUTED*"))</f>
        <v>0</v>
      </c>
      <c r="M179" s="32" cm="1">
        <f t="array" ref="M179">SUMIFS(FLOWS!$C:$C,FLOWS!$A:$A,$B$163,FLOWS!$E:$E,$K179,FLOWS!$D:$D,M$167,FLOWS!$H:$H,"&gt;="&amp;$C$165,FLOWS!$H:$H,"&lt;="&amp;$U$165)+SUM(SUMIFS(DEALS!$J:$J,DEALS!$A:$A,{"*REFUND*","*EXECUTED*"},DEALS!$G:$G,$B$163,DEALS!$E:$E,"&gt;="&amp;$C$165,DEALS!$E:$E,"&lt;="&amp;$U$165,DEALS!$K:$K,M$167,DEALS!$M:$M,$K179,DEALS!$N:$N,"&lt;&gt;*RECEIVED*",DEALS!$N:$N,"&lt;&gt;*EXECUTED*"))+SUM(SUMIFS(DEALS!$R:$R,DEALS!$A:$A,{"*REFUND*","*EXECUTED*"},DEALS!$O:$O,$B$163,DEALS!$E:$E,"&gt;="&amp;$C$165,DEALS!$E:$E,"&lt;="&amp;$U$165,DEALS!$S:$S,M$167,DEALS!$U:$U,$K179,DEALS!$V:$V,"&lt;&gt;*RECEIVED*",DEALS!$V:$V,"&lt;&gt;*EXECUTED*"))</f>
        <v>0</v>
      </c>
      <c r="N179" s="32" cm="1">
        <f t="array" ref="N179">SUMIFS(FLOWS!$C:$C,FLOWS!$A:$A,$B$163,FLOWS!$E:$E,$K179,FLOWS!$D:$D,N$167,FLOWS!$H:$H,"&gt;="&amp;$C$165,FLOWS!$H:$H,"&lt;="&amp;$U$165)+SUM(SUMIFS(DEALS!$J:$J,DEALS!$A:$A,{"*REFUND*","*EXECUTED*"},DEALS!$G:$G,$B$163,DEALS!$E:$E,"&gt;="&amp;$C$165,DEALS!$E:$E,"&lt;="&amp;$U$165,DEALS!$K:$K,N$167,DEALS!$M:$M,$K179,DEALS!$N:$N,"&lt;&gt;*RECEIVED*",DEALS!$N:$N,"&lt;&gt;*EXECUTED*"))+SUM(SUMIFS(DEALS!$R:$R,DEALS!$A:$A,{"*REFUND*","*EXECUTED*"},DEALS!$O:$O,$B$163,DEALS!$E:$E,"&gt;="&amp;$C$165,DEALS!$E:$E,"&lt;="&amp;$U$165,DEALS!$S:$S,N$167,DEALS!$U:$U,$K179,DEALS!$V:$V,"&lt;&gt;*RECEIVED*",DEALS!$V:$V,"&lt;&gt;*EXECUTED*"))</f>
        <v>0</v>
      </c>
      <c r="O179" s="32" cm="1">
        <f t="array" ref="O179">SUMIFS(FLOWS!$C:$C,FLOWS!$A:$A,$B$163,FLOWS!$E:$E,$K179,FLOWS!$D:$D,O$167,FLOWS!$H:$H,"&gt;="&amp;$C$165,FLOWS!$H:$H,"&lt;="&amp;$U$165)+SUM(SUMIFS(DEALS!$J:$J,DEALS!$A:$A,{"*REFUND*","*EXECUTED*"},DEALS!$G:$G,$B$163,DEALS!$E:$E,"&gt;="&amp;$C$165,DEALS!$E:$E,"&lt;="&amp;$U$165,DEALS!$K:$K,O$167,DEALS!$M:$M,$K179,DEALS!$N:$N,"&lt;&gt;*RECEIVED*",DEALS!$N:$N,"&lt;&gt;*EXECUTED*"))+SUM(SUMIFS(DEALS!$R:$R,DEALS!$A:$A,{"*REFUND*","*EXECUTED*"},DEALS!$O:$O,$B$163,DEALS!$E:$E,"&gt;="&amp;$C$165,DEALS!$E:$E,"&lt;="&amp;$U$165,DEALS!$S:$S,O$167,DEALS!$U:$U,$K179,DEALS!$V:$V,"&lt;&gt;*RECEIVED*",DEALS!$V:$V,"&lt;&gt;*EXECUTED*"))</f>
        <v>0</v>
      </c>
      <c r="P179" s="32" cm="1">
        <f t="array" ref="P179">SUMIFS(FLOWS!$C:$C,FLOWS!$A:$A,$B$163,FLOWS!$E:$E,$K179,FLOWS!$D:$D,P$167,FLOWS!$H:$H,"&gt;="&amp;$C$165,FLOWS!$H:$H,"&lt;="&amp;$U$165)+SUM(SUMIFS(DEALS!$J:$J,DEALS!$A:$A,{"*REFUND*","*EXECUTED*"},DEALS!$G:$G,$B$163,DEALS!$E:$E,"&gt;="&amp;$C$165,DEALS!$E:$E,"&lt;="&amp;$U$165,DEALS!$K:$K,P$167,DEALS!$M:$M,$K179,DEALS!$N:$N,"&lt;&gt;*RECEIVED*",DEALS!$N:$N,"&lt;&gt;*EXECUTED*"))+SUM(SUMIFS(DEALS!$R:$R,DEALS!$A:$A,{"*REFUND*","*EXECUTED*"},DEALS!$O:$O,$B$163,DEALS!$E:$E,"&gt;="&amp;$C$165,DEALS!$E:$E,"&lt;="&amp;$U$165,DEALS!$S:$S,P$167,DEALS!$U:$U,$K179,DEALS!$V:$V,"&lt;&gt;*RECEIVED*",DEALS!$V:$V,"&lt;&gt;*EXECUTED*"))</f>
        <v>0</v>
      </c>
      <c r="Q179" s="32" cm="1">
        <f t="array" ref="Q179">SUMIFS(FLOWS!$C:$C,FLOWS!$A:$A,$B$163,FLOWS!$E:$E,$K179,FLOWS!$D:$D,Q$167,FLOWS!$H:$H,"&gt;="&amp;$C$165,FLOWS!$H:$H,"&lt;="&amp;$U$165)+SUM(SUMIFS(DEALS!$J:$J,DEALS!$A:$A,{"*REFUND*","*EXECUTED*"},DEALS!$G:$G,$B$163,DEALS!$E:$E,"&gt;="&amp;$C$165,DEALS!$E:$E,"&lt;="&amp;$U$165,DEALS!$K:$K,Q$167,DEALS!$M:$M,$K179,DEALS!$N:$N,"&lt;&gt;*RECEIVED*",DEALS!$N:$N,"&lt;&gt;*EXECUTED*"))+SUM(SUMIFS(DEALS!$R:$R,DEALS!$A:$A,{"*REFUND*","*EXECUTED*"},DEALS!$O:$O,$B$163,DEALS!$E:$E,"&gt;="&amp;$C$165,DEALS!$E:$E,"&lt;="&amp;$U$165,DEALS!$S:$S,Q$167,DEALS!$U:$U,$K179,DEALS!$V:$V,"&lt;&gt;*RECEIVED*",DEALS!$V:$V,"&lt;&gt;*EXECUTED*"))</f>
        <v>0</v>
      </c>
      <c r="R179" s="33">
        <f ca="1">L179*VLOOKUP(L$167,'FX RATES'!$E$1:$F$50,2,FALSE)+M179*VLOOKUP(M$167,'FX RATES'!$E$1:$F$50,2,FALSE)+N179*VLOOKUP(N$167,'FX RATES'!$E$1:$F$50,2,FALSE)+O179*VLOOKUP(O$167,'FX RATES'!$E$1:$F$50,2,FALSE)+P179*VLOOKUP(P$167,'FX RATES'!$E$1:$F$50,2,FALSE)+Q179*VLOOKUP(Q$167,'FX RATES'!$E$1:$F$50,2,FALSE)</f>
        <v>0</v>
      </c>
      <c r="T179" s="31">
        <f t="shared" si="60"/>
        <v>0</v>
      </c>
      <c r="U179" s="32" cm="1">
        <f t="array" ref="U179">SUMIFS(BALANCES!$C:$C,BALANCES!$A:$A,$B$163,BALANCES!$B:$B,$T179,BALANCES!$D:$D,U$167)+SUMIFS(FLOWS!$C:$C,FLOWS!$A:$A,$B$163,FLOWS!$E:$E,$T179,FLOWS!$D:$D,U$167,FLOWS!$H:$H,"&lt;="&amp;$U$165)+SUM(SUMIFS(DEALS!$J:$J,DEALS!$A:$A,{"*REFUND*","*EXECUTED*"},DEALS!$G:$G,$B$163,DEALS!$E:$E,"&lt;="&amp;$U$165,DEALS!$K:$K,U$167,DEALS!$M:$M,$T179,DEALS!$N:$N,"&lt;&gt;*RECEIVED*",DEALS!$N:$N,"&lt;&gt;*EXECUTED*"))+SUM(SUMIFS(DEALS!$R:$R,DEALS!$A:$A,{"*REFUND*","*EXECUTED*"},DEALS!$O:$O,$B$163,DEALS!$E:$E,"&lt;="&amp;$U$165,DEALS!$S:$S,U$167,DEALS!$U:$U,$T179,DEALS!$V:$V,"&lt;&gt;*RECEIVED*",DEALS!$V:$V,"&lt;&gt;*EXECUTED*"))</f>
        <v>0</v>
      </c>
      <c r="V179" s="32" cm="1">
        <f t="array" ref="V179">SUMIFS(BALANCES!$C:$C,BALANCES!$A:$A,$B$163,BALANCES!$B:$B,$T179,BALANCES!$D:$D,V$167)+SUMIFS(FLOWS!$C:$C,FLOWS!$A:$A,$B$163,FLOWS!$E:$E,$T179,FLOWS!$D:$D,V$167,FLOWS!$H:$H,"&lt;="&amp;$U$165)+SUM(SUMIFS(DEALS!$J:$J,DEALS!$A:$A,{"*REFUND*","*EXECUTED*"},DEALS!$G:$G,$B$163,DEALS!$E:$E,"&lt;="&amp;$U$165,DEALS!$K:$K,V$167,DEALS!$M:$M,$T179,DEALS!$N:$N,"&lt;&gt;*RECEIVED*",DEALS!$N:$N,"&lt;&gt;*EXECUTED*"))+SUM(SUMIFS(DEALS!$R:$R,DEALS!$A:$A,{"*REFUND*","*EXECUTED*"},DEALS!$O:$O,$B$163,DEALS!$E:$E,"&lt;="&amp;$U$165,DEALS!$S:$S,V$167,DEALS!$U:$U,$T179,DEALS!$V:$V,"&lt;&gt;*RECEIVED*",DEALS!$V:$V,"&lt;&gt;*EXECUTED*"))</f>
        <v>0</v>
      </c>
      <c r="W179" s="32" cm="1">
        <f t="array" ref="W179">SUMIFS(BALANCES!$C:$C,BALANCES!$A:$A,$B$163,BALANCES!$B:$B,$T179,BALANCES!$D:$D,W$167)+SUMIFS(FLOWS!$C:$C,FLOWS!$A:$A,$B$163,FLOWS!$E:$E,$T179,FLOWS!$D:$D,W$167,FLOWS!$H:$H,"&lt;="&amp;$U$165)+SUM(SUMIFS(DEALS!$J:$J,DEALS!$A:$A,{"*REFUND*","*EXECUTED*"},DEALS!$G:$G,$B$163,DEALS!$E:$E,"&lt;="&amp;$U$165,DEALS!$K:$K,W$167,DEALS!$M:$M,$T179,DEALS!$N:$N,"&lt;&gt;*RECEIVED*",DEALS!$N:$N,"&lt;&gt;*EXECUTED*"))+SUM(SUMIFS(DEALS!$R:$R,DEALS!$A:$A,{"*REFUND*","*EXECUTED*"},DEALS!$O:$O,$B$163,DEALS!$E:$E,"&lt;="&amp;$U$165,DEALS!$S:$S,W$167,DEALS!$U:$U,$T179,DEALS!$V:$V,"&lt;&gt;*RECEIVED*",DEALS!$V:$V,"&lt;&gt;*EXECUTED*"))</f>
        <v>0</v>
      </c>
      <c r="X179" s="32" cm="1">
        <f t="array" ref="X179">SUMIFS(BALANCES!$C:$C,BALANCES!$A:$A,$B$163,BALANCES!$B:$B,$T179,BALANCES!$D:$D,X$167)+SUMIFS(FLOWS!$C:$C,FLOWS!$A:$A,$B$163,FLOWS!$E:$E,$T179,FLOWS!$D:$D,X$167,FLOWS!$H:$H,"&lt;="&amp;$U$165)+SUM(SUMIFS(DEALS!$J:$J,DEALS!$A:$A,{"*REFUND*","*EXECUTED*"},DEALS!$G:$G,$B$163,DEALS!$E:$E,"&lt;="&amp;$U$165,DEALS!$K:$K,X$167,DEALS!$M:$M,$T179,DEALS!$N:$N,"&lt;&gt;*RECEIVED*",DEALS!$N:$N,"&lt;&gt;*EXECUTED*"))+SUM(SUMIFS(DEALS!$R:$R,DEALS!$A:$A,{"*REFUND*","*EXECUTED*"},DEALS!$O:$O,$B$163,DEALS!$E:$E,"&lt;="&amp;$U$165,DEALS!$S:$S,X$167,DEALS!$U:$U,$T179,DEALS!$V:$V,"&lt;&gt;*RECEIVED*",DEALS!$V:$V,"&lt;&gt;*EXECUTED*"))</f>
        <v>0</v>
      </c>
      <c r="Y179" s="32" cm="1">
        <f t="array" ref="Y179">SUMIFS(BALANCES!$C:$C,BALANCES!$A:$A,$B$163,BALANCES!$B:$B,$T179,BALANCES!$D:$D,Y$167)+SUMIFS(FLOWS!$C:$C,FLOWS!$A:$A,$B$163,FLOWS!$E:$E,$T179,FLOWS!$D:$D,Y$167,FLOWS!$H:$H,"&lt;="&amp;$U$165)+SUM(SUMIFS(DEALS!$J:$J,DEALS!$A:$A,{"*REFUND*","*EXECUTED*"},DEALS!$G:$G,$B$163,DEALS!$E:$E,"&lt;="&amp;$U$165,DEALS!$K:$K,Y$167,DEALS!$M:$M,$T179,DEALS!$N:$N,"&lt;&gt;*RECEIVED*",DEALS!$N:$N,"&lt;&gt;*EXECUTED*"))+SUM(SUMIFS(DEALS!$R:$R,DEALS!$A:$A,{"*REFUND*","*EXECUTED*"},DEALS!$O:$O,$B$163,DEALS!$E:$E,"&lt;="&amp;$U$165,DEALS!$S:$S,Y$167,DEALS!$U:$U,$T179,DEALS!$V:$V,"&lt;&gt;*RECEIVED*",DEALS!$V:$V,"&lt;&gt;*EXECUTED*"))</f>
        <v>0</v>
      </c>
      <c r="Z179" s="32" cm="1">
        <f t="array" ref="Z179">SUMIFS(BALANCES!$C:$C,BALANCES!$A:$A,$B$163,BALANCES!$B:$B,$T179,BALANCES!$D:$D,Z$167)+SUMIFS(FLOWS!$C:$C,FLOWS!$A:$A,$B$163,FLOWS!$E:$E,$T179,FLOWS!$D:$D,Z$167,FLOWS!$H:$H,"&lt;="&amp;$U$165)+SUM(SUMIFS(DEALS!$J:$J,DEALS!$A:$A,{"*REFUND*","*EXECUTED*"},DEALS!$G:$G,$B$163,DEALS!$E:$E,"&lt;="&amp;$U$165,DEALS!$K:$K,Z$167,DEALS!$M:$M,$T179,DEALS!$N:$N,"&lt;&gt;*RECEIVED*",DEALS!$N:$N,"&lt;&gt;*EXECUTED*"))+SUM(SUMIFS(DEALS!$R:$R,DEALS!$A:$A,{"*REFUND*","*EXECUTED*"},DEALS!$O:$O,$B$163,DEALS!$E:$E,"&lt;="&amp;$U$165,DEALS!$S:$S,Z$167,DEALS!$U:$U,$T179,DEALS!$V:$V,"&lt;&gt;*RECEIVED*",DEALS!$V:$V,"&lt;&gt;*EXECUTED*"))</f>
        <v>0</v>
      </c>
      <c r="AA179" s="33">
        <f ca="1">U179*VLOOKUP(U$167,'FX RATES'!$E$1:$F$50,2,FALSE)+V179*VLOOKUP(V$167,'FX RATES'!$E$1:$F$50,2,FALSE)+W179*VLOOKUP(W$167,'FX RATES'!$E$1:$F$50,2,FALSE)+X179*VLOOKUP(X$167,'FX RATES'!$E$1:$F$50,2,FALSE)+Y179*VLOOKUP(Y$167,'FX RATES'!$E$1:$F$50,2,FALSE)+Z179*VLOOKUP(Z$167,'FX RATES'!$E$1:$F$50,2,FALSE)</f>
        <v>0</v>
      </c>
      <c r="AC179" s="139">
        <f t="shared" ca="1" si="61"/>
        <v>0</v>
      </c>
    </row>
    <row r="180" spans="2:29" ht="19" hidden="1">
      <c r="B180" s="28"/>
      <c r="C180" s="29" cm="1">
        <f t="array" ref="C180">SUMIFS(BALANCES!$C:$C,BALANCES!$A:$A,$B$163,BALANCES!$B:$B,$B180,BALANCES!$D:$D,C$167)+SUMIFS(FLOWS!$C:$C,FLOWS!$A:$A,$B$163,FLOWS!$E:$E,$B180,FLOWS!$D:$D,C$167,FLOWS!$H:$H,"&lt;"&amp;$C$165)+SUM(SUMIFS(DEALS!$J:$J,DEALS!$A:$A,{"*REFUND*","*EXECUTED*"},DEALS!$G:$G,$B$163,DEALS!$E:$E,"&lt;"&amp;$C$165,DEALS!$K:$K,C$167,DEALS!$M:$M,$B180,DEALS!$N:$N,"&lt;&gt;*RECEIVED*",DEALS!$N:$N,"&lt;&gt;*EXECUTED*"))+SUM(SUMIFS(DEALS!$R:$R,DEALS!$A:$A,{"*REFUND*","*EXECUTED*"},DEALS!$O:$O,$B$163,DEALS!$E:$E,"&lt;"&amp;$C$165,DEALS!$S:$S,C$167,DEALS!$U:$U,$B180,DEALS!$V:$V,"&lt;&gt;*RECEIVED*",DEALS!$V:$V,"&lt;&gt;*EXECUTED*"))</f>
        <v>0</v>
      </c>
      <c r="D180" s="29" cm="1">
        <f t="array" ref="D180">SUMIFS(BALANCES!$C:$C,BALANCES!$A:$A,$B$163,BALANCES!$B:$B,$B180,BALANCES!$D:$D,D$167)+SUMIFS(FLOWS!$C:$C,FLOWS!$A:$A,$B$163,FLOWS!$E:$E,$B180,FLOWS!$D:$D,D$167,FLOWS!$H:$H,"&lt;"&amp;$C$165)+SUM(SUMIFS(DEALS!$J:$J,DEALS!$A:$A,{"*REFUND*","*EXECUTED*"},DEALS!$G:$G,$B$163,DEALS!$E:$E,"&lt;"&amp;$C$165,DEALS!$K:$K,D$167,DEALS!$M:$M,$B180,DEALS!$N:$N,"&lt;&gt;*RECEIVED*",DEALS!$N:$N,"&lt;&gt;*EXECUTED*"))+SUM(SUMIFS(DEALS!$R:$R,DEALS!$A:$A,{"*REFUND*","*EXECUTED*"},DEALS!$O:$O,$B$163,DEALS!$E:$E,"&lt;"&amp;$C$165,DEALS!$S:$S,D$167,DEALS!$U:$U,$B180,DEALS!$V:$V,"&lt;&gt;*RECEIVED*",DEALS!$V:$V,"&lt;&gt;*EXECUTED*"))</f>
        <v>0</v>
      </c>
      <c r="E180" s="29" cm="1">
        <f t="array" ref="E180">SUMIFS(BALANCES!$C:$C,BALANCES!$A:$A,$B$163,BALANCES!$B:$B,$B180,BALANCES!$D:$D,E$167)+SUMIFS(FLOWS!$C:$C,FLOWS!$A:$A,$B$163,FLOWS!$E:$E,$B180,FLOWS!$D:$D,E$167,FLOWS!$H:$H,"&lt;"&amp;$C$165)+SUM(SUMIFS(DEALS!$J:$J,DEALS!$A:$A,{"*REFUND*","*EXECUTED*"},DEALS!$G:$G,$B$163,DEALS!$E:$E,"&lt;"&amp;$C$165,DEALS!$K:$K,E$167,DEALS!$M:$M,$B180,DEALS!$N:$N,"&lt;&gt;*RECEIVED*",DEALS!$N:$N,"&lt;&gt;*EXECUTED*"))+SUM(SUMIFS(DEALS!$R:$R,DEALS!$A:$A,{"*REFUND*","*EXECUTED*"},DEALS!$O:$O,$B$163,DEALS!$E:$E,"&lt;"&amp;$C$165,DEALS!$S:$S,E$167,DEALS!$U:$U,$B180,DEALS!$V:$V,"&lt;&gt;*RECEIVED*",DEALS!$V:$V,"&lt;&gt;*EXECUTED*"))</f>
        <v>0</v>
      </c>
      <c r="F180" s="29" cm="1">
        <f t="array" ref="F180">SUMIFS(BALANCES!$C:$C,BALANCES!$A:$A,$B$163,BALANCES!$B:$B,$B180,BALANCES!$D:$D,F$167)+SUMIFS(FLOWS!$C:$C,FLOWS!$A:$A,$B$163,FLOWS!$E:$E,$B180,FLOWS!$D:$D,F$167,FLOWS!$H:$H,"&lt;"&amp;$C$165)+SUM(SUMIFS(DEALS!$J:$J,DEALS!$A:$A,{"*REFUND*","*EXECUTED*"},DEALS!$G:$G,$B$163,DEALS!$E:$E,"&lt;"&amp;$C$165,DEALS!$K:$K,F$167,DEALS!$M:$M,$B180,DEALS!$N:$N,"&lt;&gt;*RECEIVED*",DEALS!$N:$N,"&lt;&gt;*EXECUTED*"))+SUM(SUMIFS(DEALS!$R:$R,DEALS!$A:$A,{"*REFUND*","*EXECUTED*"},DEALS!$O:$O,$B$163,DEALS!$E:$E,"&lt;"&amp;$C$165,DEALS!$S:$S,F$167,DEALS!$U:$U,$B180,DEALS!$V:$V,"&lt;&gt;*RECEIVED*",DEALS!$V:$V,"&lt;&gt;*EXECUTED*"))</f>
        <v>0</v>
      </c>
      <c r="G180" s="29" cm="1">
        <f t="array" ref="G180">SUMIFS(BALANCES!$C:$C,BALANCES!$A:$A,$B$163,BALANCES!$B:$B,$B180,BALANCES!$D:$D,G$167)+SUMIFS(FLOWS!$C:$C,FLOWS!$A:$A,$B$163,FLOWS!$E:$E,$B180,FLOWS!$D:$D,G$167,FLOWS!$H:$H,"&lt;"&amp;$C$165)+SUM(SUMIFS(DEALS!$J:$J,DEALS!$A:$A,{"*REFUND*","*EXECUTED*"},DEALS!$G:$G,$B$163,DEALS!$E:$E,"&lt;"&amp;$C$165,DEALS!$K:$K,G$167,DEALS!$M:$M,$B180,DEALS!$N:$N,"&lt;&gt;*RECEIVED*",DEALS!$N:$N,"&lt;&gt;*EXECUTED*"))+SUM(SUMIFS(DEALS!$R:$R,DEALS!$A:$A,{"*REFUND*","*EXECUTED*"},DEALS!$O:$O,$B$163,DEALS!$E:$E,"&lt;"&amp;$C$165,DEALS!$S:$S,G$167,DEALS!$U:$U,$B180,DEALS!$V:$V,"&lt;&gt;*RECEIVED*",DEALS!$V:$V,"&lt;&gt;*EXECUTED*"))</f>
        <v>0</v>
      </c>
      <c r="H180" s="29" cm="1">
        <f t="array" ref="H180">SUMIFS(BALANCES!$C:$C,BALANCES!$A:$A,$B$163,BALANCES!$B:$B,$B180,BALANCES!$D:$D,H$167)+SUMIFS(FLOWS!$C:$C,FLOWS!$A:$A,$B$163,FLOWS!$E:$E,$B180,FLOWS!$D:$D,H$167,FLOWS!$H:$H,"&lt;"&amp;$C$165)+SUM(SUMIFS(DEALS!$J:$J,DEALS!$A:$A,{"*REFUND*","*EXECUTED*"},DEALS!$G:$G,$B$163,DEALS!$E:$E,"&lt;"&amp;$C$165,DEALS!$K:$K,H$167,DEALS!$M:$M,$B180,DEALS!$N:$N,"&lt;&gt;*RECEIVED*",DEALS!$N:$N,"&lt;&gt;*EXECUTED*"))+SUM(SUMIFS(DEALS!$R:$R,DEALS!$A:$A,{"*REFUND*","*EXECUTED*"},DEALS!$O:$O,$B$163,DEALS!$E:$E,"&lt;"&amp;$C$165,DEALS!$S:$S,H$167,DEALS!$U:$U,$B180,DEALS!$V:$V,"&lt;&gt;*RECEIVED*",DEALS!$V:$V,"&lt;&gt;*EXECUTED*"))</f>
        <v>0</v>
      </c>
      <c r="I180" s="30">
        <f ca="1">C180*VLOOKUP(C$167,'FX RATES'!$E$1:$F$50,2,FALSE)+D180*VLOOKUP(D$167,'FX RATES'!$E$1:$F$50,2,FALSE)+E180*VLOOKUP(E$167,'FX RATES'!$E$1:$F$50,2,FALSE)+F180*VLOOKUP(F$167,'FX RATES'!$E$1:$F$50,2,FALSE)+G180*VLOOKUP(G$167,'FX RATES'!$E$1:$F$50,2,FALSE)+H180*VLOOKUP(H$167,'FX RATES'!$E$1:$F$50,2,FALSE)</f>
        <v>0</v>
      </c>
      <c r="J180" s="18"/>
      <c r="K180" s="28">
        <f t="shared" si="59"/>
        <v>0</v>
      </c>
      <c r="L180" s="29" cm="1">
        <f t="array" ref="L180">SUMIFS(FLOWS!$C:$C,FLOWS!$A:$A,$B$163,FLOWS!$E:$E,$K180,FLOWS!$D:$D,L$167,FLOWS!$H:$H,"&gt;="&amp;$C$165,FLOWS!$H:$H,"&lt;="&amp;$U$165)+SUM(SUMIFS(DEALS!$J:$J,DEALS!$A:$A,{"*REFUND*","*EXECUTED*"},DEALS!$G:$G,$B$163,DEALS!$E:$E,"&gt;="&amp;$C$165,DEALS!$E:$E,"&lt;="&amp;$U$165,DEALS!$K:$K,L$167,DEALS!$M:$M,$K180,DEALS!$N:$N,"&lt;&gt;*RECEIVED*",DEALS!$N:$N,"&lt;&gt;*EXECUTED*"))+SUM(SUMIFS(DEALS!$R:$R,DEALS!$A:$A,{"*REFUND*","*EXECUTED*"},DEALS!$O:$O,$B$163,DEALS!$E:$E,"&gt;="&amp;$C$165,DEALS!$E:$E,"&lt;="&amp;$U$165,DEALS!$S:$S,L$167,DEALS!$U:$U,$K180,DEALS!$V:$V,"&lt;&gt;*RECEIVED*",DEALS!$V:$V,"&lt;&gt;*EXECUTED*"))</f>
        <v>0</v>
      </c>
      <c r="M180" s="29" cm="1">
        <f t="array" ref="M180">SUMIFS(FLOWS!$C:$C,FLOWS!$A:$A,$B$163,FLOWS!$E:$E,$K180,FLOWS!$D:$D,M$167,FLOWS!$H:$H,"&gt;="&amp;$C$165,FLOWS!$H:$H,"&lt;="&amp;$U$165)+SUM(SUMIFS(DEALS!$J:$J,DEALS!$A:$A,{"*REFUND*","*EXECUTED*"},DEALS!$G:$G,$B$163,DEALS!$E:$E,"&gt;="&amp;$C$165,DEALS!$E:$E,"&lt;="&amp;$U$165,DEALS!$K:$K,M$167,DEALS!$M:$M,$K180,DEALS!$N:$N,"&lt;&gt;*RECEIVED*",DEALS!$N:$N,"&lt;&gt;*EXECUTED*"))+SUM(SUMIFS(DEALS!$R:$R,DEALS!$A:$A,{"*REFUND*","*EXECUTED*"},DEALS!$O:$O,$B$163,DEALS!$E:$E,"&gt;="&amp;$C$165,DEALS!$E:$E,"&lt;="&amp;$U$165,DEALS!$S:$S,M$167,DEALS!$U:$U,$K180,DEALS!$V:$V,"&lt;&gt;*RECEIVED*",DEALS!$V:$V,"&lt;&gt;*EXECUTED*"))</f>
        <v>0</v>
      </c>
      <c r="N180" s="29" cm="1">
        <f t="array" ref="N180">SUMIFS(FLOWS!$C:$C,FLOWS!$A:$A,$B$163,FLOWS!$E:$E,$K180,FLOWS!$D:$D,N$167,FLOWS!$H:$H,"&gt;="&amp;$C$165,FLOWS!$H:$H,"&lt;="&amp;$U$165)+SUM(SUMIFS(DEALS!$J:$J,DEALS!$A:$A,{"*REFUND*","*EXECUTED*"},DEALS!$G:$G,$B$163,DEALS!$E:$E,"&gt;="&amp;$C$165,DEALS!$E:$E,"&lt;="&amp;$U$165,DEALS!$K:$K,N$167,DEALS!$M:$M,$K180,DEALS!$N:$N,"&lt;&gt;*RECEIVED*",DEALS!$N:$N,"&lt;&gt;*EXECUTED*"))+SUM(SUMIFS(DEALS!$R:$R,DEALS!$A:$A,{"*REFUND*","*EXECUTED*"},DEALS!$O:$O,$B$163,DEALS!$E:$E,"&gt;="&amp;$C$165,DEALS!$E:$E,"&lt;="&amp;$U$165,DEALS!$S:$S,N$167,DEALS!$U:$U,$K180,DEALS!$V:$V,"&lt;&gt;*RECEIVED*",DEALS!$V:$V,"&lt;&gt;*EXECUTED*"))</f>
        <v>0</v>
      </c>
      <c r="O180" s="29" cm="1">
        <f t="array" ref="O180">SUMIFS(FLOWS!$C:$C,FLOWS!$A:$A,$B$163,FLOWS!$E:$E,$K180,FLOWS!$D:$D,O$167,FLOWS!$H:$H,"&gt;="&amp;$C$165,FLOWS!$H:$H,"&lt;="&amp;$U$165)+SUM(SUMIFS(DEALS!$J:$J,DEALS!$A:$A,{"*REFUND*","*EXECUTED*"},DEALS!$G:$G,$B$163,DEALS!$E:$E,"&gt;="&amp;$C$165,DEALS!$E:$E,"&lt;="&amp;$U$165,DEALS!$K:$K,O$167,DEALS!$M:$M,$K180,DEALS!$N:$N,"&lt;&gt;*RECEIVED*",DEALS!$N:$N,"&lt;&gt;*EXECUTED*"))+SUM(SUMIFS(DEALS!$R:$R,DEALS!$A:$A,{"*REFUND*","*EXECUTED*"},DEALS!$O:$O,$B$163,DEALS!$E:$E,"&gt;="&amp;$C$165,DEALS!$E:$E,"&lt;="&amp;$U$165,DEALS!$S:$S,O$167,DEALS!$U:$U,$K180,DEALS!$V:$V,"&lt;&gt;*RECEIVED*",DEALS!$V:$V,"&lt;&gt;*EXECUTED*"))</f>
        <v>0</v>
      </c>
      <c r="P180" s="29" cm="1">
        <f t="array" ref="P180">SUMIFS(FLOWS!$C:$C,FLOWS!$A:$A,$B$163,FLOWS!$E:$E,$K180,FLOWS!$D:$D,P$167,FLOWS!$H:$H,"&gt;="&amp;$C$165,FLOWS!$H:$H,"&lt;="&amp;$U$165)+SUM(SUMIFS(DEALS!$J:$J,DEALS!$A:$A,{"*REFUND*","*EXECUTED*"},DEALS!$G:$G,$B$163,DEALS!$E:$E,"&gt;="&amp;$C$165,DEALS!$E:$E,"&lt;="&amp;$U$165,DEALS!$K:$K,P$167,DEALS!$M:$M,$K180,DEALS!$N:$N,"&lt;&gt;*RECEIVED*",DEALS!$N:$N,"&lt;&gt;*EXECUTED*"))+SUM(SUMIFS(DEALS!$R:$R,DEALS!$A:$A,{"*REFUND*","*EXECUTED*"},DEALS!$O:$O,$B$163,DEALS!$E:$E,"&gt;="&amp;$C$165,DEALS!$E:$E,"&lt;="&amp;$U$165,DEALS!$S:$S,P$167,DEALS!$U:$U,$K180,DEALS!$V:$V,"&lt;&gt;*RECEIVED*",DEALS!$V:$V,"&lt;&gt;*EXECUTED*"))</f>
        <v>0</v>
      </c>
      <c r="Q180" s="29" cm="1">
        <f t="array" ref="Q180">SUMIFS(FLOWS!$C:$C,FLOWS!$A:$A,$B$163,FLOWS!$E:$E,$K180,FLOWS!$D:$D,Q$167,FLOWS!$H:$H,"&gt;="&amp;$C$165,FLOWS!$H:$H,"&lt;="&amp;$U$165)+SUM(SUMIFS(DEALS!$J:$J,DEALS!$A:$A,{"*REFUND*","*EXECUTED*"},DEALS!$G:$G,$B$163,DEALS!$E:$E,"&gt;="&amp;$C$165,DEALS!$E:$E,"&lt;="&amp;$U$165,DEALS!$K:$K,Q$167,DEALS!$M:$M,$K180,DEALS!$N:$N,"&lt;&gt;*RECEIVED*",DEALS!$N:$N,"&lt;&gt;*EXECUTED*"))+SUM(SUMIFS(DEALS!$R:$R,DEALS!$A:$A,{"*REFUND*","*EXECUTED*"},DEALS!$O:$O,$B$163,DEALS!$E:$E,"&gt;="&amp;$C$165,DEALS!$E:$E,"&lt;="&amp;$U$165,DEALS!$S:$S,Q$167,DEALS!$U:$U,$K180,DEALS!$V:$V,"&lt;&gt;*RECEIVED*",DEALS!$V:$V,"&lt;&gt;*EXECUTED*"))</f>
        <v>0</v>
      </c>
      <c r="R180" s="30">
        <f ca="1">L180*VLOOKUP(L$167,'FX RATES'!$E$1:$F$50,2,FALSE)+M180*VLOOKUP(M$167,'FX RATES'!$E$1:$F$50,2,FALSE)+N180*VLOOKUP(N$167,'FX RATES'!$E$1:$F$50,2,FALSE)+O180*VLOOKUP(O$167,'FX RATES'!$E$1:$F$50,2,FALSE)+P180*VLOOKUP(P$167,'FX RATES'!$E$1:$F$50,2,FALSE)+Q180*VLOOKUP(Q$167,'FX RATES'!$E$1:$F$50,2,FALSE)</f>
        <v>0</v>
      </c>
      <c r="T180" s="28">
        <f t="shared" si="60"/>
        <v>0</v>
      </c>
      <c r="U180" s="29" cm="1">
        <f t="array" ref="U180">SUMIFS(BALANCES!$C:$C,BALANCES!$A:$A,$B$163,BALANCES!$B:$B,$T180,BALANCES!$D:$D,U$167)+SUMIFS(FLOWS!$C:$C,FLOWS!$A:$A,$B$163,FLOWS!$E:$E,$T180,FLOWS!$D:$D,U$167,FLOWS!$H:$H,"&lt;="&amp;$U$165)+SUM(SUMIFS(DEALS!$J:$J,DEALS!$A:$A,{"*REFUND*","*EXECUTED*"},DEALS!$G:$G,$B$163,DEALS!$E:$E,"&lt;="&amp;$U$165,DEALS!$K:$K,U$167,DEALS!$M:$M,$T180,DEALS!$N:$N,"&lt;&gt;*RECEIVED*",DEALS!$N:$N,"&lt;&gt;*EXECUTED*"))+SUM(SUMIFS(DEALS!$R:$R,DEALS!$A:$A,{"*REFUND*","*EXECUTED*"},DEALS!$O:$O,$B$163,DEALS!$E:$E,"&lt;="&amp;$U$165,DEALS!$S:$S,U$167,DEALS!$U:$U,$T180,DEALS!$V:$V,"&lt;&gt;*RECEIVED*",DEALS!$V:$V,"&lt;&gt;*EXECUTED*"))</f>
        <v>0</v>
      </c>
      <c r="V180" s="29" cm="1">
        <f t="array" ref="V180">SUMIFS(BALANCES!$C:$C,BALANCES!$A:$A,$B$163,BALANCES!$B:$B,$T180,BALANCES!$D:$D,V$167)+SUMIFS(FLOWS!$C:$C,FLOWS!$A:$A,$B$163,FLOWS!$E:$E,$T180,FLOWS!$D:$D,V$167,FLOWS!$H:$H,"&lt;="&amp;$U$165)+SUM(SUMIFS(DEALS!$J:$J,DEALS!$A:$A,{"*REFUND*","*EXECUTED*"},DEALS!$G:$G,$B$163,DEALS!$E:$E,"&lt;="&amp;$U$165,DEALS!$K:$K,V$167,DEALS!$M:$M,$T180,DEALS!$N:$N,"&lt;&gt;*RECEIVED*",DEALS!$N:$N,"&lt;&gt;*EXECUTED*"))+SUM(SUMIFS(DEALS!$R:$R,DEALS!$A:$A,{"*REFUND*","*EXECUTED*"},DEALS!$O:$O,$B$163,DEALS!$E:$E,"&lt;="&amp;$U$165,DEALS!$S:$S,V$167,DEALS!$U:$U,$T180,DEALS!$V:$V,"&lt;&gt;*RECEIVED*",DEALS!$V:$V,"&lt;&gt;*EXECUTED*"))</f>
        <v>0</v>
      </c>
      <c r="W180" s="29" cm="1">
        <f t="array" ref="W180">SUMIFS(BALANCES!$C:$C,BALANCES!$A:$A,$B$163,BALANCES!$B:$B,$T180,BALANCES!$D:$D,W$167)+SUMIFS(FLOWS!$C:$C,FLOWS!$A:$A,$B$163,FLOWS!$E:$E,$T180,FLOWS!$D:$D,W$167,FLOWS!$H:$H,"&lt;="&amp;$U$165)+SUM(SUMIFS(DEALS!$J:$J,DEALS!$A:$A,{"*REFUND*","*EXECUTED*"},DEALS!$G:$G,$B$163,DEALS!$E:$E,"&lt;="&amp;$U$165,DEALS!$K:$K,W$167,DEALS!$M:$M,$T180,DEALS!$N:$N,"&lt;&gt;*RECEIVED*",DEALS!$N:$N,"&lt;&gt;*EXECUTED*"))+SUM(SUMIFS(DEALS!$R:$R,DEALS!$A:$A,{"*REFUND*","*EXECUTED*"},DEALS!$O:$O,$B$163,DEALS!$E:$E,"&lt;="&amp;$U$165,DEALS!$S:$S,W$167,DEALS!$U:$U,$T180,DEALS!$V:$V,"&lt;&gt;*RECEIVED*",DEALS!$V:$V,"&lt;&gt;*EXECUTED*"))</f>
        <v>0</v>
      </c>
      <c r="X180" s="29" cm="1">
        <f t="array" ref="X180">SUMIFS(BALANCES!$C:$C,BALANCES!$A:$A,$B$163,BALANCES!$B:$B,$T180,BALANCES!$D:$D,X$167)+SUMIFS(FLOWS!$C:$C,FLOWS!$A:$A,$B$163,FLOWS!$E:$E,$T180,FLOWS!$D:$D,X$167,FLOWS!$H:$H,"&lt;="&amp;$U$165)+SUM(SUMIFS(DEALS!$J:$J,DEALS!$A:$A,{"*REFUND*","*EXECUTED*"},DEALS!$G:$G,$B$163,DEALS!$E:$E,"&lt;="&amp;$U$165,DEALS!$K:$K,X$167,DEALS!$M:$M,$T180,DEALS!$N:$N,"&lt;&gt;*RECEIVED*",DEALS!$N:$N,"&lt;&gt;*EXECUTED*"))+SUM(SUMIFS(DEALS!$R:$R,DEALS!$A:$A,{"*REFUND*","*EXECUTED*"},DEALS!$O:$O,$B$163,DEALS!$E:$E,"&lt;="&amp;$U$165,DEALS!$S:$S,X$167,DEALS!$U:$U,$T180,DEALS!$V:$V,"&lt;&gt;*RECEIVED*",DEALS!$V:$V,"&lt;&gt;*EXECUTED*"))</f>
        <v>0</v>
      </c>
      <c r="Y180" s="29" cm="1">
        <f t="array" ref="Y180">SUMIFS(BALANCES!$C:$C,BALANCES!$A:$A,$B$163,BALANCES!$B:$B,$T180,BALANCES!$D:$D,Y$167)+SUMIFS(FLOWS!$C:$C,FLOWS!$A:$A,$B$163,FLOWS!$E:$E,$T180,FLOWS!$D:$D,Y$167,FLOWS!$H:$H,"&lt;="&amp;$U$165)+SUM(SUMIFS(DEALS!$J:$J,DEALS!$A:$A,{"*REFUND*","*EXECUTED*"},DEALS!$G:$G,$B$163,DEALS!$E:$E,"&lt;="&amp;$U$165,DEALS!$K:$K,Y$167,DEALS!$M:$M,$T180,DEALS!$N:$N,"&lt;&gt;*RECEIVED*",DEALS!$N:$N,"&lt;&gt;*EXECUTED*"))+SUM(SUMIFS(DEALS!$R:$R,DEALS!$A:$A,{"*REFUND*","*EXECUTED*"},DEALS!$O:$O,$B$163,DEALS!$E:$E,"&lt;="&amp;$U$165,DEALS!$S:$S,Y$167,DEALS!$U:$U,$T180,DEALS!$V:$V,"&lt;&gt;*RECEIVED*",DEALS!$V:$V,"&lt;&gt;*EXECUTED*"))</f>
        <v>0</v>
      </c>
      <c r="Z180" s="29" cm="1">
        <f t="array" ref="Z180">SUMIFS(BALANCES!$C:$C,BALANCES!$A:$A,$B$163,BALANCES!$B:$B,$T180,BALANCES!$D:$D,Z$167)+SUMIFS(FLOWS!$C:$C,FLOWS!$A:$A,$B$163,FLOWS!$E:$E,$T180,FLOWS!$D:$D,Z$167,FLOWS!$H:$H,"&lt;="&amp;$U$165)+SUM(SUMIFS(DEALS!$J:$J,DEALS!$A:$A,{"*REFUND*","*EXECUTED*"},DEALS!$G:$G,$B$163,DEALS!$E:$E,"&lt;="&amp;$U$165,DEALS!$K:$K,Z$167,DEALS!$M:$M,$T180,DEALS!$N:$N,"&lt;&gt;*RECEIVED*",DEALS!$N:$N,"&lt;&gt;*EXECUTED*"))+SUM(SUMIFS(DEALS!$R:$R,DEALS!$A:$A,{"*REFUND*","*EXECUTED*"},DEALS!$O:$O,$B$163,DEALS!$E:$E,"&lt;="&amp;$U$165,DEALS!$S:$S,Z$167,DEALS!$U:$U,$T180,DEALS!$V:$V,"&lt;&gt;*RECEIVED*",DEALS!$V:$V,"&lt;&gt;*EXECUTED*"))</f>
        <v>0</v>
      </c>
      <c r="AA180" s="30">
        <f ca="1">U180*VLOOKUP(U$167,'FX RATES'!$E$1:$F$50,2,FALSE)+V180*VLOOKUP(V$167,'FX RATES'!$E$1:$F$50,2,FALSE)+W180*VLOOKUP(W$167,'FX RATES'!$E$1:$F$50,2,FALSE)+X180*VLOOKUP(X$167,'FX RATES'!$E$1:$F$50,2,FALSE)+Y180*VLOOKUP(Y$167,'FX RATES'!$E$1:$F$50,2,FALSE)+Z180*VLOOKUP(Z$167,'FX RATES'!$E$1:$F$50,2,FALSE)</f>
        <v>0</v>
      </c>
      <c r="AC180" s="139">
        <f t="shared" ca="1" si="61"/>
        <v>0</v>
      </c>
    </row>
    <row r="181" spans="2:29" ht="19" hidden="1">
      <c r="B181" s="31"/>
      <c r="C181" s="32" cm="1">
        <f t="array" ref="C181">SUMIFS(BALANCES!$C:$C,BALANCES!$A:$A,$B$163,BALANCES!$B:$B,$B181,BALANCES!$D:$D,C$167)+SUMIFS(FLOWS!$C:$C,FLOWS!$A:$A,$B$163,FLOWS!$E:$E,$B181,FLOWS!$D:$D,C$167,FLOWS!$H:$H,"&lt;"&amp;$C$165)+SUM(SUMIFS(DEALS!$J:$J,DEALS!$A:$A,{"*REFUND*","*EXECUTED*"},DEALS!$G:$G,$B$163,DEALS!$E:$E,"&lt;"&amp;$C$165,DEALS!$K:$K,C$167,DEALS!$M:$M,$B181,DEALS!$N:$N,"&lt;&gt;*RECEIVED*",DEALS!$N:$N,"&lt;&gt;*EXECUTED*"))+SUM(SUMIFS(DEALS!$R:$R,DEALS!$A:$A,{"*REFUND*","*EXECUTED*"},DEALS!$O:$O,$B$163,DEALS!$E:$E,"&lt;"&amp;$C$165,DEALS!$S:$S,C$167,DEALS!$U:$U,$B181,DEALS!$V:$V,"&lt;&gt;*RECEIVED*",DEALS!$V:$V,"&lt;&gt;*EXECUTED*"))</f>
        <v>0</v>
      </c>
      <c r="D181" s="32" cm="1">
        <f t="array" ref="D181">SUMIFS(BALANCES!$C:$C,BALANCES!$A:$A,$B$163,BALANCES!$B:$B,$B181,BALANCES!$D:$D,D$167)+SUMIFS(FLOWS!$C:$C,FLOWS!$A:$A,$B$163,FLOWS!$E:$E,$B181,FLOWS!$D:$D,D$167,FLOWS!$H:$H,"&lt;"&amp;$C$165)+SUM(SUMIFS(DEALS!$J:$J,DEALS!$A:$A,{"*REFUND*","*EXECUTED*"},DEALS!$G:$G,$B$163,DEALS!$E:$E,"&lt;"&amp;$C$165,DEALS!$K:$K,D$167,DEALS!$M:$M,$B181,DEALS!$N:$N,"&lt;&gt;*RECEIVED*",DEALS!$N:$N,"&lt;&gt;*EXECUTED*"))+SUM(SUMIFS(DEALS!$R:$R,DEALS!$A:$A,{"*REFUND*","*EXECUTED*"},DEALS!$O:$O,$B$163,DEALS!$E:$E,"&lt;"&amp;$C$165,DEALS!$S:$S,D$167,DEALS!$U:$U,$B181,DEALS!$V:$V,"&lt;&gt;*RECEIVED*",DEALS!$V:$V,"&lt;&gt;*EXECUTED*"))</f>
        <v>0</v>
      </c>
      <c r="E181" s="32" cm="1">
        <f t="array" ref="E181">SUMIFS(BALANCES!$C:$C,BALANCES!$A:$A,$B$163,BALANCES!$B:$B,$B181,BALANCES!$D:$D,E$167)+SUMIFS(FLOWS!$C:$C,FLOWS!$A:$A,$B$163,FLOWS!$E:$E,$B181,FLOWS!$D:$D,E$167,FLOWS!$H:$H,"&lt;"&amp;$C$165)+SUM(SUMIFS(DEALS!$J:$J,DEALS!$A:$A,{"*REFUND*","*EXECUTED*"},DEALS!$G:$G,$B$163,DEALS!$E:$E,"&lt;"&amp;$C$165,DEALS!$K:$K,E$167,DEALS!$M:$M,$B181,DEALS!$N:$N,"&lt;&gt;*RECEIVED*",DEALS!$N:$N,"&lt;&gt;*EXECUTED*"))+SUM(SUMIFS(DEALS!$R:$R,DEALS!$A:$A,{"*REFUND*","*EXECUTED*"},DEALS!$O:$O,$B$163,DEALS!$E:$E,"&lt;"&amp;$C$165,DEALS!$S:$S,E$167,DEALS!$U:$U,$B181,DEALS!$V:$V,"&lt;&gt;*RECEIVED*",DEALS!$V:$V,"&lt;&gt;*EXECUTED*"))</f>
        <v>0</v>
      </c>
      <c r="F181" s="32" cm="1">
        <f t="array" ref="F181">SUMIFS(BALANCES!$C:$C,BALANCES!$A:$A,$B$163,BALANCES!$B:$B,$B181,BALANCES!$D:$D,F$167)+SUMIFS(FLOWS!$C:$C,FLOWS!$A:$A,$B$163,FLOWS!$E:$E,$B181,FLOWS!$D:$D,F$167,FLOWS!$H:$H,"&lt;"&amp;$C$165)+SUM(SUMIFS(DEALS!$J:$J,DEALS!$A:$A,{"*REFUND*","*EXECUTED*"},DEALS!$G:$G,$B$163,DEALS!$E:$E,"&lt;"&amp;$C$165,DEALS!$K:$K,F$167,DEALS!$M:$M,$B181,DEALS!$N:$N,"&lt;&gt;*RECEIVED*",DEALS!$N:$N,"&lt;&gt;*EXECUTED*"))+SUM(SUMIFS(DEALS!$R:$R,DEALS!$A:$A,{"*REFUND*","*EXECUTED*"},DEALS!$O:$O,$B$163,DEALS!$E:$E,"&lt;"&amp;$C$165,DEALS!$S:$S,F$167,DEALS!$U:$U,$B181,DEALS!$V:$V,"&lt;&gt;*RECEIVED*",DEALS!$V:$V,"&lt;&gt;*EXECUTED*"))</f>
        <v>0</v>
      </c>
      <c r="G181" s="32" cm="1">
        <f t="array" ref="G181">SUMIFS(BALANCES!$C:$C,BALANCES!$A:$A,$B$163,BALANCES!$B:$B,$B181,BALANCES!$D:$D,G$167)+SUMIFS(FLOWS!$C:$C,FLOWS!$A:$A,$B$163,FLOWS!$E:$E,$B181,FLOWS!$D:$D,G$167,FLOWS!$H:$H,"&lt;"&amp;$C$165)+SUM(SUMIFS(DEALS!$J:$J,DEALS!$A:$A,{"*REFUND*","*EXECUTED*"},DEALS!$G:$G,$B$163,DEALS!$E:$E,"&lt;"&amp;$C$165,DEALS!$K:$K,G$167,DEALS!$M:$M,$B181,DEALS!$N:$N,"&lt;&gt;*RECEIVED*",DEALS!$N:$N,"&lt;&gt;*EXECUTED*"))+SUM(SUMIFS(DEALS!$R:$R,DEALS!$A:$A,{"*REFUND*","*EXECUTED*"},DEALS!$O:$O,$B$163,DEALS!$E:$E,"&lt;"&amp;$C$165,DEALS!$S:$S,G$167,DEALS!$U:$U,$B181,DEALS!$V:$V,"&lt;&gt;*RECEIVED*",DEALS!$V:$V,"&lt;&gt;*EXECUTED*"))</f>
        <v>0</v>
      </c>
      <c r="H181" s="32" cm="1">
        <f t="array" ref="H181">SUMIFS(BALANCES!$C:$C,BALANCES!$A:$A,$B$163,BALANCES!$B:$B,$B181,BALANCES!$D:$D,H$167)+SUMIFS(FLOWS!$C:$C,FLOWS!$A:$A,$B$163,FLOWS!$E:$E,$B181,FLOWS!$D:$D,H$167,FLOWS!$H:$H,"&lt;"&amp;$C$165)+SUM(SUMIFS(DEALS!$J:$J,DEALS!$A:$A,{"*REFUND*","*EXECUTED*"},DEALS!$G:$G,$B$163,DEALS!$E:$E,"&lt;"&amp;$C$165,DEALS!$K:$K,H$167,DEALS!$M:$M,$B181,DEALS!$N:$N,"&lt;&gt;*RECEIVED*",DEALS!$N:$N,"&lt;&gt;*EXECUTED*"))+SUM(SUMIFS(DEALS!$R:$R,DEALS!$A:$A,{"*REFUND*","*EXECUTED*"},DEALS!$O:$O,$B$163,DEALS!$E:$E,"&lt;"&amp;$C$165,DEALS!$S:$S,H$167,DEALS!$U:$U,$B181,DEALS!$V:$V,"&lt;&gt;*RECEIVED*",DEALS!$V:$V,"&lt;&gt;*EXECUTED*"))</f>
        <v>0</v>
      </c>
      <c r="I181" s="33">
        <f ca="1">C181*VLOOKUP(C$167,'FX RATES'!$E$1:$F$50,2,FALSE)+D181*VLOOKUP(D$167,'FX RATES'!$E$1:$F$50,2,FALSE)+E181*VLOOKUP(E$167,'FX RATES'!$E$1:$F$50,2,FALSE)+F181*VLOOKUP(F$167,'FX RATES'!$E$1:$F$50,2,FALSE)+G181*VLOOKUP(G$167,'FX RATES'!$E$1:$F$50,2,FALSE)+H181*VLOOKUP(H$167,'FX RATES'!$E$1:$F$50,2,FALSE)</f>
        <v>0</v>
      </c>
      <c r="J181" s="18"/>
      <c r="K181" s="31">
        <f t="shared" si="59"/>
        <v>0</v>
      </c>
      <c r="L181" s="32" cm="1">
        <f t="array" ref="L181">SUMIFS(FLOWS!$C:$C,FLOWS!$A:$A,$B$163,FLOWS!$E:$E,$K181,FLOWS!$D:$D,L$167,FLOWS!$H:$H,"&gt;="&amp;$C$165,FLOWS!$H:$H,"&lt;="&amp;$U$165)+SUM(SUMIFS(DEALS!$J:$J,DEALS!$A:$A,{"*REFUND*","*EXECUTED*"},DEALS!$G:$G,$B$163,DEALS!$E:$E,"&gt;="&amp;$C$165,DEALS!$E:$E,"&lt;="&amp;$U$165,DEALS!$K:$K,L$167,DEALS!$M:$M,$K181,DEALS!$N:$N,"&lt;&gt;*RECEIVED*",DEALS!$N:$N,"&lt;&gt;*EXECUTED*"))+SUM(SUMIFS(DEALS!$R:$R,DEALS!$A:$A,{"*REFUND*","*EXECUTED*"},DEALS!$O:$O,$B$163,DEALS!$E:$E,"&gt;="&amp;$C$165,DEALS!$E:$E,"&lt;="&amp;$U$165,DEALS!$S:$S,L$167,DEALS!$U:$U,$K181,DEALS!$V:$V,"&lt;&gt;*RECEIVED*",DEALS!$V:$V,"&lt;&gt;*EXECUTED*"))</f>
        <v>0</v>
      </c>
      <c r="M181" s="32" cm="1">
        <f t="array" ref="M181">SUMIFS(FLOWS!$C:$C,FLOWS!$A:$A,$B$163,FLOWS!$E:$E,$K181,FLOWS!$D:$D,M$167,FLOWS!$H:$H,"&gt;="&amp;$C$165,FLOWS!$H:$H,"&lt;="&amp;$U$165)+SUM(SUMIFS(DEALS!$J:$J,DEALS!$A:$A,{"*REFUND*","*EXECUTED*"},DEALS!$G:$G,$B$163,DEALS!$E:$E,"&gt;="&amp;$C$165,DEALS!$E:$E,"&lt;="&amp;$U$165,DEALS!$K:$K,M$167,DEALS!$M:$M,$K181,DEALS!$N:$N,"&lt;&gt;*RECEIVED*",DEALS!$N:$N,"&lt;&gt;*EXECUTED*"))+SUM(SUMIFS(DEALS!$R:$R,DEALS!$A:$A,{"*REFUND*","*EXECUTED*"},DEALS!$O:$O,$B$163,DEALS!$E:$E,"&gt;="&amp;$C$165,DEALS!$E:$E,"&lt;="&amp;$U$165,DEALS!$S:$S,M$167,DEALS!$U:$U,$K181,DEALS!$V:$V,"&lt;&gt;*RECEIVED*",DEALS!$V:$V,"&lt;&gt;*EXECUTED*"))</f>
        <v>0</v>
      </c>
      <c r="N181" s="32" cm="1">
        <f t="array" ref="N181">SUMIFS(FLOWS!$C:$C,FLOWS!$A:$A,$B$163,FLOWS!$E:$E,$K181,FLOWS!$D:$D,N$167,FLOWS!$H:$H,"&gt;="&amp;$C$165,FLOWS!$H:$H,"&lt;="&amp;$U$165)+SUM(SUMIFS(DEALS!$J:$J,DEALS!$A:$A,{"*REFUND*","*EXECUTED*"},DEALS!$G:$G,$B$163,DEALS!$E:$E,"&gt;="&amp;$C$165,DEALS!$E:$E,"&lt;="&amp;$U$165,DEALS!$K:$K,N$167,DEALS!$M:$M,$K181,DEALS!$N:$N,"&lt;&gt;*RECEIVED*",DEALS!$N:$N,"&lt;&gt;*EXECUTED*"))+SUM(SUMIFS(DEALS!$R:$R,DEALS!$A:$A,{"*REFUND*","*EXECUTED*"},DEALS!$O:$O,$B$163,DEALS!$E:$E,"&gt;="&amp;$C$165,DEALS!$E:$E,"&lt;="&amp;$U$165,DEALS!$S:$S,N$167,DEALS!$U:$U,$K181,DEALS!$V:$V,"&lt;&gt;*RECEIVED*",DEALS!$V:$V,"&lt;&gt;*EXECUTED*"))</f>
        <v>0</v>
      </c>
      <c r="O181" s="32" cm="1">
        <f t="array" ref="O181">SUMIFS(FLOWS!$C:$C,FLOWS!$A:$A,$B$163,FLOWS!$E:$E,$K181,FLOWS!$D:$D,O$167,FLOWS!$H:$H,"&gt;="&amp;$C$165,FLOWS!$H:$H,"&lt;="&amp;$U$165)+SUM(SUMIFS(DEALS!$J:$J,DEALS!$A:$A,{"*REFUND*","*EXECUTED*"},DEALS!$G:$G,$B$163,DEALS!$E:$E,"&gt;="&amp;$C$165,DEALS!$E:$E,"&lt;="&amp;$U$165,DEALS!$K:$K,O$167,DEALS!$M:$M,$K181,DEALS!$N:$N,"&lt;&gt;*RECEIVED*",DEALS!$N:$N,"&lt;&gt;*EXECUTED*"))+SUM(SUMIFS(DEALS!$R:$R,DEALS!$A:$A,{"*REFUND*","*EXECUTED*"},DEALS!$O:$O,$B$163,DEALS!$E:$E,"&gt;="&amp;$C$165,DEALS!$E:$E,"&lt;="&amp;$U$165,DEALS!$S:$S,O$167,DEALS!$U:$U,$K181,DEALS!$V:$V,"&lt;&gt;*RECEIVED*",DEALS!$V:$V,"&lt;&gt;*EXECUTED*"))</f>
        <v>0</v>
      </c>
      <c r="P181" s="32" cm="1">
        <f t="array" ref="P181">SUMIFS(FLOWS!$C:$C,FLOWS!$A:$A,$B$163,FLOWS!$E:$E,$K181,FLOWS!$D:$D,P$167,FLOWS!$H:$H,"&gt;="&amp;$C$165,FLOWS!$H:$H,"&lt;="&amp;$U$165)+SUM(SUMIFS(DEALS!$J:$J,DEALS!$A:$A,{"*REFUND*","*EXECUTED*"},DEALS!$G:$G,$B$163,DEALS!$E:$E,"&gt;="&amp;$C$165,DEALS!$E:$E,"&lt;="&amp;$U$165,DEALS!$K:$K,P$167,DEALS!$M:$M,$K181,DEALS!$N:$N,"&lt;&gt;*RECEIVED*",DEALS!$N:$N,"&lt;&gt;*EXECUTED*"))+SUM(SUMIFS(DEALS!$R:$R,DEALS!$A:$A,{"*REFUND*","*EXECUTED*"},DEALS!$O:$O,$B$163,DEALS!$E:$E,"&gt;="&amp;$C$165,DEALS!$E:$E,"&lt;="&amp;$U$165,DEALS!$S:$S,P$167,DEALS!$U:$U,$K181,DEALS!$V:$V,"&lt;&gt;*RECEIVED*",DEALS!$V:$V,"&lt;&gt;*EXECUTED*"))</f>
        <v>0</v>
      </c>
      <c r="Q181" s="32" cm="1">
        <f t="array" ref="Q181">SUMIFS(FLOWS!$C:$C,FLOWS!$A:$A,$B$163,FLOWS!$E:$E,$K181,FLOWS!$D:$D,Q$167,FLOWS!$H:$H,"&gt;="&amp;$C$165,FLOWS!$H:$H,"&lt;="&amp;$U$165)+SUM(SUMIFS(DEALS!$J:$J,DEALS!$A:$A,{"*REFUND*","*EXECUTED*"},DEALS!$G:$G,$B$163,DEALS!$E:$E,"&gt;="&amp;$C$165,DEALS!$E:$E,"&lt;="&amp;$U$165,DEALS!$K:$K,Q$167,DEALS!$M:$M,$K181,DEALS!$N:$N,"&lt;&gt;*RECEIVED*",DEALS!$N:$N,"&lt;&gt;*EXECUTED*"))+SUM(SUMIFS(DEALS!$R:$R,DEALS!$A:$A,{"*REFUND*","*EXECUTED*"},DEALS!$O:$O,$B$163,DEALS!$E:$E,"&gt;="&amp;$C$165,DEALS!$E:$E,"&lt;="&amp;$U$165,DEALS!$S:$S,Q$167,DEALS!$U:$U,$K181,DEALS!$V:$V,"&lt;&gt;*RECEIVED*",DEALS!$V:$V,"&lt;&gt;*EXECUTED*"))</f>
        <v>0</v>
      </c>
      <c r="R181" s="33">
        <f ca="1">L181*VLOOKUP(L$167,'FX RATES'!$E$1:$F$50,2,FALSE)+M181*VLOOKUP(M$167,'FX RATES'!$E$1:$F$50,2,FALSE)+N181*VLOOKUP(N$167,'FX RATES'!$E$1:$F$50,2,FALSE)+O181*VLOOKUP(O$167,'FX RATES'!$E$1:$F$50,2,FALSE)+P181*VLOOKUP(P$167,'FX RATES'!$E$1:$F$50,2,FALSE)+Q181*VLOOKUP(Q$167,'FX RATES'!$E$1:$F$50,2,FALSE)</f>
        <v>0</v>
      </c>
      <c r="T181" s="31">
        <f t="shared" si="60"/>
        <v>0</v>
      </c>
      <c r="U181" s="32" cm="1">
        <f t="array" ref="U181">SUMIFS(BALANCES!$C:$C,BALANCES!$A:$A,$B$163,BALANCES!$B:$B,$T181,BALANCES!$D:$D,U$167)+SUMIFS(FLOWS!$C:$C,FLOWS!$A:$A,$B$163,FLOWS!$E:$E,$T181,FLOWS!$D:$D,U$167,FLOWS!$H:$H,"&lt;="&amp;$U$165)+SUM(SUMIFS(DEALS!$J:$J,DEALS!$A:$A,{"*REFUND*","*EXECUTED*"},DEALS!$G:$G,$B$163,DEALS!$E:$E,"&lt;="&amp;$U$165,DEALS!$K:$K,U$167,DEALS!$M:$M,$T181,DEALS!$N:$N,"&lt;&gt;*RECEIVED*",DEALS!$N:$N,"&lt;&gt;*EXECUTED*"))+SUM(SUMIFS(DEALS!$R:$R,DEALS!$A:$A,{"*REFUND*","*EXECUTED*"},DEALS!$O:$O,$B$163,DEALS!$E:$E,"&lt;="&amp;$U$165,DEALS!$S:$S,U$167,DEALS!$U:$U,$T181,DEALS!$V:$V,"&lt;&gt;*RECEIVED*",DEALS!$V:$V,"&lt;&gt;*EXECUTED*"))</f>
        <v>0</v>
      </c>
      <c r="V181" s="32" cm="1">
        <f t="array" ref="V181">SUMIFS(BALANCES!$C:$C,BALANCES!$A:$A,$B$163,BALANCES!$B:$B,$T181,BALANCES!$D:$D,V$167)+SUMIFS(FLOWS!$C:$C,FLOWS!$A:$A,$B$163,FLOWS!$E:$E,$T181,FLOWS!$D:$D,V$167,FLOWS!$H:$H,"&lt;="&amp;$U$165)+SUM(SUMIFS(DEALS!$J:$J,DEALS!$A:$A,{"*REFUND*","*EXECUTED*"},DEALS!$G:$G,$B$163,DEALS!$E:$E,"&lt;="&amp;$U$165,DEALS!$K:$K,V$167,DEALS!$M:$M,$T181,DEALS!$N:$N,"&lt;&gt;*RECEIVED*",DEALS!$N:$N,"&lt;&gt;*EXECUTED*"))+SUM(SUMIFS(DEALS!$R:$R,DEALS!$A:$A,{"*REFUND*","*EXECUTED*"},DEALS!$O:$O,$B$163,DEALS!$E:$E,"&lt;="&amp;$U$165,DEALS!$S:$S,V$167,DEALS!$U:$U,$T181,DEALS!$V:$V,"&lt;&gt;*RECEIVED*",DEALS!$V:$V,"&lt;&gt;*EXECUTED*"))</f>
        <v>0</v>
      </c>
      <c r="W181" s="32" cm="1">
        <f t="array" ref="W181">SUMIFS(BALANCES!$C:$C,BALANCES!$A:$A,$B$163,BALANCES!$B:$B,$T181,BALANCES!$D:$D,W$167)+SUMIFS(FLOWS!$C:$C,FLOWS!$A:$A,$B$163,FLOWS!$E:$E,$T181,FLOWS!$D:$D,W$167,FLOWS!$H:$H,"&lt;="&amp;$U$165)+SUM(SUMIFS(DEALS!$J:$J,DEALS!$A:$A,{"*REFUND*","*EXECUTED*"},DEALS!$G:$G,$B$163,DEALS!$E:$E,"&lt;="&amp;$U$165,DEALS!$K:$K,W$167,DEALS!$M:$M,$T181,DEALS!$N:$N,"&lt;&gt;*RECEIVED*",DEALS!$N:$N,"&lt;&gt;*EXECUTED*"))+SUM(SUMIFS(DEALS!$R:$R,DEALS!$A:$A,{"*REFUND*","*EXECUTED*"},DEALS!$O:$O,$B$163,DEALS!$E:$E,"&lt;="&amp;$U$165,DEALS!$S:$S,W$167,DEALS!$U:$U,$T181,DEALS!$V:$V,"&lt;&gt;*RECEIVED*",DEALS!$V:$V,"&lt;&gt;*EXECUTED*"))</f>
        <v>0</v>
      </c>
      <c r="X181" s="32" cm="1">
        <f t="array" ref="X181">SUMIFS(BALANCES!$C:$C,BALANCES!$A:$A,$B$163,BALANCES!$B:$B,$T181,BALANCES!$D:$D,X$167)+SUMIFS(FLOWS!$C:$C,FLOWS!$A:$A,$B$163,FLOWS!$E:$E,$T181,FLOWS!$D:$D,X$167,FLOWS!$H:$H,"&lt;="&amp;$U$165)+SUM(SUMIFS(DEALS!$J:$J,DEALS!$A:$A,{"*REFUND*","*EXECUTED*"},DEALS!$G:$G,$B$163,DEALS!$E:$E,"&lt;="&amp;$U$165,DEALS!$K:$K,X$167,DEALS!$M:$M,$T181,DEALS!$N:$N,"&lt;&gt;*RECEIVED*",DEALS!$N:$N,"&lt;&gt;*EXECUTED*"))+SUM(SUMIFS(DEALS!$R:$R,DEALS!$A:$A,{"*REFUND*","*EXECUTED*"},DEALS!$O:$O,$B$163,DEALS!$E:$E,"&lt;="&amp;$U$165,DEALS!$S:$S,X$167,DEALS!$U:$U,$T181,DEALS!$V:$V,"&lt;&gt;*RECEIVED*",DEALS!$V:$V,"&lt;&gt;*EXECUTED*"))</f>
        <v>0</v>
      </c>
      <c r="Y181" s="32" cm="1">
        <f t="array" ref="Y181">SUMIFS(BALANCES!$C:$C,BALANCES!$A:$A,$B$163,BALANCES!$B:$B,$T181,BALANCES!$D:$D,Y$167)+SUMIFS(FLOWS!$C:$C,FLOWS!$A:$A,$B$163,FLOWS!$E:$E,$T181,FLOWS!$D:$D,Y$167,FLOWS!$H:$H,"&lt;="&amp;$U$165)+SUM(SUMIFS(DEALS!$J:$J,DEALS!$A:$A,{"*REFUND*","*EXECUTED*"},DEALS!$G:$G,$B$163,DEALS!$E:$E,"&lt;="&amp;$U$165,DEALS!$K:$K,Y$167,DEALS!$M:$M,$T181,DEALS!$N:$N,"&lt;&gt;*RECEIVED*",DEALS!$N:$N,"&lt;&gt;*EXECUTED*"))+SUM(SUMIFS(DEALS!$R:$R,DEALS!$A:$A,{"*REFUND*","*EXECUTED*"},DEALS!$O:$O,$B$163,DEALS!$E:$E,"&lt;="&amp;$U$165,DEALS!$S:$S,Y$167,DEALS!$U:$U,$T181,DEALS!$V:$V,"&lt;&gt;*RECEIVED*",DEALS!$V:$V,"&lt;&gt;*EXECUTED*"))</f>
        <v>0</v>
      </c>
      <c r="Z181" s="32" cm="1">
        <f t="array" ref="Z181">SUMIFS(BALANCES!$C:$C,BALANCES!$A:$A,$B$163,BALANCES!$B:$B,$T181,BALANCES!$D:$D,Z$167)+SUMIFS(FLOWS!$C:$C,FLOWS!$A:$A,$B$163,FLOWS!$E:$E,$T181,FLOWS!$D:$D,Z$167,FLOWS!$H:$H,"&lt;="&amp;$U$165)+SUM(SUMIFS(DEALS!$J:$J,DEALS!$A:$A,{"*REFUND*","*EXECUTED*"},DEALS!$G:$G,$B$163,DEALS!$E:$E,"&lt;="&amp;$U$165,DEALS!$K:$K,Z$167,DEALS!$M:$M,$T181,DEALS!$N:$N,"&lt;&gt;*RECEIVED*",DEALS!$N:$N,"&lt;&gt;*EXECUTED*"))+SUM(SUMIFS(DEALS!$R:$R,DEALS!$A:$A,{"*REFUND*","*EXECUTED*"},DEALS!$O:$O,$B$163,DEALS!$E:$E,"&lt;="&amp;$U$165,DEALS!$S:$S,Z$167,DEALS!$U:$U,$T181,DEALS!$V:$V,"&lt;&gt;*RECEIVED*",DEALS!$V:$V,"&lt;&gt;*EXECUTED*"))</f>
        <v>0</v>
      </c>
      <c r="AA181" s="33">
        <f ca="1">U181*VLOOKUP(U$167,'FX RATES'!$E$1:$F$50,2,FALSE)+V181*VLOOKUP(V$167,'FX RATES'!$E$1:$F$50,2,FALSE)+W181*VLOOKUP(W$167,'FX RATES'!$E$1:$F$50,2,FALSE)+X181*VLOOKUP(X$167,'FX RATES'!$E$1:$F$50,2,FALSE)+Y181*VLOOKUP(Y$167,'FX RATES'!$E$1:$F$50,2,FALSE)+Z181*VLOOKUP(Z$167,'FX RATES'!$E$1:$F$50,2,FALSE)</f>
        <v>0</v>
      </c>
      <c r="AC181" s="139">
        <f t="shared" ca="1" si="61"/>
        <v>0</v>
      </c>
    </row>
    <row r="182" spans="2:29" ht="18.75" hidden="1" customHeight="1">
      <c r="B182" s="28"/>
      <c r="C182" s="29" cm="1">
        <f t="array" ref="C182">SUMIFS(BALANCES!$C:$C,BALANCES!$A:$A,$B$163,BALANCES!$B:$B,$B182,BALANCES!$D:$D,C$167)+SUMIFS(FLOWS!$C:$C,FLOWS!$A:$A,$B$163,FLOWS!$E:$E,$B182,FLOWS!$D:$D,C$167,FLOWS!$H:$H,"&lt;"&amp;$C$165)+SUM(SUMIFS(DEALS!$J:$J,DEALS!$A:$A,{"*REFUND*","*EXECUTED*"},DEALS!$G:$G,$B$163,DEALS!$E:$E,"&lt;"&amp;$C$165,DEALS!$K:$K,C$167,DEALS!$M:$M,$B182,DEALS!$N:$N,"&lt;&gt;*RECEIVED*",DEALS!$N:$N,"&lt;&gt;*EXECUTED*"))+SUM(SUMIFS(DEALS!$R:$R,DEALS!$A:$A,{"*REFUND*","*EXECUTED*"},DEALS!$O:$O,$B$163,DEALS!$E:$E,"&lt;"&amp;$C$165,DEALS!$S:$S,C$167,DEALS!$U:$U,$B182,DEALS!$V:$V,"&lt;&gt;*RECEIVED*",DEALS!$V:$V,"&lt;&gt;*EXECUTED*"))</f>
        <v>0</v>
      </c>
      <c r="D182" s="29" cm="1">
        <f t="array" ref="D182">SUMIFS(BALANCES!$C:$C,BALANCES!$A:$A,$B$163,BALANCES!$B:$B,$B182,BALANCES!$D:$D,D$167)+SUMIFS(FLOWS!$C:$C,FLOWS!$A:$A,$B$163,FLOWS!$E:$E,$B182,FLOWS!$D:$D,D$167,FLOWS!$H:$H,"&lt;"&amp;$C$165)+SUM(SUMIFS(DEALS!$J:$J,DEALS!$A:$A,{"*REFUND*","*EXECUTED*"},DEALS!$G:$G,$B$163,DEALS!$E:$E,"&lt;"&amp;$C$165,DEALS!$K:$K,D$167,DEALS!$M:$M,$B182,DEALS!$N:$N,"&lt;&gt;*RECEIVED*",DEALS!$N:$N,"&lt;&gt;*EXECUTED*"))+SUM(SUMIFS(DEALS!$R:$R,DEALS!$A:$A,{"*REFUND*","*EXECUTED*"},DEALS!$O:$O,$B$163,DEALS!$E:$E,"&lt;"&amp;$C$165,DEALS!$S:$S,D$167,DEALS!$U:$U,$B182,DEALS!$V:$V,"&lt;&gt;*RECEIVED*",DEALS!$V:$V,"&lt;&gt;*EXECUTED*"))</f>
        <v>0</v>
      </c>
      <c r="E182" s="29" cm="1">
        <f t="array" ref="E182">SUMIFS(BALANCES!$C:$C,BALANCES!$A:$A,$B$163,BALANCES!$B:$B,$B182,BALANCES!$D:$D,E$167)+SUMIFS(FLOWS!$C:$C,FLOWS!$A:$A,$B$163,FLOWS!$E:$E,$B182,FLOWS!$D:$D,E$167,FLOWS!$H:$H,"&lt;"&amp;$C$165)+SUM(SUMIFS(DEALS!$J:$J,DEALS!$A:$A,{"*REFUND*","*EXECUTED*"},DEALS!$G:$G,$B$163,DEALS!$E:$E,"&lt;"&amp;$C$165,DEALS!$K:$K,E$167,DEALS!$M:$M,$B182,DEALS!$N:$N,"&lt;&gt;*RECEIVED*",DEALS!$N:$N,"&lt;&gt;*EXECUTED*"))+SUM(SUMIFS(DEALS!$R:$R,DEALS!$A:$A,{"*REFUND*","*EXECUTED*"},DEALS!$O:$O,$B$163,DEALS!$E:$E,"&lt;"&amp;$C$165,DEALS!$S:$S,E$167,DEALS!$U:$U,$B182,DEALS!$V:$V,"&lt;&gt;*RECEIVED*",DEALS!$V:$V,"&lt;&gt;*EXECUTED*"))</f>
        <v>0</v>
      </c>
      <c r="F182" s="29" cm="1">
        <f t="array" ref="F182">SUMIFS(BALANCES!$C:$C,BALANCES!$A:$A,$B$163,BALANCES!$B:$B,$B182,BALANCES!$D:$D,F$167)+SUMIFS(FLOWS!$C:$C,FLOWS!$A:$A,$B$163,FLOWS!$E:$E,$B182,FLOWS!$D:$D,F$167,FLOWS!$H:$H,"&lt;"&amp;$C$165)+SUM(SUMIFS(DEALS!$J:$J,DEALS!$A:$A,{"*REFUND*","*EXECUTED*"},DEALS!$G:$G,$B$163,DEALS!$E:$E,"&lt;"&amp;$C$165,DEALS!$K:$K,F$167,DEALS!$M:$M,$B182,DEALS!$N:$N,"&lt;&gt;*RECEIVED*",DEALS!$N:$N,"&lt;&gt;*EXECUTED*"))+SUM(SUMIFS(DEALS!$R:$R,DEALS!$A:$A,{"*REFUND*","*EXECUTED*"},DEALS!$O:$O,$B$163,DEALS!$E:$E,"&lt;"&amp;$C$165,DEALS!$S:$S,F$167,DEALS!$U:$U,$B182,DEALS!$V:$V,"&lt;&gt;*RECEIVED*",DEALS!$V:$V,"&lt;&gt;*EXECUTED*"))</f>
        <v>0</v>
      </c>
      <c r="G182" s="29" cm="1">
        <f t="array" ref="G182">SUMIFS(BALANCES!$C:$C,BALANCES!$A:$A,$B$163,BALANCES!$B:$B,$B182,BALANCES!$D:$D,G$167)+SUMIFS(FLOWS!$C:$C,FLOWS!$A:$A,$B$163,FLOWS!$E:$E,$B182,FLOWS!$D:$D,G$167,FLOWS!$H:$H,"&lt;"&amp;$C$165)+SUM(SUMIFS(DEALS!$J:$J,DEALS!$A:$A,{"*REFUND*","*EXECUTED*"},DEALS!$G:$G,$B$163,DEALS!$E:$E,"&lt;"&amp;$C$165,DEALS!$K:$K,G$167,DEALS!$M:$M,$B182,DEALS!$N:$N,"&lt;&gt;*RECEIVED*",DEALS!$N:$N,"&lt;&gt;*EXECUTED*"))+SUM(SUMIFS(DEALS!$R:$R,DEALS!$A:$A,{"*REFUND*","*EXECUTED*"},DEALS!$O:$O,$B$163,DEALS!$E:$E,"&lt;"&amp;$C$165,DEALS!$S:$S,G$167,DEALS!$U:$U,$B182,DEALS!$V:$V,"&lt;&gt;*RECEIVED*",DEALS!$V:$V,"&lt;&gt;*EXECUTED*"))</f>
        <v>0</v>
      </c>
      <c r="H182" s="29" cm="1">
        <f t="array" ref="H182">SUMIFS(BALANCES!$C:$C,BALANCES!$A:$A,$B$163,BALANCES!$B:$B,$B182,BALANCES!$D:$D,H$167)+SUMIFS(FLOWS!$C:$C,FLOWS!$A:$A,$B$163,FLOWS!$E:$E,$B182,FLOWS!$D:$D,H$167,FLOWS!$H:$H,"&lt;"&amp;$C$165)+SUM(SUMIFS(DEALS!$J:$J,DEALS!$A:$A,{"*REFUND*","*EXECUTED*"},DEALS!$G:$G,$B$163,DEALS!$E:$E,"&lt;"&amp;$C$165,DEALS!$K:$K,H$167,DEALS!$M:$M,$B182,DEALS!$N:$N,"&lt;&gt;*RECEIVED*",DEALS!$N:$N,"&lt;&gt;*EXECUTED*"))+SUM(SUMIFS(DEALS!$R:$R,DEALS!$A:$A,{"*REFUND*","*EXECUTED*"},DEALS!$O:$O,$B$163,DEALS!$E:$E,"&lt;"&amp;$C$165,DEALS!$S:$S,H$167,DEALS!$U:$U,$B182,DEALS!$V:$V,"&lt;&gt;*RECEIVED*",DEALS!$V:$V,"&lt;&gt;*EXECUTED*"))</f>
        <v>0</v>
      </c>
      <c r="I182" s="30">
        <f ca="1">C182*VLOOKUP(C$167,'FX RATES'!$E$1:$F$50,2,FALSE)+D182*VLOOKUP(D$167,'FX RATES'!$E$1:$F$50,2,FALSE)+E182*VLOOKUP(E$167,'FX RATES'!$E$1:$F$50,2,FALSE)+F182*VLOOKUP(F$167,'FX RATES'!$E$1:$F$50,2,FALSE)+G182*VLOOKUP(G$167,'FX RATES'!$E$1:$F$50,2,FALSE)+H182*VLOOKUP(H$167,'FX RATES'!$E$1:$F$50,2,FALSE)</f>
        <v>0</v>
      </c>
      <c r="K182" s="28">
        <f t="shared" si="59"/>
        <v>0</v>
      </c>
      <c r="L182" s="29" cm="1">
        <f t="array" ref="L182">SUMIFS(FLOWS!$C:$C,FLOWS!$A:$A,$B$163,FLOWS!$E:$E,$K182,FLOWS!$D:$D,L$167,FLOWS!$H:$H,"&gt;="&amp;$C$165,FLOWS!$H:$H,"&lt;="&amp;$U$165)+SUM(SUMIFS(DEALS!$J:$J,DEALS!$A:$A,{"*REFUND*","*EXECUTED*"},DEALS!$G:$G,$B$163,DEALS!$E:$E,"&gt;="&amp;$C$165,DEALS!$E:$E,"&lt;="&amp;$U$165,DEALS!$K:$K,L$167,DEALS!$M:$M,$K182,DEALS!$N:$N,"&lt;&gt;*RECEIVED*",DEALS!$N:$N,"&lt;&gt;*EXECUTED*"))+SUM(SUMIFS(DEALS!$R:$R,DEALS!$A:$A,{"*REFUND*","*EXECUTED*"},DEALS!$O:$O,$B$163,DEALS!$E:$E,"&gt;="&amp;$C$165,DEALS!$E:$E,"&lt;="&amp;$U$165,DEALS!$S:$S,L$167,DEALS!$U:$U,$K182,DEALS!$V:$V,"&lt;&gt;*RECEIVED*",DEALS!$V:$V,"&lt;&gt;*EXECUTED*"))</f>
        <v>0</v>
      </c>
      <c r="M182" s="29" cm="1">
        <f t="array" ref="M182">SUMIFS(FLOWS!$C:$C,FLOWS!$A:$A,$B$163,FLOWS!$E:$E,$K182,FLOWS!$D:$D,M$167,FLOWS!$H:$H,"&gt;="&amp;$C$165,FLOWS!$H:$H,"&lt;="&amp;$U$165)+SUM(SUMIFS(DEALS!$J:$J,DEALS!$A:$A,{"*REFUND*","*EXECUTED*"},DEALS!$G:$G,$B$163,DEALS!$E:$E,"&gt;="&amp;$C$165,DEALS!$E:$E,"&lt;="&amp;$U$165,DEALS!$K:$K,M$167,DEALS!$M:$M,$K182,DEALS!$N:$N,"&lt;&gt;*RECEIVED*",DEALS!$N:$N,"&lt;&gt;*EXECUTED*"))+SUM(SUMIFS(DEALS!$R:$R,DEALS!$A:$A,{"*REFUND*","*EXECUTED*"},DEALS!$O:$O,$B$163,DEALS!$E:$E,"&gt;="&amp;$C$165,DEALS!$E:$E,"&lt;="&amp;$U$165,DEALS!$S:$S,M$167,DEALS!$U:$U,$K182,DEALS!$V:$V,"&lt;&gt;*RECEIVED*",DEALS!$V:$V,"&lt;&gt;*EXECUTED*"))</f>
        <v>0</v>
      </c>
      <c r="N182" s="29" cm="1">
        <f t="array" ref="N182">SUMIFS(FLOWS!$C:$C,FLOWS!$A:$A,$B$163,FLOWS!$E:$E,$K182,FLOWS!$D:$D,N$167,FLOWS!$H:$H,"&gt;="&amp;$C$165,FLOWS!$H:$H,"&lt;="&amp;$U$165)+SUM(SUMIFS(DEALS!$J:$J,DEALS!$A:$A,{"*REFUND*","*EXECUTED*"},DEALS!$G:$G,$B$163,DEALS!$E:$E,"&gt;="&amp;$C$165,DEALS!$E:$E,"&lt;="&amp;$U$165,DEALS!$K:$K,N$167,DEALS!$M:$M,$K182,DEALS!$N:$N,"&lt;&gt;*RECEIVED*",DEALS!$N:$N,"&lt;&gt;*EXECUTED*"))+SUM(SUMIFS(DEALS!$R:$R,DEALS!$A:$A,{"*REFUND*","*EXECUTED*"},DEALS!$O:$O,$B$163,DEALS!$E:$E,"&gt;="&amp;$C$165,DEALS!$E:$E,"&lt;="&amp;$U$165,DEALS!$S:$S,N$167,DEALS!$U:$U,$K182,DEALS!$V:$V,"&lt;&gt;*RECEIVED*",DEALS!$V:$V,"&lt;&gt;*EXECUTED*"))</f>
        <v>0</v>
      </c>
      <c r="O182" s="29" cm="1">
        <f t="array" ref="O182">SUMIFS(FLOWS!$C:$C,FLOWS!$A:$A,$B$163,FLOWS!$E:$E,$K182,FLOWS!$D:$D,O$167,FLOWS!$H:$H,"&gt;="&amp;$C$165,FLOWS!$H:$H,"&lt;="&amp;$U$165)+SUM(SUMIFS(DEALS!$J:$J,DEALS!$A:$A,{"*REFUND*","*EXECUTED*"},DEALS!$G:$G,$B$163,DEALS!$E:$E,"&gt;="&amp;$C$165,DEALS!$E:$E,"&lt;="&amp;$U$165,DEALS!$K:$K,O$167,DEALS!$M:$M,$K182,DEALS!$N:$N,"&lt;&gt;*RECEIVED*",DEALS!$N:$N,"&lt;&gt;*EXECUTED*"))+SUM(SUMIFS(DEALS!$R:$R,DEALS!$A:$A,{"*REFUND*","*EXECUTED*"},DEALS!$O:$O,$B$163,DEALS!$E:$E,"&gt;="&amp;$C$165,DEALS!$E:$E,"&lt;="&amp;$U$165,DEALS!$S:$S,O$167,DEALS!$U:$U,$K182,DEALS!$V:$V,"&lt;&gt;*RECEIVED*",DEALS!$V:$V,"&lt;&gt;*EXECUTED*"))</f>
        <v>0</v>
      </c>
      <c r="P182" s="29" cm="1">
        <f t="array" ref="P182">SUMIFS(FLOWS!$C:$C,FLOWS!$A:$A,$B$163,FLOWS!$E:$E,$K182,FLOWS!$D:$D,P$167,FLOWS!$H:$H,"&gt;="&amp;$C$165,FLOWS!$H:$H,"&lt;="&amp;$U$165)+SUM(SUMIFS(DEALS!$J:$J,DEALS!$A:$A,{"*REFUND*","*EXECUTED*"},DEALS!$G:$G,$B$163,DEALS!$E:$E,"&gt;="&amp;$C$165,DEALS!$E:$E,"&lt;="&amp;$U$165,DEALS!$K:$K,P$167,DEALS!$M:$M,$K182,DEALS!$N:$N,"&lt;&gt;*RECEIVED*",DEALS!$N:$N,"&lt;&gt;*EXECUTED*"))+SUM(SUMIFS(DEALS!$R:$R,DEALS!$A:$A,{"*REFUND*","*EXECUTED*"},DEALS!$O:$O,$B$163,DEALS!$E:$E,"&gt;="&amp;$C$165,DEALS!$E:$E,"&lt;="&amp;$U$165,DEALS!$S:$S,P$167,DEALS!$U:$U,$K182,DEALS!$V:$V,"&lt;&gt;*RECEIVED*",DEALS!$V:$V,"&lt;&gt;*EXECUTED*"))</f>
        <v>0</v>
      </c>
      <c r="Q182" s="29" cm="1">
        <f t="array" ref="Q182">SUMIFS(FLOWS!$C:$C,FLOWS!$A:$A,$B$163,FLOWS!$E:$E,$K182,FLOWS!$D:$D,Q$167,FLOWS!$H:$H,"&gt;="&amp;$C$165,FLOWS!$H:$H,"&lt;="&amp;$U$165)+SUM(SUMIFS(DEALS!$J:$J,DEALS!$A:$A,{"*REFUND*","*EXECUTED*"},DEALS!$G:$G,$B$163,DEALS!$E:$E,"&gt;="&amp;$C$165,DEALS!$E:$E,"&lt;="&amp;$U$165,DEALS!$K:$K,Q$167,DEALS!$M:$M,$K182,DEALS!$N:$N,"&lt;&gt;*RECEIVED*",DEALS!$N:$N,"&lt;&gt;*EXECUTED*"))+SUM(SUMIFS(DEALS!$R:$R,DEALS!$A:$A,{"*REFUND*","*EXECUTED*"},DEALS!$O:$O,$B$163,DEALS!$E:$E,"&gt;="&amp;$C$165,DEALS!$E:$E,"&lt;="&amp;$U$165,DEALS!$S:$S,Q$167,DEALS!$U:$U,$K182,DEALS!$V:$V,"&lt;&gt;*RECEIVED*",DEALS!$V:$V,"&lt;&gt;*EXECUTED*"))</f>
        <v>0</v>
      </c>
      <c r="R182" s="30">
        <f ca="1">L182*VLOOKUP(L$167,'FX RATES'!$E$1:$F$50,2,FALSE)+M182*VLOOKUP(M$167,'FX RATES'!$E$1:$F$50,2,FALSE)+N182*VLOOKUP(N$167,'FX RATES'!$E$1:$F$50,2,FALSE)+O182*VLOOKUP(O$167,'FX RATES'!$E$1:$F$50,2,FALSE)+P182*VLOOKUP(P$167,'FX RATES'!$E$1:$F$50,2,FALSE)+Q182*VLOOKUP(Q$167,'FX RATES'!$E$1:$F$50,2,FALSE)</f>
        <v>0</v>
      </c>
      <c r="T182" s="28">
        <f t="shared" si="60"/>
        <v>0</v>
      </c>
      <c r="U182" s="29" cm="1">
        <f t="array" ref="U182">SUMIFS(BALANCES!$C:$C,BALANCES!$A:$A,$B$163,BALANCES!$B:$B,$T182,BALANCES!$D:$D,U$167)+SUMIFS(FLOWS!$C:$C,FLOWS!$A:$A,$B$163,FLOWS!$E:$E,$T182,FLOWS!$D:$D,U$167,FLOWS!$H:$H,"&lt;="&amp;$U$165)+SUM(SUMIFS(DEALS!$J:$J,DEALS!$A:$A,{"*REFUND*","*EXECUTED*"},DEALS!$G:$G,$B$163,DEALS!$E:$E,"&lt;="&amp;$U$165,DEALS!$K:$K,U$167,DEALS!$M:$M,$T182,DEALS!$N:$N,"&lt;&gt;*RECEIVED*",DEALS!$N:$N,"&lt;&gt;*EXECUTED*"))+SUM(SUMIFS(DEALS!$R:$R,DEALS!$A:$A,{"*REFUND*","*EXECUTED*"},DEALS!$O:$O,$B$163,DEALS!$E:$E,"&lt;="&amp;$U$165,DEALS!$S:$S,U$167,DEALS!$U:$U,$T182,DEALS!$V:$V,"&lt;&gt;*RECEIVED*",DEALS!$V:$V,"&lt;&gt;*EXECUTED*"))</f>
        <v>0</v>
      </c>
      <c r="V182" s="29" cm="1">
        <f t="array" ref="V182">SUMIFS(BALANCES!$C:$C,BALANCES!$A:$A,$B$163,BALANCES!$B:$B,$T182,BALANCES!$D:$D,V$167)+SUMIFS(FLOWS!$C:$C,FLOWS!$A:$A,$B$163,FLOWS!$E:$E,$T182,FLOWS!$D:$D,V$167,FLOWS!$H:$H,"&lt;="&amp;$U$165)+SUM(SUMIFS(DEALS!$J:$J,DEALS!$A:$A,{"*REFUND*","*EXECUTED*"},DEALS!$G:$G,$B$163,DEALS!$E:$E,"&lt;="&amp;$U$165,DEALS!$K:$K,V$167,DEALS!$M:$M,$T182,DEALS!$N:$N,"&lt;&gt;*RECEIVED*",DEALS!$N:$N,"&lt;&gt;*EXECUTED*"))+SUM(SUMIFS(DEALS!$R:$R,DEALS!$A:$A,{"*REFUND*","*EXECUTED*"},DEALS!$O:$O,$B$163,DEALS!$E:$E,"&lt;="&amp;$U$165,DEALS!$S:$S,V$167,DEALS!$U:$U,$T182,DEALS!$V:$V,"&lt;&gt;*RECEIVED*",DEALS!$V:$V,"&lt;&gt;*EXECUTED*"))</f>
        <v>0</v>
      </c>
      <c r="W182" s="29" cm="1">
        <f t="array" ref="W182">SUMIFS(BALANCES!$C:$C,BALANCES!$A:$A,$B$163,BALANCES!$B:$B,$T182,BALANCES!$D:$D,W$167)+SUMIFS(FLOWS!$C:$C,FLOWS!$A:$A,$B$163,FLOWS!$E:$E,$T182,FLOWS!$D:$D,W$167,FLOWS!$H:$H,"&lt;="&amp;$U$165)+SUM(SUMIFS(DEALS!$J:$J,DEALS!$A:$A,{"*REFUND*","*EXECUTED*"},DEALS!$G:$G,$B$163,DEALS!$E:$E,"&lt;="&amp;$U$165,DEALS!$K:$K,W$167,DEALS!$M:$M,$T182,DEALS!$N:$N,"&lt;&gt;*RECEIVED*",DEALS!$N:$N,"&lt;&gt;*EXECUTED*"))+SUM(SUMIFS(DEALS!$R:$R,DEALS!$A:$A,{"*REFUND*","*EXECUTED*"},DEALS!$O:$O,$B$163,DEALS!$E:$E,"&lt;="&amp;$U$165,DEALS!$S:$S,W$167,DEALS!$U:$U,$T182,DEALS!$V:$V,"&lt;&gt;*RECEIVED*",DEALS!$V:$V,"&lt;&gt;*EXECUTED*"))</f>
        <v>0</v>
      </c>
      <c r="X182" s="29" cm="1">
        <f t="array" ref="X182">SUMIFS(BALANCES!$C:$C,BALANCES!$A:$A,$B$163,BALANCES!$B:$B,$T182,BALANCES!$D:$D,X$167)+SUMIFS(FLOWS!$C:$C,FLOWS!$A:$A,$B$163,FLOWS!$E:$E,$T182,FLOWS!$D:$D,X$167,FLOWS!$H:$H,"&lt;="&amp;$U$165)+SUM(SUMIFS(DEALS!$J:$J,DEALS!$A:$A,{"*REFUND*","*EXECUTED*"},DEALS!$G:$G,$B$163,DEALS!$E:$E,"&lt;="&amp;$U$165,DEALS!$K:$K,X$167,DEALS!$M:$M,$T182,DEALS!$N:$N,"&lt;&gt;*RECEIVED*",DEALS!$N:$N,"&lt;&gt;*EXECUTED*"))+SUM(SUMIFS(DEALS!$R:$R,DEALS!$A:$A,{"*REFUND*","*EXECUTED*"},DEALS!$O:$O,$B$163,DEALS!$E:$E,"&lt;="&amp;$U$165,DEALS!$S:$S,X$167,DEALS!$U:$U,$T182,DEALS!$V:$V,"&lt;&gt;*RECEIVED*",DEALS!$V:$V,"&lt;&gt;*EXECUTED*"))</f>
        <v>0</v>
      </c>
      <c r="Y182" s="29" cm="1">
        <f t="array" ref="Y182">SUMIFS(BALANCES!$C:$C,BALANCES!$A:$A,$B$163,BALANCES!$B:$B,$T182,BALANCES!$D:$D,Y$167)+SUMIFS(FLOWS!$C:$C,FLOWS!$A:$A,$B$163,FLOWS!$E:$E,$T182,FLOWS!$D:$D,Y$167,FLOWS!$H:$H,"&lt;="&amp;$U$165)+SUM(SUMIFS(DEALS!$J:$J,DEALS!$A:$A,{"*REFUND*","*EXECUTED*"},DEALS!$G:$G,$B$163,DEALS!$E:$E,"&lt;="&amp;$U$165,DEALS!$K:$K,Y$167,DEALS!$M:$M,$T182,DEALS!$N:$N,"&lt;&gt;*RECEIVED*",DEALS!$N:$N,"&lt;&gt;*EXECUTED*"))+SUM(SUMIFS(DEALS!$R:$R,DEALS!$A:$A,{"*REFUND*","*EXECUTED*"},DEALS!$O:$O,$B$163,DEALS!$E:$E,"&lt;="&amp;$U$165,DEALS!$S:$S,Y$167,DEALS!$U:$U,$T182,DEALS!$V:$V,"&lt;&gt;*RECEIVED*",DEALS!$V:$V,"&lt;&gt;*EXECUTED*"))</f>
        <v>0</v>
      </c>
      <c r="Z182" s="29" cm="1">
        <f t="array" ref="Z182">SUMIFS(BALANCES!$C:$C,BALANCES!$A:$A,$B$163,BALANCES!$B:$B,$T182,BALANCES!$D:$D,Z$167)+SUMIFS(FLOWS!$C:$C,FLOWS!$A:$A,$B$163,FLOWS!$E:$E,$T182,FLOWS!$D:$D,Z$167,FLOWS!$H:$H,"&lt;="&amp;$U$165)+SUM(SUMIFS(DEALS!$J:$J,DEALS!$A:$A,{"*REFUND*","*EXECUTED*"},DEALS!$G:$G,$B$163,DEALS!$E:$E,"&lt;="&amp;$U$165,DEALS!$K:$K,Z$167,DEALS!$M:$M,$T182,DEALS!$N:$N,"&lt;&gt;*RECEIVED*",DEALS!$N:$N,"&lt;&gt;*EXECUTED*"))+SUM(SUMIFS(DEALS!$R:$R,DEALS!$A:$A,{"*REFUND*","*EXECUTED*"},DEALS!$O:$O,$B$163,DEALS!$E:$E,"&lt;="&amp;$U$165,DEALS!$S:$S,Z$167,DEALS!$U:$U,$T182,DEALS!$V:$V,"&lt;&gt;*RECEIVED*",DEALS!$V:$V,"&lt;&gt;*EXECUTED*"))</f>
        <v>0</v>
      </c>
      <c r="AA182" s="30">
        <f ca="1">U182*VLOOKUP(U$167,'FX RATES'!$E$1:$F$50,2,FALSE)+V182*VLOOKUP(V$167,'FX RATES'!$E$1:$F$50,2,FALSE)+W182*VLOOKUP(W$167,'FX RATES'!$E$1:$F$50,2,FALSE)+X182*VLOOKUP(X$167,'FX RATES'!$E$1:$F$50,2,FALSE)+Y182*VLOOKUP(Y$167,'FX RATES'!$E$1:$F$50,2,FALSE)+Z182*VLOOKUP(Z$167,'FX RATES'!$E$1:$F$50,2,FALSE)</f>
        <v>0</v>
      </c>
      <c r="AC182" s="139">
        <f t="shared" ca="1" si="61"/>
        <v>0</v>
      </c>
    </row>
    <row r="183" spans="2:29" ht="18.75" hidden="1" customHeight="1">
      <c r="B183" s="31"/>
      <c r="C183" s="32" cm="1">
        <f t="array" ref="C183">SUMIFS(BALANCES!$C:$C,BALANCES!$A:$A,$B$163,BALANCES!$B:$B,$B183,BALANCES!$D:$D,C$167)+SUMIFS(FLOWS!$C:$C,FLOWS!$A:$A,$B$163,FLOWS!$E:$E,$B183,FLOWS!$D:$D,C$167,FLOWS!$H:$H,"&lt;"&amp;$C$165)+SUM(SUMIFS(DEALS!$J:$J,DEALS!$A:$A,{"*REFUND*","*EXECUTED*"},DEALS!$G:$G,$B$163,DEALS!$E:$E,"&lt;"&amp;$C$165,DEALS!$K:$K,C$167,DEALS!$M:$M,$B183,DEALS!$N:$N,"&lt;&gt;*RECEIVED*",DEALS!$N:$N,"&lt;&gt;*EXECUTED*"))+SUM(SUMIFS(DEALS!$R:$R,DEALS!$A:$A,{"*REFUND*","*EXECUTED*"},DEALS!$O:$O,$B$163,DEALS!$E:$E,"&lt;"&amp;$C$165,DEALS!$S:$S,C$167,DEALS!$U:$U,$B183,DEALS!$V:$V,"&lt;&gt;*RECEIVED*",DEALS!$V:$V,"&lt;&gt;*EXECUTED*"))</f>
        <v>0</v>
      </c>
      <c r="D183" s="32" cm="1">
        <f t="array" ref="D183">SUMIFS(BALANCES!$C:$C,BALANCES!$A:$A,$B$163,BALANCES!$B:$B,$B183,BALANCES!$D:$D,D$167)+SUMIFS(FLOWS!$C:$C,FLOWS!$A:$A,$B$163,FLOWS!$E:$E,$B183,FLOWS!$D:$D,D$167,FLOWS!$H:$H,"&lt;"&amp;$C$165)+SUM(SUMIFS(DEALS!$J:$J,DEALS!$A:$A,{"*REFUND*","*EXECUTED*"},DEALS!$G:$G,$B$163,DEALS!$E:$E,"&lt;"&amp;$C$165,DEALS!$K:$K,D$167,DEALS!$M:$M,$B183,DEALS!$N:$N,"&lt;&gt;*RECEIVED*",DEALS!$N:$N,"&lt;&gt;*EXECUTED*"))+SUM(SUMIFS(DEALS!$R:$R,DEALS!$A:$A,{"*REFUND*","*EXECUTED*"},DEALS!$O:$O,$B$163,DEALS!$E:$E,"&lt;"&amp;$C$165,DEALS!$S:$S,D$167,DEALS!$U:$U,$B183,DEALS!$V:$V,"&lt;&gt;*RECEIVED*",DEALS!$V:$V,"&lt;&gt;*EXECUTED*"))</f>
        <v>0</v>
      </c>
      <c r="E183" s="32" cm="1">
        <f t="array" ref="E183">SUMIFS(BALANCES!$C:$C,BALANCES!$A:$A,$B$163,BALANCES!$B:$B,$B183,BALANCES!$D:$D,E$167)+SUMIFS(FLOWS!$C:$C,FLOWS!$A:$A,$B$163,FLOWS!$E:$E,$B183,FLOWS!$D:$D,E$167,FLOWS!$H:$H,"&lt;"&amp;$C$165)+SUM(SUMIFS(DEALS!$J:$J,DEALS!$A:$A,{"*REFUND*","*EXECUTED*"},DEALS!$G:$G,$B$163,DEALS!$E:$E,"&lt;"&amp;$C$165,DEALS!$K:$K,E$167,DEALS!$M:$M,$B183,DEALS!$N:$N,"&lt;&gt;*RECEIVED*",DEALS!$N:$N,"&lt;&gt;*EXECUTED*"))+SUM(SUMIFS(DEALS!$R:$R,DEALS!$A:$A,{"*REFUND*","*EXECUTED*"},DEALS!$O:$O,$B$163,DEALS!$E:$E,"&lt;"&amp;$C$165,DEALS!$S:$S,E$167,DEALS!$U:$U,$B183,DEALS!$V:$V,"&lt;&gt;*RECEIVED*",DEALS!$V:$V,"&lt;&gt;*EXECUTED*"))</f>
        <v>0</v>
      </c>
      <c r="F183" s="32" cm="1">
        <f t="array" ref="F183">SUMIFS(BALANCES!$C:$C,BALANCES!$A:$A,$B$163,BALANCES!$B:$B,$B183,BALANCES!$D:$D,F$167)+SUMIFS(FLOWS!$C:$C,FLOWS!$A:$A,$B$163,FLOWS!$E:$E,$B183,FLOWS!$D:$D,F$167,FLOWS!$H:$H,"&lt;"&amp;$C$165)+SUM(SUMIFS(DEALS!$J:$J,DEALS!$A:$A,{"*REFUND*","*EXECUTED*"},DEALS!$G:$G,$B$163,DEALS!$E:$E,"&lt;"&amp;$C$165,DEALS!$K:$K,F$167,DEALS!$M:$M,$B183,DEALS!$N:$N,"&lt;&gt;*RECEIVED*",DEALS!$N:$N,"&lt;&gt;*EXECUTED*"))+SUM(SUMIFS(DEALS!$R:$R,DEALS!$A:$A,{"*REFUND*","*EXECUTED*"},DEALS!$O:$O,$B$163,DEALS!$E:$E,"&lt;"&amp;$C$165,DEALS!$S:$S,F$167,DEALS!$U:$U,$B183,DEALS!$V:$V,"&lt;&gt;*RECEIVED*",DEALS!$V:$V,"&lt;&gt;*EXECUTED*"))</f>
        <v>0</v>
      </c>
      <c r="G183" s="32" cm="1">
        <f t="array" ref="G183">SUMIFS(BALANCES!$C:$C,BALANCES!$A:$A,$B$163,BALANCES!$B:$B,$B183,BALANCES!$D:$D,G$167)+SUMIFS(FLOWS!$C:$C,FLOWS!$A:$A,$B$163,FLOWS!$E:$E,$B183,FLOWS!$D:$D,G$167,FLOWS!$H:$H,"&lt;"&amp;$C$165)+SUM(SUMIFS(DEALS!$J:$J,DEALS!$A:$A,{"*REFUND*","*EXECUTED*"},DEALS!$G:$G,$B$163,DEALS!$E:$E,"&lt;"&amp;$C$165,DEALS!$K:$K,G$167,DEALS!$M:$M,$B183,DEALS!$N:$N,"&lt;&gt;*RECEIVED*",DEALS!$N:$N,"&lt;&gt;*EXECUTED*"))+SUM(SUMIFS(DEALS!$R:$R,DEALS!$A:$A,{"*REFUND*","*EXECUTED*"},DEALS!$O:$O,$B$163,DEALS!$E:$E,"&lt;"&amp;$C$165,DEALS!$S:$S,G$167,DEALS!$U:$U,$B183,DEALS!$V:$V,"&lt;&gt;*RECEIVED*",DEALS!$V:$V,"&lt;&gt;*EXECUTED*"))</f>
        <v>0</v>
      </c>
      <c r="H183" s="32" cm="1">
        <f t="array" ref="H183">SUMIFS(BALANCES!$C:$C,BALANCES!$A:$A,$B$163,BALANCES!$B:$B,$B183,BALANCES!$D:$D,H$167)+SUMIFS(FLOWS!$C:$C,FLOWS!$A:$A,$B$163,FLOWS!$E:$E,$B183,FLOWS!$D:$D,H$167,FLOWS!$H:$H,"&lt;"&amp;$C$165)+SUM(SUMIFS(DEALS!$J:$J,DEALS!$A:$A,{"*REFUND*","*EXECUTED*"},DEALS!$G:$G,$B$163,DEALS!$E:$E,"&lt;"&amp;$C$165,DEALS!$K:$K,H$167,DEALS!$M:$M,$B183,DEALS!$N:$N,"&lt;&gt;*RECEIVED*",DEALS!$N:$N,"&lt;&gt;*EXECUTED*"))+SUM(SUMIFS(DEALS!$R:$R,DEALS!$A:$A,{"*REFUND*","*EXECUTED*"},DEALS!$O:$O,$B$163,DEALS!$E:$E,"&lt;"&amp;$C$165,DEALS!$S:$S,H$167,DEALS!$U:$U,$B183,DEALS!$V:$V,"&lt;&gt;*RECEIVED*",DEALS!$V:$V,"&lt;&gt;*EXECUTED*"))</f>
        <v>0</v>
      </c>
      <c r="I183" s="33">
        <f ca="1">C183*VLOOKUP(C$167,'FX RATES'!$E$1:$F$50,2,FALSE)+D183*VLOOKUP(D$167,'FX RATES'!$E$1:$F$50,2,FALSE)+E183*VLOOKUP(E$167,'FX RATES'!$E$1:$F$50,2,FALSE)+F183*VLOOKUP(F$167,'FX RATES'!$E$1:$F$50,2,FALSE)+G183*VLOOKUP(G$167,'FX RATES'!$E$1:$F$50,2,FALSE)+H183*VLOOKUP(H$167,'FX RATES'!$E$1:$F$50,2,FALSE)</f>
        <v>0</v>
      </c>
      <c r="K183" s="31">
        <f t="shared" si="59"/>
        <v>0</v>
      </c>
      <c r="L183" s="32" cm="1">
        <f t="array" ref="L183">SUMIFS(FLOWS!$C:$C,FLOWS!$A:$A,$B$163,FLOWS!$E:$E,$K183,FLOWS!$D:$D,L$167,FLOWS!$H:$H,"&gt;="&amp;$C$165,FLOWS!$H:$H,"&lt;="&amp;$U$165)+SUM(SUMIFS(DEALS!$J:$J,DEALS!$A:$A,{"*REFUND*","*EXECUTED*"},DEALS!$G:$G,$B$163,DEALS!$E:$E,"&gt;="&amp;$C$165,DEALS!$E:$E,"&lt;="&amp;$U$165,DEALS!$K:$K,L$167,DEALS!$M:$M,$K183,DEALS!$N:$N,"&lt;&gt;*RECEIVED*",DEALS!$N:$N,"&lt;&gt;*EXECUTED*"))+SUM(SUMIFS(DEALS!$R:$R,DEALS!$A:$A,{"*REFUND*","*EXECUTED*"},DEALS!$O:$O,$B$163,DEALS!$E:$E,"&gt;="&amp;$C$165,DEALS!$E:$E,"&lt;="&amp;$U$165,DEALS!$S:$S,L$167,DEALS!$U:$U,$K183,DEALS!$V:$V,"&lt;&gt;*RECEIVED*",DEALS!$V:$V,"&lt;&gt;*EXECUTED*"))</f>
        <v>0</v>
      </c>
      <c r="M183" s="32" cm="1">
        <f t="array" ref="M183">SUMIFS(FLOWS!$C:$C,FLOWS!$A:$A,$B$163,FLOWS!$E:$E,$K183,FLOWS!$D:$D,M$167,FLOWS!$H:$H,"&gt;="&amp;$C$165,FLOWS!$H:$H,"&lt;="&amp;$U$165)+SUM(SUMIFS(DEALS!$J:$J,DEALS!$A:$A,{"*REFUND*","*EXECUTED*"},DEALS!$G:$G,$B$163,DEALS!$E:$E,"&gt;="&amp;$C$165,DEALS!$E:$E,"&lt;="&amp;$U$165,DEALS!$K:$K,M$167,DEALS!$M:$M,$K183,DEALS!$N:$N,"&lt;&gt;*RECEIVED*",DEALS!$N:$N,"&lt;&gt;*EXECUTED*"))+SUM(SUMIFS(DEALS!$R:$R,DEALS!$A:$A,{"*REFUND*","*EXECUTED*"},DEALS!$O:$O,$B$163,DEALS!$E:$E,"&gt;="&amp;$C$165,DEALS!$E:$E,"&lt;="&amp;$U$165,DEALS!$S:$S,M$167,DEALS!$U:$U,$K183,DEALS!$V:$V,"&lt;&gt;*RECEIVED*",DEALS!$V:$V,"&lt;&gt;*EXECUTED*"))</f>
        <v>0</v>
      </c>
      <c r="N183" s="32" cm="1">
        <f t="array" ref="N183">SUMIFS(FLOWS!$C:$C,FLOWS!$A:$A,$B$163,FLOWS!$E:$E,$K183,FLOWS!$D:$D,N$167,FLOWS!$H:$H,"&gt;="&amp;$C$165,FLOWS!$H:$H,"&lt;="&amp;$U$165)+SUM(SUMIFS(DEALS!$J:$J,DEALS!$A:$A,{"*REFUND*","*EXECUTED*"},DEALS!$G:$G,$B$163,DEALS!$E:$E,"&gt;="&amp;$C$165,DEALS!$E:$E,"&lt;="&amp;$U$165,DEALS!$K:$K,N$167,DEALS!$M:$M,$K183,DEALS!$N:$N,"&lt;&gt;*RECEIVED*",DEALS!$N:$N,"&lt;&gt;*EXECUTED*"))+SUM(SUMIFS(DEALS!$R:$R,DEALS!$A:$A,{"*REFUND*","*EXECUTED*"},DEALS!$O:$O,$B$163,DEALS!$E:$E,"&gt;="&amp;$C$165,DEALS!$E:$E,"&lt;="&amp;$U$165,DEALS!$S:$S,N$167,DEALS!$U:$U,$K183,DEALS!$V:$V,"&lt;&gt;*RECEIVED*",DEALS!$V:$V,"&lt;&gt;*EXECUTED*"))</f>
        <v>0</v>
      </c>
      <c r="O183" s="32" cm="1">
        <f t="array" ref="O183">SUMIFS(FLOWS!$C:$C,FLOWS!$A:$A,$B$163,FLOWS!$E:$E,$K183,FLOWS!$D:$D,O$167,FLOWS!$H:$H,"&gt;="&amp;$C$165,FLOWS!$H:$H,"&lt;="&amp;$U$165)+SUM(SUMIFS(DEALS!$J:$J,DEALS!$A:$A,{"*REFUND*","*EXECUTED*"},DEALS!$G:$G,$B$163,DEALS!$E:$E,"&gt;="&amp;$C$165,DEALS!$E:$E,"&lt;="&amp;$U$165,DEALS!$K:$K,O$167,DEALS!$M:$M,$K183,DEALS!$N:$N,"&lt;&gt;*RECEIVED*",DEALS!$N:$N,"&lt;&gt;*EXECUTED*"))+SUM(SUMIFS(DEALS!$R:$R,DEALS!$A:$A,{"*REFUND*","*EXECUTED*"},DEALS!$O:$O,$B$163,DEALS!$E:$E,"&gt;="&amp;$C$165,DEALS!$E:$E,"&lt;="&amp;$U$165,DEALS!$S:$S,O$167,DEALS!$U:$U,$K183,DEALS!$V:$V,"&lt;&gt;*RECEIVED*",DEALS!$V:$V,"&lt;&gt;*EXECUTED*"))</f>
        <v>0</v>
      </c>
      <c r="P183" s="32" cm="1">
        <f t="array" ref="P183">SUMIFS(FLOWS!$C:$C,FLOWS!$A:$A,$B$163,FLOWS!$E:$E,$K183,FLOWS!$D:$D,P$167,FLOWS!$H:$H,"&gt;="&amp;$C$165,FLOWS!$H:$H,"&lt;="&amp;$U$165)+SUM(SUMIFS(DEALS!$J:$J,DEALS!$A:$A,{"*REFUND*","*EXECUTED*"},DEALS!$G:$G,$B$163,DEALS!$E:$E,"&gt;="&amp;$C$165,DEALS!$E:$E,"&lt;="&amp;$U$165,DEALS!$K:$K,P$167,DEALS!$M:$M,$K183,DEALS!$N:$N,"&lt;&gt;*RECEIVED*",DEALS!$N:$N,"&lt;&gt;*EXECUTED*"))+SUM(SUMIFS(DEALS!$R:$R,DEALS!$A:$A,{"*REFUND*","*EXECUTED*"},DEALS!$O:$O,$B$163,DEALS!$E:$E,"&gt;="&amp;$C$165,DEALS!$E:$E,"&lt;="&amp;$U$165,DEALS!$S:$S,P$167,DEALS!$U:$U,$K183,DEALS!$V:$V,"&lt;&gt;*RECEIVED*",DEALS!$V:$V,"&lt;&gt;*EXECUTED*"))</f>
        <v>0</v>
      </c>
      <c r="Q183" s="32" cm="1">
        <f t="array" ref="Q183">SUMIFS(FLOWS!$C:$C,FLOWS!$A:$A,$B$163,FLOWS!$E:$E,$K183,FLOWS!$D:$D,Q$167,FLOWS!$H:$H,"&gt;="&amp;$C$165,FLOWS!$H:$H,"&lt;="&amp;$U$165)+SUM(SUMIFS(DEALS!$J:$J,DEALS!$A:$A,{"*REFUND*","*EXECUTED*"},DEALS!$G:$G,$B$163,DEALS!$E:$E,"&gt;="&amp;$C$165,DEALS!$E:$E,"&lt;="&amp;$U$165,DEALS!$K:$K,Q$167,DEALS!$M:$M,$K183,DEALS!$N:$N,"&lt;&gt;*RECEIVED*",DEALS!$N:$N,"&lt;&gt;*EXECUTED*"))+SUM(SUMIFS(DEALS!$R:$R,DEALS!$A:$A,{"*REFUND*","*EXECUTED*"},DEALS!$O:$O,$B$163,DEALS!$E:$E,"&gt;="&amp;$C$165,DEALS!$E:$E,"&lt;="&amp;$U$165,DEALS!$S:$S,Q$167,DEALS!$U:$U,$K183,DEALS!$V:$V,"&lt;&gt;*RECEIVED*",DEALS!$V:$V,"&lt;&gt;*EXECUTED*"))</f>
        <v>0</v>
      </c>
      <c r="R183" s="33">
        <f ca="1">L183*VLOOKUP(L$167,'FX RATES'!$E$1:$F$50,2,FALSE)+M183*VLOOKUP(M$167,'FX RATES'!$E$1:$F$50,2,FALSE)+N183*VLOOKUP(N$167,'FX RATES'!$E$1:$F$50,2,FALSE)+O183*VLOOKUP(O$167,'FX RATES'!$E$1:$F$50,2,FALSE)+P183*VLOOKUP(P$167,'FX RATES'!$E$1:$F$50,2,FALSE)+Q183*VLOOKUP(Q$167,'FX RATES'!$E$1:$F$50,2,FALSE)</f>
        <v>0</v>
      </c>
      <c r="T183" s="31">
        <f t="shared" si="60"/>
        <v>0</v>
      </c>
      <c r="U183" s="32" cm="1">
        <f t="array" ref="U183">SUMIFS(BALANCES!$C:$C,BALANCES!$A:$A,$B$163,BALANCES!$B:$B,$T183,BALANCES!$D:$D,U$167)+SUMIFS(FLOWS!$C:$C,FLOWS!$A:$A,$B$163,FLOWS!$E:$E,$T183,FLOWS!$D:$D,U$167,FLOWS!$H:$H,"&lt;="&amp;$U$165)+SUM(SUMIFS(DEALS!$J:$J,DEALS!$A:$A,{"*REFUND*","*EXECUTED*"},DEALS!$G:$G,$B$163,DEALS!$E:$E,"&lt;="&amp;$U$165,DEALS!$K:$K,U$167,DEALS!$M:$M,$T183,DEALS!$N:$N,"&lt;&gt;*RECEIVED*",DEALS!$N:$N,"&lt;&gt;*EXECUTED*"))+SUM(SUMIFS(DEALS!$R:$R,DEALS!$A:$A,{"*REFUND*","*EXECUTED*"},DEALS!$O:$O,$B$163,DEALS!$E:$E,"&lt;="&amp;$U$165,DEALS!$S:$S,U$167,DEALS!$U:$U,$T183,DEALS!$V:$V,"&lt;&gt;*RECEIVED*",DEALS!$V:$V,"&lt;&gt;*EXECUTED*"))</f>
        <v>0</v>
      </c>
      <c r="V183" s="32" cm="1">
        <f t="array" ref="V183">SUMIFS(BALANCES!$C:$C,BALANCES!$A:$A,$B$163,BALANCES!$B:$B,$T183,BALANCES!$D:$D,V$167)+SUMIFS(FLOWS!$C:$C,FLOWS!$A:$A,$B$163,FLOWS!$E:$E,$T183,FLOWS!$D:$D,V$167,FLOWS!$H:$H,"&lt;="&amp;$U$165)+SUM(SUMIFS(DEALS!$J:$J,DEALS!$A:$A,{"*REFUND*","*EXECUTED*"},DEALS!$G:$G,$B$163,DEALS!$E:$E,"&lt;="&amp;$U$165,DEALS!$K:$K,V$167,DEALS!$M:$M,$T183,DEALS!$N:$N,"&lt;&gt;*RECEIVED*",DEALS!$N:$N,"&lt;&gt;*EXECUTED*"))+SUM(SUMIFS(DEALS!$R:$R,DEALS!$A:$A,{"*REFUND*","*EXECUTED*"},DEALS!$O:$O,$B$163,DEALS!$E:$E,"&lt;="&amp;$U$165,DEALS!$S:$S,V$167,DEALS!$U:$U,$T183,DEALS!$V:$V,"&lt;&gt;*RECEIVED*",DEALS!$V:$V,"&lt;&gt;*EXECUTED*"))</f>
        <v>0</v>
      </c>
      <c r="W183" s="32" cm="1">
        <f t="array" ref="W183">SUMIFS(BALANCES!$C:$C,BALANCES!$A:$A,$B$163,BALANCES!$B:$B,$T183,BALANCES!$D:$D,W$167)+SUMIFS(FLOWS!$C:$C,FLOWS!$A:$A,$B$163,FLOWS!$E:$E,$T183,FLOWS!$D:$D,W$167,FLOWS!$H:$H,"&lt;="&amp;$U$165)+SUM(SUMIFS(DEALS!$J:$J,DEALS!$A:$A,{"*REFUND*","*EXECUTED*"},DEALS!$G:$G,$B$163,DEALS!$E:$E,"&lt;="&amp;$U$165,DEALS!$K:$K,W$167,DEALS!$M:$M,$T183,DEALS!$N:$N,"&lt;&gt;*RECEIVED*",DEALS!$N:$N,"&lt;&gt;*EXECUTED*"))+SUM(SUMIFS(DEALS!$R:$R,DEALS!$A:$A,{"*REFUND*","*EXECUTED*"},DEALS!$O:$O,$B$163,DEALS!$E:$E,"&lt;="&amp;$U$165,DEALS!$S:$S,W$167,DEALS!$U:$U,$T183,DEALS!$V:$V,"&lt;&gt;*RECEIVED*",DEALS!$V:$V,"&lt;&gt;*EXECUTED*"))</f>
        <v>0</v>
      </c>
      <c r="X183" s="32" cm="1">
        <f t="array" ref="X183">SUMIFS(BALANCES!$C:$C,BALANCES!$A:$A,$B$163,BALANCES!$B:$B,$T183,BALANCES!$D:$D,X$167)+SUMIFS(FLOWS!$C:$C,FLOWS!$A:$A,$B$163,FLOWS!$E:$E,$T183,FLOWS!$D:$D,X$167,FLOWS!$H:$H,"&lt;="&amp;$U$165)+SUM(SUMIFS(DEALS!$J:$J,DEALS!$A:$A,{"*REFUND*","*EXECUTED*"},DEALS!$G:$G,$B$163,DEALS!$E:$E,"&lt;="&amp;$U$165,DEALS!$K:$K,X$167,DEALS!$M:$M,$T183,DEALS!$N:$N,"&lt;&gt;*RECEIVED*",DEALS!$N:$N,"&lt;&gt;*EXECUTED*"))+SUM(SUMIFS(DEALS!$R:$R,DEALS!$A:$A,{"*REFUND*","*EXECUTED*"},DEALS!$O:$O,$B$163,DEALS!$E:$E,"&lt;="&amp;$U$165,DEALS!$S:$S,X$167,DEALS!$U:$U,$T183,DEALS!$V:$V,"&lt;&gt;*RECEIVED*",DEALS!$V:$V,"&lt;&gt;*EXECUTED*"))</f>
        <v>0</v>
      </c>
      <c r="Y183" s="32" cm="1">
        <f t="array" ref="Y183">SUMIFS(BALANCES!$C:$C,BALANCES!$A:$A,$B$163,BALANCES!$B:$B,$T183,BALANCES!$D:$D,Y$167)+SUMIFS(FLOWS!$C:$C,FLOWS!$A:$A,$B$163,FLOWS!$E:$E,$T183,FLOWS!$D:$D,Y$167,FLOWS!$H:$H,"&lt;="&amp;$U$165)+SUM(SUMIFS(DEALS!$J:$J,DEALS!$A:$A,{"*REFUND*","*EXECUTED*"},DEALS!$G:$G,$B$163,DEALS!$E:$E,"&lt;="&amp;$U$165,DEALS!$K:$K,Y$167,DEALS!$M:$M,$T183,DEALS!$N:$N,"&lt;&gt;*RECEIVED*",DEALS!$N:$N,"&lt;&gt;*EXECUTED*"))+SUM(SUMIFS(DEALS!$R:$R,DEALS!$A:$A,{"*REFUND*","*EXECUTED*"},DEALS!$O:$O,$B$163,DEALS!$E:$E,"&lt;="&amp;$U$165,DEALS!$S:$S,Y$167,DEALS!$U:$U,$T183,DEALS!$V:$V,"&lt;&gt;*RECEIVED*",DEALS!$V:$V,"&lt;&gt;*EXECUTED*"))</f>
        <v>0</v>
      </c>
      <c r="Z183" s="32" cm="1">
        <f t="array" ref="Z183">SUMIFS(BALANCES!$C:$C,BALANCES!$A:$A,$B$163,BALANCES!$B:$B,$T183,BALANCES!$D:$D,Z$167)+SUMIFS(FLOWS!$C:$C,FLOWS!$A:$A,$B$163,FLOWS!$E:$E,$T183,FLOWS!$D:$D,Z$167,FLOWS!$H:$H,"&lt;="&amp;$U$165)+SUM(SUMIFS(DEALS!$J:$J,DEALS!$A:$A,{"*REFUND*","*EXECUTED*"},DEALS!$G:$G,$B$163,DEALS!$E:$E,"&lt;="&amp;$U$165,DEALS!$K:$K,Z$167,DEALS!$M:$M,$T183,DEALS!$N:$N,"&lt;&gt;*RECEIVED*",DEALS!$N:$N,"&lt;&gt;*EXECUTED*"))+SUM(SUMIFS(DEALS!$R:$R,DEALS!$A:$A,{"*REFUND*","*EXECUTED*"},DEALS!$O:$O,$B$163,DEALS!$E:$E,"&lt;="&amp;$U$165,DEALS!$S:$S,Z$167,DEALS!$U:$U,$T183,DEALS!$V:$V,"&lt;&gt;*RECEIVED*",DEALS!$V:$V,"&lt;&gt;*EXECUTED*"))</f>
        <v>0</v>
      </c>
      <c r="AA183" s="33">
        <f ca="1">U183*VLOOKUP(U$167,'FX RATES'!$E$1:$F$50,2,FALSE)+V183*VLOOKUP(V$167,'FX RATES'!$E$1:$F$50,2,FALSE)+W183*VLOOKUP(W$167,'FX RATES'!$E$1:$F$50,2,FALSE)+X183*VLOOKUP(X$167,'FX RATES'!$E$1:$F$50,2,FALSE)+Y183*VLOOKUP(Y$167,'FX RATES'!$E$1:$F$50,2,FALSE)+Z183*VLOOKUP(Z$167,'FX RATES'!$E$1:$F$50,2,FALSE)</f>
        <v>0</v>
      </c>
      <c r="AC183" s="139">
        <f t="shared" ca="1" si="61"/>
        <v>0</v>
      </c>
    </row>
    <row r="184" spans="2:29" ht="18.75" hidden="1" customHeight="1">
      <c r="B184" s="28"/>
      <c r="C184" s="29" cm="1">
        <f t="array" ref="C184">SUMIFS(BALANCES!$C:$C,BALANCES!$A:$A,$B$163,BALANCES!$B:$B,$B184,BALANCES!$D:$D,C$167)+SUMIFS(FLOWS!$C:$C,FLOWS!$A:$A,$B$163,FLOWS!$E:$E,$B184,FLOWS!$D:$D,C$167,FLOWS!$H:$H,"&lt;"&amp;$C$165)+SUM(SUMIFS(DEALS!$J:$J,DEALS!$A:$A,{"*REFUND*","*EXECUTED*"},DEALS!$G:$G,$B$163,DEALS!$E:$E,"&lt;"&amp;$C$165,DEALS!$K:$K,C$167,DEALS!$M:$M,$B184,DEALS!$N:$N,"&lt;&gt;*RECEIVED*",DEALS!$N:$N,"&lt;&gt;*EXECUTED*"))+SUM(SUMIFS(DEALS!$R:$R,DEALS!$A:$A,{"*REFUND*","*EXECUTED*"},DEALS!$O:$O,$B$163,DEALS!$E:$E,"&lt;"&amp;$C$165,DEALS!$S:$S,C$167,DEALS!$U:$U,$B184,DEALS!$V:$V,"&lt;&gt;*RECEIVED*",DEALS!$V:$V,"&lt;&gt;*EXECUTED*"))</f>
        <v>0</v>
      </c>
      <c r="D184" s="29" cm="1">
        <f t="array" ref="D184">SUMIFS(BALANCES!$C:$C,BALANCES!$A:$A,$B$163,BALANCES!$B:$B,$B184,BALANCES!$D:$D,D$167)+SUMIFS(FLOWS!$C:$C,FLOWS!$A:$A,$B$163,FLOWS!$E:$E,$B184,FLOWS!$D:$D,D$167,FLOWS!$H:$H,"&lt;"&amp;$C$165)+SUM(SUMIFS(DEALS!$J:$J,DEALS!$A:$A,{"*REFUND*","*EXECUTED*"},DEALS!$G:$G,$B$163,DEALS!$E:$E,"&lt;"&amp;$C$165,DEALS!$K:$K,D$167,DEALS!$M:$M,$B184,DEALS!$N:$N,"&lt;&gt;*RECEIVED*",DEALS!$N:$N,"&lt;&gt;*EXECUTED*"))+SUM(SUMIFS(DEALS!$R:$R,DEALS!$A:$A,{"*REFUND*","*EXECUTED*"},DEALS!$O:$O,$B$163,DEALS!$E:$E,"&lt;"&amp;$C$165,DEALS!$S:$S,D$167,DEALS!$U:$U,$B184,DEALS!$V:$V,"&lt;&gt;*RECEIVED*",DEALS!$V:$V,"&lt;&gt;*EXECUTED*"))</f>
        <v>0</v>
      </c>
      <c r="E184" s="29" cm="1">
        <f t="array" ref="E184">SUMIFS(BALANCES!$C:$C,BALANCES!$A:$A,$B$163,BALANCES!$B:$B,$B184,BALANCES!$D:$D,E$167)+SUMIFS(FLOWS!$C:$C,FLOWS!$A:$A,$B$163,FLOWS!$E:$E,$B184,FLOWS!$D:$D,E$167,FLOWS!$H:$H,"&lt;"&amp;$C$165)+SUM(SUMIFS(DEALS!$J:$J,DEALS!$A:$A,{"*REFUND*","*EXECUTED*"},DEALS!$G:$G,$B$163,DEALS!$E:$E,"&lt;"&amp;$C$165,DEALS!$K:$K,E$167,DEALS!$M:$M,$B184,DEALS!$N:$N,"&lt;&gt;*RECEIVED*",DEALS!$N:$N,"&lt;&gt;*EXECUTED*"))+SUM(SUMIFS(DEALS!$R:$R,DEALS!$A:$A,{"*REFUND*","*EXECUTED*"},DEALS!$O:$O,$B$163,DEALS!$E:$E,"&lt;"&amp;$C$165,DEALS!$S:$S,E$167,DEALS!$U:$U,$B184,DEALS!$V:$V,"&lt;&gt;*RECEIVED*",DEALS!$V:$V,"&lt;&gt;*EXECUTED*"))</f>
        <v>0</v>
      </c>
      <c r="F184" s="29" cm="1">
        <f t="array" ref="F184">SUMIFS(BALANCES!$C:$C,BALANCES!$A:$A,$B$163,BALANCES!$B:$B,$B184,BALANCES!$D:$D,F$167)+SUMIFS(FLOWS!$C:$C,FLOWS!$A:$A,$B$163,FLOWS!$E:$E,$B184,FLOWS!$D:$D,F$167,FLOWS!$H:$H,"&lt;"&amp;$C$165)+SUM(SUMIFS(DEALS!$J:$J,DEALS!$A:$A,{"*REFUND*","*EXECUTED*"},DEALS!$G:$G,$B$163,DEALS!$E:$E,"&lt;"&amp;$C$165,DEALS!$K:$K,F$167,DEALS!$M:$M,$B184,DEALS!$N:$N,"&lt;&gt;*RECEIVED*",DEALS!$N:$N,"&lt;&gt;*EXECUTED*"))+SUM(SUMIFS(DEALS!$R:$R,DEALS!$A:$A,{"*REFUND*","*EXECUTED*"},DEALS!$O:$O,$B$163,DEALS!$E:$E,"&lt;"&amp;$C$165,DEALS!$S:$S,F$167,DEALS!$U:$U,$B184,DEALS!$V:$V,"&lt;&gt;*RECEIVED*",DEALS!$V:$V,"&lt;&gt;*EXECUTED*"))</f>
        <v>0</v>
      </c>
      <c r="G184" s="29" cm="1">
        <f t="array" ref="G184">SUMIFS(BALANCES!$C:$C,BALANCES!$A:$A,$B$163,BALANCES!$B:$B,$B184,BALANCES!$D:$D,G$167)+SUMIFS(FLOWS!$C:$C,FLOWS!$A:$A,$B$163,FLOWS!$E:$E,$B184,FLOWS!$D:$D,G$167,FLOWS!$H:$H,"&lt;"&amp;$C$165)+SUM(SUMIFS(DEALS!$J:$J,DEALS!$A:$A,{"*REFUND*","*EXECUTED*"},DEALS!$G:$G,$B$163,DEALS!$E:$E,"&lt;"&amp;$C$165,DEALS!$K:$K,G$167,DEALS!$M:$M,$B184,DEALS!$N:$N,"&lt;&gt;*RECEIVED*",DEALS!$N:$N,"&lt;&gt;*EXECUTED*"))+SUM(SUMIFS(DEALS!$R:$R,DEALS!$A:$A,{"*REFUND*","*EXECUTED*"},DEALS!$O:$O,$B$163,DEALS!$E:$E,"&lt;"&amp;$C$165,DEALS!$S:$S,G$167,DEALS!$U:$U,$B184,DEALS!$V:$V,"&lt;&gt;*RECEIVED*",DEALS!$V:$V,"&lt;&gt;*EXECUTED*"))</f>
        <v>0</v>
      </c>
      <c r="H184" s="29" cm="1">
        <f t="array" ref="H184">SUMIFS(BALANCES!$C:$C,BALANCES!$A:$A,$B$163,BALANCES!$B:$B,$B184,BALANCES!$D:$D,H$167)+SUMIFS(FLOWS!$C:$C,FLOWS!$A:$A,$B$163,FLOWS!$E:$E,$B184,FLOWS!$D:$D,H$167,FLOWS!$H:$H,"&lt;"&amp;$C$165)+SUM(SUMIFS(DEALS!$J:$J,DEALS!$A:$A,{"*REFUND*","*EXECUTED*"},DEALS!$G:$G,$B$163,DEALS!$E:$E,"&lt;"&amp;$C$165,DEALS!$K:$K,H$167,DEALS!$M:$M,$B184,DEALS!$N:$N,"&lt;&gt;*RECEIVED*",DEALS!$N:$N,"&lt;&gt;*EXECUTED*"))+SUM(SUMIFS(DEALS!$R:$R,DEALS!$A:$A,{"*REFUND*","*EXECUTED*"},DEALS!$O:$O,$B$163,DEALS!$E:$E,"&lt;"&amp;$C$165,DEALS!$S:$S,H$167,DEALS!$U:$U,$B184,DEALS!$V:$V,"&lt;&gt;*RECEIVED*",DEALS!$V:$V,"&lt;&gt;*EXECUTED*"))</f>
        <v>0</v>
      </c>
      <c r="I184" s="30">
        <f ca="1">C184*VLOOKUP(C$167,'FX RATES'!$E$1:$F$50,2,FALSE)+D184*VLOOKUP(D$167,'FX RATES'!$E$1:$F$50,2,FALSE)+E184*VLOOKUP(E$167,'FX RATES'!$E$1:$F$50,2,FALSE)+F184*VLOOKUP(F$167,'FX RATES'!$E$1:$F$50,2,FALSE)+G184*VLOOKUP(G$167,'FX RATES'!$E$1:$F$50,2,FALSE)+H184*VLOOKUP(H$167,'FX RATES'!$E$1:$F$50,2,FALSE)</f>
        <v>0</v>
      </c>
      <c r="K184" s="28">
        <f t="shared" si="59"/>
        <v>0</v>
      </c>
      <c r="L184" s="29" cm="1">
        <f t="array" ref="L184">SUMIFS(FLOWS!$C:$C,FLOWS!$A:$A,$B$163,FLOWS!$E:$E,$K184,FLOWS!$D:$D,L$167,FLOWS!$H:$H,"&gt;="&amp;$C$165,FLOWS!$H:$H,"&lt;="&amp;$U$165)+SUM(SUMIFS(DEALS!$J:$J,DEALS!$A:$A,{"*REFUND*","*EXECUTED*"},DEALS!$G:$G,$B$163,DEALS!$E:$E,"&gt;="&amp;$C$165,DEALS!$E:$E,"&lt;="&amp;$U$165,DEALS!$K:$K,L$167,DEALS!$M:$M,$K184,DEALS!$N:$N,"&lt;&gt;*RECEIVED*",DEALS!$N:$N,"&lt;&gt;*EXECUTED*"))+SUM(SUMIFS(DEALS!$R:$R,DEALS!$A:$A,{"*REFUND*","*EXECUTED*"},DEALS!$O:$O,$B$163,DEALS!$E:$E,"&gt;="&amp;$C$165,DEALS!$E:$E,"&lt;="&amp;$U$165,DEALS!$S:$S,L$167,DEALS!$U:$U,$K184,DEALS!$V:$V,"&lt;&gt;*RECEIVED*",DEALS!$V:$V,"&lt;&gt;*EXECUTED*"))</f>
        <v>0</v>
      </c>
      <c r="M184" s="29" cm="1">
        <f t="array" ref="M184">SUMIFS(FLOWS!$C:$C,FLOWS!$A:$A,$B$163,FLOWS!$E:$E,$K184,FLOWS!$D:$D,M$167,FLOWS!$H:$H,"&gt;="&amp;$C$165,FLOWS!$H:$H,"&lt;="&amp;$U$165)+SUM(SUMIFS(DEALS!$J:$J,DEALS!$A:$A,{"*REFUND*","*EXECUTED*"},DEALS!$G:$G,$B$163,DEALS!$E:$E,"&gt;="&amp;$C$165,DEALS!$E:$E,"&lt;="&amp;$U$165,DEALS!$K:$K,M$167,DEALS!$M:$M,$K184,DEALS!$N:$N,"&lt;&gt;*RECEIVED*",DEALS!$N:$N,"&lt;&gt;*EXECUTED*"))+SUM(SUMIFS(DEALS!$R:$R,DEALS!$A:$A,{"*REFUND*","*EXECUTED*"},DEALS!$O:$O,$B$163,DEALS!$E:$E,"&gt;="&amp;$C$165,DEALS!$E:$E,"&lt;="&amp;$U$165,DEALS!$S:$S,M$167,DEALS!$U:$U,$K184,DEALS!$V:$V,"&lt;&gt;*RECEIVED*",DEALS!$V:$V,"&lt;&gt;*EXECUTED*"))</f>
        <v>0</v>
      </c>
      <c r="N184" s="29" cm="1">
        <f t="array" ref="N184">SUMIFS(FLOWS!$C:$C,FLOWS!$A:$A,$B$163,FLOWS!$E:$E,$K184,FLOWS!$D:$D,N$167,FLOWS!$H:$H,"&gt;="&amp;$C$165,FLOWS!$H:$H,"&lt;="&amp;$U$165)+SUM(SUMIFS(DEALS!$J:$J,DEALS!$A:$A,{"*REFUND*","*EXECUTED*"},DEALS!$G:$G,$B$163,DEALS!$E:$E,"&gt;="&amp;$C$165,DEALS!$E:$E,"&lt;="&amp;$U$165,DEALS!$K:$K,N$167,DEALS!$M:$M,$K184,DEALS!$N:$N,"&lt;&gt;*RECEIVED*",DEALS!$N:$N,"&lt;&gt;*EXECUTED*"))+SUM(SUMIFS(DEALS!$R:$R,DEALS!$A:$A,{"*REFUND*","*EXECUTED*"},DEALS!$O:$O,$B$163,DEALS!$E:$E,"&gt;="&amp;$C$165,DEALS!$E:$E,"&lt;="&amp;$U$165,DEALS!$S:$S,N$167,DEALS!$U:$U,$K184,DEALS!$V:$V,"&lt;&gt;*RECEIVED*",DEALS!$V:$V,"&lt;&gt;*EXECUTED*"))</f>
        <v>0</v>
      </c>
      <c r="O184" s="29" cm="1">
        <f t="array" ref="O184">SUMIFS(FLOWS!$C:$C,FLOWS!$A:$A,$B$163,FLOWS!$E:$E,$K184,FLOWS!$D:$D,O$167,FLOWS!$H:$H,"&gt;="&amp;$C$165,FLOWS!$H:$H,"&lt;="&amp;$U$165)+SUM(SUMIFS(DEALS!$J:$J,DEALS!$A:$A,{"*REFUND*","*EXECUTED*"},DEALS!$G:$G,$B$163,DEALS!$E:$E,"&gt;="&amp;$C$165,DEALS!$E:$E,"&lt;="&amp;$U$165,DEALS!$K:$K,O$167,DEALS!$M:$M,$K184,DEALS!$N:$N,"&lt;&gt;*RECEIVED*",DEALS!$N:$N,"&lt;&gt;*EXECUTED*"))+SUM(SUMIFS(DEALS!$R:$R,DEALS!$A:$A,{"*REFUND*","*EXECUTED*"},DEALS!$O:$O,$B$163,DEALS!$E:$E,"&gt;="&amp;$C$165,DEALS!$E:$E,"&lt;="&amp;$U$165,DEALS!$S:$S,O$167,DEALS!$U:$U,$K184,DEALS!$V:$V,"&lt;&gt;*RECEIVED*",DEALS!$V:$V,"&lt;&gt;*EXECUTED*"))</f>
        <v>0</v>
      </c>
      <c r="P184" s="29" cm="1">
        <f t="array" ref="P184">SUMIFS(FLOWS!$C:$C,FLOWS!$A:$A,$B$163,FLOWS!$E:$E,$K184,FLOWS!$D:$D,P$167,FLOWS!$H:$H,"&gt;="&amp;$C$165,FLOWS!$H:$H,"&lt;="&amp;$U$165)+SUM(SUMIFS(DEALS!$J:$J,DEALS!$A:$A,{"*REFUND*","*EXECUTED*"},DEALS!$G:$G,$B$163,DEALS!$E:$E,"&gt;="&amp;$C$165,DEALS!$E:$E,"&lt;="&amp;$U$165,DEALS!$K:$K,P$167,DEALS!$M:$M,$K184,DEALS!$N:$N,"&lt;&gt;*RECEIVED*",DEALS!$N:$N,"&lt;&gt;*EXECUTED*"))+SUM(SUMIFS(DEALS!$R:$R,DEALS!$A:$A,{"*REFUND*","*EXECUTED*"},DEALS!$O:$O,$B$163,DEALS!$E:$E,"&gt;="&amp;$C$165,DEALS!$E:$E,"&lt;="&amp;$U$165,DEALS!$S:$S,P$167,DEALS!$U:$U,$K184,DEALS!$V:$V,"&lt;&gt;*RECEIVED*",DEALS!$V:$V,"&lt;&gt;*EXECUTED*"))</f>
        <v>0</v>
      </c>
      <c r="Q184" s="29" cm="1">
        <f t="array" ref="Q184">SUMIFS(FLOWS!$C:$C,FLOWS!$A:$A,$B$163,FLOWS!$E:$E,$K184,FLOWS!$D:$D,Q$167,FLOWS!$H:$H,"&gt;="&amp;$C$165,FLOWS!$H:$H,"&lt;="&amp;$U$165)+SUM(SUMIFS(DEALS!$J:$J,DEALS!$A:$A,{"*REFUND*","*EXECUTED*"},DEALS!$G:$G,$B$163,DEALS!$E:$E,"&gt;="&amp;$C$165,DEALS!$E:$E,"&lt;="&amp;$U$165,DEALS!$K:$K,Q$167,DEALS!$M:$M,$K184,DEALS!$N:$N,"&lt;&gt;*RECEIVED*",DEALS!$N:$N,"&lt;&gt;*EXECUTED*"))+SUM(SUMIFS(DEALS!$R:$R,DEALS!$A:$A,{"*REFUND*","*EXECUTED*"},DEALS!$O:$O,$B$163,DEALS!$E:$E,"&gt;="&amp;$C$165,DEALS!$E:$E,"&lt;="&amp;$U$165,DEALS!$S:$S,Q$167,DEALS!$U:$U,$K184,DEALS!$V:$V,"&lt;&gt;*RECEIVED*",DEALS!$V:$V,"&lt;&gt;*EXECUTED*"))</f>
        <v>0</v>
      </c>
      <c r="R184" s="30">
        <f ca="1">L184*VLOOKUP(L$167,'FX RATES'!$E$1:$F$50,2,FALSE)+M184*VLOOKUP(M$167,'FX RATES'!$E$1:$F$50,2,FALSE)+N184*VLOOKUP(N$167,'FX RATES'!$E$1:$F$50,2,FALSE)+O184*VLOOKUP(O$167,'FX RATES'!$E$1:$F$50,2,FALSE)+P184*VLOOKUP(P$167,'FX RATES'!$E$1:$F$50,2,FALSE)+Q184*VLOOKUP(Q$167,'FX RATES'!$E$1:$F$50,2,FALSE)</f>
        <v>0</v>
      </c>
      <c r="T184" s="28">
        <f t="shared" si="60"/>
        <v>0</v>
      </c>
      <c r="U184" s="29" cm="1">
        <f t="array" ref="U184">SUMIFS(BALANCES!$C:$C,BALANCES!$A:$A,$B$163,BALANCES!$B:$B,$T184,BALANCES!$D:$D,U$167)+SUMIFS(FLOWS!$C:$C,FLOWS!$A:$A,$B$163,FLOWS!$E:$E,$T184,FLOWS!$D:$D,U$167,FLOWS!$H:$H,"&lt;="&amp;$U$165)+SUM(SUMIFS(DEALS!$J:$J,DEALS!$A:$A,{"*REFUND*","*EXECUTED*"},DEALS!$G:$G,$B$163,DEALS!$E:$E,"&lt;="&amp;$U$165,DEALS!$K:$K,U$167,DEALS!$M:$M,$T184,DEALS!$N:$N,"&lt;&gt;*RECEIVED*",DEALS!$N:$N,"&lt;&gt;*EXECUTED*"))+SUM(SUMIFS(DEALS!$R:$R,DEALS!$A:$A,{"*REFUND*","*EXECUTED*"},DEALS!$O:$O,$B$163,DEALS!$E:$E,"&lt;="&amp;$U$165,DEALS!$S:$S,U$167,DEALS!$U:$U,$T184,DEALS!$V:$V,"&lt;&gt;*RECEIVED*",DEALS!$V:$V,"&lt;&gt;*EXECUTED*"))</f>
        <v>0</v>
      </c>
      <c r="V184" s="29" cm="1">
        <f t="array" ref="V184">SUMIFS(BALANCES!$C:$C,BALANCES!$A:$A,$B$163,BALANCES!$B:$B,$T184,BALANCES!$D:$D,V$167)+SUMIFS(FLOWS!$C:$C,FLOWS!$A:$A,$B$163,FLOWS!$E:$E,$T184,FLOWS!$D:$D,V$167,FLOWS!$H:$H,"&lt;="&amp;$U$165)+SUM(SUMIFS(DEALS!$J:$J,DEALS!$A:$A,{"*REFUND*","*EXECUTED*"},DEALS!$G:$G,$B$163,DEALS!$E:$E,"&lt;="&amp;$U$165,DEALS!$K:$K,V$167,DEALS!$M:$M,$T184,DEALS!$N:$N,"&lt;&gt;*RECEIVED*",DEALS!$N:$N,"&lt;&gt;*EXECUTED*"))+SUM(SUMIFS(DEALS!$R:$R,DEALS!$A:$A,{"*REFUND*","*EXECUTED*"},DEALS!$O:$O,$B$163,DEALS!$E:$E,"&lt;="&amp;$U$165,DEALS!$S:$S,V$167,DEALS!$U:$U,$T184,DEALS!$V:$V,"&lt;&gt;*RECEIVED*",DEALS!$V:$V,"&lt;&gt;*EXECUTED*"))</f>
        <v>0</v>
      </c>
      <c r="W184" s="29" cm="1">
        <f t="array" ref="W184">SUMIFS(BALANCES!$C:$C,BALANCES!$A:$A,$B$163,BALANCES!$B:$B,$T184,BALANCES!$D:$D,W$167)+SUMIFS(FLOWS!$C:$C,FLOWS!$A:$A,$B$163,FLOWS!$E:$E,$T184,FLOWS!$D:$D,W$167,FLOWS!$H:$H,"&lt;="&amp;$U$165)+SUM(SUMIFS(DEALS!$J:$J,DEALS!$A:$A,{"*REFUND*","*EXECUTED*"},DEALS!$G:$G,$B$163,DEALS!$E:$E,"&lt;="&amp;$U$165,DEALS!$K:$K,W$167,DEALS!$M:$M,$T184,DEALS!$N:$N,"&lt;&gt;*RECEIVED*",DEALS!$N:$N,"&lt;&gt;*EXECUTED*"))+SUM(SUMIFS(DEALS!$R:$R,DEALS!$A:$A,{"*REFUND*","*EXECUTED*"},DEALS!$O:$O,$B$163,DEALS!$E:$E,"&lt;="&amp;$U$165,DEALS!$S:$S,W$167,DEALS!$U:$U,$T184,DEALS!$V:$V,"&lt;&gt;*RECEIVED*",DEALS!$V:$V,"&lt;&gt;*EXECUTED*"))</f>
        <v>0</v>
      </c>
      <c r="X184" s="29" cm="1">
        <f t="array" ref="X184">SUMIFS(BALANCES!$C:$C,BALANCES!$A:$A,$B$163,BALANCES!$B:$B,$T184,BALANCES!$D:$D,X$167)+SUMIFS(FLOWS!$C:$C,FLOWS!$A:$A,$B$163,FLOWS!$E:$E,$T184,FLOWS!$D:$D,X$167,FLOWS!$H:$H,"&lt;="&amp;$U$165)+SUM(SUMIFS(DEALS!$J:$J,DEALS!$A:$A,{"*REFUND*","*EXECUTED*"},DEALS!$G:$G,$B$163,DEALS!$E:$E,"&lt;="&amp;$U$165,DEALS!$K:$K,X$167,DEALS!$M:$M,$T184,DEALS!$N:$N,"&lt;&gt;*RECEIVED*",DEALS!$N:$N,"&lt;&gt;*EXECUTED*"))+SUM(SUMIFS(DEALS!$R:$R,DEALS!$A:$A,{"*REFUND*","*EXECUTED*"},DEALS!$O:$O,$B$163,DEALS!$E:$E,"&lt;="&amp;$U$165,DEALS!$S:$S,X$167,DEALS!$U:$U,$T184,DEALS!$V:$V,"&lt;&gt;*RECEIVED*",DEALS!$V:$V,"&lt;&gt;*EXECUTED*"))</f>
        <v>0</v>
      </c>
      <c r="Y184" s="29" cm="1">
        <f t="array" ref="Y184">SUMIFS(BALANCES!$C:$C,BALANCES!$A:$A,$B$163,BALANCES!$B:$B,$T184,BALANCES!$D:$D,Y$167)+SUMIFS(FLOWS!$C:$C,FLOWS!$A:$A,$B$163,FLOWS!$E:$E,$T184,FLOWS!$D:$D,Y$167,FLOWS!$H:$H,"&lt;="&amp;$U$165)+SUM(SUMIFS(DEALS!$J:$J,DEALS!$A:$A,{"*REFUND*","*EXECUTED*"},DEALS!$G:$G,$B$163,DEALS!$E:$E,"&lt;="&amp;$U$165,DEALS!$K:$K,Y$167,DEALS!$M:$M,$T184,DEALS!$N:$N,"&lt;&gt;*RECEIVED*",DEALS!$N:$N,"&lt;&gt;*EXECUTED*"))+SUM(SUMIFS(DEALS!$R:$R,DEALS!$A:$A,{"*REFUND*","*EXECUTED*"},DEALS!$O:$O,$B$163,DEALS!$E:$E,"&lt;="&amp;$U$165,DEALS!$S:$S,Y$167,DEALS!$U:$U,$T184,DEALS!$V:$V,"&lt;&gt;*RECEIVED*",DEALS!$V:$V,"&lt;&gt;*EXECUTED*"))</f>
        <v>0</v>
      </c>
      <c r="Z184" s="29" cm="1">
        <f t="array" ref="Z184">SUMIFS(BALANCES!$C:$C,BALANCES!$A:$A,$B$163,BALANCES!$B:$B,$T184,BALANCES!$D:$D,Z$167)+SUMIFS(FLOWS!$C:$C,FLOWS!$A:$A,$B$163,FLOWS!$E:$E,$T184,FLOWS!$D:$D,Z$167,FLOWS!$H:$H,"&lt;="&amp;$U$165)+SUM(SUMIFS(DEALS!$J:$J,DEALS!$A:$A,{"*REFUND*","*EXECUTED*"},DEALS!$G:$G,$B$163,DEALS!$E:$E,"&lt;="&amp;$U$165,DEALS!$K:$K,Z$167,DEALS!$M:$M,$T184,DEALS!$N:$N,"&lt;&gt;*RECEIVED*",DEALS!$N:$N,"&lt;&gt;*EXECUTED*"))+SUM(SUMIFS(DEALS!$R:$R,DEALS!$A:$A,{"*REFUND*","*EXECUTED*"},DEALS!$O:$O,$B$163,DEALS!$E:$E,"&lt;="&amp;$U$165,DEALS!$S:$S,Z$167,DEALS!$U:$U,$T184,DEALS!$V:$V,"&lt;&gt;*RECEIVED*",DEALS!$V:$V,"&lt;&gt;*EXECUTED*"))</f>
        <v>0</v>
      </c>
      <c r="AA184" s="30">
        <f ca="1">U184*VLOOKUP(U$167,'FX RATES'!$E$1:$F$50,2,FALSE)+V184*VLOOKUP(V$167,'FX RATES'!$E$1:$F$50,2,FALSE)+W184*VLOOKUP(W$167,'FX RATES'!$E$1:$F$50,2,FALSE)+X184*VLOOKUP(X$167,'FX RATES'!$E$1:$F$50,2,FALSE)+Y184*VLOOKUP(Y$167,'FX RATES'!$E$1:$F$50,2,FALSE)+Z184*VLOOKUP(Z$167,'FX RATES'!$E$1:$F$50,2,FALSE)</f>
        <v>0</v>
      </c>
      <c r="AC184" s="139">
        <f t="shared" ca="1" si="61"/>
        <v>0</v>
      </c>
    </row>
    <row r="185" spans="2:29" ht="18.75" hidden="1" customHeight="1">
      <c r="B185" s="31"/>
      <c r="C185" s="32" cm="1">
        <f t="array" ref="C185">SUMIFS(BALANCES!$C:$C,BALANCES!$A:$A,$B$163,BALANCES!$B:$B,$B185,BALANCES!$D:$D,C$167)+SUMIFS(FLOWS!$C:$C,FLOWS!$A:$A,$B$163,FLOWS!$E:$E,$B185,FLOWS!$D:$D,C$167,FLOWS!$H:$H,"&lt;"&amp;$C$165)+SUM(SUMIFS(DEALS!$J:$J,DEALS!$A:$A,{"*REFUND*","*EXECUTED*"},DEALS!$G:$G,$B$163,DEALS!$E:$E,"&lt;"&amp;$C$165,DEALS!$K:$K,C$167,DEALS!$M:$M,$B185,DEALS!$N:$N,"&lt;&gt;*RECEIVED*",DEALS!$N:$N,"&lt;&gt;*EXECUTED*"))+SUM(SUMIFS(DEALS!$R:$R,DEALS!$A:$A,{"*REFUND*","*EXECUTED*"},DEALS!$O:$O,$B$163,DEALS!$E:$E,"&lt;"&amp;$C$165,DEALS!$S:$S,C$167,DEALS!$U:$U,$B185,DEALS!$V:$V,"&lt;&gt;*RECEIVED*",DEALS!$V:$V,"&lt;&gt;*EXECUTED*"))</f>
        <v>0</v>
      </c>
      <c r="D185" s="32" cm="1">
        <f t="array" ref="D185">SUMIFS(BALANCES!$C:$C,BALANCES!$A:$A,$B$163,BALANCES!$B:$B,$B185,BALANCES!$D:$D,D$167)+SUMIFS(FLOWS!$C:$C,FLOWS!$A:$A,$B$163,FLOWS!$E:$E,$B185,FLOWS!$D:$D,D$167,FLOWS!$H:$H,"&lt;"&amp;$C$165)+SUM(SUMIFS(DEALS!$J:$J,DEALS!$A:$A,{"*REFUND*","*EXECUTED*"},DEALS!$G:$G,$B$163,DEALS!$E:$E,"&lt;"&amp;$C$165,DEALS!$K:$K,D$167,DEALS!$M:$M,$B185,DEALS!$N:$N,"&lt;&gt;*RECEIVED*",DEALS!$N:$N,"&lt;&gt;*EXECUTED*"))+SUM(SUMIFS(DEALS!$R:$R,DEALS!$A:$A,{"*REFUND*","*EXECUTED*"},DEALS!$O:$O,$B$163,DEALS!$E:$E,"&lt;"&amp;$C$165,DEALS!$S:$S,D$167,DEALS!$U:$U,$B185,DEALS!$V:$V,"&lt;&gt;*RECEIVED*",DEALS!$V:$V,"&lt;&gt;*EXECUTED*"))</f>
        <v>0</v>
      </c>
      <c r="E185" s="32" cm="1">
        <f t="array" ref="E185">SUMIFS(BALANCES!$C:$C,BALANCES!$A:$A,$B$163,BALANCES!$B:$B,$B185,BALANCES!$D:$D,E$167)+SUMIFS(FLOWS!$C:$C,FLOWS!$A:$A,$B$163,FLOWS!$E:$E,$B185,FLOWS!$D:$D,E$167,FLOWS!$H:$H,"&lt;"&amp;$C$165)+SUM(SUMIFS(DEALS!$J:$J,DEALS!$A:$A,{"*REFUND*","*EXECUTED*"},DEALS!$G:$G,$B$163,DEALS!$E:$E,"&lt;"&amp;$C$165,DEALS!$K:$K,E$167,DEALS!$M:$M,$B185,DEALS!$N:$N,"&lt;&gt;*RECEIVED*",DEALS!$N:$N,"&lt;&gt;*EXECUTED*"))+SUM(SUMIFS(DEALS!$R:$R,DEALS!$A:$A,{"*REFUND*","*EXECUTED*"},DEALS!$O:$O,$B$163,DEALS!$E:$E,"&lt;"&amp;$C$165,DEALS!$S:$S,E$167,DEALS!$U:$U,$B185,DEALS!$V:$V,"&lt;&gt;*RECEIVED*",DEALS!$V:$V,"&lt;&gt;*EXECUTED*"))</f>
        <v>0</v>
      </c>
      <c r="F185" s="32" cm="1">
        <f t="array" ref="F185">SUMIFS(BALANCES!$C:$C,BALANCES!$A:$A,$B$163,BALANCES!$B:$B,$B185,BALANCES!$D:$D,F$167)+SUMIFS(FLOWS!$C:$C,FLOWS!$A:$A,$B$163,FLOWS!$E:$E,$B185,FLOWS!$D:$D,F$167,FLOWS!$H:$H,"&lt;"&amp;$C$165)+SUM(SUMIFS(DEALS!$J:$J,DEALS!$A:$A,{"*REFUND*","*EXECUTED*"},DEALS!$G:$G,$B$163,DEALS!$E:$E,"&lt;"&amp;$C$165,DEALS!$K:$K,F$167,DEALS!$M:$M,$B185,DEALS!$N:$N,"&lt;&gt;*RECEIVED*",DEALS!$N:$N,"&lt;&gt;*EXECUTED*"))+SUM(SUMIFS(DEALS!$R:$R,DEALS!$A:$A,{"*REFUND*","*EXECUTED*"},DEALS!$O:$O,$B$163,DEALS!$E:$E,"&lt;"&amp;$C$165,DEALS!$S:$S,F$167,DEALS!$U:$U,$B185,DEALS!$V:$V,"&lt;&gt;*RECEIVED*",DEALS!$V:$V,"&lt;&gt;*EXECUTED*"))</f>
        <v>0</v>
      </c>
      <c r="G185" s="32" cm="1">
        <f t="array" ref="G185">SUMIFS(BALANCES!$C:$C,BALANCES!$A:$A,$B$163,BALANCES!$B:$B,$B185,BALANCES!$D:$D,G$167)+SUMIFS(FLOWS!$C:$C,FLOWS!$A:$A,$B$163,FLOWS!$E:$E,$B185,FLOWS!$D:$D,G$167,FLOWS!$H:$H,"&lt;"&amp;$C$165)+SUM(SUMIFS(DEALS!$J:$J,DEALS!$A:$A,{"*REFUND*","*EXECUTED*"},DEALS!$G:$G,$B$163,DEALS!$E:$E,"&lt;"&amp;$C$165,DEALS!$K:$K,G$167,DEALS!$M:$M,$B185,DEALS!$N:$N,"&lt;&gt;*RECEIVED*",DEALS!$N:$N,"&lt;&gt;*EXECUTED*"))+SUM(SUMIFS(DEALS!$R:$R,DEALS!$A:$A,{"*REFUND*","*EXECUTED*"},DEALS!$O:$O,$B$163,DEALS!$E:$E,"&lt;"&amp;$C$165,DEALS!$S:$S,G$167,DEALS!$U:$U,$B185,DEALS!$V:$V,"&lt;&gt;*RECEIVED*",DEALS!$V:$V,"&lt;&gt;*EXECUTED*"))</f>
        <v>0</v>
      </c>
      <c r="H185" s="32" cm="1">
        <f t="array" ref="H185">SUMIFS(BALANCES!$C:$C,BALANCES!$A:$A,$B$163,BALANCES!$B:$B,$B185,BALANCES!$D:$D,H$167)+SUMIFS(FLOWS!$C:$C,FLOWS!$A:$A,$B$163,FLOWS!$E:$E,$B185,FLOWS!$D:$D,H$167,FLOWS!$H:$H,"&lt;"&amp;$C$165)+SUM(SUMIFS(DEALS!$J:$J,DEALS!$A:$A,{"*REFUND*","*EXECUTED*"},DEALS!$G:$G,$B$163,DEALS!$E:$E,"&lt;"&amp;$C$165,DEALS!$K:$K,H$167,DEALS!$M:$M,$B185,DEALS!$N:$N,"&lt;&gt;*RECEIVED*",DEALS!$N:$N,"&lt;&gt;*EXECUTED*"))+SUM(SUMIFS(DEALS!$R:$R,DEALS!$A:$A,{"*REFUND*","*EXECUTED*"},DEALS!$O:$O,$B$163,DEALS!$E:$E,"&lt;"&amp;$C$165,DEALS!$S:$S,H$167,DEALS!$U:$U,$B185,DEALS!$V:$V,"&lt;&gt;*RECEIVED*",DEALS!$V:$V,"&lt;&gt;*EXECUTED*"))</f>
        <v>0</v>
      </c>
      <c r="I185" s="33">
        <f ca="1">C185*VLOOKUP(C$167,'FX RATES'!$E$1:$F$50,2,FALSE)+D185*VLOOKUP(D$167,'FX RATES'!$E$1:$F$50,2,FALSE)+E185*VLOOKUP(E$167,'FX RATES'!$E$1:$F$50,2,FALSE)+F185*VLOOKUP(F$167,'FX RATES'!$E$1:$F$50,2,FALSE)+G185*VLOOKUP(G$167,'FX RATES'!$E$1:$F$50,2,FALSE)+H185*VLOOKUP(H$167,'FX RATES'!$E$1:$F$50,2,FALSE)</f>
        <v>0</v>
      </c>
      <c r="K185" s="31">
        <f t="shared" si="59"/>
        <v>0</v>
      </c>
      <c r="L185" s="32" cm="1">
        <f t="array" ref="L185">SUMIFS(FLOWS!$C:$C,FLOWS!$A:$A,$B$163,FLOWS!$E:$E,$K185,FLOWS!$D:$D,L$167,FLOWS!$H:$H,"&gt;="&amp;$C$165,FLOWS!$H:$H,"&lt;="&amp;$U$165)+SUM(SUMIFS(DEALS!$J:$J,DEALS!$A:$A,{"*REFUND*","*EXECUTED*"},DEALS!$G:$G,$B$163,DEALS!$E:$E,"&gt;="&amp;$C$165,DEALS!$E:$E,"&lt;="&amp;$U$165,DEALS!$K:$K,L$167,DEALS!$M:$M,$K185,DEALS!$N:$N,"&lt;&gt;*RECEIVED*",DEALS!$N:$N,"&lt;&gt;*EXECUTED*"))+SUM(SUMIFS(DEALS!$R:$R,DEALS!$A:$A,{"*REFUND*","*EXECUTED*"},DEALS!$O:$O,$B$163,DEALS!$E:$E,"&gt;="&amp;$C$165,DEALS!$E:$E,"&lt;="&amp;$U$165,DEALS!$S:$S,L$167,DEALS!$U:$U,$K185,DEALS!$V:$V,"&lt;&gt;*RECEIVED*",DEALS!$V:$V,"&lt;&gt;*EXECUTED*"))</f>
        <v>0</v>
      </c>
      <c r="M185" s="32" cm="1">
        <f t="array" ref="M185">SUMIFS(FLOWS!$C:$C,FLOWS!$A:$A,$B$163,FLOWS!$E:$E,$K185,FLOWS!$D:$D,M$167,FLOWS!$H:$H,"&gt;="&amp;$C$165,FLOWS!$H:$H,"&lt;="&amp;$U$165)+SUM(SUMIFS(DEALS!$J:$J,DEALS!$A:$A,{"*REFUND*","*EXECUTED*"},DEALS!$G:$G,$B$163,DEALS!$E:$E,"&gt;="&amp;$C$165,DEALS!$E:$E,"&lt;="&amp;$U$165,DEALS!$K:$K,M$167,DEALS!$M:$M,$K185,DEALS!$N:$N,"&lt;&gt;*RECEIVED*",DEALS!$N:$N,"&lt;&gt;*EXECUTED*"))+SUM(SUMIFS(DEALS!$R:$R,DEALS!$A:$A,{"*REFUND*","*EXECUTED*"},DEALS!$O:$O,$B$163,DEALS!$E:$E,"&gt;="&amp;$C$165,DEALS!$E:$E,"&lt;="&amp;$U$165,DEALS!$S:$S,M$167,DEALS!$U:$U,$K185,DEALS!$V:$V,"&lt;&gt;*RECEIVED*",DEALS!$V:$V,"&lt;&gt;*EXECUTED*"))</f>
        <v>0</v>
      </c>
      <c r="N185" s="32" cm="1">
        <f t="array" ref="N185">SUMIFS(FLOWS!$C:$C,FLOWS!$A:$A,$B$163,FLOWS!$E:$E,$K185,FLOWS!$D:$D,N$167,FLOWS!$H:$H,"&gt;="&amp;$C$165,FLOWS!$H:$H,"&lt;="&amp;$U$165)+SUM(SUMIFS(DEALS!$J:$J,DEALS!$A:$A,{"*REFUND*","*EXECUTED*"},DEALS!$G:$G,$B$163,DEALS!$E:$E,"&gt;="&amp;$C$165,DEALS!$E:$E,"&lt;="&amp;$U$165,DEALS!$K:$K,N$167,DEALS!$M:$M,$K185,DEALS!$N:$N,"&lt;&gt;*RECEIVED*",DEALS!$N:$N,"&lt;&gt;*EXECUTED*"))+SUM(SUMIFS(DEALS!$R:$R,DEALS!$A:$A,{"*REFUND*","*EXECUTED*"},DEALS!$O:$O,$B$163,DEALS!$E:$E,"&gt;="&amp;$C$165,DEALS!$E:$E,"&lt;="&amp;$U$165,DEALS!$S:$S,N$167,DEALS!$U:$U,$K185,DEALS!$V:$V,"&lt;&gt;*RECEIVED*",DEALS!$V:$V,"&lt;&gt;*EXECUTED*"))</f>
        <v>0</v>
      </c>
      <c r="O185" s="32" cm="1">
        <f t="array" ref="O185">SUMIFS(FLOWS!$C:$C,FLOWS!$A:$A,$B$163,FLOWS!$E:$E,$K185,FLOWS!$D:$D,O$167,FLOWS!$H:$H,"&gt;="&amp;$C$165,FLOWS!$H:$H,"&lt;="&amp;$U$165)+SUM(SUMIFS(DEALS!$J:$J,DEALS!$A:$A,{"*REFUND*","*EXECUTED*"},DEALS!$G:$G,$B$163,DEALS!$E:$E,"&gt;="&amp;$C$165,DEALS!$E:$E,"&lt;="&amp;$U$165,DEALS!$K:$K,O$167,DEALS!$M:$M,$K185,DEALS!$N:$N,"&lt;&gt;*RECEIVED*",DEALS!$N:$N,"&lt;&gt;*EXECUTED*"))+SUM(SUMIFS(DEALS!$R:$R,DEALS!$A:$A,{"*REFUND*","*EXECUTED*"},DEALS!$O:$O,$B$163,DEALS!$E:$E,"&gt;="&amp;$C$165,DEALS!$E:$E,"&lt;="&amp;$U$165,DEALS!$S:$S,O$167,DEALS!$U:$U,$K185,DEALS!$V:$V,"&lt;&gt;*RECEIVED*",DEALS!$V:$V,"&lt;&gt;*EXECUTED*"))</f>
        <v>0</v>
      </c>
      <c r="P185" s="32" cm="1">
        <f t="array" ref="P185">SUMIFS(FLOWS!$C:$C,FLOWS!$A:$A,$B$163,FLOWS!$E:$E,$K185,FLOWS!$D:$D,P$167,FLOWS!$H:$H,"&gt;="&amp;$C$165,FLOWS!$H:$H,"&lt;="&amp;$U$165)+SUM(SUMIFS(DEALS!$J:$J,DEALS!$A:$A,{"*REFUND*","*EXECUTED*"},DEALS!$G:$G,$B$163,DEALS!$E:$E,"&gt;="&amp;$C$165,DEALS!$E:$E,"&lt;="&amp;$U$165,DEALS!$K:$K,P$167,DEALS!$M:$M,$K185,DEALS!$N:$N,"&lt;&gt;*RECEIVED*",DEALS!$N:$N,"&lt;&gt;*EXECUTED*"))+SUM(SUMIFS(DEALS!$R:$R,DEALS!$A:$A,{"*REFUND*","*EXECUTED*"},DEALS!$O:$O,$B$163,DEALS!$E:$E,"&gt;="&amp;$C$165,DEALS!$E:$E,"&lt;="&amp;$U$165,DEALS!$S:$S,P$167,DEALS!$U:$U,$K185,DEALS!$V:$V,"&lt;&gt;*RECEIVED*",DEALS!$V:$V,"&lt;&gt;*EXECUTED*"))</f>
        <v>0</v>
      </c>
      <c r="Q185" s="32" cm="1">
        <f t="array" ref="Q185">SUMIFS(FLOWS!$C:$C,FLOWS!$A:$A,$B$163,FLOWS!$E:$E,$K185,FLOWS!$D:$D,Q$167,FLOWS!$H:$H,"&gt;="&amp;$C$165,FLOWS!$H:$H,"&lt;="&amp;$U$165)+SUM(SUMIFS(DEALS!$J:$J,DEALS!$A:$A,{"*REFUND*","*EXECUTED*"},DEALS!$G:$G,$B$163,DEALS!$E:$E,"&gt;="&amp;$C$165,DEALS!$E:$E,"&lt;="&amp;$U$165,DEALS!$K:$K,Q$167,DEALS!$M:$M,$K185,DEALS!$N:$N,"&lt;&gt;*RECEIVED*",DEALS!$N:$N,"&lt;&gt;*EXECUTED*"))+SUM(SUMIFS(DEALS!$R:$R,DEALS!$A:$A,{"*REFUND*","*EXECUTED*"},DEALS!$O:$O,$B$163,DEALS!$E:$E,"&gt;="&amp;$C$165,DEALS!$E:$E,"&lt;="&amp;$U$165,DEALS!$S:$S,Q$167,DEALS!$U:$U,$K185,DEALS!$V:$V,"&lt;&gt;*RECEIVED*",DEALS!$V:$V,"&lt;&gt;*EXECUTED*"))</f>
        <v>0</v>
      </c>
      <c r="R185" s="33">
        <f ca="1">L185*VLOOKUP(L$167,'FX RATES'!$E$1:$F$50,2,FALSE)+M185*VLOOKUP(M$167,'FX RATES'!$E$1:$F$50,2,FALSE)+N185*VLOOKUP(N$167,'FX RATES'!$E$1:$F$50,2,FALSE)+O185*VLOOKUP(O$167,'FX RATES'!$E$1:$F$50,2,FALSE)+P185*VLOOKUP(P$167,'FX RATES'!$E$1:$F$50,2,FALSE)+Q185*VLOOKUP(Q$167,'FX RATES'!$E$1:$F$50,2,FALSE)</f>
        <v>0</v>
      </c>
      <c r="T185" s="31">
        <f t="shared" si="60"/>
        <v>0</v>
      </c>
      <c r="U185" s="32" cm="1">
        <f t="array" ref="U185">SUMIFS(BALANCES!$C:$C,BALANCES!$A:$A,$B$163,BALANCES!$B:$B,$T185,BALANCES!$D:$D,U$167)+SUMIFS(FLOWS!$C:$C,FLOWS!$A:$A,$B$163,FLOWS!$E:$E,$T185,FLOWS!$D:$D,U$167,FLOWS!$H:$H,"&lt;="&amp;$U$165)+SUM(SUMIFS(DEALS!$J:$J,DEALS!$A:$A,{"*REFUND*","*EXECUTED*"},DEALS!$G:$G,$B$163,DEALS!$E:$E,"&lt;="&amp;$U$165,DEALS!$K:$K,U$167,DEALS!$M:$M,$T185,DEALS!$N:$N,"&lt;&gt;*RECEIVED*",DEALS!$N:$N,"&lt;&gt;*EXECUTED*"))+SUM(SUMIFS(DEALS!$R:$R,DEALS!$A:$A,{"*REFUND*","*EXECUTED*"},DEALS!$O:$O,$B$163,DEALS!$E:$E,"&lt;="&amp;$U$165,DEALS!$S:$S,U$167,DEALS!$U:$U,$T185,DEALS!$V:$V,"&lt;&gt;*RECEIVED*",DEALS!$V:$V,"&lt;&gt;*EXECUTED*"))</f>
        <v>0</v>
      </c>
      <c r="V185" s="32" cm="1">
        <f t="array" ref="V185">SUMIFS(BALANCES!$C:$C,BALANCES!$A:$A,$B$163,BALANCES!$B:$B,$T185,BALANCES!$D:$D,V$167)+SUMIFS(FLOWS!$C:$C,FLOWS!$A:$A,$B$163,FLOWS!$E:$E,$T185,FLOWS!$D:$D,V$167,FLOWS!$H:$H,"&lt;="&amp;$U$165)+SUM(SUMIFS(DEALS!$J:$J,DEALS!$A:$A,{"*REFUND*","*EXECUTED*"},DEALS!$G:$G,$B$163,DEALS!$E:$E,"&lt;="&amp;$U$165,DEALS!$K:$K,V$167,DEALS!$M:$M,$T185,DEALS!$N:$N,"&lt;&gt;*RECEIVED*",DEALS!$N:$N,"&lt;&gt;*EXECUTED*"))+SUM(SUMIFS(DEALS!$R:$R,DEALS!$A:$A,{"*REFUND*","*EXECUTED*"},DEALS!$O:$O,$B$163,DEALS!$E:$E,"&lt;="&amp;$U$165,DEALS!$S:$S,V$167,DEALS!$U:$U,$T185,DEALS!$V:$V,"&lt;&gt;*RECEIVED*",DEALS!$V:$V,"&lt;&gt;*EXECUTED*"))</f>
        <v>0</v>
      </c>
      <c r="W185" s="32" cm="1">
        <f t="array" ref="W185">SUMIFS(BALANCES!$C:$C,BALANCES!$A:$A,$B$163,BALANCES!$B:$B,$T185,BALANCES!$D:$D,W$167)+SUMIFS(FLOWS!$C:$C,FLOWS!$A:$A,$B$163,FLOWS!$E:$E,$T185,FLOWS!$D:$D,W$167,FLOWS!$H:$H,"&lt;="&amp;$U$165)+SUM(SUMIFS(DEALS!$J:$J,DEALS!$A:$A,{"*REFUND*","*EXECUTED*"},DEALS!$G:$G,$B$163,DEALS!$E:$E,"&lt;="&amp;$U$165,DEALS!$K:$K,W$167,DEALS!$M:$M,$T185,DEALS!$N:$N,"&lt;&gt;*RECEIVED*",DEALS!$N:$N,"&lt;&gt;*EXECUTED*"))+SUM(SUMIFS(DEALS!$R:$R,DEALS!$A:$A,{"*REFUND*","*EXECUTED*"},DEALS!$O:$O,$B$163,DEALS!$E:$E,"&lt;="&amp;$U$165,DEALS!$S:$S,W$167,DEALS!$U:$U,$T185,DEALS!$V:$V,"&lt;&gt;*RECEIVED*",DEALS!$V:$V,"&lt;&gt;*EXECUTED*"))</f>
        <v>0</v>
      </c>
      <c r="X185" s="32" cm="1">
        <f t="array" ref="X185">SUMIFS(BALANCES!$C:$C,BALANCES!$A:$A,$B$163,BALANCES!$B:$B,$T185,BALANCES!$D:$D,X$167)+SUMIFS(FLOWS!$C:$C,FLOWS!$A:$A,$B$163,FLOWS!$E:$E,$T185,FLOWS!$D:$D,X$167,FLOWS!$H:$H,"&lt;="&amp;$U$165)+SUM(SUMIFS(DEALS!$J:$J,DEALS!$A:$A,{"*REFUND*","*EXECUTED*"},DEALS!$G:$G,$B$163,DEALS!$E:$E,"&lt;="&amp;$U$165,DEALS!$K:$K,X$167,DEALS!$M:$M,$T185,DEALS!$N:$N,"&lt;&gt;*RECEIVED*",DEALS!$N:$N,"&lt;&gt;*EXECUTED*"))+SUM(SUMIFS(DEALS!$R:$R,DEALS!$A:$A,{"*REFUND*","*EXECUTED*"},DEALS!$O:$O,$B$163,DEALS!$E:$E,"&lt;="&amp;$U$165,DEALS!$S:$S,X$167,DEALS!$U:$U,$T185,DEALS!$V:$V,"&lt;&gt;*RECEIVED*",DEALS!$V:$V,"&lt;&gt;*EXECUTED*"))</f>
        <v>0</v>
      </c>
      <c r="Y185" s="32" cm="1">
        <f t="array" ref="Y185">SUMIFS(BALANCES!$C:$C,BALANCES!$A:$A,$B$163,BALANCES!$B:$B,$T185,BALANCES!$D:$D,Y$167)+SUMIFS(FLOWS!$C:$C,FLOWS!$A:$A,$B$163,FLOWS!$E:$E,$T185,FLOWS!$D:$D,Y$167,FLOWS!$H:$H,"&lt;="&amp;$U$165)+SUM(SUMIFS(DEALS!$J:$J,DEALS!$A:$A,{"*REFUND*","*EXECUTED*"},DEALS!$G:$G,$B$163,DEALS!$E:$E,"&lt;="&amp;$U$165,DEALS!$K:$K,Y$167,DEALS!$M:$M,$T185,DEALS!$N:$N,"&lt;&gt;*RECEIVED*",DEALS!$N:$N,"&lt;&gt;*EXECUTED*"))+SUM(SUMIFS(DEALS!$R:$R,DEALS!$A:$A,{"*REFUND*","*EXECUTED*"},DEALS!$O:$O,$B$163,DEALS!$E:$E,"&lt;="&amp;$U$165,DEALS!$S:$S,Y$167,DEALS!$U:$U,$T185,DEALS!$V:$V,"&lt;&gt;*RECEIVED*",DEALS!$V:$V,"&lt;&gt;*EXECUTED*"))</f>
        <v>0</v>
      </c>
      <c r="Z185" s="32" cm="1">
        <f t="array" ref="Z185">SUMIFS(BALANCES!$C:$C,BALANCES!$A:$A,$B$163,BALANCES!$B:$B,$T185,BALANCES!$D:$D,Z$167)+SUMIFS(FLOWS!$C:$C,FLOWS!$A:$A,$B$163,FLOWS!$E:$E,$T185,FLOWS!$D:$D,Z$167,FLOWS!$H:$H,"&lt;="&amp;$U$165)+SUM(SUMIFS(DEALS!$J:$J,DEALS!$A:$A,{"*REFUND*","*EXECUTED*"},DEALS!$G:$G,$B$163,DEALS!$E:$E,"&lt;="&amp;$U$165,DEALS!$K:$K,Z$167,DEALS!$M:$M,$T185,DEALS!$N:$N,"&lt;&gt;*RECEIVED*",DEALS!$N:$N,"&lt;&gt;*EXECUTED*"))+SUM(SUMIFS(DEALS!$R:$R,DEALS!$A:$A,{"*REFUND*","*EXECUTED*"},DEALS!$O:$O,$B$163,DEALS!$E:$E,"&lt;="&amp;$U$165,DEALS!$S:$S,Z$167,DEALS!$U:$U,$T185,DEALS!$V:$V,"&lt;&gt;*RECEIVED*",DEALS!$V:$V,"&lt;&gt;*EXECUTED*"))</f>
        <v>0</v>
      </c>
      <c r="AA185" s="33">
        <f ca="1">U185*VLOOKUP(U$167,'FX RATES'!$E$1:$F$50,2,FALSE)+V185*VLOOKUP(V$167,'FX RATES'!$E$1:$F$50,2,FALSE)+W185*VLOOKUP(W$167,'FX RATES'!$E$1:$F$50,2,FALSE)+X185*VLOOKUP(X$167,'FX RATES'!$E$1:$F$50,2,FALSE)+Y185*VLOOKUP(Y$167,'FX RATES'!$E$1:$F$50,2,FALSE)+Z185*VLOOKUP(Z$167,'FX RATES'!$E$1:$F$50,2,FALSE)</f>
        <v>0</v>
      </c>
      <c r="AC185" s="139">
        <f t="shared" ca="1" si="61"/>
        <v>0</v>
      </c>
    </row>
    <row r="186" spans="2:29" ht="18.75" customHeight="1" thickBot="1">
      <c r="B186" s="13" t="s">
        <v>26</v>
      </c>
      <c r="C186" s="16">
        <f t="shared" ref="C186:I186" si="62">SUM(C168:C185)</f>
        <v>83600.14</v>
      </c>
      <c r="D186" s="16">
        <f t="shared" si="62"/>
        <v>0</v>
      </c>
      <c r="E186" s="16">
        <f t="shared" si="62"/>
        <v>262572.01</v>
      </c>
      <c r="F186" s="16">
        <f t="shared" si="62"/>
        <v>0</v>
      </c>
      <c r="G186" s="16">
        <f t="shared" si="62"/>
        <v>42510</v>
      </c>
      <c r="H186" s="16">
        <f t="shared" si="62"/>
        <v>0</v>
      </c>
      <c r="I186" s="16">
        <f t="shared" ca="1" si="62"/>
        <v>122164.07430101429</v>
      </c>
      <c r="K186" s="13" t="s">
        <v>26</v>
      </c>
      <c r="L186" s="16">
        <f t="shared" ref="L186:R186" si="63">SUM(L168:L185)</f>
        <v>0</v>
      </c>
      <c r="M186" s="16">
        <f t="shared" si="63"/>
        <v>0</v>
      </c>
      <c r="N186" s="16">
        <f t="shared" si="63"/>
        <v>0</v>
      </c>
      <c r="O186" s="16">
        <f t="shared" si="63"/>
        <v>0</v>
      </c>
      <c r="P186" s="16">
        <f t="shared" si="63"/>
        <v>0</v>
      </c>
      <c r="Q186" s="16">
        <f t="shared" si="63"/>
        <v>0</v>
      </c>
      <c r="R186" s="16">
        <f t="shared" ca="1" si="63"/>
        <v>0</v>
      </c>
      <c r="T186" s="13" t="s">
        <v>26</v>
      </c>
      <c r="U186" s="16">
        <f t="shared" ref="U186:AA186" si="64">SUM(U168:U185)</f>
        <v>83600.14</v>
      </c>
      <c r="V186" s="16">
        <f t="shared" si="64"/>
        <v>0</v>
      </c>
      <c r="W186" s="16">
        <f t="shared" si="64"/>
        <v>262572.01</v>
      </c>
      <c r="X186" s="16">
        <f t="shared" si="64"/>
        <v>0</v>
      </c>
      <c r="Y186" s="16">
        <f t="shared" si="64"/>
        <v>42510</v>
      </c>
      <c r="Z186" s="16">
        <f t="shared" si="64"/>
        <v>0</v>
      </c>
      <c r="AA186" s="16">
        <f t="shared" ca="1" si="64"/>
        <v>122164.07430101429</v>
      </c>
      <c r="AC186" s="139">
        <f t="shared" ca="1" si="61"/>
        <v>0</v>
      </c>
    </row>
    <row r="187" spans="2:29" ht="18.75" customHeight="1" thickBot="1">
      <c r="B187" s="10" t="s">
        <v>11</v>
      </c>
      <c r="C187" s="17">
        <f>VLOOKUP(C167,'FX RATES'!$E$1:$F$50,2,FALSE)*C186</f>
        <v>83600.14</v>
      </c>
      <c r="D187" s="17">
        <f ca="1">VLOOKUP(D167,'FX RATES'!$E$1:$F$50,2,FALSE)*D186</f>
        <v>0</v>
      </c>
      <c r="E187" s="17">
        <f ca="1">VLOOKUP(E167,'FX RATES'!$E$1:$F$50,2,FALSE)*E186</f>
        <v>38009.845107122179</v>
      </c>
      <c r="F187" s="17">
        <f ca="1">VLOOKUP(F167,'FX RATES'!$E$1:$F$50,2,FALSE)*F186</f>
        <v>0</v>
      </c>
      <c r="G187" s="17">
        <f ca="1">VLOOKUP(G167,'FX RATES'!$E$1:$F$50,2,FALSE)*G186</f>
        <v>554.08919389211485</v>
      </c>
      <c r="H187" s="17">
        <f ca="1">VLOOKUP(H167,'FX RATES'!$E$1:$F$50,2,FALSE)*H186</f>
        <v>0</v>
      </c>
      <c r="I187" s="16">
        <f ca="1">SUM(C187:H187)</f>
        <v>122164.07430101429</v>
      </c>
      <c r="K187" s="10" t="s">
        <v>11</v>
      </c>
      <c r="L187" s="17">
        <f>VLOOKUP(L167,'FX RATES'!$E$1:$F$50,2,FALSE)*L186</f>
        <v>0</v>
      </c>
      <c r="M187" s="17">
        <f ca="1">VLOOKUP(M167,'FX RATES'!$E$1:$F$50,2,FALSE)*M186</f>
        <v>0</v>
      </c>
      <c r="N187" s="17">
        <f ca="1">VLOOKUP(N167,'FX RATES'!$E$1:$F$50,2,FALSE)*N186</f>
        <v>0</v>
      </c>
      <c r="O187" s="17">
        <f ca="1">VLOOKUP(O167,'FX RATES'!$E$1:$F$50,2,FALSE)*O186</f>
        <v>0</v>
      </c>
      <c r="P187" s="17">
        <f ca="1">VLOOKUP(P167,'FX RATES'!$E$1:$F$50,2,FALSE)*P186</f>
        <v>0</v>
      </c>
      <c r="Q187" s="17">
        <f ca="1">VLOOKUP(Q167,'FX RATES'!$E$1:$F$50,2,FALSE)*Q186</f>
        <v>0</v>
      </c>
      <c r="R187" s="16">
        <f ca="1">SUM(L187:Q187)</f>
        <v>0</v>
      </c>
      <c r="T187" s="10" t="s">
        <v>11</v>
      </c>
      <c r="U187" s="17">
        <f>VLOOKUP(U167,'FX RATES'!$E$1:$F$50,2,FALSE)*U186</f>
        <v>83600.14</v>
      </c>
      <c r="V187" s="17">
        <f ca="1">VLOOKUP(V167,'FX RATES'!$E$1:$F$50,2,FALSE)*V186</f>
        <v>0</v>
      </c>
      <c r="W187" s="17">
        <f ca="1">VLOOKUP(W167,'FX RATES'!$E$1:$F$50,2,FALSE)*W186</f>
        <v>38009.845107122179</v>
      </c>
      <c r="X187" s="17">
        <f ca="1">VLOOKUP(X167,'FX RATES'!$E$1:$F$50,2,FALSE)*X186</f>
        <v>0</v>
      </c>
      <c r="Y187" s="17">
        <f ca="1">VLOOKUP(Y167,'FX RATES'!$E$1:$F$50,2,FALSE)*Y186</f>
        <v>554.08919389211485</v>
      </c>
      <c r="Z187" s="17">
        <f ca="1">VLOOKUP(Z167,'FX RATES'!$E$1:$F$50,2,FALSE)*Z186</f>
        <v>0</v>
      </c>
      <c r="AA187" s="16">
        <f ca="1">SUM(U187:Z187)</f>
        <v>122164.07430101429</v>
      </c>
      <c r="AC187" s="139">
        <f t="shared" ca="1" si="61"/>
        <v>0</v>
      </c>
    </row>
    <row r="191" spans="2:29" ht="18.75" customHeight="1">
      <c r="B191" s="593" t="s">
        <v>43</v>
      </c>
      <c r="C191" s="593"/>
      <c r="D191" s="593"/>
      <c r="E191" s="593"/>
      <c r="F191" s="593"/>
      <c r="G191" s="593"/>
      <c r="H191" s="593"/>
      <c r="I191" s="593"/>
      <c r="J191" s="137"/>
      <c r="K191" s="593" t="str">
        <f>B191</f>
        <v>MDS</v>
      </c>
      <c r="L191" s="593"/>
      <c r="M191" s="593"/>
      <c r="N191" s="593"/>
      <c r="O191" s="593"/>
      <c r="P191" s="593"/>
      <c r="Q191" s="593"/>
      <c r="R191" s="593"/>
      <c r="S191" s="137"/>
      <c r="T191" s="593" t="str">
        <f>B191</f>
        <v>MDS</v>
      </c>
      <c r="U191" s="593"/>
      <c r="V191" s="593"/>
      <c r="W191" s="593"/>
      <c r="X191" s="593"/>
      <c r="Y191" s="593"/>
      <c r="Z191" s="593"/>
      <c r="AA191" s="593"/>
    </row>
    <row r="193" spans="2:29" ht="18.75" customHeight="1">
      <c r="B193" s="9" t="s">
        <v>1</v>
      </c>
      <c r="C193" s="91">
        <f>BALANCES!B1</f>
        <v>46073</v>
      </c>
      <c r="K193" s="56" t="s">
        <v>2</v>
      </c>
      <c r="L193" s="110">
        <f>C193</f>
        <v>46073</v>
      </c>
      <c r="M193" s="144" t="s">
        <v>3</v>
      </c>
      <c r="N193" s="110">
        <f>U193</f>
        <v>46081</v>
      </c>
      <c r="O193" s="140"/>
      <c r="P193" s="140"/>
      <c r="Q193" s="140"/>
      <c r="R193" s="20"/>
      <c r="T193" s="9" t="s">
        <v>1</v>
      </c>
      <c r="U193" s="90">
        <f>U4</f>
        <v>46081</v>
      </c>
    </row>
    <row r="194" spans="2:29" ht="18.75" customHeight="1">
      <c r="B194" s="14"/>
      <c r="C194" s="15"/>
      <c r="D194" s="15"/>
      <c r="E194" s="15"/>
      <c r="F194" s="15"/>
      <c r="G194" s="15"/>
      <c r="H194" s="15"/>
      <c r="I194" s="15"/>
      <c r="K194" s="23"/>
      <c r="L194" s="24"/>
      <c r="M194" s="24"/>
      <c r="N194" s="24"/>
      <c r="O194" s="24"/>
      <c r="P194" s="24"/>
      <c r="Q194" s="24"/>
      <c r="R194" s="25"/>
      <c r="T194" s="14"/>
      <c r="U194" s="15"/>
      <c r="V194" s="15"/>
      <c r="W194" s="15"/>
      <c r="X194" s="15"/>
      <c r="Y194" s="15"/>
      <c r="Z194" s="15"/>
      <c r="AA194" s="15"/>
    </row>
    <row r="195" spans="2:29" ht="18.75" customHeight="1">
      <c r="B195" s="10" t="s">
        <v>4</v>
      </c>
      <c r="C195" s="11" t="s">
        <v>5</v>
      </c>
      <c r="D195" s="11" t="s">
        <v>6</v>
      </c>
      <c r="E195" s="11" t="s">
        <v>7</v>
      </c>
      <c r="F195" s="11" t="s">
        <v>8</v>
      </c>
      <c r="G195" s="11" t="s">
        <v>9</v>
      </c>
      <c r="H195" s="11" t="s">
        <v>35</v>
      </c>
      <c r="I195" s="12" t="s">
        <v>11</v>
      </c>
      <c r="K195" s="10" t="s">
        <v>4</v>
      </c>
      <c r="L195" s="11" t="str">
        <f t="shared" ref="L195:Q195" si="65">C195</f>
        <v>USD</v>
      </c>
      <c r="M195" s="11" t="str">
        <f t="shared" si="65"/>
        <v>EUR</v>
      </c>
      <c r="N195" s="11" t="str">
        <f t="shared" si="65"/>
        <v>CNY</v>
      </c>
      <c r="O195" s="11" t="str">
        <f t="shared" si="65"/>
        <v>AED</v>
      </c>
      <c r="P195" s="11" t="str">
        <f t="shared" si="65"/>
        <v>RUB</v>
      </c>
      <c r="Q195" s="11" t="str">
        <f t="shared" si="65"/>
        <v>HKD</v>
      </c>
      <c r="R195" s="12" t="s">
        <v>11</v>
      </c>
      <c r="T195" s="10" t="s">
        <v>4</v>
      </c>
      <c r="U195" s="11" t="str">
        <f t="shared" ref="U195:Z195" si="66">C195</f>
        <v>USD</v>
      </c>
      <c r="V195" s="11" t="str">
        <f t="shared" si="66"/>
        <v>EUR</v>
      </c>
      <c r="W195" s="11" t="str">
        <f t="shared" si="66"/>
        <v>CNY</v>
      </c>
      <c r="X195" s="11" t="str">
        <f t="shared" si="66"/>
        <v>AED</v>
      </c>
      <c r="Y195" s="11" t="str">
        <f t="shared" si="66"/>
        <v>RUB</v>
      </c>
      <c r="Z195" s="11" t="str">
        <f t="shared" si="66"/>
        <v>HKD</v>
      </c>
      <c r="AA195" s="12" t="s">
        <v>11</v>
      </c>
      <c r="AC195" s="40" t="s">
        <v>12</v>
      </c>
    </row>
    <row r="196" spans="2:29" ht="18.75" customHeight="1">
      <c r="B196" s="28" t="s">
        <v>17</v>
      </c>
      <c r="C196" s="29" cm="1">
        <f t="array" ref="C196">SUMIFS(BALANCES!$C:$C,BALANCES!$A:$A,$B$191,BALANCES!$B:$B,$B196,BALANCES!$D:$D,C$195)+SUMIFS(FLOWS!$C:$C,FLOWS!$A:$A,$B$191,FLOWS!$E:$E,$B196,FLOWS!$D:$D,C$195,FLOWS!$H:$H,"&lt;"&amp;$C$193)+SUM(SUMIFS(DEALS!$J:$J,DEALS!$A:$A,{"*REFUND*","*EXECUTED*"},DEALS!$G:$G,$B$191,DEALS!$E:$E,"&lt;"&amp;$C$193,DEALS!$K:$K,C$195,DEALS!$M:$M,$B196,DEALS!$N:$N,"&lt;&gt;*RECEIVED*",DEALS!$N:$N,"&lt;&gt;*EXECUTED*"))+SUM(SUMIFS(DEALS!$R:$R,DEALS!$A:$A,{"*REFUND*","*EXECUTED*"},DEALS!$O:$O,$B$191,DEALS!$E:$E,"&lt;"&amp;$C$193,DEALS!$S:$S,C$195,DEALS!$U:$U,$B196,DEALS!$V:$V,"&lt;&gt;*RECEIVED*",DEALS!$V:$V,"&lt;&gt;*EXECUTED*"))</f>
        <v>10484.02</v>
      </c>
      <c r="D196" s="29" cm="1">
        <f t="array" ref="D196">SUMIFS(BALANCES!$C:$C,BALANCES!$A:$A,$B$191,BALANCES!$B:$B,$B196,BALANCES!$D:$D,D$195)+SUMIFS(FLOWS!$C:$C,FLOWS!$A:$A,$B$191,FLOWS!$E:$E,$B196,FLOWS!$D:$D,D$195,FLOWS!$H:$H,"&lt;"&amp;$C$193)+SUM(SUMIFS(DEALS!$J:$J,DEALS!$A:$A,{"*REFUND*","*EXECUTED*"},DEALS!$G:$G,$B$191,DEALS!$E:$E,"&lt;"&amp;$C$193,DEALS!$K:$K,D$195,DEALS!$M:$M,$B196,DEALS!$N:$N,"&lt;&gt;*RECEIVED*",DEALS!$N:$N,"&lt;&gt;*EXECUTED*"))+SUM(SUMIFS(DEALS!$R:$R,DEALS!$A:$A,{"*REFUND*","*EXECUTED*"},DEALS!$O:$O,$B$191,DEALS!$E:$E,"&lt;"&amp;$C$193,DEALS!$S:$S,D$195,DEALS!$U:$U,$B196,DEALS!$V:$V,"&lt;&gt;*RECEIVED*",DEALS!$V:$V,"&lt;&gt;*EXECUTED*"))</f>
        <v>0</v>
      </c>
      <c r="E196" s="29" cm="1">
        <f t="array" ref="E196">SUMIFS(BALANCES!$C:$C,BALANCES!$A:$A,$B$191,BALANCES!$B:$B,$B196,BALANCES!$D:$D,E$195)+SUMIFS(FLOWS!$C:$C,FLOWS!$A:$A,$B$191,FLOWS!$E:$E,$B196,FLOWS!$D:$D,E$195,FLOWS!$H:$H,"&lt;"&amp;$C$193)+SUM(SUMIFS(DEALS!$J:$J,DEALS!$A:$A,{"*REFUND*","*EXECUTED*"},DEALS!$G:$G,$B$191,DEALS!$E:$E,"&lt;"&amp;$C$193,DEALS!$K:$K,E$195,DEALS!$M:$M,$B196,DEALS!$N:$N,"&lt;&gt;*RECEIVED*",DEALS!$N:$N,"&lt;&gt;*EXECUTED*"))+SUM(SUMIFS(DEALS!$R:$R,DEALS!$A:$A,{"*REFUND*","*EXECUTED*"},DEALS!$O:$O,$B$191,DEALS!$E:$E,"&lt;"&amp;$C$193,DEALS!$S:$S,E$195,DEALS!$U:$U,$B196,DEALS!$V:$V,"&lt;&gt;*RECEIVED*",DEALS!$V:$V,"&lt;&gt;*EXECUTED*"))</f>
        <v>0</v>
      </c>
      <c r="F196" s="29" cm="1">
        <f t="array" ref="F196">SUMIFS(BALANCES!$C:$C,BALANCES!$A:$A,$B$191,BALANCES!$B:$B,$B196,BALANCES!$D:$D,F$195)+SUMIFS(FLOWS!$C:$C,FLOWS!$A:$A,$B$191,FLOWS!$E:$E,$B196,FLOWS!$D:$D,F$195,FLOWS!$H:$H,"&lt;"&amp;$C$193)+SUM(SUMIFS(DEALS!$J:$J,DEALS!$A:$A,{"*REFUND*","*EXECUTED*"},DEALS!$G:$G,$B$191,DEALS!$E:$E,"&lt;"&amp;$C$193,DEALS!$K:$K,F$195,DEALS!$M:$M,$B196,DEALS!$N:$N,"&lt;&gt;*RECEIVED*",DEALS!$N:$N,"&lt;&gt;*EXECUTED*"))+SUM(SUMIFS(DEALS!$R:$R,DEALS!$A:$A,{"*REFUND*","*EXECUTED*"},DEALS!$O:$O,$B$191,DEALS!$E:$E,"&lt;"&amp;$C$193,DEALS!$S:$S,F$195,DEALS!$U:$U,$B196,DEALS!$V:$V,"&lt;&gt;*RECEIVED*",DEALS!$V:$V,"&lt;&gt;*EXECUTED*"))</f>
        <v>135389.84</v>
      </c>
      <c r="G196" s="29" cm="1">
        <f t="array" ref="G196">SUMIFS(BALANCES!$C:$C,BALANCES!$A:$A,$B$191,BALANCES!$B:$B,$B196,BALANCES!$D:$D,G$195)+SUMIFS(FLOWS!$C:$C,FLOWS!$A:$A,$B$191,FLOWS!$E:$E,$B196,FLOWS!$D:$D,G$195,FLOWS!$H:$H,"&lt;"&amp;$C$193)+SUM(SUMIFS(DEALS!$J:$J,DEALS!$A:$A,{"*REFUND*","*EXECUTED*"},DEALS!$G:$G,$B$191,DEALS!$E:$E,"&lt;"&amp;$C$193,DEALS!$K:$K,G$195,DEALS!$M:$M,$B196,DEALS!$N:$N,"&lt;&gt;*RECEIVED*",DEALS!$N:$N,"&lt;&gt;*EXECUTED*"))+SUM(SUMIFS(DEALS!$R:$R,DEALS!$A:$A,{"*REFUND*","*EXECUTED*"},DEALS!$O:$O,$B$191,DEALS!$E:$E,"&lt;"&amp;$C$193,DEALS!$S:$S,G$195,DEALS!$U:$U,$B196,DEALS!$V:$V,"&lt;&gt;*RECEIVED*",DEALS!$V:$V,"&lt;&gt;*EXECUTED*"))</f>
        <v>0</v>
      </c>
      <c r="H196" s="29" cm="1">
        <f t="array" ref="H196">SUMIFS(BALANCES!$C:$C,BALANCES!$A:$A,$B$191,BALANCES!$B:$B,$B196,BALANCES!$D:$D,H$195)+SUMIFS(FLOWS!$C:$C,FLOWS!$A:$A,$B$191,FLOWS!$E:$E,$B196,FLOWS!$D:$D,H$195,FLOWS!$H:$H,"&lt;"&amp;$C$193)+SUM(SUMIFS(DEALS!$J:$J,DEALS!$A:$A,{"*REFUND*","*EXECUTED*"},DEALS!$G:$G,$B$191,DEALS!$E:$E,"&lt;"&amp;$C$193,DEALS!$K:$K,H$195,DEALS!$M:$M,$B196,DEALS!$N:$N,"&lt;&gt;*RECEIVED*",DEALS!$N:$N,"&lt;&gt;*EXECUTED*"))+SUM(SUMIFS(DEALS!$R:$R,DEALS!$A:$A,{"*REFUND*","*EXECUTED*"},DEALS!$O:$O,$B$191,DEALS!$E:$E,"&lt;"&amp;$C$193,DEALS!$S:$S,H$195,DEALS!$U:$U,$B196,DEALS!$V:$V,"&lt;&gt;*RECEIVED*",DEALS!$V:$V,"&lt;&gt;*EXECUTED*"))</f>
        <v>0</v>
      </c>
      <c r="I196" s="30">
        <f ca="1">C196*VLOOKUP(C$195,'FX RATES'!$E$1:$F$50,2,FALSE)+D196*VLOOKUP(D$195,'FX RATES'!$E$1:$F$50,2,FALSE)+E196*VLOOKUP(E$195,'FX RATES'!$E$1:$F$50,2,FALSE)+F196*VLOOKUP(F$195,'FX RATES'!$E$1:$F$50,2,FALSE)+G196*VLOOKUP(G$195,'FX RATES'!$E$1:$F$50,2,FALSE)+H196*VLOOKUP(H$195,'FX RATES'!$E$1:$F$50,2,FALSE)</f>
        <v>47348.867791755154</v>
      </c>
      <c r="K196" s="28" t="str">
        <f t="shared" ref="K196:K213" si="67">B196</f>
        <v>UBL</v>
      </c>
      <c r="L196" s="29" cm="1">
        <f t="array" ref="L196">SUMIFS(FLOWS!$C:$C,FLOWS!$A:$A,$B$191,FLOWS!$E:$E,$K196,FLOWS!$D:$D,L$195,FLOWS!$H:$H,"&gt;="&amp;$C$193,FLOWS!$H:$H,"&lt;="&amp;$U$193)+SUM(SUMIFS(DEALS!$J:$J,DEALS!$A:$A,{"*REFUND*","*EXECUTED*"},DEALS!$G:$G,$B$191,DEALS!$E:$E,"&gt;="&amp;$C$193,DEALS!$E:$E,"&lt;="&amp;$U$193,DEALS!$K:$K,L$195,DEALS!$M:$M,$K196,DEALS!$N:$N,"&lt;&gt;*RECEIVED*",DEALS!$N:$N,"&lt;&gt;*EXECUTED*"))+SUM(SUMIFS(DEALS!$R:$R,DEALS!$A:$A,{"*REFUND*","*EXECUTED*"},DEALS!$O:$O,$B$191,DEALS!$E:$E,"&gt;="&amp;$C$193,DEALS!$E:$E,"&lt;="&amp;$U$193,DEALS!$S:$S,L$195,DEALS!$U:$U,$K196,DEALS!$V:$V,"&lt;&gt;*RECEIVED*",DEALS!$V:$V,"&lt;&gt;*EXECUTED*"))</f>
        <v>0</v>
      </c>
      <c r="M196" s="29" cm="1">
        <f t="array" ref="M196">SUMIFS(FLOWS!$C:$C,FLOWS!$A:$A,$B$191,FLOWS!$E:$E,$K196,FLOWS!$D:$D,M$195,FLOWS!$H:$H,"&gt;="&amp;$C$193,FLOWS!$H:$H,"&lt;="&amp;$U$193)+SUM(SUMIFS(DEALS!$J:$J,DEALS!$A:$A,{"*REFUND*","*EXECUTED*"},DEALS!$G:$G,$B$191,DEALS!$E:$E,"&gt;="&amp;$C$193,DEALS!$E:$E,"&lt;="&amp;$U$193,DEALS!$K:$K,M$195,DEALS!$M:$M,$K196,DEALS!$N:$N,"&lt;&gt;*RECEIVED*",DEALS!$N:$N,"&lt;&gt;*EXECUTED*"))+SUM(SUMIFS(DEALS!$R:$R,DEALS!$A:$A,{"*REFUND*","*EXECUTED*"},DEALS!$O:$O,$B$191,DEALS!$E:$E,"&gt;="&amp;$C$193,DEALS!$E:$E,"&lt;="&amp;$U$193,DEALS!$S:$S,M$195,DEALS!$U:$U,$K196,DEALS!$V:$V,"&lt;&gt;*RECEIVED*",DEALS!$V:$V,"&lt;&gt;*EXECUTED*"))</f>
        <v>0</v>
      </c>
      <c r="N196" s="29" cm="1">
        <f t="array" ref="N196">SUMIFS(FLOWS!$C:$C,FLOWS!$A:$A,$B$191,FLOWS!$E:$E,$K196,FLOWS!$D:$D,N$195,FLOWS!$H:$H,"&gt;="&amp;$C$193,FLOWS!$H:$H,"&lt;="&amp;$U$193)+SUM(SUMIFS(DEALS!$J:$J,DEALS!$A:$A,{"*REFUND*","*EXECUTED*"},DEALS!$G:$G,$B$191,DEALS!$E:$E,"&gt;="&amp;$C$193,DEALS!$E:$E,"&lt;="&amp;$U$193,DEALS!$K:$K,N$195,DEALS!$M:$M,$K196,DEALS!$N:$N,"&lt;&gt;*RECEIVED*",DEALS!$N:$N,"&lt;&gt;*EXECUTED*"))+SUM(SUMIFS(DEALS!$R:$R,DEALS!$A:$A,{"*REFUND*","*EXECUTED*"},DEALS!$O:$O,$B$191,DEALS!$E:$E,"&gt;="&amp;$C$193,DEALS!$E:$E,"&lt;="&amp;$U$193,DEALS!$S:$S,N$195,DEALS!$U:$U,$K196,DEALS!$V:$V,"&lt;&gt;*RECEIVED*",DEALS!$V:$V,"&lt;&gt;*EXECUTED*"))</f>
        <v>0</v>
      </c>
      <c r="O196" s="29" cm="1">
        <f t="array" ref="O196">SUMIFS(FLOWS!$C:$C,FLOWS!$A:$A,$B$191,FLOWS!$E:$E,$K196,FLOWS!$D:$D,O$195,FLOWS!$H:$H,"&gt;="&amp;$C$193,FLOWS!$H:$H,"&lt;="&amp;$U$193)+SUM(SUMIFS(DEALS!$J:$J,DEALS!$A:$A,{"*REFUND*","*EXECUTED*"},DEALS!$G:$G,$B$191,DEALS!$E:$E,"&gt;="&amp;$C$193,DEALS!$E:$E,"&lt;="&amp;$U$193,DEALS!$K:$K,O$195,DEALS!$M:$M,$K196,DEALS!$N:$N,"&lt;&gt;*RECEIVED*",DEALS!$N:$N,"&lt;&gt;*EXECUTED*"))+SUM(SUMIFS(DEALS!$R:$R,DEALS!$A:$A,{"*REFUND*","*EXECUTED*"},DEALS!$O:$O,$B$191,DEALS!$E:$E,"&gt;="&amp;$C$193,DEALS!$E:$E,"&lt;="&amp;$U$193,DEALS!$S:$S,O$195,DEALS!$U:$U,$K196,DEALS!$V:$V,"&lt;&gt;*RECEIVED*",DEALS!$V:$V,"&lt;&gt;*EXECUTED*"))</f>
        <v>0</v>
      </c>
      <c r="P196" s="29" cm="1">
        <f t="array" ref="P196">SUMIFS(FLOWS!$C:$C,FLOWS!$A:$A,$B$191,FLOWS!$E:$E,$K196,FLOWS!$D:$D,P$195,FLOWS!$H:$H,"&gt;="&amp;$C$193,FLOWS!$H:$H,"&lt;="&amp;$U$193)+SUM(SUMIFS(DEALS!$J:$J,DEALS!$A:$A,{"*REFUND*","*EXECUTED*"},DEALS!$G:$G,$B$191,DEALS!$E:$E,"&gt;="&amp;$C$193,DEALS!$E:$E,"&lt;="&amp;$U$193,DEALS!$K:$K,P$195,DEALS!$M:$M,$K196,DEALS!$N:$N,"&lt;&gt;*RECEIVED*",DEALS!$N:$N,"&lt;&gt;*EXECUTED*"))+SUM(SUMIFS(DEALS!$R:$R,DEALS!$A:$A,{"*REFUND*","*EXECUTED*"},DEALS!$O:$O,$B$191,DEALS!$E:$E,"&gt;="&amp;$C$193,DEALS!$E:$E,"&lt;="&amp;$U$193,DEALS!$S:$S,P$195,DEALS!$U:$U,$K196,DEALS!$V:$V,"&lt;&gt;*RECEIVED*",DEALS!$V:$V,"&lt;&gt;*EXECUTED*"))</f>
        <v>0</v>
      </c>
      <c r="Q196" s="29" cm="1">
        <f t="array" ref="Q196">SUMIFS(FLOWS!$C:$C,FLOWS!$A:$A,$B$191,FLOWS!$E:$E,$K196,FLOWS!$D:$D,Q$195,FLOWS!$H:$H,"&gt;="&amp;$C$193,FLOWS!$H:$H,"&lt;="&amp;$U$193)+SUM(SUMIFS(DEALS!$J:$J,DEALS!$A:$A,{"*REFUND*","*EXECUTED*"},DEALS!$G:$G,$B$191,DEALS!$E:$E,"&gt;="&amp;$C$193,DEALS!$E:$E,"&lt;="&amp;$U$193,DEALS!$K:$K,Q$195,DEALS!$M:$M,$K196,DEALS!$N:$N,"&lt;&gt;*RECEIVED*",DEALS!$N:$N,"&lt;&gt;*EXECUTED*"))+SUM(SUMIFS(DEALS!$R:$R,DEALS!$A:$A,{"*REFUND*","*EXECUTED*"},DEALS!$O:$O,$B$191,DEALS!$E:$E,"&gt;="&amp;$C$193,DEALS!$E:$E,"&lt;="&amp;$U$193,DEALS!$S:$S,Q$195,DEALS!$U:$U,$K196,DEALS!$V:$V,"&lt;&gt;*RECEIVED*",DEALS!$V:$V,"&lt;&gt;*EXECUTED*"))</f>
        <v>0</v>
      </c>
      <c r="R196" s="30">
        <f ca="1">L196*VLOOKUP(L$195,'FX RATES'!$E$1:$F$50,2,FALSE)+M196*VLOOKUP(M$195,'FX RATES'!$E$1:$F$50,2,FALSE)+N196*VLOOKUP(N$195,'FX RATES'!$E$1:$F$50,2,FALSE)+O196*VLOOKUP(O$195,'FX RATES'!$E$1:$F$50,2,FALSE)+P196*VLOOKUP(P$195,'FX RATES'!$E$1:$F$50,2,FALSE)+Q196*VLOOKUP(Q$195,'FX RATES'!$E$1:$F$50,2,FALSE)</f>
        <v>0</v>
      </c>
      <c r="T196" s="28" t="str">
        <f t="shared" ref="T196:T213" si="68">B196</f>
        <v>UBL</v>
      </c>
      <c r="U196" s="29" cm="1">
        <f t="array" ref="U196">SUMIFS(BALANCES!$C:$C,BALANCES!$A:$A,$B$191,BALANCES!$B:$B,$T196,BALANCES!$D:$D,U$195)+SUMIFS(FLOWS!$C:$C,FLOWS!$A:$A,$B$191,FLOWS!$E:$E,$T196,FLOWS!$D:$D,U$195,FLOWS!$H:$H,"&lt;="&amp;$U$193)+SUM(SUMIFS(DEALS!$J:$J,DEALS!$A:$A,{"*REFUND*","*EXECUTED*"},DEALS!$G:$G,$B$191,DEALS!$E:$E,"&lt;="&amp;$U$193,DEALS!$K:$K,U$195,DEALS!$M:$M,$T196,DEALS!$N:$N,"&lt;&gt;*RECEIVED*",DEALS!$N:$N,"&lt;&gt;*EXECUTED*"))+SUM(SUMIFS(DEALS!$R:$R,DEALS!$A:$A,{"*REFUND*","*EXECUTED*"},DEALS!$O:$O,$B$191,DEALS!$E:$E,"&lt;="&amp;$U$193,DEALS!$S:$S,U$195,DEALS!$U:$U,$T196,DEALS!$V:$V,"&lt;&gt;*RECEIVED*",DEALS!$V:$V,"&lt;&gt;*EXECUTED*"))</f>
        <v>10484.02</v>
      </c>
      <c r="V196" s="29" cm="1">
        <f t="array" ref="V196">SUMIFS(BALANCES!$C:$C,BALANCES!$A:$A,$B$191,BALANCES!$B:$B,$T196,BALANCES!$D:$D,V$195)+SUMIFS(FLOWS!$C:$C,FLOWS!$A:$A,$B$191,FLOWS!$E:$E,$T196,FLOWS!$D:$D,V$195,FLOWS!$H:$H,"&lt;="&amp;$U$193)+SUM(SUMIFS(DEALS!$J:$J,DEALS!$A:$A,{"*REFUND*","*EXECUTED*"},DEALS!$G:$G,$B$191,DEALS!$E:$E,"&lt;="&amp;$U$193,DEALS!$K:$K,V$195,DEALS!$M:$M,$T196,DEALS!$N:$N,"&lt;&gt;*RECEIVED*",DEALS!$N:$N,"&lt;&gt;*EXECUTED*"))+SUM(SUMIFS(DEALS!$R:$R,DEALS!$A:$A,{"*REFUND*","*EXECUTED*"},DEALS!$O:$O,$B$191,DEALS!$E:$E,"&lt;="&amp;$U$193,DEALS!$S:$S,V$195,DEALS!$U:$U,$T196,DEALS!$V:$V,"&lt;&gt;*RECEIVED*",DEALS!$V:$V,"&lt;&gt;*EXECUTED*"))</f>
        <v>0</v>
      </c>
      <c r="W196" s="29" cm="1">
        <f t="array" ref="W196">SUMIFS(BALANCES!$C:$C,BALANCES!$A:$A,$B$191,BALANCES!$B:$B,$T196,BALANCES!$D:$D,W$195)+SUMIFS(FLOWS!$C:$C,FLOWS!$A:$A,$B$191,FLOWS!$E:$E,$T196,FLOWS!$D:$D,W$195,FLOWS!$H:$H,"&lt;="&amp;$U$193)+SUM(SUMIFS(DEALS!$J:$J,DEALS!$A:$A,{"*REFUND*","*EXECUTED*"},DEALS!$G:$G,$B$191,DEALS!$E:$E,"&lt;="&amp;$U$193,DEALS!$K:$K,W$195,DEALS!$M:$M,$T196,DEALS!$N:$N,"&lt;&gt;*RECEIVED*",DEALS!$N:$N,"&lt;&gt;*EXECUTED*"))+SUM(SUMIFS(DEALS!$R:$R,DEALS!$A:$A,{"*REFUND*","*EXECUTED*"},DEALS!$O:$O,$B$191,DEALS!$E:$E,"&lt;="&amp;$U$193,DEALS!$S:$S,W$195,DEALS!$U:$U,$T196,DEALS!$V:$V,"&lt;&gt;*RECEIVED*",DEALS!$V:$V,"&lt;&gt;*EXECUTED*"))</f>
        <v>0</v>
      </c>
      <c r="X196" s="29" cm="1">
        <f t="array" ref="X196">SUMIFS(BALANCES!$C:$C,BALANCES!$A:$A,$B$191,BALANCES!$B:$B,$T196,BALANCES!$D:$D,X$195)+SUMIFS(FLOWS!$C:$C,FLOWS!$A:$A,$B$191,FLOWS!$E:$E,$T196,FLOWS!$D:$D,X$195,FLOWS!$H:$H,"&lt;="&amp;$U$193)+SUM(SUMIFS(DEALS!$J:$J,DEALS!$A:$A,{"*REFUND*","*EXECUTED*"},DEALS!$G:$G,$B$191,DEALS!$E:$E,"&lt;="&amp;$U$193,DEALS!$K:$K,X$195,DEALS!$M:$M,$T196,DEALS!$N:$N,"&lt;&gt;*RECEIVED*",DEALS!$N:$N,"&lt;&gt;*EXECUTED*"))+SUM(SUMIFS(DEALS!$R:$R,DEALS!$A:$A,{"*REFUND*","*EXECUTED*"},DEALS!$O:$O,$B$191,DEALS!$E:$E,"&lt;="&amp;$U$193,DEALS!$S:$S,X$195,DEALS!$U:$U,$T196,DEALS!$V:$V,"&lt;&gt;*RECEIVED*",DEALS!$V:$V,"&lt;&gt;*EXECUTED*"))</f>
        <v>135389.84</v>
      </c>
      <c r="Y196" s="29" cm="1">
        <f t="array" ref="Y196">SUMIFS(BALANCES!$C:$C,BALANCES!$A:$A,$B$191,BALANCES!$B:$B,$T196,BALANCES!$D:$D,Y$195)+SUMIFS(FLOWS!$C:$C,FLOWS!$A:$A,$B$191,FLOWS!$E:$E,$T196,FLOWS!$D:$D,Y$195,FLOWS!$H:$H,"&lt;="&amp;$U$193)+SUM(SUMIFS(DEALS!$J:$J,DEALS!$A:$A,{"*REFUND*","*EXECUTED*"},DEALS!$G:$G,$B$191,DEALS!$E:$E,"&lt;="&amp;$U$193,DEALS!$K:$K,Y$195,DEALS!$M:$M,$T196,DEALS!$N:$N,"&lt;&gt;*RECEIVED*",DEALS!$N:$N,"&lt;&gt;*EXECUTED*"))+SUM(SUMIFS(DEALS!$R:$R,DEALS!$A:$A,{"*REFUND*","*EXECUTED*"},DEALS!$O:$O,$B$191,DEALS!$E:$E,"&lt;="&amp;$U$193,DEALS!$S:$S,Y$195,DEALS!$U:$U,$T196,DEALS!$V:$V,"&lt;&gt;*RECEIVED*",DEALS!$V:$V,"&lt;&gt;*EXECUTED*"))</f>
        <v>0</v>
      </c>
      <c r="Z196" s="29" cm="1">
        <f t="array" ref="Z196">SUMIFS(BALANCES!$C:$C,BALANCES!$A:$A,$B$191,BALANCES!$B:$B,$T196,BALANCES!$D:$D,Z$195)+SUMIFS(FLOWS!$C:$C,FLOWS!$A:$A,$B$191,FLOWS!$E:$E,$T196,FLOWS!$D:$D,Z$195,FLOWS!$H:$H,"&lt;="&amp;$U$193)+SUM(SUMIFS(DEALS!$J:$J,DEALS!$A:$A,{"*REFUND*","*EXECUTED*"},DEALS!$G:$G,$B$191,DEALS!$E:$E,"&lt;="&amp;$U$193,DEALS!$K:$K,Z$195,DEALS!$M:$M,$T196,DEALS!$N:$N,"&lt;&gt;*RECEIVED*",DEALS!$N:$N,"&lt;&gt;*EXECUTED*"))+SUM(SUMIFS(DEALS!$R:$R,DEALS!$A:$A,{"*REFUND*","*EXECUTED*"},DEALS!$O:$O,$B$191,DEALS!$E:$E,"&lt;="&amp;$U$193,DEALS!$S:$S,Z$195,DEALS!$U:$U,$T196,DEALS!$V:$V,"&lt;&gt;*RECEIVED*",DEALS!$V:$V,"&lt;&gt;*EXECUTED*"))</f>
        <v>0</v>
      </c>
      <c r="AA196" s="30">
        <f ca="1">U196*VLOOKUP(U$195,'FX RATES'!$E$1:$F$50,2,FALSE)+V196*VLOOKUP(V$195,'FX RATES'!$E$1:$F$50,2,FALSE)+W196*VLOOKUP(W$195,'FX RATES'!$E$1:$F$50,2,FALSE)+X196*VLOOKUP(X$195,'FX RATES'!$E$1:$F$50,2,FALSE)+Y196*VLOOKUP(Y$195,'FX RATES'!$E$1:$F$50,2,FALSE)+Z196*VLOOKUP(Z$195,'FX RATES'!$E$1:$F$50,2,FALSE)</f>
        <v>47348.867791755154</v>
      </c>
      <c r="AC196" s="139">
        <f t="shared" ref="AC196:AC215" ca="1" si="69">I196+R196-AA196</f>
        <v>0</v>
      </c>
    </row>
    <row r="197" spans="2:29" ht="18.75" customHeight="1">
      <c r="B197" s="31" t="s">
        <v>36</v>
      </c>
      <c r="C197" s="32" cm="1">
        <f t="array" ref="C197">SUMIFS(BALANCES!$C:$C,BALANCES!$A:$A,$B$191,BALANCES!$B:$B,$B197,BALANCES!$D:$D,C$195)+SUMIFS(FLOWS!$C:$C,FLOWS!$A:$A,$B$191,FLOWS!$E:$E,$B197,FLOWS!$D:$D,C$195,FLOWS!$H:$H,"&lt;"&amp;$C$193)+SUM(SUMIFS(DEALS!$J:$J,DEALS!$A:$A,{"*REFUND*","*EXECUTED*"},DEALS!$G:$G,$B$191,DEALS!$E:$E,"&lt;"&amp;$C$193,DEALS!$K:$K,C$195,DEALS!$M:$M,$B197,DEALS!$N:$N,"&lt;&gt;*RECEIVED*",DEALS!$N:$N,"&lt;&gt;*EXECUTED*"))+SUM(SUMIFS(DEALS!$R:$R,DEALS!$A:$A,{"*REFUND*","*EXECUTED*"},DEALS!$O:$O,$B$191,DEALS!$E:$E,"&lt;"&amp;$C$193,DEALS!$S:$S,C$195,DEALS!$U:$U,$B197,DEALS!$V:$V,"&lt;&gt;*RECEIVED*",DEALS!$V:$V,"&lt;&gt;*EXECUTED*"))</f>
        <v>0</v>
      </c>
      <c r="D197" s="32" cm="1">
        <f t="array" ref="D197">SUMIFS(BALANCES!$C:$C,BALANCES!$A:$A,$B$191,BALANCES!$B:$B,$B197,BALANCES!$D:$D,D$195)+SUMIFS(FLOWS!$C:$C,FLOWS!$A:$A,$B$191,FLOWS!$E:$E,$B197,FLOWS!$D:$D,D$195,FLOWS!$H:$H,"&lt;"&amp;$C$193)+SUM(SUMIFS(DEALS!$J:$J,DEALS!$A:$A,{"*REFUND*","*EXECUTED*"},DEALS!$G:$G,$B$191,DEALS!$E:$E,"&lt;"&amp;$C$193,DEALS!$K:$K,D$195,DEALS!$M:$M,$B197,DEALS!$N:$N,"&lt;&gt;*RECEIVED*",DEALS!$N:$N,"&lt;&gt;*EXECUTED*"))+SUM(SUMIFS(DEALS!$R:$R,DEALS!$A:$A,{"*REFUND*","*EXECUTED*"},DEALS!$O:$O,$B$191,DEALS!$E:$E,"&lt;"&amp;$C$193,DEALS!$S:$S,D$195,DEALS!$U:$U,$B197,DEALS!$V:$V,"&lt;&gt;*RECEIVED*",DEALS!$V:$V,"&lt;&gt;*EXECUTED*"))</f>
        <v>0</v>
      </c>
      <c r="E197" s="32" cm="1">
        <f t="array" ref="E197">SUMIFS(BALANCES!$C:$C,BALANCES!$A:$A,$B$191,BALANCES!$B:$B,$B197,BALANCES!$D:$D,E$195)+SUMIFS(FLOWS!$C:$C,FLOWS!$A:$A,$B$191,FLOWS!$E:$E,$B197,FLOWS!$D:$D,E$195,FLOWS!$H:$H,"&lt;"&amp;$C$193)+SUM(SUMIFS(DEALS!$J:$J,DEALS!$A:$A,{"*REFUND*","*EXECUTED*"},DEALS!$G:$G,$B$191,DEALS!$E:$E,"&lt;"&amp;$C$193,DEALS!$K:$K,E$195,DEALS!$M:$M,$B197,DEALS!$N:$N,"&lt;&gt;*RECEIVED*",DEALS!$N:$N,"&lt;&gt;*EXECUTED*"))+SUM(SUMIFS(DEALS!$R:$R,DEALS!$A:$A,{"*REFUND*","*EXECUTED*"},DEALS!$O:$O,$B$191,DEALS!$E:$E,"&lt;"&amp;$C$193,DEALS!$S:$S,E$195,DEALS!$U:$U,$B197,DEALS!$V:$V,"&lt;&gt;*RECEIVED*",DEALS!$V:$V,"&lt;&gt;*EXECUTED*"))</f>
        <v>0</v>
      </c>
      <c r="F197" s="32" cm="1">
        <f t="array" ref="F197">SUMIFS(BALANCES!$C:$C,BALANCES!$A:$A,$B$191,BALANCES!$B:$B,$B197,BALANCES!$D:$D,F$195)+SUMIFS(FLOWS!$C:$C,FLOWS!$A:$A,$B$191,FLOWS!$E:$E,$B197,FLOWS!$D:$D,F$195,FLOWS!$H:$H,"&lt;"&amp;$C$193)+SUM(SUMIFS(DEALS!$J:$J,DEALS!$A:$A,{"*REFUND*","*EXECUTED*"},DEALS!$G:$G,$B$191,DEALS!$E:$E,"&lt;"&amp;$C$193,DEALS!$K:$K,F$195,DEALS!$M:$M,$B197,DEALS!$N:$N,"&lt;&gt;*RECEIVED*",DEALS!$N:$N,"&lt;&gt;*EXECUTED*"))+SUM(SUMIFS(DEALS!$R:$R,DEALS!$A:$A,{"*REFUND*","*EXECUTED*"},DEALS!$O:$O,$B$191,DEALS!$E:$E,"&lt;"&amp;$C$193,DEALS!$S:$S,F$195,DEALS!$U:$U,$B197,DEALS!$V:$V,"&lt;&gt;*RECEIVED*",DEALS!$V:$V,"&lt;&gt;*EXECUTED*"))</f>
        <v>900</v>
      </c>
      <c r="G197" s="32" cm="1">
        <f t="array" ref="G197">SUMIFS(BALANCES!$C:$C,BALANCES!$A:$A,$B$191,BALANCES!$B:$B,$B197,BALANCES!$D:$D,G$195)+SUMIFS(FLOWS!$C:$C,FLOWS!$A:$A,$B$191,FLOWS!$E:$E,$B197,FLOWS!$D:$D,G$195,FLOWS!$H:$H,"&lt;"&amp;$C$193)+SUM(SUMIFS(DEALS!$J:$J,DEALS!$A:$A,{"*REFUND*","*EXECUTED*"},DEALS!$G:$G,$B$191,DEALS!$E:$E,"&lt;"&amp;$C$193,DEALS!$K:$K,G$195,DEALS!$M:$M,$B197,DEALS!$N:$N,"&lt;&gt;*RECEIVED*",DEALS!$N:$N,"&lt;&gt;*EXECUTED*"))+SUM(SUMIFS(DEALS!$R:$R,DEALS!$A:$A,{"*REFUND*","*EXECUTED*"},DEALS!$O:$O,$B$191,DEALS!$E:$E,"&lt;"&amp;$C$193,DEALS!$S:$S,G$195,DEALS!$U:$U,$B197,DEALS!$V:$V,"&lt;&gt;*RECEIVED*",DEALS!$V:$V,"&lt;&gt;*EXECUTED*"))</f>
        <v>0</v>
      </c>
      <c r="H197" s="32" cm="1">
        <f t="array" ref="H197">SUMIFS(BALANCES!$C:$C,BALANCES!$A:$A,$B$191,BALANCES!$B:$B,$B197,BALANCES!$D:$D,H$195)+SUMIFS(FLOWS!$C:$C,FLOWS!$A:$A,$B$191,FLOWS!$E:$E,$B197,FLOWS!$D:$D,H$195,FLOWS!$H:$H,"&lt;"&amp;$C$193)+SUM(SUMIFS(DEALS!$J:$J,DEALS!$A:$A,{"*REFUND*","*EXECUTED*"},DEALS!$G:$G,$B$191,DEALS!$E:$E,"&lt;"&amp;$C$193,DEALS!$K:$K,H$195,DEALS!$M:$M,$B197,DEALS!$N:$N,"&lt;&gt;*RECEIVED*",DEALS!$N:$N,"&lt;&gt;*EXECUTED*"))+SUM(SUMIFS(DEALS!$R:$R,DEALS!$A:$A,{"*REFUND*","*EXECUTED*"},DEALS!$O:$O,$B$191,DEALS!$E:$E,"&lt;"&amp;$C$193,DEALS!$S:$S,H$195,DEALS!$U:$U,$B197,DEALS!$V:$V,"&lt;&gt;*RECEIVED*",DEALS!$V:$V,"&lt;&gt;*EXECUTED*"))</f>
        <v>0</v>
      </c>
      <c r="I197" s="33">
        <f ca="1">C197*VLOOKUP(C$195,'FX RATES'!$E$1:$F$50,2,FALSE)+D197*VLOOKUP(D$195,'FX RATES'!$E$1:$F$50,2,FALSE)+E197*VLOOKUP(E$195,'FX RATES'!$E$1:$F$50,2,FALSE)+F197*VLOOKUP(F$195,'FX RATES'!$E$1:$F$50,2,FALSE)+G197*VLOOKUP(G$195,'FX RATES'!$E$1:$F$50,2,FALSE)+H197*VLOOKUP(H$195,'FX RATES'!$E$1:$F$50,2,FALSE)</f>
        <v>245.05799705930403</v>
      </c>
      <c r="K197" s="31" t="str">
        <f t="shared" si="67"/>
        <v>DIB</v>
      </c>
      <c r="L197" s="32" cm="1">
        <f t="array" ref="L197">SUMIFS(FLOWS!$C:$C,FLOWS!$A:$A,$B$191,FLOWS!$E:$E,$K197,FLOWS!$D:$D,L$195,FLOWS!$H:$H,"&gt;="&amp;$C$193,FLOWS!$H:$H,"&lt;="&amp;$U$193)+SUM(SUMIFS(DEALS!$J:$J,DEALS!$A:$A,{"*REFUND*","*EXECUTED*"},DEALS!$G:$G,$B$191,DEALS!$E:$E,"&gt;="&amp;$C$193,DEALS!$E:$E,"&lt;="&amp;$U$193,DEALS!$K:$K,L$195,DEALS!$M:$M,$K197,DEALS!$N:$N,"&lt;&gt;*RECEIVED*",DEALS!$N:$N,"&lt;&gt;*EXECUTED*"))+SUM(SUMIFS(DEALS!$R:$R,DEALS!$A:$A,{"*REFUND*","*EXECUTED*"},DEALS!$O:$O,$B$191,DEALS!$E:$E,"&gt;="&amp;$C$193,DEALS!$E:$E,"&lt;="&amp;$U$193,DEALS!$S:$S,L$195,DEALS!$U:$U,$K197,DEALS!$V:$V,"&lt;&gt;*RECEIVED*",DEALS!$V:$V,"&lt;&gt;*EXECUTED*"))</f>
        <v>0</v>
      </c>
      <c r="M197" s="32" cm="1">
        <f t="array" ref="M197">SUMIFS(FLOWS!$C:$C,FLOWS!$A:$A,$B$191,FLOWS!$E:$E,$K197,FLOWS!$D:$D,M$195,FLOWS!$H:$H,"&gt;="&amp;$C$193,FLOWS!$H:$H,"&lt;="&amp;$U$193)+SUM(SUMIFS(DEALS!$J:$J,DEALS!$A:$A,{"*REFUND*","*EXECUTED*"},DEALS!$G:$G,$B$191,DEALS!$E:$E,"&gt;="&amp;$C$193,DEALS!$E:$E,"&lt;="&amp;$U$193,DEALS!$K:$K,M$195,DEALS!$M:$M,$K197,DEALS!$N:$N,"&lt;&gt;*RECEIVED*",DEALS!$N:$N,"&lt;&gt;*EXECUTED*"))+SUM(SUMIFS(DEALS!$R:$R,DEALS!$A:$A,{"*REFUND*","*EXECUTED*"},DEALS!$O:$O,$B$191,DEALS!$E:$E,"&gt;="&amp;$C$193,DEALS!$E:$E,"&lt;="&amp;$U$193,DEALS!$S:$S,M$195,DEALS!$U:$U,$K197,DEALS!$V:$V,"&lt;&gt;*RECEIVED*",DEALS!$V:$V,"&lt;&gt;*EXECUTED*"))</f>
        <v>0</v>
      </c>
      <c r="N197" s="32" cm="1">
        <f t="array" ref="N197">SUMIFS(FLOWS!$C:$C,FLOWS!$A:$A,$B$191,FLOWS!$E:$E,$K197,FLOWS!$D:$D,N$195,FLOWS!$H:$H,"&gt;="&amp;$C$193,FLOWS!$H:$H,"&lt;="&amp;$U$193)+SUM(SUMIFS(DEALS!$J:$J,DEALS!$A:$A,{"*REFUND*","*EXECUTED*"},DEALS!$G:$G,$B$191,DEALS!$E:$E,"&gt;="&amp;$C$193,DEALS!$E:$E,"&lt;="&amp;$U$193,DEALS!$K:$K,N$195,DEALS!$M:$M,$K197,DEALS!$N:$N,"&lt;&gt;*RECEIVED*",DEALS!$N:$N,"&lt;&gt;*EXECUTED*"))+SUM(SUMIFS(DEALS!$R:$R,DEALS!$A:$A,{"*REFUND*","*EXECUTED*"},DEALS!$O:$O,$B$191,DEALS!$E:$E,"&gt;="&amp;$C$193,DEALS!$E:$E,"&lt;="&amp;$U$193,DEALS!$S:$S,N$195,DEALS!$U:$U,$K197,DEALS!$V:$V,"&lt;&gt;*RECEIVED*",DEALS!$V:$V,"&lt;&gt;*EXECUTED*"))</f>
        <v>0</v>
      </c>
      <c r="O197" s="32" cm="1">
        <f t="array" ref="O197">SUMIFS(FLOWS!$C:$C,FLOWS!$A:$A,$B$191,FLOWS!$E:$E,$K197,FLOWS!$D:$D,O$195,FLOWS!$H:$H,"&gt;="&amp;$C$193,FLOWS!$H:$H,"&lt;="&amp;$U$193)+SUM(SUMIFS(DEALS!$J:$J,DEALS!$A:$A,{"*REFUND*","*EXECUTED*"},DEALS!$G:$G,$B$191,DEALS!$E:$E,"&gt;="&amp;$C$193,DEALS!$E:$E,"&lt;="&amp;$U$193,DEALS!$K:$K,O$195,DEALS!$M:$M,$K197,DEALS!$N:$N,"&lt;&gt;*RECEIVED*",DEALS!$N:$N,"&lt;&gt;*EXECUTED*"))+SUM(SUMIFS(DEALS!$R:$R,DEALS!$A:$A,{"*REFUND*","*EXECUTED*"},DEALS!$O:$O,$B$191,DEALS!$E:$E,"&gt;="&amp;$C$193,DEALS!$E:$E,"&lt;="&amp;$U$193,DEALS!$S:$S,O$195,DEALS!$U:$U,$K197,DEALS!$V:$V,"&lt;&gt;*RECEIVED*",DEALS!$V:$V,"&lt;&gt;*EXECUTED*"))</f>
        <v>0</v>
      </c>
      <c r="P197" s="32" cm="1">
        <f t="array" ref="P197">SUMIFS(FLOWS!$C:$C,FLOWS!$A:$A,$B$191,FLOWS!$E:$E,$K197,FLOWS!$D:$D,P$195,FLOWS!$H:$H,"&gt;="&amp;$C$193,FLOWS!$H:$H,"&lt;="&amp;$U$193)+SUM(SUMIFS(DEALS!$J:$J,DEALS!$A:$A,{"*REFUND*","*EXECUTED*"},DEALS!$G:$G,$B$191,DEALS!$E:$E,"&gt;="&amp;$C$193,DEALS!$E:$E,"&lt;="&amp;$U$193,DEALS!$K:$K,P$195,DEALS!$M:$M,$K197,DEALS!$N:$N,"&lt;&gt;*RECEIVED*",DEALS!$N:$N,"&lt;&gt;*EXECUTED*"))+SUM(SUMIFS(DEALS!$R:$R,DEALS!$A:$A,{"*REFUND*","*EXECUTED*"},DEALS!$O:$O,$B$191,DEALS!$E:$E,"&gt;="&amp;$C$193,DEALS!$E:$E,"&lt;="&amp;$U$193,DEALS!$S:$S,P$195,DEALS!$U:$U,$K197,DEALS!$V:$V,"&lt;&gt;*RECEIVED*",DEALS!$V:$V,"&lt;&gt;*EXECUTED*"))</f>
        <v>0</v>
      </c>
      <c r="Q197" s="32" cm="1">
        <f t="array" ref="Q197">SUMIFS(FLOWS!$C:$C,FLOWS!$A:$A,$B$191,FLOWS!$E:$E,$K197,FLOWS!$D:$D,Q$195,FLOWS!$H:$H,"&gt;="&amp;$C$193,FLOWS!$H:$H,"&lt;="&amp;$U$193)+SUM(SUMIFS(DEALS!$J:$J,DEALS!$A:$A,{"*REFUND*","*EXECUTED*"},DEALS!$G:$G,$B$191,DEALS!$E:$E,"&gt;="&amp;$C$193,DEALS!$E:$E,"&lt;="&amp;$U$193,DEALS!$K:$K,Q$195,DEALS!$M:$M,$K197,DEALS!$N:$N,"&lt;&gt;*RECEIVED*",DEALS!$N:$N,"&lt;&gt;*EXECUTED*"))+SUM(SUMIFS(DEALS!$R:$R,DEALS!$A:$A,{"*REFUND*","*EXECUTED*"},DEALS!$O:$O,$B$191,DEALS!$E:$E,"&gt;="&amp;$C$193,DEALS!$E:$E,"&lt;="&amp;$U$193,DEALS!$S:$S,Q$195,DEALS!$U:$U,$K197,DEALS!$V:$V,"&lt;&gt;*RECEIVED*",DEALS!$V:$V,"&lt;&gt;*EXECUTED*"))</f>
        <v>0</v>
      </c>
      <c r="R197" s="33">
        <f ca="1">L197*VLOOKUP(L$195,'FX RATES'!$E$1:$F$50,2,FALSE)+M197*VLOOKUP(M$195,'FX RATES'!$E$1:$F$50,2,FALSE)+N197*VLOOKUP(N$195,'FX RATES'!$E$1:$F$50,2,FALSE)+O197*VLOOKUP(O$195,'FX RATES'!$E$1:$F$50,2,FALSE)+P197*VLOOKUP(P$195,'FX RATES'!$E$1:$F$50,2,FALSE)+Q197*VLOOKUP(Q$195,'FX RATES'!$E$1:$F$50,2,FALSE)</f>
        <v>0</v>
      </c>
      <c r="T197" s="31" t="str">
        <f t="shared" si="68"/>
        <v>DIB</v>
      </c>
      <c r="U197" s="32" cm="1">
        <f t="array" ref="U197">SUMIFS(BALANCES!$C:$C,BALANCES!$A:$A,$B$191,BALANCES!$B:$B,$T197,BALANCES!$D:$D,U$195)+SUMIFS(FLOWS!$C:$C,FLOWS!$A:$A,$B$191,FLOWS!$E:$E,$T197,FLOWS!$D:$D,U$195,FLOWS!$H:$H,"&lt;="&amp;$U$193)+SUM(SUMIFS(DEALS!$J:$J,DEALS!$A:$A,{"*REFUND*","*EXECUTED*"},DEALS!$G:$G,$B$191,DEALS!$E:$E,"&lt;="&amp;$U$193,DEALS!$K:$K,U$195,DEALS!$M:$M,$T197,DEALS!$N:$N,"&lt;&gt;*RECEIVED*",DEALS!$N:$N,"&lt;&gt;*EXECUTED*"))+SUM(SUMIFS(DEALS!$R:$R,DEALS!$A:$A,{"*REFUND*","*EXECUTED*"},DEALS!$O:$O,$B$191,DEALS!$E:$E,"&lt;="&amp;$U$193,DEALS!$S:$S,U$195,DEALS!$U:$U,$T197,DEALS!$V:$V,"&lt;&gt;*RECEIVED*",DEALS!$V:$V,"&lt;&gt;*EXECUTED*"))</f>
        <v>0</v>
      </c>
      <c r="V197" s="32" cm="1">
        <f t="array" ref="V197">SUMIFS(BALANCES!$C:$C,BALANCES!$A:$A,$B$191,BALANCES!$B:$B,$T197,BALANCES!$D:$D,V$195)+SUMIFS(FLOWS!$C:$C,FLOWS!$A:$A,$B$191,FLOWS!$E:$E,$T197,FLOWS!$D:$D,V$195,FLOWS!$H:$H,"&lt;="&amp;$U$193)+SUM(SUMIFS(DEALS!$J:$J,DEALS!$A:$A,{"*REFUND*","*EXECUTED*"},DEALS!$G:$G,$B$191,DEALS!$E:$E,"&lt;="&amp;$U$193,DEALS!$K:$K,V$195,DEALS!$M:$M,$T197,DEALS!$N:$N,"&lt;&gt;*RECEIVED*",DEALS!$N:$N,"&lt;&gt;*EXECUTED*"))+SUM(SUMIFS(DEALS!$R:$R,DEALS!$A:$A,{"*REFUND*","*EXECUTED*"},DEALS!$O:$O,$B$191,DEALS!$E:$E,"&lt;="&amp;$U$193,DEALS!$S:$S,V$195,DEALS!$U:$U,$T197,DEALS!$V:$V,"&lt;&gt;*RECEIVED*",DEALS!$V:$V,"&lt;&gt;*EXECUTED*"))</f>
        <v>0</v>
      </c>
      <c r="W197" s="32" cm="1">
        <f t="array" ref="W197">SUMIFS(BALANCES!$C:$C,BALANCES!$A:$A,$B$191,BALANCES!$B:$B,$T197,BALANCES!$D:$D,W$195)+SUMIFS(FLOWS!$C:$C,FLOWS!$A:$A,$B$191,FLOWS!$E:$E,$T197,FLOWS!$D:$D,W$195,FLOWS!$H:$H,"&lt;="&amp;$U$193)+SUM(SUMIFS(DEALS!$J:$J,DEALS!$A:$A,{"*REFUND*","*EXECUTED*"},DEALS!$G:$G,$B$191,DEALS!$E:$E,"&lt;="&amp;$U$193,DEALS!$K:$K,W$195,DEALS!$M:$M,$T197,DEALS!$N:$N,"&lt;&gt;*RECEIVED*",DEALS!$N:$N,"&lt;&gt;*EXECUTED*"))+SUM(SUMIFS(DEALS!$R:$R,DEALS!$A:$A,{"*REFUND*","*EXECUTED*"},DEALS!$O:$O,$B$191,DEALS!$E:$E,"&lt;="&amp;$U$193,DEALS!$S:$S,W$195,DEALS!$U:$U,$T197,DEALS!$V:$V,"&lt;&gt;*RECEIVED*",DEALS!$V:$V,"&lt;&gt;*EXECUTED*"))</f>
        <v>0</v>
      </c>
      <c r="X197" s="32" cm="1">
        <f t="array" ref="X197">SUMIFS(BALANCES!$C:$C,BALANCES!$A:$A,$B$191,BALANCES!$B:$B,$T197,BALANCES!$D:$D,X$195)+SUMIFS(FLOWS!$C:$C,FLOWS!$A:$A,$B$191,FLOWS!$E:$E,$T197,FLOWS!$D:$D,X$195,FLOWS!$H:$H,"&lt;="&amp;$U$193)+SUM(SUMIFS(DEALS!$J:$J,DEALS!$A:$A,{"*REFUND*","*EXECUTED*"},DEALS!$G:$G,$B$191,DEALS!$E:$E,"&lt;="&amp;$U$193,DEALS!$K:$K,X$195,DEALS!$M:$M,$T197,DEALS!$N:$N,"&lt;&gt;*RECEIVED*",DEALS!$N:$N,"&lt;&gt;*EXECUTED*"))+SUM(SUMIFS(DEALS!$R:$R,DEALS!$A:$A,{"*REFUND*","*EXECUTED*"},DEALS!$O:$O,$B$191,DEALS!$E:$E,"&lt;="&amp;$U$193,DEALS!$S:$S,X$195,DEALS!$U:$U,$T197,DEALS!$V:$V,"&lt;&gt;*RECEIVED*",DEALS!$V:$V,"&lt;&gt;*EXECUTED*"))</f>
        <v>900</v>
      </c>
      <c r="Y197" s="32" cm="1">
        <f t="array" ref="Y197">SUMIFS(BALANCES!$C:$C,BALANCES!$A:$A,$B$191,BALANCES!$B:$B,$T197,BALANCES!$D:$D,Y$195)+SUMIFS(FLOWS!$C:$C,FLOWS!$A:$A,$B$191,FLOWS!$E:$E,$T197,FLOWS!$D:$D,Y$195,FLOWS!$H:$H,"&lt;="&amp;$U$193)+SUM(SUMIFS(DEALS!$J:$J,DEALS!$A:$A,{"*REFUND*","*EXECUTED*"},DEALS!$G:$G,$B$191,DEALS!$E:$E,"&lt;="&amp;$U$193,DEALS!$K:$K,Y$195,DEALS!$M:$M,$T197,DEALS!$N:$N,"&lt;&gt;*RECEIVED*",DEALS!$N:$N,"&lt;&gt;*EXECUTED*"))+SUM(SUMIFS(DEALS!$R:$R,DEALS!$A:$A,{"*REFUND*","*EXECUTED*"},DEALS!$O:$O,$B$191,DEALS!$E:$E,"&lt;="&amp;$U$193,DEALS!$S:$S,Y$195,DEALS!$U:$U,$T197,DEALS!$V:$V,"&lt;&gt;*RECEIVED*",DEALS!$V:$V,"&lt;&gt;*EXECUTED*"))</f>
        <v>0</v>
      </c>
      <c r="Z197" s="32" cm="1">
        <f t="array" ref="Z197">SUMIFS(BALANCES!$C:$C,BALANCES!$A:$A,$B$191,BALANCES!$B:$B,$T197,BALANCES!$D:$D,Z$195)+SUMIFS(FLOWS!$C:$C,FLOWS!$A:$A,$B$191,FLOWS!$E:$E,$T197,FLOWS!$D:$D,Z$195,FLOWS!$H:$H,"&lt;="&amp;$U$193)+SUM(SUMIFS(DEALS!$J:$J,DEALS!$A:$A,{"*REFUND*","*EXECUTED*"},DEALS!$G:$G,$B$191,DEALS!$E:$E,"&lt;="&amp;$U$193,DEALS!$K:$K,Z$195,DEALS!$M:$M,$T197,DEALS!$N:$N,"&lt;&gt;*RECEIVED*",DEALS!$N:$N,"&lt;&gt;*EXECUTED*"))+SUM(SUMIFS(DEALS!$R:$R,DEALS!$A:$A,{"*REFUND*","*EXECUTED*"},DEALS!$O:$O,$B$191,DEALS!$E:$E,"&lt;="&amp;$U$193,DEALS!$S:$S,Z$195,DEALS!$U:$U,$T197,DEALS!$V:$V,"&lt;&gt;*RECEIVED*",DEALS!$V:$V,"&lt;&gt;*EXECUTED*"))</f>
        <v>0</v>
      </c>
      <c r="AA197" s="33">
        <f ca="1">U197*VLOOKUP(U$195,'FX RATES'!$E$1:$F$50,2,FALSE)+V197*VLOOKUP(V$195,'FX RATES'!$E$1:$F$50,2,FALSE)+W197*VLOOKUP(W$195,'FX RATES'!$E$1:$F$50,2,FALSE)+X197*VLOOKUP(X$195,'FX RATES'!$E$1:$F$50,2,FALSE)+Y197*VLOOKUP(Y$195,'FX RATES'!$E$1:$F$50,2,FALSE)+Z197*VLOOKUP(Z$195,'FX RATES'!$E$1:$F$50,2,FALSE)</f>
        <v>245.05799705930403</v>
      </c>
      <c r="AC197" s="139">
        <f t="shared" ca="1" si="69"/>
        <v>0</v>
      </c>
    </row>
    <row r="198" spans="2:29" ht="18.75" customHeight="1" thickBot="1">
      <c r="B198" s="28" t="s">
        <v>14</v>
      </c>
      <c r="C198" s="29" cm="1">
        <f t="array" ref="C198">SUMIFS(BALANCES!$C:$C,BALANCES!$A:$A,$B$191,BALANCES!$B:$B,$B198,BALANCES!$D:$D,C$195)+SUMIFS(FLOWS!$C:$C,FLOWS!$A:$A,$B$191,FLOWS!$E:$E,$B198,FLOWS!$D:$D,C$195,FLOWS!$H:$H,"&lt;"&amp;$C$193)+SUM(SUMIFS(DEALS!$J:$J,DEALS!$A:$A,{"*REFUND*","*EXECUTED*"},DEALS!$G:$G,$B$191,DEALS!$E:$E,"&lt;"&amp;$C$193,DEALS!$K:$K,C$195,DEALS!$M:$M,$B198,DEALS!$N:$N,"&lt;&gt;*RECEIVED*",DEALS!$N:$N,"&lt;&gt;*EXECUTED*"))+SUM(SUMIFS(DEALS!$R:$R,DEALS!$A:$A,{"*REFUND*","*EXECUTED*"},DEALS!$O:$O,$B$191,DEALS!$E:$E,"&lt;"&amp;$C$193,DEALS!$S:$S,C$195,DEALS!$U:$U,$B198,DEALS!$V:$V,"&lt;&gt;*RECEIVED*",DEALS!$V:$V,"&lt;&gt;*EXECUTED*"))</f>
        <v>0</v>
      </c>
      <c r="D198" s="29" cm="1">
        <f t="array" ref="D198">SUMIFS(BALANCES!$C:$C,BALANCES!$A:$A,$B$191,BALANCES!$B:$B,$B198,BALANCES!$D:$D,D$195)+SUMIFS(FLOWS!$C:$C,FLOWS!$A:$A,$B$191,FLOWS!$E:$E,$B198,FLOWS!$D:$D,D$195,FLOWS!$H:$H,"&lt;"&amp;$C$193)+SUM(SUMIFS(DEALS!$J:$J,DEALS!$A:$A,{"*REFUND*","*EXECUTED*"},DEALS!$G:$G,$B$191,DEALS!$E:$E,"&lt;"&amp;$C$193,DEALS!$K:$K,D$195,DEALS!$M:$M,$B198,DEALS!$N:$N,"&lt;&gt;*RECEIVED*",DEALS!$N:$N,"&lt;&gt;*EXECUTED*"))+SUM(SUMIFS(DEALS!$R:$R,DEALS!$A:$A,{"*REFUND*","*EXECUTED*"},DEALS!$O:$O,$B$191,DEALS!$E:$E,"&lt;"&amp;$C$193,DEALS!$S:$S,D$195,DEALS!$U:$U,$B198,DEALS!$V:$V,"&lt;&gt;*RECEIVED*",DEALS!$V:$V,"&lt;&gt;*EXECUTED*"))</f>
        <v>0</v>
      </c>
      <c r="E198" s="29" cm="1">
        <f t="array" ref="E198">SUMIFS(BALANCES!$C:$C,BALANCES!$A:$A,$B$191,BALANCES!$B:$B,$B198,BALANCES!$D:$D,E$195)+SUMIFS(FLOWS!$C:$C,FLOWS!$A:$A,$B$191,FLOWS!$E:$E,$B198,FLOWS!$D:$D,E$195,FLOWS!$H:$H,"&lt;"&amp;$C$193)+SUM(SUMIFS(DEALS!$J:$J,DEALS!$A:$A,{"*REFUND*","*EXECUTED*"},DEALS!$G:$G,$B$191,DEALS!$E:$E,"&lt;"&amp;$C$193,DEALS!$K:$K,E$195,DEALS!$M:$M,$B198,DEALS!$N:$N,"&lt;&gt;*RECEIVED*",DEALS!$N:$N,"&lt;&gt;*EXECUTED*"))+SUM(SUMIFS(DEALS!$R:$R,DEALS!$A:$A,{"*REFUND*","*EXECUTED*"},DEALS!$O:$O,$B$191,DEALS!$E:$E,"&lt;"&amp;$C$193,DEALS!$S:$S,E$195,DEALS!$U:$U,$B198,DEALS!$V:$V,"&lt;&gt;*RECEIVED*",DEALS!$V:$V,"&lt;&gt;*EXECUTED*"))</f>
        <v>0</v>
      </c>
      <c r="F198" s="29" cm="1">
        <f t="array" ref="F198">SUMIFS(BALANCES!$C:$C,BALANCES!$A:$A,$B$191,BALANCES!$B:$B,$B198,BALANCES!$D:$D,F$195)+SUMIFS(FLOWS!$C:$C,FLOWS!$A:$A,$B$191,FLOWS!$E:$E,$B198,FLOWS!$D:$D,F$195,FLOWS!$H:$H,"&lt;"&amp;$C$193)+SUM(SUMIFS(DEALS!$J:$J,DEALS!$A:$A,{"*REFUND*","*EXECUTED*"},DEALS!$G:$G,$B$191,DEALS!$E:$E,"&lt;"&amp;$C$193,DEALS!$K:$K,F$195,DEALS!$M:$M,$B198,DEALS!$N:$N,"&lt;&gt;*RECEIVED*",DEALS!$N:$N,"&lt;&gt;*EXECUTED*"))+SUM(SUMIFS(DEALS!$R:$R,DEALS!$A:$A,{"*REFUND*","*EXECUTED*"},DEALS!$O:$O,$B$191,DEALS!$E:$E,"&lt;"&amp;$C$193,DEALS!$S:$S,F$195,DEALS!$U:$U,$B198,DEALS!$V:$V,"&lt;&gt;*RECEIVED*",DEALS!$V:$V,"&lt;&gt;*EXECUTED*"))</f>
        <v>24829.66</v>
      </c>
      <c r="G198" s="29" cm="1">
        <f t="array" ref="G198">SUMIFS(BALANCES!$C:$C,BALANCES!$A:$A,$B$191,BALANCES!$B:$B,$B198,BALANCES!$D:$D,G$195)+SUMIFS(FLOWS!$C:$C,FLOWS!$A:$A,$B$191,FLOWS!$E:$E,$B198,FLOWS!$D:$D,G$195,FLOWS!$H:$H,"&lt;"&amp;$C$193)+SUM(SUMIFS(DEALS!$J:$J,DEALS!$A:$A,{"*REFUND*","*EXECUTED*"},DEALS!$G:$G,$B$191,DEALS!$E:$E,"&lt;"&amp;$C$193,DEALS!$K:$K,G$195,DEALS!$M:$M,$B198,DEALS!$N:$N,"&lt;&gt;*RECEIVED*",DEALS!$N:$N,"&lt;&gt;*EXECUTED*"))+SUM(SUMIFS(DEALS!$R:$R,DEALS!$A:$A,{"*REFUND*","*EXECUTED*"},DEALS!$O:$O,$B$191,DEALS!$E:$E,"&lt;"&amp;$C$193,DEALS!$S:$S,G$195,DEALS!$U:$U,$B198,DEALS!$V:$V,"&lt;&gt;*RECEIVED*",DEALS!$V:$V,"&lt;&gt;*EXECUTED*"))</f>
        <v>0</v>
      </c>
      <c r="H198" s="29" cm="1">
        <f t="array" ref="H198">SUMIFS(BALANCES!$C:$C,BALANCES!$A:$A,$B$191,BALANCES!$B:$B,$B198,BALANCES!$D:$D,H$195)+SUMIFS(FLOWS!$C:$C,FLOWS!$A:$A,$B$191,FLOWS!$E:$E,$B198,FLOWS!$D:$D,H$195,FLOWS!$H:$H,"&lt;"&amp;$C$193)+SUM(SUMIFS(DEALS!$J:$J,DEALS!$A:$A,{"*REFUND*","*EXECUTED*"},DEALS!$G:$G,$B$191,DEALS!$E:$E,"&lt;"&amp;$C$193,DEALS!$K:$K,H$195,DEALS!$M:$M,$B198,DEALS!$N:$N,"&lt;&gt;*RECEIVED*",DEALS!$N:$N,"&lt;&gt;*EXECUTED*"))+SUM(SUMIFS(DEALS!$R:$R,DEALS!$A:$A,{"*REFUND*","*EXECUTED*"},DEALS!$O:$O,$B$191,DEALS!$E:$E,"&lt;"&amp;$C$193,DEALS!$S:$S,H$195,DEALS!$U:$U,$B198,DEALS!$V:$V,"&lt;&gt;*RECEIVED*",DEALS!$V:$V,"&lt;&gt;*EXECUTED*"))</f>
        <v>0</v>
      </c>
      <c r="I198" s="30">
        <f ca="1">C198*VLOOKUP(C$195,'FX RATES'!$E$1:$F$50,2,FALSE)+D198*VLOOKUP(D$195,'FX RATES'!$E$1:$F$50,2,FALSE)+E198*VLOOKUP(E$195,'FX RATES'!$E$1:$F$50,2,FALSE)+F198*VLOOKUP(F$195,'FX RATES'!$E$1:$F$50,2,FALSE)+G198*VLOOKUP(G$195,'FX RATES'!$E$1:$F$50,2,FALSE)+H198*VLOOKUP(H$195,'FX RATES'!$E$1:$F$50,2,FALSE)</f>
        <v>6760.7852747372426</v>
      </c>
      <c r="K198" s="28" t="str">
        <f t="shared" si="67"/>
        <v>CBD</v>
      </c>
      <c r="L198" s="29" cm="1">
        <f t="array" ref="L198">SUMIFS(FLOWS!$C:$C,FLOWS!$A:$A,$B$191,FLOWS!$E:$E,$K198,FLOWS!$D:$D,L$195,FLOWS!$H:$H,"&gt;="&amp;$C$193,FLOWS!$H:$H,"&lt;="&amp;$U$193)+SUM(SUMIFS(DEALS!$J:$J,DEALS!$A:$A,{"*REFUND*","*EXECUTED*"},DEALS!$G:$G,$B$191,DEALS!$E:$E,"&gt;="&amp;$C$193,DEALS!$E:$E,"&lt;="&amp;$U$193,DEALS!$K:$K,L$195,DEALS!$M:$M,$K198,DEALS!$N:$N,"&lt;&gt;*RECEIVED*",DEALS!$N:$N,"&lt;&gt;*EXECUTED*"))+SUM(SUMIFS(DEALS!$R:$R,DEALS!$A:$A,{"*REFUND*","*EXECUTED*"},DEALS!$O:$O,$B$191,DEALS!$E:$E,"&gt;="&amp;$C$193,DEALS!$E:$E,"&lt;="&amp;$U$193,DEALS!$S:$S,L$195,DEALS!$U:$U,$K198,DEALS!$V:$V,"&lt;&gt;*RECEIVED*",DEALS!$V:$V,"&lt;&gt;*EXECUTED*"))</f>
        <v>0</v>
      </c>
      <c r="M198" s="29" cm="1">
        <f t="array" ref="M198">SUMIFS(FLOWS!$C:$C,FLOWS!$A:$A,$B$191,FLOWS!$E:$E,$K198,FLOWS!$D:$D,M$195,FLOWS!$H:$H,"&gt;="&amp;$C$193,FLOWS!$H:$H,"&lt;="&amp;$U$193)+SUM(SUMIFS(DEALS!$J:$J,DEALS!$A:$A,{"*REFUND*","*EXECUTED*"},DEALS!$G:$G,$B$191,DEALS!$E:$E,"&gt;="&amp;$C$193,DEALS!$E:$E,"&lt;="&amp;$U$193,DEALS!$K:$K,M$195,DEALS!$M:$M,$K198,DEALS!$N:$N,"&lt;&gt;*RECEIVED*",DEALS!$N:$N,"&lt;&gt;*EXECUTED*"))+SUM(SUMIFS(DEALS!$R:$R,DEALS!$A:$A,{"*REFUND*","*EXECUTED*"},DEALS!$O:$O,$B$191,DEALS!$E:$E,"&gt;="&amp;$C$193,DEALS!$E:$E,"&lt;="&amp;$U$193,DEALS!$S:$S,M$195,DEALS!$U:$U,$K198,DEALS!$V:$V,"&lt;&gt;*RECEIVED*",DEALS!$V:$V,"&lt;&gt;*EXECUTED*"))</f>
        <v>0</v>
      </c>
      <c r="N198" s="29" cm="1">
        <f t="array" ref="N198">SUMIFS(FLOWS!$C:$C,FLOWS!$A:$A,$B$191,FLOWS!$E:$E,$K198,FLOWS!$D:$D,N$195,FLOWS!$H:$H,"&gt;="&amp;$C$193,FLOWS!$H:$H,"&lt;="&amp;$U$193)+SUM(SUMIFS(DEALS!$J:$J,DEALS!$A:$A,{"*REFUND*","*EXECUTED*"},DEALS!$G:$G,$B$191,DEALS!$E:$E,"&gt;="&amp;$C$193,DEALS!$E:$E,"&lt;="&amp;$U$193,DEALS!$K:$K,N$195,DEALS!$M:$M,$K198,DEALS!$N:$N,"&lt;&gt;*RECEIVED*",DEALS!$N:$N,"&lt;&gt;*EXECUTED*"))+SUM(SUMIFS(DEALS!$R:$R,DEALS!$A:$A,{"*REFUND*","*EXECUTED*"},DEALS!$O:$O,$B$191,DEALS!$E:$E,"&gt;="&amp;$C$193,DEALS!$E:$E,"&lt;="&amp;$U$193,DEALS!$S:$S,N$195,DEALS!$U:$U,$K198,DEALS!$V:$V,"&lt;&gt;*RECEIVED*",DEALS!$V:$V,"&lt;&gt;*EXECUTED*"))</f>
        <v>0</v>
      </c>
      <c r="O198" s="29" cm="1">
        <f t="array" ref="O198">SUMIFS(FLOWS!$C:$C,FLOWS!$A:$A,$B$191,FLOWS!$E:$E,$K198,FLOWS!$D:$D,O$195,FLOWS!$H:$H,"&gt;="&amp;$C$193,FLOWS!$H:$H,"&lt;="&amp;$U$193)+SUM(SUMIFS(DEALS!$J:$J,DEALS!$A:$A,{"*REFUND*","*EXECUTED*"},DEALS!$G:$G,$B$191,DEALS!$E:$E,"&gt;="&amp;$C$193,DEALS!$E:$E,"&lt;="&amp;$U$193,DEALS!$K:$K,O$195,DEALS!$M:$M,$K198,DEALS!$N:$N,"&lt;&gt;*RECEIVED*",DEALS!$N:$N,"&lt;&gt;*EXECUTED*"))+SUM(SUMIFS(DEALS!$R:$R,DEALS!$A:$A,{"*REFUND*","*EXECUTED*"},DEALS!$O:$O,$B$191,DEALS!$E:$E,"&gt;="&amp;$C$193,DEALS!$E:$E,"&lt;="&amp;$U$193,DEALS!$S:$S,O$195,DEALS!$U:$U,$K198,DEALS!$V:$V,"&lt;&gt;*RECEIVED*",DEALS!$V:$V,"&lt;&gt;*EXECUTED*"))</f>
        <v>0</v>
      </c>
      <c r="P198" s="29" cm="1">
        <f t="array" ref="P198">SUMIFS(FLOWS!$C:$C,FLOWS!$A:$A,$B$191,FLOWS!$E:$E,$K198,FLOWS!$D:$D,P$195,FLOWS!$H:$H,"&gt;="&amp;$C$193,FLOWS!$H:$H,"&lt;="&amp;$U$193)+SUM(SUMIFS(DEALS!$J:$J,DEALS!$A:$A,{"*REFUND*","*EXECUTED*"},DEALS!$G:$G,$B$191,DEALS!$E:$E,"&gt;="&amp;$C$193,DEALS!$E:$E,"&lt;="&amp;$U$193,DEALS!$K:$K,P$195,DEALS!$M:$M,$K198,DEALS!$N:$N,"&lt;&gt;*RECEIVED*",DEALS!$N:$N,"&lt;&gt;*EXECUTED*"))+SUM(SUMIFS(DEALS!$R:$R,DEALS!$A:$A,{"*REFUND*","*EXECUTED*"},DEALS!$O:$O,$B$191,DEALS!$E:$E,"&gt;="&amp;$C$193,DEALS!$E:$E,"&lt;="&amp;$U$193,DEALS!$S:$S,P$195,DEALS!$U:$U,$K198,DEALS!$V:$V,"&lt;&gt;*RECEIVED*",DEALS!$V:$V,"&lt;&gt;*EXECUTED*"))</f>
        <v>0</v>
      </c>
      <c r="Q198" s="29" cm="1">
        <f t="array" ref="Q198">SUMIFS(FLOWS!$C:$C,FLOWS!$A:$A,$B$191,FLOWS!$E:$E,$K198,FLOWS!$D:$D,Q$195,FLOWS!$H:$H,"&gt;="&amp;$C$193,FLOWS!$H:$H,"&lt;="&amp;$U$193)+SUM(SUMIFS(DEALS!$J:$J,DEALS!$A:$A,{"*REFUND*","*EXECUTED*"},DEALS!$G:$G,$B$191,DEALS!$E:$E,"&gt;="&amp;$C$193,DEALS!$E:$E,"&lt;="&amp;$U$193,DEALS!$K:$K,Q$195,DEALS!$M:$M,$K198,DEALS!$N:$N,"&lt;&gt;*RECEIVED*",DEALS!$N:$N,"&lt;&gt;*EXECUTED*"))+SUM(SUMIFS(DEALS!$R:$R,DEALS!$A:$A,{"*REFUND*","*EXECUTED*"},DEALS!$O:$O,$B$191,DEALS!$E:$E,"&gt;="&amp;$C$193,DEALS!$E:$E,"&lt;="&amp;$U$193,DEALS!$S:$S,Q$195,DEALS!$U:$U,$K198,DEALS!$V:$V,"&lt;&gt;*RECEIVED*",DEALS!$V:$V,"&lt;&gt;*EXECUTED*"))</f>
        <v>0</v>
      </c>
      <c r="R198" s="30">
        <f ca="1">L198*VLOOKUP(L$195,'FX RATES'!$E$1:$F$50,2,FALSE)+M198*VLOOKUP(M$195,'FX RATES'!$E$1:$F$50,2,FALSE)+N198*VLOOKUP(N$195,'FX RATES'!$E$1:$F$50,2,FALSE)+O198*VLOOKUP(O$195,'FX RATES'!$E$1:$F$50,2,FALSE)+P198*VLOOKUP(P$195,'FX RATES'!$E$1:$F$50,2,FALSE)+Q198*VLOOKUP(Q$195,'FX RATES'!$E$1:$F$50,2,FALSE)</f>
        <v>0</v>
      </c>
      <c r="T198" s="28" t="str">
        <f t="shared" si="68"/>
        <v>CBD</v>
      </c>
      <c r="U198" s="29" cm="1">
        <f t="array" ref="U198">SUMIFS(BALANCES!$C:$C,BALANCES!$A:$A,$B$191,BALANCES!$B:$B,$T198,BALANCES!$D:$D,U$195)+SUMIFS(FLOWS!$C:$C,FLOWS!$A:$A,$B$191,FLOWS!$E:$E,$T198,FLOWS!$D:$D,U$195,FLOWS!$H:$H,"&lt;="&amp;$U$193)+SUM(SUMIFS(DEALS!$J:$J,DEALS!$A:$A,{"*REFUND*","*EXECUTED*"},DEALS!$G:$G,$B$191,DEALS!$E:$E,"&lt;="&amp;$U$193,DEALS!$K:$K,U$195,DEALS!$M:$M,$T198,DEALS!$N:$N,"&lt;&gt;*RECEIVED*",DEALS!$N:$N,"&lt;&gt;*EXECUTED*"))+SUM(SUMIFS(DEALS!$R:$R,DEALS!$A:$A,{"*REFUND*","*EXECUTED*"},DEALS!$O:$O,$B$191,DEALS!$E:$E,"&lt;="&amp;$U$193,DEALS!$S:$S,U$195,DEALS!$U:$U,$T198,DEALS!$V:$V,"&lt;&gt;*RECEIVED*",DEALS!$V:$V,"&lt;&gt;*EXECUTED*"))</f>
        <v>0</v>
      </c>
      <c r="V198" s="29" cm="1">
        <f t="array" ref="V198">SUMIFS(BALANCES!$C:$C,BALANCES!$A:$A,$B$191,BALANCES!$B:$B,$T198,BALANCES!$D:$D,V$195)+SUMIFS(FLOWS!$C:$C,FLOWS!$A:$A,$B$191,FLOWS!$E:$E,$T198,FLOWS!$D:$D,V$195,FLOWS!$H:$H,"&lt;="&amp;$U$193)+SUM(SUMIFS(DEALS!$J:$J,DEALS!$A:$A,{"*REFUND*","*EXECUTED*"},DEALS!$G:$G,$B$191,DEALS!$E:$E,"&lt;="&amp;$U$193,DEALS!$K:$K,V$195,DEALS!$M:$M,$T198,DEALS!$N:$N,"&lt;&gt;*RECEIVED*",DEALS!$N:$N,"&lt;&gt;*EXECUTED*"))+SUM(SUMIFS(DEALS!$R:$R,DEALS!$A:$A,{"*REFUND*","*EXECUTED*"},DEALS!$O:$O,$B$191,DEALS!$E:$E,"&lt;="&amp;$U$193,DEALS!$S:$S,V$195,DEALS!$U:$U,$T198,DEALS!$V:$V,"&lt;&gt;*RECEIVED*",DEALS!$V:$V,"&lt;&gt;*EXECUTED*"))</f>
        <v>0</v>
      </c>
      <c r="W198" s="29" cm="1">
        <f t="array" ref="W198">SUMIFS(BALANCES!$C:$C,BALANCES!$A:$A,$B$191,BALANCES!$B:$B,$T198,BALANCES!$D:$D,W$195)+SUMIFS(FLOWS!$C:$C,FLOWS!$A:$A,$B$191,FLOWS!$E:$E,$T198,FLOWS!$D:$D,W$195,FLOWS!$H:$H,"&lt;="&amp;$U$193)+SUM(SUMIFS(DEALS!$J:$J,DEALS!$A:$A,{"*REFUND*","*EXECUTED*"},DEALS!$G:$G,$B$191,DEALS!$E:$E,"&lt;="&amp;$U$193,DEALS!$K:$K,W$195,DEALS!$M:$M,$T198,DEALS!$N:$N,"&lt;&gt;*RECEIVED*",DEALS!$N:$N,"&lt;&gt;*EXECUTED*"))+SUM(SUMIFS(DEALS!$R:$R,DEALS!$A:$A,{"*REFUND*","*EXECUTED*"},DEALS!$O:$O,$B$191,DEALS!$E:$E,"&lt;="&amp;$U$193,DEALS!$S:$S,W$195,DEALS!$U:$U,$T198,DEALS!$V:$V,"&lt;&gt;*RECEIVED*",DEALS!$V:$V,"&lt;&gt;*EXECUTED*"))</f>
        <v>0</v>
      </c>
      <c r="X198" s="29" cm="1">
        <f t="array" ref="X198">SUMIFS(BALANCES!$C:$C,BALANCES!$A:$A,$B$191,BALANCES!$B:$B,$T198,BALANCES!$D:$D,X$195)+SUMIFS(FLOWS!$C:$C,FLOWS!$A:$A,$B$191,FLOWS!$E:$E,$T198,FLOWS!$D:$D,X$195,FLOWS!$H:$H,"&lt;="&amp;$U$193)+SUM(SUMIFS(DEALS!$J:$J,DEALS!$A:$A,{"*REFUND*","*EXECUTED*"},DEALS!$G:$G,$B$191,DEALS!$E:$E,"&lt;="&amp;$U$193,DEALS!$K:$K,X$195,DEALS!$M:$M,$T198,DEALS!$N:$N,"&lt;&gt;*RECEIVED*",DEALS!$N:$N,"&lt;&gt;*EXECUTED*"))+SUM(SUMIFS(DEALS!$R:$R,DEALS!$A:$A,{"*REFUND*","*EXECUTED*"},DEALS!$O:$O,$B$191,DEALS!$E:$E,"&lt;="&amp;$U$193,DEALS!$S:$S,X$195,DEALS!$U:$U,$T198,DEALS!$V:$V,"&lt;&gt;*RECEIVED*",DEALS!$V:$V,"&lt;&gt;*EXECUTED*"))</f>
        <v>24829.66</v>
      </c>
      <c r="Y198" s="29" cm="1">
        <f t="array" ref="Y198">SUMIFS(BALANCES!$C:$C,BALANCES!$A:$A,$B$191,BALANCES!$B:$B,$T198,BALANCES!$D:$D,Y$195)+SUMIFS(FLOWS!$C:$C,FLOWS!$A:$A,$B$191,FLOWS!$E:$E,$T198,FLOWS!$D:$D,Y$195,FLOWS!$H:$H,"&lt;="&amp;$U$193)+SUM(SUMIFS(DEALS!$J:$J,DEALS!$A:$A,{"*REFUND*","*EXECUTED*"},DEALS!$G:$G,$B$191,DEALS!$E:$E,"&lt;="&amp;$U$193,DEALS!$K:$K,Y$195,DEALS!$M:$M,$T198,DEALS!$N:$N,"&lt;&gt;*RECEIVED*",DEALS!$N:$N,"&lt;&gt;*EXECUTED*"))+SUM(SUMIFS(DEALS!$R:$R,DEALS!$A:$A,{"*REFUND*","*EXECUTED*"},DEALS!$O:$O,$B$191,DEALS!$E:$E,"&lt;="&amp;$U$193,DEALS!$S:$S,Y$195,DEALS!$U:$U,$T198,DEALS!$V:$V,"&lt;&gt;*RECEIVED*",DEALS!$V:$V,"&lt;&gt;*EXECUTED*"))</f>
        <v>0</v>
      </c>
      <c r="Z198" s="29" cm="1">
        <f t="array" ref="Z198">SUMIFS(BALANCES!$C:$C,BALANCES!$A:$A,$B$191,BALANCES!$B:$B,$T198,BALANCES!$D:$D,Z$195)+SUMIFS(FLOWS!$C:$C,FLOWS!$A:$A,$B$191,FLOWS!$E:$E,$T198,FLOWS!$D:$D,Z$195,FLOWS!$H:$H,"&lt;="&amp;$U$193)+SUM(SUMIFS(DEALS!$J:$J,DEALS!$A:$A,{"*REFUND*","*EXECUTED*"},DEALS!$G:$G,$B$191,DEALS!$E:$E,"&lt;="&amp;$U$193,DEALS!$K:$K,Z$195,DEALS!$M:$M,$T198,DEALS!$N:$N,"&lt;&gt;*RECEIVED*",DEALS!$N:$N,"&lt;&gt;*EXECUTED*"))+SUM(SUMIFS(DEALS!$R:$R,DEALS!$A:$A,{"*REFUND*","*EXECUTED*"},DEALS!$O:$O,$B$191,DEALS!$E:$E,"&lt;="&amp;$U$193,DEALS!$S:$S,Z$195,DEALS!$U:$U,$T198,DEALS!$V:$V,"&lt;&gt;*RECEIVED*",DEALS!$V:$V,"&lt;&gt;*EXECUTED*"))</f>
        <v>0</v>
      </c>
      <c r="AA198" s="30">
        <f ca="1">U198*VLOOKUP(U$195,'FX RATES'!$E$1:$F$50,2,FALSE)+V198*VLOOKUP(V$195,'FX RATES'!$E$1:$F$50,2,FALSE)+W198*VLOOKUP(W$195,'FX RATES'!$E$1:$F$50,2,FALSE)+X198*VLOOKUP(X$195,'FX RATES'!$E$1:$F$50,2,FALSE)+Y198*VLOOKUP(Y$195,'FX RATES'!$E$1:$F$50,2,FALSE)+Z198*VLOOKUP(Z$195,'FX RATES'!$E$1:$F$50,2,FALSE)</f>
        <v>6760.7852747372426</v>
      </c>
      <c r="AC198" s="139">
        <f t="shared" ca="1" si="69"/>
        <v>0</v>
      </c>
    </row>
    <row r="199" spans="2:29" ht="18.75" hidden="1" customHeight="1">
      <c r="B199" s="31"/>
      <c r="C199" s="32" cm="1">
        <f t="array" ref="C199">SUMIFS(BALANCES!$C:$C,BALANCES!$A:$A,$B$191,BALANCES!$B:$B,$B199,BALANCES!$D:$D,C$195)+SUMIFS(FLOWS!$C:$C,FLOWS!$A:$A,$B$191,FLOWS!$E:$E,$B199,FLOWS!$D:$D,C$195,FLOWS!$H:$H,"&lt;"&amp;$C$193)+SUM(SUMIFS(DEALS!$J:$J,DEALS!$A:$A,{"*REFUND*","*EXECUTED*"},DEALS!$G:$G,$B$191,DEALS!$E:$E,"&lt;"&amp;$C$193,DEALS!$K:$K,C$195,DEALS!$M:$M,$B199,DEALS!$N:$N,"&lt;&gt;*RECEIVED*",DEALS!$N:$N,"&lt;&gt;*EXECUTED*"))+SUM(SUMIFS(DEALS!$R:$R,DEALS!$A:$A,{"*REFUND*","*EXECUTED*"},DEALS!$O:$O,$B$191,DEALS!$E:$E,"&lt;"&amp;$C$193,DEALS!$S:$S,C$195,DEALS!$U:$U,$B199,DEALS!$V:$V,"&lt;&gt;*RECEIVED*",DEALS!$V:$V,"&lt;&gt;*EXECUTED*"))</f>
        <v>0</v>
      </c>
      <c r="D199" s="32" cm="1">
        <f t="array" ref="D199">SUMIFS(BALANCES!$C:$C,BALANCES!$A:$A,$B$191,BALANCES!$B:$B,$B199,BALANCES!$D:$D,D$195)+SUMIFS(FLOWS!$C:$C,FLOWS!$A:$A,$B$191,FLOWS!$E:$E,$B199,FLOWS!$D:$D,D$195,FLOWS!$H:$H,"&lt;"&amp;$C$193)+SUM(SUMIFS(DEALS!$J:$J,DEALS!$A:$A,{"*REFUND*","*EXECUTED*"},DEALS!$G:$G,$B$191,DEALS!$E:$E,"&lt;"&amp;$C$193,DEALS!$K:$K,D$195,DEALS!$M:$M,$B199,DEALS!$N:$N,"&lt;&gt;*RECEIVED*",DEALS!$N:$N,"&lt;&gt;*EXECUTED*"))+SUM(SUMIFS(DEALS!$R:$R,DEALS!$A:$A,{"*REFUND*","*EXECUTED*"},DEALS!$O:$O,$B$191,DEALS!$E:$E,"&lt;"&amp;$C$193,DEALS!$S:$S,D$195,DEALS!$U:$U,$B199,DEALS!$V:$V,"&lt;&gt;*RECEIVED*",DEALS!$V:$V,"&lt;&gt;*EXECUTED*"))</f>
        <v>0</v>
      </c>
      <c r="E199" s="32" cm="1">
        <f t="array" ref="E199">SUMIFS(BALANCES!$C:$C,BALANCES!$A:$A,$B$191,BALANCES!$B:$B,$B199,BALANCES!$D:$D,E$195)+SUMIFS(FLOWS!$C:$C,FLOWS!$A:$A,$B$191,FLOWS!$E:$E,$B199,FLOWS!$D:$D,E$195,FLOWS!$H:$H,"&lt;"&amp;$C$193)+SUM(SUMIFS(DEALS!$J:$J,DEALS!$A:$A,{"*REFUND*","*EXECUTED*"},DEALS!$G:$G,$B$191,DEALS!$E:$E,"&lt;"&amp;$C$193,DEALS!$K:$K,E$195,DEALS!$M:$M,$B199,DEALS!$N:$N,"&lt;&gt;*RECEIVED*",DEALS!$N:$N,"&lt;&gt;*EXECUTED*"))+SUM(SUMIFS(DEALS!$R:$R,DEALS!$A:$A,{"*REFUND*","*EXECUTED*"},DEALS!$O:$O,$B$191,DEALS!$E:$E,"&lt;"&amp;$C$193,DEALS!$S:$S,E$195,DEALS!$U:$U,$B199,DEALS!$V:$V,"&lt;&gt;*RECEIVED*",DEALS!$V:$V,"&lt;&gt;*EXECUTED*"))</f>
        <v>0</v>
      </c>
      <c r="F199" s="32" cm="1">
        <f t="array" ref="F199">SUMIFS(BALANCES!$C:$C,BALANCES!$A:$A,$B$191,BALANCES!$B:$B,$B199,BALANCES!$D:$D,F$195)+SUMIFS(FLOWS!$C:$C,FLOWS!$A:$A,$B$191,FLOWS!$E:$E,$B199,FLOWS!$D:$D,F$195,FLOWS!$H:$H,"&lt;"&amp;$C$193)+SUM(SUMIFS(DEALS!$J:$J,DEALS!$A:$A,{"*REFUND*","*EXECUTED*"},DEALS!$G:$G,$B$191,DEALS!$E:$E,"&lt;"&amp;$C$193,DEALS!$K:$K,F$195,DEALS!$M:$M,$B199,DEALS!$N:$N,"&lt;&gt;*RECEIVED*",DEALS!$N:$N,"&lt;&gt;*EXECUTED*"))+SUM(SUMIFS(DEALS!$R:$R,DEALS!$A:$A,{"*REFUND*","*EXECUTED*"},DEALS!$O:$O,$B$191,DEALS!$E:$E,"&lt;"&amp;$C$193,DEALS!$S:$S,F$195,DEALS!$U:$U,$B199,DEALS!$V:$V,"&lt;&gt;*RECEIVED*",DEALS!$V:$V,"&lt;&gt;*EXECUTED*"))</f>
        <v>0</v>
      </c>
      <c r="G199" s="32" cm="1">
        <f t="array" ref="G199">SUMIFS(BALANCES!$C:$C,BALANCES!$A:$A,$B$191,BALANCES!$B:$B,$B199,BALANCES!$D:$D,G$195)+SUMIFS(FLOWS!$C:$C,FLOWS!$A:$A,$B$191,FLOWS!$E:$E,$B199,FLOWS!$D:$D,G$195,FLOWS!$H:$H,"&lt;"&amp;$C$193)+SUM(SUMIFS(DEALS!$J:$J,DEALS!$A:$A,{"*REFUND*","*EXECUTED*"},DEALS!$G:$G,$B$191,DEALS!$E:$E,"&lt;"&amp;$C$193,DEALS!$K:$K,G$195,DEALS!$M:$M,$B199,DEALS!$N:$N,"&lt;&gt;*RECEIVED*",DEALS!$N:$N,"&lt;&gt;*EXECUTED*"))+SUM(SUMIFS(DEALS!$R:$R,DEALS!$A:$A,{"*REFUND*","*EXECUTED*"},DEALS!$O:$O,$B$191,DEALS!$E:$E,"&lt;"&amp;$C$193,DEALS!$S:$S,G$195,DEALS!$U:$U,$B199,DEALS!$V:$V,"&lt;&gt;*RECEIVED*",DEALS!$V:$V,"&lt;&gt;*EXECUTED*"))</f>
        <v>0</v>
      </c>
      <c r="H199" s="32" cm="1">
        <f t="array" ref="H199">SUMIFS(BALANCES!$C:$C,BALANCES!$A:$A,$B$191,BALANCES!$B:$B,$B199,BALANCES!$D:$D,H$195)+SUMIFS(FLOWS!$C:$C,FLOWS!$A:$A,$B$191,FLOWS!$E:$E,$B199,FLOWS!$D:$D,H$195,FLOWS!$H:$H,"&lt;"&amp;$C$193)+SUM(SUMIFS(DEALS!$J:$J,DEALS!$A:$A,{"*REFUND*","*EXECUTED*"},DEALS!$G:$G,$B$191,DEALS!$E:$E,"&lt;"&amp;$C$193,DEALS!$K:$K,H$195,DEALS!$M:$M,$B199,DEALS!$N:$N,"&lt;&gt;*RECEIVED*",DEALS!$N:$N,"&lt;&gt;*EXECUTED*"))+SUM(SUMIFS(DEALS!$R:$R,DEALS!$A:$A,{"*REFUND*","*EXECUTED*"},DEALS!$O:$O,$B$191,DEALS!$E:$E,"&lt;"&amp;$C$193,DEALS!$S:$S,H$195,DEALS!$U:$U,$B199,DEALS!$V:$V,"&lt;&gt;*RECEIVED*",DEALS!$V:$V,"&lt;&gt;*EXECUTED*"))</f>
        <v>0</v>
      </c>
      <c r="I199" s="33">
        <f ca="1">C199*VLOOKUP(C$195,'FX RATES'!$E$1:$F$50,2,FALSE)+D199*VLOOKUP(D$195,'FX RATES'!$E$1:$F$50,2,FALSE)+E199*VLOOKUP(E$195,'FX RATES'!$E$1:$F$50,2,FALSE)+F199*VLOOKUP(F$195,'FX RATES'!$E$1:$F$50,2,FALSE)+G199*VLOOKUP(G$195,'FX RATES'!$E$1:$F$50,2,FALSE)+H199*VLOOKUP(H$195,'FX RATES'!$E$1:$F$50,2,FALSE)</f>
        <v>0</v>
      </c>
      <c r="K199" s="31">
        <f t="shared" si="67"/>
        <v>0</v>
      </c>
      <c r="L199" s="32" cm="1">
        <f t="array" ref="L199">SUMIFS(FLOWS!$C:$C,FLOWS!$A:$A,$B$191,FLOWS!$E:$E,$K199,FLOWS!$D:$D,L$195,FLOWS!$H:$H,"&gt;="&amp;$C$193,FLOWS!$H:$H,"&lt;="&amp;$U$193)+SUM(SUMIFS(DEALS!$J:$J,DEALS!$A:$A,{"*REFUND*","*EXECUTED*"},DEALS!$G:$G,$B$191,DEALS!$E:$E,"&gt;="&amp;$C$193,DEALS!$E:$E,"&lt;="&amp;$U$193,DEALS!$K:$K,L$195,DEALS!$M:$M,$K199,DEALS!$N:$N,"&lt;&gt;*RECEIVED*",DEALS!$N:$N,"&lt;&gt;*EXECUTED*"))+SUM(SUMIFS(DEALS!$R:$R,DEALS!$A:$A,{"*REFUND*","*EXECUTED*"},DEALS!$O:$O,$B$191,DEALS!$E:$E,"&gt;="&amp;$C$193,DEALS!$E:$E,"&lt;="&amp;$U$193,DEALS!$S:$S,L$195,DEALS!$U:$U,$K199,DEALS!$V:$V,"&lt;&gt;*RECEIVED*",DEALS!$V:$V,"&lt;&gt;*EXECUTED*"))</f>
        <v>0</v>
      </c>
      <c r="M199" s="32" cm="1">
        <f t="array" ref="M199">SUMIFS(FLOWS!$C:$C,FLOWS!$A:$A,$B$191,FLOWS!$E:$E,$K199,FLOWS!$D:$D,M$195,FLOWS!$H:$H,"&gt;="&amp;$C$193,FLOWS!$H:$H,"&lt;="&amp;$U$193)+SUM(SUMIFS(DEALS!$J:$J,DEALS!$A:$A,{"*REFUND*","*EXECUTED*"},DEALS!$G:$G,$B$191,DEALS!$E:$E,"&gt;="&amp;$C$193,DEALS!$E:$E,"&lt;="&amp;$U$193,DEALS!$K:$K,M$195,DEALS!$M:$M,$K199,DEALS!$N:$N,"&lt;&gt;*RECEIVED*",DEALS!$N:$N,"&lt;&gt;*EXECUTED*"))+SUM(SUMIFS(DEALS!$R:$R,DEALS!$A:$A,{"*REFUND*","*EXECUTED*"},DEALS!$O:$O,$B$191,DEALS!$E:$E,"&gt;="&amp;$C$193,DEALS!$E:$E,"&lt;="&amp;$U$193,DEALS!$S:$S,M$195,DEALS!$U:$U,$K199,DEALS!$V:$V,"&lt;&gt;*RECEIVED*",DEALS!$V:$V,"&lt;&gt;*EXECUTED*"))</f>
        <v>0</v>
      </c>
      <c r="N199" s="32" cm="1">
        <f t="array" ref="N199">SUMIFS(FLOWS!$C:$C,FLOWS!$A:$A,$B$191,FLOWS!$E:$E,$K199,FLOWS!$D:$D,N$195,FLOWS!$H:$H,"&gt;="&amp;$C$193,FLOWS!$H:$H,"&lt;="&amp;$U$193)+SUM(SUMIFS(DEALS!$J:$J,DEALS!$A:$A,{"*REFUND*","*EXECUTED*"},DEALS!$G:$G,$B$191,DEALS!$E:$E,"&gt;="&amp;$C$193,DEALS!$E:$E,"&lt;="&amp;$U$193,DEALS!$K:$K,N$195,DEALS!$M:$M,$K199,DEALS!$N:$N,"&lt;&gt;*RECEIVED*",DEALS!$N:$N,"&lt;&gt;*EXECUTED*"))+SUM(SUMIFS(DEALS!$R:$R,DEALS!$A:$A,{"*REFUND*","*EXECUTED*"},DEALS!$O:$O,$B$191,DEALS!$E:$E,"&gt;="&amp;$C$193,DEALS!$E:$E,"&lt;="&amp;$U$193,DEALS!$S:$S,N$195,DEALS!$U:$U,$K199,DEALS!$V:$V,"&lt;&gt;*RECEIVED*",DEALS!$V:$V,"&lt;&gt;*EXECUTED*"))</f>
        <v>0</v>
      </c>
      <c r="O199" s="32" cm="1">
        <f t="array" ref="O199">SUMIFS(FLOWS!$C:$C,FLOWS!$A:$A,$B$191,FLOWS!$E:$E,$K199,FLOWS!$D:$D,O$195,FLOWS!$H:$H,"&gt;="&amp;$C$193,FLOWS!$H:$H,"&lt;="&amp;$U$193)+SUM(SUMIFS(DEALS!$J:$J,DEALS!$A:$A,{"*REFUND*","*EXECUTED*"},DEALS!$G:$G,$B$191,DEALS!$E:$E,"&gt;="&amp;$C$193,DEALS!$E:$E,"&lt;="&amp;$U$193,DEALS!$K:$K,O$195,DEALS!$M:$M,$K199,DEALS!$N:$N,"&lt;&gt;*RECEIVED*",DEALS!$N:$N,"&lt;&gt;*EXECUTED*"))+SUM(SUMIFS(DEALS!$R:$R,DEALS!$A:$A,{"*REFUND*","*EXECUTED*"},DEALS!$O:$O,$B$191,DEALS!$E:$E,"&gt;="&amp;$C$193,DEALS!$E:$E,"&lt;="&amp;$U$193,DEALS!$S:$S,O$195,DEALS!$U:$U,$K199,DEALS!$V:$V,"&lt;&gt;*RECEIVED*",DEALS!$V:$V,"&lt;&gt;*EXECUTED*"))</f>
        <v>0</v>
      </c>
      <c r="P199" s="32" cm="1">
        <f t="array" ref="P199">SUMIFS(FLOWS!$C:$C,FLOWS!$A:$A,$B$191,FLOWS!$E:$E,$K199,FLOWS!$D:$D,P$195,FLOWS!$H:$H,"&gt;="&amp;$C$193,FLOWS!$H:$H,"&lt;="&amp;$U$193)+SUM(SUMIFS(DEALS!$J:$J,DEALS!$A:$A,{"*REFUND*","*EXECUTED*"},DEALS!$G:$G,$B$191,DEALS!$E:$E,"&gt;="&amp;$C$193,DEALS!$E:$E,"&lt;="&amp;$U$193,DEALS!$K:$K,P$195,DEALS!$M:$M,$K199,DEALS!$N:$N,"&lt;&gt;*RECEIVED*",DEALS!$N:$N,"&lt;&gt;*EXECUTED*"))+SUM(SUMIFS(DEALS!$R:$R,DEALS!$A:$A,{"*REFUND*","*EXECUTED*"},DEALS!$O:$O,$B$191,DEALS!$E:$E,"&gt;="&amp;$C$193,DEALS!$E:$E,"&lt;="&amp;$U$193,DEALS!$S:$S,P$195,DEALS!$U:$U,$K199,DEALS!$V:$V,"&lt;&gt;*RECEIVED*",DEALS!$V:$V,"&lt;&gt;*EXECUTED*"))</f>
        <v>0</v>
      </c>
      <c r="Q199" s="32" cm="1">
        <f t="array" ref="Q199">SUMIFS(FLOWS!$C:$C,FLOWS!$A:$A,$B$191,FLOWS!$E:$E,$K199,FLOWS!$D:$D,Q$195,FLOWS!$H:$H,"&gt;="&amp;$C$193,FLOWS!$H:$H,"&lt;="&amp;$U$193)+SUM(SUMIFS(DEALS!$J:$J,DEALS!$A:$A,{"*REFUND*","*EXECUTED*"},DEALS!$G:$G,$B$191,DEALS!$E:$E,"&gt;="&amp;$C$193,DEALS!$E:$E,"&lt;="&amp;$U$193,DEALS!$K:$K,Q$195,DEALS!$M:$M,$K199,DEALS!$N:$N,"&lt;&gt;*RECEIVED*",DEALS!$N:$N,"&lt;&gt;*EXECUTED*"))+SUM(SUMIFS(DEALS!$R:$R,DEALS!$A:$A,{"*REFUND*","*EXECUTED*"},DEALS!$O:$O,$B$191,DEALS!$E:$E,"&gt;="&amp;$C$193,DEALS!$E:$E,"&lt;="&amp;$U$193,DEALS!$S:$S,Q$195,DEALS!$U:$U,$K199,DEALS!$V:$V,"&lt;&gt;*RECEIVED*",DEALS!$V:$V,"&lt;&gt;*EXECUTED*"))</f>
        <v>0</v>
      </c>
      <c r="R199" s="33">
        <f ca="1">L199*VLOOKUP(L$195,'FX RATES'!$E$1:$F$50,2,FALSE)+M199*VLOOKUP(M$195,'FX RATES'!$E$1:$F$50,2,FALSE)+N199*VLOOKUP(N$195,'FX RATES'!$E$1:$F$50,2,FALSE)+O199*VLOOKUP(O$195,'FX RATES'!$E$1:$F$50,2,FALSE)+P199*VLOOKUP(P$195,'FX RATES'!$E$1:$F$50,2,FALSE)+Q199*VLOOKUP(Q$195,'FX RATES'!$E$1:$F$50,2,FALSE)</f>
        <v>0</v>
      </c>
      <c r="T199" s="31">
        <f t="shared" si="68"/>
        <v>0</v>
      </c>
      <c r="U199" s="32" cm="1">
        <f t="array" ref="U199">SUMIFS(BALANCES!$C:$C,BALANCES!$A:$A,$B$191,BALANCES!$B:$B,$T199,BALANCES!$D:$D,U$195)+SUMIFS(FLOWS!$C:$C,FLOWS!$A:$A,$B$191,FLOWS!$E:$E,$T199,FLOWS!$D:$D,U$195,FLOWS!$H:$H,"&lt;="&amp;$U$193)+SUM(SUMIFS(DEALS!$J:$J,DEALS!$A:$A,{"*REFUND*","*EXECUTED*"},DEALS!$G:$G,$B$191,DEALS!$E:$E,"&lt;="&amp;$U$193,DEALS!$K:$K,U$195,DEALS!$M:$M,$T199,DEALS!$N:$N,"&lt;&gt;*RECEIVED*",DEALS!$N:$N,"&lt;&gt;*EXECUTED*"))+SUM(SUMIFS(DEALS!$R:$R,DEALS!$A:$A,{"*REFUND*","*EXECUTED*"},DEALS!$O:$O,$B$191,DEALS!$E:$E,"&lt;="&amp;$U$193,DEALS!$S:$S,U$195,DEALS!$U:$U,$T199,DEALS!$V:$V,"&lt;&gt;*RECEIVED*",DEALS!$V:$V,"&lt;&gt;*EXECUTED*"))</f>
        <v>0</v>
      </c>
      <c r="V199" s="32" cm="1">
        <f t="array" ref="V199">SUMIFS(BALANCES!$C:$C,BALANCES!$A:$A,$B$191,BALANCES!$B:$B,$T199,BALANCES!$D:$D,V$195)+SUMIFS(FLOWS!$C:$C,FLOWS!$A:$A,$B$191,FLOWS!$E:$E,$T199,FLOWS!$D:$D,V$195,FLOWS!$H:$H,"&lt;="&amp;$U$193)+SUM(SUMIFS(DEALS!$J:$J,DEALS!$A:$A,{"*REFUND*","*EXECUTED*"},DEALS!$G:$G,$B$191,DEALS!$E:$E,"&lt;="&amp;$U$193,DEALS!$K:$K,V$195,DEALS!$M:$M,$T199,DEALS!$N:$N,"&lt;&gt;*RECEIVED*",DEALS!$N:$N,"&lt;&gt;*EXECUTED*"))+SUM(SUMIFS(DEALS!$R:$R,DEALS!$A:$A,{"*REFUND*","*EXECUTED*"},DEALS!$O:$O,$B$191,DEALS!$E:$E,"&lt;="&amp;$U$193,DEALS!$S:$S,V$195,DEALS!$U:$U,$T199,DEALS!$V:$V,"&lt;&gt;*RECEIVED*",DEALS!$V:$V,"&lt;&gt;*EXECUTED*"))</f>
        <v>0</v>
      </c>
      <c r="W199" s="32" cm="1">
        <f t="array" ref="W199">SUMIFS(BALANCES!$C:$C,BALANCES!$A:$A,$B$191,BALANCES!$B:$B,$T199,BALANCES!$D:$D,W$195)+SUMIFS(FLOWS!$C:$C,FLOWS!$A:$A,$B$191,FLOWS!$E:$E,$T199,FLOWS!$D:$D,W$195,FLOWS!$H:$H,"&lt;="&amp;$U$193)+SUM(SUMIFS(DEALS!$J:$J,DEALS!$A:$A,{"*REFUND*","*EXECUTED*"},DEALS!$G:$G,$B$191,DEALS!$E:$E,"&lt;="&amp;$U$193,DEALS!$K:$K,W$195,DEALS!$M:$M,$T199,DEALS!$N:$N,"&lt;&gt;*RECEIVED*",DEALS!$N:$N,"&lt;&gt;*EXECUTED*"))+SUM(SUMIFS(DEALS!$R:$R,DEALS!$A:$A,{"*REFUND*","*EXECUTED*"},DEALS!$O:$O,$B$191,DEALS!$E:$E,"&lt;="&amp;$U$193,DEALS!$S:$S,W$195,DEALS!$U:$U,$T199,DEALS!$V:$V,"&lt;&gt;*RECEIVED*",DEALS!$V:$V,"&lt;&gt;*EXECUTED*"))</f>
        <v>0</v>
      </c>
      <c r="X199" s="32" cm="1">
        <f t="array" ref="X199">SUMIFS(BALANCES!$C:$C,BALANCES!$A:$A,$B$191,BALANCES!$B:$B,$T199,BALANCES!$D:$D,X$195)+SUMIFS(FLOWS!$C:$C,FLOWS!$A:$A,$B$191,FLOWS!$E:$E,$T199,FLOWS!$D:$D,X$195,FLOWS!$H:$H,"&lt;="&amp;$U$193)+SUM(SUMIFS(DEALS!$J:$J,DEALS!$A:$A,{"*REFUND*","*EXECUTED*"},DEALS!$G:$G,$B$191,DEALS!$E:$E,"&lt;="&amp;$U$193,DEALS!$K:$K,X$195,DEALS!$M:$M,$T199,DEALS!$N:$N,"&lt;&gt;*RECEIVED*",DEALS!$N:$N,"&lt;&gt;*EXECUTED*"))+SUM(SUMIFS(DEALS!$R:$R,DEALS!$A:$A,{"*REFUND*","*EXECUTED*"},DEALS!$O:$O,$B$191,DEALS!$E:$E,"&lt;="&amp;$U$193,DEALS!$S:$S,X$195,DEALS!$U:$U,$T199,DEALS!$V:$V,"&lt;&gt;*RECEIVED*",DEALS!$V:$V,"&lt;&gt;*EXECUTED*"))</f>
        <v>0</v>
      </c>
      <c r="Y199" s="32" cm="1">
        <f t="array" ref="Y199">SUMIFS(BALANCES!$C:$C,BALANCES!$A:$A,$B$191,BALANCES!$B:$B,$T199,BALANCES!$D:$D,Y$195)+SUMIFS(FLOWS!$C:$C,FLOWS!$A:$A,$B$191,FLOWS!$E:$E,$T199,FLOWS!$D:$D,Y$195,FLOWS!$H:$H,"&lt;="&amp;$U$193)+SUM(SUMIFS(DEALS!$J:$J,DEALS!$A:$A,{"*REFUND*","*EXECUTED*"},DEALS!$G:$G,$B$191,DEALS!$E:$E,"&lt;="&amp;$U$193,DEALS!$K:$K,Y$195,DEALS!$M:$M,$T199,DEALS!$N:$N,"&lt;&gt;*RECEIVED*",DEALS!$N:$N,"&lt;&gt;*EXECUTED*"))+SUM(SUMIFS(DEALS!$R:$R,DEALS!$A:$A,{"*REFUND*","*EXECUTED*"},DEALS!$O:$O,$B$191,DEALS!$E:$E,"&lt;="&amp;$U$193,DEALS!$S:$S,Y$195,DEALS!$U:$U,$T199,DEALS!$V:$V,"&lt;&gt;*RECEIVED*",DEALS!$V:$V,"&lt;&gt;*EXECUTED*"))</f>
        <v>0</v>
      </c>
      <c r="Z199" s="32" cm="1">
        <f t="array" ref="Z199">SUMIFS(BALANCES!$C:$C,BALANCES!$A:$A,$B$191,BALANCES!$B:$B,$T199,BALANCES!$D:$D,Z$195)+SUMIFS(FLOWS!$C:$C,FLOWS!$A:$A,$B$191,FLOWS!$E:$E,$T199,FLOWS!$D:$D,Z$195,FLOWS!$H:$H,"&lt;="&amp;$U$193)+SUM(SUMIFS(DEALS!$J:$J,DEALS!$A:$A,{"*REFUND*","*EXECUTED*"},DEALS!$G:$G,$B$191,DEALS!$E:$E,"&lt;="&amp;$U$193,DEALS!$K:$K,Z$195,DEALS!$M:$M,$T199,DEALS!$N:$N,"&lt;&gt;*RECEIVED*",DEALS!$N:$N,"&lt;&gt;*EXECUTED*"))+SUM(SUMIFS(DEALS!$R:$R,DEALS!$A:$A,{"*REFUND*","*EXECUTED*"},DEALS!$O:$O,$B$191,DEALS!$E:$E,"&lt;="&amp;$U$193,DEALS!$S:$S,Z$195,DEALS!$U:$U,$T199,DEALS!$V:$V,"&lt;&gt;*RECEIVED*",DEALS!$V:$V,"&lt;&gt;*EXECUTED*"))</f>
        <v>0</v>
      </c>
      <c r="AA199" s="33">
        <f ca="1">U199*VLOOKUP(U$195,'FX RATES'!$E$1:$F$50,2,FALSE)+V199*VLOOKUP(V$195,'FX RATES'!$E$1:$F$50,2,FALSE)+W199*VLOOKUP(W$195,'FX RATES'!$E$1:$F$50,2,FALSE)+X199*VLOOKUP(X$195,'FX RATES'!$E$1:$F$50,2,FALSE)+Y199*VLOOKUP(Y$195,'FX RATES'!$E$1:$F$50,2,FALSE)+Z199*VLOOKUP(Z$195,'FX RATES'!$E$1:$F$50,2,FALSE)</f>
        <v>0</v>
      </c>
      <c r="AC199" s="139">
        <f t="shared" ca="1" si="69"/>
        <v>0</v>
      </c>
    </row>
    <row r="200" spans="2:29" ht="18.75" hidden="1" customHeight="1">
      <c r="B200" s="28"/>
      <c r="C200" s="29" cm="1">
        <f t="array" ref="C200">SUMIFS(BALANCES!$C:$C,BALANCES!$A:$A,$B$191,BALANCES!$B:$B,$B200,BALANCES!$D:$D,C$195)+SUMIFS(FLOWS!$C:$C,FLOWS!$A:$A,$B$191,FLOWS!$E:$E,$B200,FLOWS!$D:$D,C$195,FLOWS!$H:$H,"&lt;"&amp;$C$193)+SUM(SUMIFS(DEALS!$J:$J,DEALS!$A:$A,{"*REFUND*","*EXECUTED*"},DEALS!$G:$G,$B$191,DEALS!$E:$E,"&lt;"&amp;$C$193,DEALS!$K:$K,C$195,DEALS!$M:$M,$B200,DEALS!$N:$N,"&lt;&gt;*RECEIVED*",DEALS!$N:$N,"&lt;&gt;*EXECUTED*"))+SUM(SUMIFS(DEALS!$R:$R,DEALS!$A:$A,{"*REFUND*","*EXECUTED*"},DEALS!$O:$O,$B$191,DEALS!$E:$E,"&lt;"&amp;$C$193,DEALS!$S:$S,C$195,DEALS!$U:$U,$B200,DEALS!$V:$V,"&lt;&gt;*RECEIVED*",DEALS!$V:$V,"&lt;&gt;*EXECUTED*"))</f>
        <v>0</v>
      </c>
      <c r="D200" s="29" cm="1">
        <f t="array" ref="D200">SUMIFS(BALANCES!$C:$C,BALANCES!$A:$A,$B$191,BALANCES!$B:$B,$B200,BALANCES!$D:$D,D$195)+SUMIFS(FLOWS!$C:$C,FLOWS!$A:$A,$B$191,FLOWS!$E:$E,$B200,FLOWS!$D:$D,D$195,FLOWS!$H:$H,"&lt;"&amp;$C$193)+SUM(SUMIFS(DEALS!$J:$J,DEALS!$A:$A,{"*REFUND*","*EXECUTED*"},DEALS!$G:$G,$B$191,DEALS!$E:$E,"&lt;"&amp;$C$193,DEALS!$K:$K,D$195,DEALS!$M:$M,$B200,DEALS!$N:$N,"&lt;&gt;*RECEIVED*",DEALS!$N:$N,"&lt;&gt;*EXECUTED*"))+SUM(SUMIFS(DEALS!$R:$R,DEALS!$A:$A,{"*REFUND*","*EXECUTED*"},DEALS!$O:$O,$B$191,DEALS!$E:$E,"&lt;"&amp;$C$193,DEALS!$S:$S,D$195,DEALS!$U:$U,$B200,DEALS!$V:$V,"&lt;&gt;*RECEIVED*",DEALS!$V:$V,"&lt;&gt;*EXECUTED*"))</f>
        <v>0</v>
      </c>
      <c r="E200" s="29" cm="1">
        <f t="array" ref="E200">SUMIFS(BALANCES!$C:$C,BALANCES!$A:$A,$B$191,BALANCES!$B:$B,$B200,BALANCES!$D:$D,E$195)+SUMIFS(FLOWS!$C:$C,FLOWS!$A:$A,$B$191,FLOWS!$E:$E,$B200,FLOWS!$D:$D,E$195,FLOWS!$H:$H,"&lt;"&amp;$C$193)+SUM(SUMIFS(DEALS!$J:$J,DEALS!$A:$A,{"*REFUND*","*EXECUTED*"},DEALS!$G:$G,$B$191,DEALS!$E:$E,"&lt;"&amp;$C$193,DEALS!$K:$K,E$195,DEALS!$M:$M,$B200,DEALS!$N:$N,"&lt;&gt;*RECEIVED*",DEALS!$N:$N,"&lt;&gt;*EXECUTED*"))+SUM(SUMIFS(DEALS!$R:$R,DEALS!$A:$A,{"*REFUND*","*EXECUTED*"},DEALS!$O:$O,$B$191,DEALS!$E:$E,"&lt;"&amp;$C$193,DEALS!$S:$S,E$195,DEALS!$U:$U,$B200,DEALS!$V:$V,"&lt;&gt;*RECEIVED*",DEALS!$V:$V,"&lt;&gt;*EXECUTED*"))</f>
        <v>0</v>
      </c>
      <c r="F200" s="29" cm="1">
        <f t="array" ref="F200">SUMIFS(BALANCES!$C:$C,BALANCES!$A:$A,$B$191,BALANCES!$B:$B,$B200,BALANCES!$D:$D,F$195)+SUMIFS(FLOWS!$C:$C,FLOWS!$A:$A,$B$191,FLOWS!$E:$E,$B200,FLOWS!$D:$D,F$195,FLOWS!$H:$H,"&lt;"&amp;$C$193)+SUM(SUMIFS(DEALS!$J:$J,DEALS!$A:$A,{"*REFUND*","*EXECUTED*"},DEALS!$G:$G,$B$191,DEALS!$E:$E,"&lt;"&amp;$C$193,DEALS!$K:$K,F$195,DEALS!$M:$M,$B200,DEALS!$N:$N,"&lt;&gt;*RECEIVED*",DEALS!$N:$N,"&lt;&gt;*EXECUTED*"))+SUM(SUMIFS(DEALS!$R:$R,DEALS!$A:$A,{"*REFUND*","*EXECUTED*"},DEALS!$O:$O,$B$191,DEALS!$E:$E,"&lt;"&amp;$C$193,DEALS!$S:$S,F$195,DEALS!$U:$U,$B200,DEALS!$V:$V,"&lt;&gt;*RECEIVED*",DEALS!$V:$V,"&lt;&gt;*EXECUTED*"))</f>
        <v>0</v>
      </c>
      <c r="G200" s="29" cm="1">
        <f t="array" ref="G200">SUMIFS(BALANCES!$C:$C,BALANCES!$A:$A,$B$191,BALANCES!$B:$B,$B200,BALANCES!$D:$D,G$195)+SUMIFS(FLOWS!$C:$C,FLOWS!$A:$A,$B$191,FLOWS!$E:$E,$B200,FLOWS!$D:$D,G$195,FLOWS!$H:$H,"&lt;"&amp;$C$193)+SUM(SUMIFS(DEALS!$J:$J,DEALS!$A:$A,{"*REFUND*","*EXECUTED*"},DEALS!$G:$G,$B$191,DEALS!$E:$E,"&lt;"&amp;$C$193,DEALS!$K:$K,G$195,DEALS!$M:$M,$B200,DEALS!$N:$N,"&lt;&gt;*RECEIVED*",DEALS!$N:$N,"&lt;&gt;*EXECUTED*"))+SUM(SUMIFS(DEALS!$R:$R,DEALS!$A:$A,{"*REFUND*","*EXECUTED*"},DEALS!$O:$O,$B$191,DEALS!$E:$E,"&lt;"&amp;$C$193,DEALS!$S:$S,G$195,DEALS!$U:$U,$B200,DEALS!$V:$V,"&lt;&gt;*RECEIVED*",DEALS!$V:$V,"&lt;&gt;*EXECUTED*"))</f>
        <v>0</v>
      </c>
      <c r="H200" s="29" cm="1">
        <f t="array" ref="H200">SUMIFS(BALANCES!$C:$C,BALANCES!$A:$A,$B$191,BALANCES!$B:$B,$B200,BALANCES!$D:$D,H$195)+SUMIFS(FLOWS!$C:$C,FLOWS!$A:$A,$B$191,FLOWS!$E:$E,$B200,FLOWS!$D:$D,H$195,FLOWS!$H:$H,"&lt;"&amp;$C$193)+SUM(SUMIFS(DEALS!$J:$J,DEALS!$A:$A,{"*REFUND*","*EXECUTED*"},DEALS!$G:$G,$B$191,DEALS!$E:$E,"&lt;"&amp;$C$193,DEALS!$K:$K,H$195,DEALS!$M:$M,$B200,DEALS!$N:$N,"&lt;&gt;*RECEIVED*",DEALS!$N:$N,"&lt;&gt;*EXECUTED*"))+SUM(SUMIFS(DEALS!$R:$R,DEALS!$A:$A,{"*REFUND*","*EXECUTED*"},DEALS!$O:$O,$B$191,DEALS!$E:$E,"&lt;"&amp;$C$193,DEALS!$S:$S,H$195,DEALS!$U:$U,$B200,DEALS!$V:$V,"&lt;&gt;*RECEIVED*",DEALS!$V:$V,"&lt;&gt;*EXECUTED*"))</f>
        <v>0</v>
      </c>
      <c r="I200" s="30">
        <f ca="1">C200*VLOOKUP(C$195,'FX RATES'!$E$1:$F$50,2,FALSE)+D200*VLOOKUP(D$195,'FX RATES'!$E$1:$F$50,2,FALSE)+E200*VLOOKUP(E$195,'FX RATES'!$E$1:$F$50,2,FALSE)+F200*VLOOKUP(F$195,'FX RATES'!$E$1:$F$50,2,FALSE)+G200*VLOOKUP(G$195,'FX RATES'!$E$1:$F$50,2,FALSE)+H200*VLOOKUP(H$195,'FX RATES'!$E$1:$F$50,2,FALSE)</f>
        <v>0</v>
      </c>
      <c r="K200" s="28">
        <f t="shared" si="67"/>
        <v>0</v>
      </c>
      <c r="L200" s="29" cm="1">
        <f t="array" ref="L200">SUMIFS(FLOWS!$C:$C,FLOWS!$A:$A,$B$191,FLOWS!$E:$E,$K200,FLOWS!$D:$D,L$195,FLOWS!$H:$H,"&gt;="&amp;$C$193,FLOWS!$H:$H,"&lt;="&amp;$U$193)+SUM(SUMIFS(DEALS!$J:$J,DEALS!$A:$A,{"*REFUND*","*EXECUTED*"},DEALS!$G:$G,$B$191,DEALS!$E:$E,"&gt;="&amp;$C$193,DEALS!$E:$E,"&lt;="&amp;$U$193,DEALS!$K:$K,L$195,DEALS!$M:$M,$K200,DEALS!$N:$N,"&lt;&gt;*RECEIVED*",DEALS!$N:$N,"&lt;&gt;*EXECUTED*"))+SUM(SUMIFS(DEALS!$R:$R,DEALS!$A:$A,{"*REFUND*","*EXECUTED*"},DEALS!$O:$O,$B$191,DEALS!$E:$E,"&gt;="&amp;$C$193,DEALS!$E:$E,"&lt;="&amp;$U$193,DEALS!$S:$S,L$195,DEALS!$U:$U,$K200,DEALS!$V:$V,"&lt;&gt;*RECEIVED*",DEALS!$V:$V,"&lt;&gt;*EXECUTED*"))</f>
        <v>0</v>
      </c>
      <c r="M200" s="29" cm="1">
        <f t="array" ref="M200">SUMIFS(FLOWS!$C:$C,FLOWS!$A:$A,$B$191,FLOWS!$E:$E,$K200,FLOWS!$D:$D,M$195,FLOWS!$H:$H,"&gt;="&amp;$C$193,FLOWS!$H:$H,"&lt;="&amp;$U$193)+SUM(SUMIFS(DEALS!$J:$J,DEALS!$A:$A,{"*REFUND*","*EXECUTED*"},DEALS!$G:$G,$B$191,DEALS!$E:$E,"&gt;="&amp;$C$193,DEALS!$E:$E,"&lt;="&amp;$U$193,DEALS!$K:$K,M$195,DEALS!$M:$M,$K200,DEALS!$N:$N,"&lt;&gt;*RECEIVED*",DEALS!$N:$N,"&lt;&gt;*EXECUTED*"))+SUM(SUMIFS(DEALS!$R:$R,DEALS!$A:$A,{"*REFUND*","*EXECUTED*"},DEALS!$O:$O,$B$191,DEALS!$E:$E,"&gt;="&amp;$C$193,DEALS!$E:$E,"&lt;="&amp;$U$193,DEALS!$S:$S,M$195,DEALS!$U:$U,$K200,DEALS!$V:$V,"&lt;&gt;*RECEIVED*",DEALS!$V:$V,"&lt;&gt;*EXECUTED*"))</f>
        <v>0</v>
      </c>
      <c r="N200" s="29" cm="1">
        <f t="array" ref="N200">SUMIFS(FLOWS!$C:$C,FLOWS!$A:$A,$B$191,FLOWS!$E:$E,$K200,FLOWS!$D:$D,N$195,FLOWS!$H:$H,"&gt;="&amp;$C$193,FLOWS!$H:$H,"&lt;="&amp;$U$193)+SUM(SUMIFS(DEALS!$J:$J,DEALS!$A:$A,{"*REFUND*","*EXECUTED*"},DEALS!$G:$G,$B$191,DEALS!$E:$E,"&gt;="&amp;$C$193,DEALS!$E:$E,"&lt;="&amp;$U$193,DEALS!$K:$K,N$195,DEALS!$M:$M,$K200,DEALS!$N:$N,"&lt;&gt;*RECEIVED*",DEALS!$N:$N,"&lt;&gt;*EXECUTED*"))+SUM(SUMIFS(DEALS!$R:$R,DEALS!$A:$A,{"*REFUND*","*EXECUTED*"},DEALS!$O:$O,$B$191,DEALS!$E:$E,"&gt;="&amp;$C$193,DEALS!$E:$E,"&lt;="&amp;$U$193,DEALS!$S:$S,N$195,DEALS!$U:$U,$K200,DEALS!$V:$V,"&lt;&gt;*RECEIVED*",DEALS!$V:$V,"&lt;&gt;*EXECUTED*"))</f>
        <v>0</v>
      </c>
      <c r="O200" s="29" cm="1">
        <f t="array" ref="O200">SUMIFS(FLOWS!$C:$C,FLOWS!$A:$A,$B$191,FLOWS!$E:$E,$K200,FLOWS!$D:$D,O$195,FLOWS!$H:$H,"&gt;="&amp;$C$193,FLOWS!$H:$H,"&lt;="&amp;$U$193)+SUM(SUMIFS(DEALS!$J:$J,DEALS!$A:$A,{"*REFUND*","*EXECUTED*"},DEALS!$G:$G,$B$191,DEALS!$E:$E,"&gt;="&amp;$C$193,DEALS!$E:$E,"&lt;="&amp;$U$193,DEALS!$K:$K,O$195,DEALS!$M:$M,$K200,DEALS!$N:$N,"&lt;&gt;*RECEIVED*",DEALS!$N:$N,"&lt;&gt;*EXECUTED*"))+SUM(SUMIFS(DEALS!$R:$R,DEALS!$A:$A,{"*REFUND*","*EXECUTED*"},DEALS!$O:$O,$B$191,DEALS!$E:$E,"&gt;="&amp;$C$193,DEALS!$E:$E,"&lt;="&amp;$U$193,DEALS!$S:$S,O$195,DEALS!$U:$U,$K200,DEALS!$V:$V,"&lt;&gt;*RECEIVED*",DEALS!$V:$V,"&lt;&gt;*EXECUTED*"))</f>
        <v>0</v>
      </c>
      <c r="P200" s="29" cm="1">
        <f t="array" ref="P200">SUMIFS(FLOWS!$C:$C,FLOWS!$A:$A,$B$191,FLOWS!$E:$E,$K200,FLOWS!$D:$D,P$195,FLOWS!$H:$H,"&gt;="&amp;$C$193,FLOWS!$H:$H,"&lt;="&amp;$U$193)+SUM(SUMIFS(DEALS!$J:$J,DEALS!$A:$A,{"*REFUND*","*EXECUTED*"},DEALS!$G:$G,$B$191,DEALS!$E:$E,"&gt;="&amp;$C$193,DEALS!$E:$E,"&lt;="&amp;$U$193,DEALS!$K:$K,P$195,DEALS!$M:$M,$K200,DEALS!$N:$N,"&lt;&gt;*RECEIVED*",DEALS!$N:$N,"&lt;&gt;*EXECUTED*"))+SUM(SUMIFS(DEALS!$R:$R,DEALS!$A:$A,{"*REFUND*","*EXECUTED*"},DEALS!$O:$O,$B$191,DEALS!$E:$E,"&gt;="&amp;$C$193,DEALS!$E:$E,"&lt;="&amp;$U$193,DEALS!$S:$S,P$195,DEALS!$U:$U,$K200,DEALS!$V:$V,"&lt;&gt;*RECEIVED*",DEALS!$V:$V,"&lt;&gt;*EXECUTED*"))</f>
        <v>0</v>
      </c>
      <c r="Q200" s="29" cm="1">
        <f t="array" ref="Q200">SUMIFS(FLOWS!$C:$C,FLOWS!$A:$A,$B$191,FLOWS!$E:$E,$K200,FLOWS!$D:$D,Q$195,FLOWS!$H:$H,"&gt;="&amp;$C$193,FLOWS!$H:$H,"&lt;="&amp;$U$193)+SUM(SUMIFS(DEALS!$J:$J,DEALS!$A:$A,{"*REFUND*","*EXECUTED*"},DEALS!$G:$G,$B$191,DEALS!$E:$E,"&gt;="&amp;$C$193,DEALS!$E:$E,"&lt;="&amp;$U$193,DEALS!$K:$K,Q$195,DEALS!$M:$M,$K200,DEALS!$N:$N,"&lt;&gt;*RECEIVED*",DEALS!$N:$N,"&lt;&gt;*EXECUTED*"))+SUM(SUMIFS(DEALS!$R:$R,DEALS!$A:$A,{"*REFUND*","*EXECUTED*"},DEALS!$O:$O,$B$191,DEALS!$E:$E,"&gt;="&amp;$C$193,DEALS!$E:$E,"&lt;="&amp;$U$193,DEALS!$S:$S,Q$195,DEALS!$U:$U,$K200,DEALS!$V:$V,"&lt;&gt;*RECEIVED*",DEALS!$V:$V,"&lt;&gt;*EXECUTED*"))</f>
        <v>0</v>
      </c>
      <c r="R200" s="30">
        <f ca="1">L200*VLOOKUP(L$195,'FX RATES'!$E$1:$F$50,2,FALSE)+M200*VLOOKUP(M$195,'FX RATES'!$E$1:$F$50,2,FALSE)+N200*VLOOKUP(N$195,'FX RATES'!$E$1:$F$50,2,FALSE)+O200*VLOOKUP(O$195,'FX RATES'!$E$1:$F$50,2,FALSE)+P200*VLOOKUP(P$195,'FX RATES'!$E$1:$F$50,2,FALSE)+Q200*VLOOKUP(Q$195,'FX RATES'!$E$1:$F$50,2,FALSE)</f>
        <v>0</v>
      </c>
      <c r="T200" s="28">
        <f t="shared" si="68"/>
        <v>0</v>
      </c>
      <c r="U200" s="29" cm="1">
        <f t="array" ref="U200">SUMIFS(BALANCES!$C:$C,BALANCES!$A:$A,$B$191,BALANCES!$B:$B,$T200,BALANCES!$D:$D,U$195)+SUMIFS(FLOWS!$C:$C,FLOWS!$A:$A,$B$191,FLOWS!$E:$E,$T200,FLOWS!$D:$D,U$195,FLOWS!$H:$H,"&lt;="&amp;$U$193)+SUM(SUMIFS(DEALS!$J:$J,DEALS!$A:$A,{"*REFUND*","*EXECUTED*"},DEALS!$G:$G,$B$191,DEALS!$E:$E,"&lt;="&amp;$U$193,DEALS!$K:$K,U$195,DEALS!$M:$M,$T200,DEALS!$N:$N,"&lt;&gt;*RECEIVED*",DEALS!$N:$N,"&lt;&gt;*EXECUTED*"))+SUM(SUMIFS(DEALS!$R:$R,DEALS!$A:$A,{"*REFUND*","*EXECUTED*"},DEALS!$O:$O,$B$191,DEALS!$E:$E,"&lt;="&amp;$U$193,DEALS!$S:$S,U$195,DEALS!$U:$U,$T200,DEALS!$V:$V,"&lt;&gt;*RECEIVED*",DEALS!$V:$V,"&lt;&gt;*EXECUTED*"))</f>
        <v>0</v>
      </c>
      <c r="V200" s="29" cm="1">
        <f t="array" ref="V200">SUMIFS(BALANCES!$C:$C,BALANCES!$A:$A,$B$191,BALANCES!$B:$B,$T200,BALANCES!$D:$D,V$195)+SUMIFS(FLOWS!$C:$C,FLOWS!$A:$A,$B$191,FLOWS!$E:$E,$T200,FLOWS!$D:$D,V$195,FLOWS!$H:$H,"&lt;="&amp;$U$193)+SUM(SUMIFS(DEALS!$J:$J,DEALS!$A:$A,{"*REFUND*","*EXECUTED*"},DEALS!$G:$G,$B$191,DEALS!$E:$E,"&lt;="&amp;$U$193,DEALS!$K:$K,V$195,DEALS!$M:$M,$T200,DEALS!$N:$N,"&lt;&gt;*RECEIVED*",DEALS!$N:$N,"&lt;&gt;*EXECUTED*"))+SUM(SUMIFS(DEALS!$R:$R,DEALS!$A:$A,{"*REFUND*","*EXECUTED*"},DEALS!$O:$O,$B$191,DEALS!$E:$E,"&lt;="&amp;$U$193,DEALS!$S:$S,V$195,DEALS!$U:$U,$T200,DEALS!$V:$V,"&lt;&gt;*RECEIVED*",DEALS!$V:$V,"&lt;&gt;*EXECUTED*"))</f>
        <v>0</v>
      </c>
      <c r="W200" s="29" cm="1">
        <f t="array" ref="W200">SUMIFS(BALANCES!$C:$C,BALANCES!$A:$A,$B$191,BALANCES!$B:$B,$T200,BALANCES!$D:$D,W$195)+SUMIFS(FLOWS!$C:$C,FLOWS!$A:$A,$B$191,FLOWS!$E:$E,$T200,FLOWS!$D:$D,W$195,FLOWS!$H:$H,"&lt;="&amp;$U$193)+SUM(SUMIFS(DEALS!$J:$J,DEALS!$A:$A,{"*REFUND*","*EXECUTED*"},DEALS!$G:$G,$B$191,DEALS!$E:$E,"&lt;="&amp;$U$193,DEALS!$K:$K,W$195,DEALS!$M:$M,$T200,DEALS!$N:$N,"&lt;&gt;*RECEIVED*",DEALS!$N:$N,"&lt;&gt;*EXECUTED*"))+SUM(SUMIFS(DEALS!$R:$R,DEALS!$A:$A,{"*REFUND*","*EXECUTED*"},DEALS!$O:$O,$B$191,DEALS!$E:$E,"&lt;="&amp;$U$193,DEALS!$S:$S,W$195,DEALS!$U:$U,$T200,DEALS!$V:$V,"&lt;&gt;*RECEIVED*",DEALS!$V:$V,"&lt;&gt;*EXECUTED*"))</f>
        <v>0</v>
      </c>
      <c r="X200" s="29" cm="1">
        <f t="array" ref="X200">SUMIFS(BALANCES!$C:$C,BALANCES!$A:$A,$B$191,BALANCES!$B:$B,$T200,BALANCES!$D:$D,X$195)+SUMIFS(FLOWS!$C:$C,FLOWS!$A:$A,$B$191,FLOWS!$E:$E,$T200,FLOWS!$D:$D,X$195,FLOWS!$H:$H,"&lt;="&amp;$U$193)+SUM(SUMIFS(DEALS!$J:$J,DEALS!$A:$A,{"*REFUND*","*EXECUTED*"},DEALS!$G:$G,$B$191,DEALS!$E:$E,"&lt;="&amp;$U$193,DEALS!$K:$K,X$195,DEALS!$M:$M,$T200,DEALS!$N:$N,"&lt;&gt;*RECEIVED*",DEALS!$N:$N,"&lt;&gt;*EXECUTED*"))+SUM(SUMIFS(DEALS!$R:$R,DEALS!$A:$A,{"*REFUND*","*EXECUTED*"},DEALS!$O:$O,$B$191,DEALS!$E:$E,"&lt;="&amp;$U$193,DEALS!$S:$S,X$195,DEALS!$U:$U,$T200,DEALS!$V:$V,"&lt;&gt;*RECEIVED*",DEALS!$V:$V,"&lt;&gt;*EXECUTED*"))</f>
        <v>0</v>
      </c>
      <c r="Y200" s="29" cm="1">
        <f t="array" ref="Y200">SUMIFS(BALANCES!$C:$C,BALANCES!$A:$A,$B$191,BALANCES!$B:$B,$T200,BALANCES!$D:$D,Y$195)+SUMIFS(FLOWS!$C:$C,FLOWS!$A:$A,$B$191,FLOWS!$E:$E,$T200,FLOWS!$D:$D,Y$195,FLOWS!$H:$H,"&lt;="&amp;$U$193)+SUM(SUMIFS(DEALS!$J:$J,DEALS!$A:$A,{"*REFUND*","*EXECUTED*"},DEALS!$G:$G,$B$191,DEALS!$E:$E,"&lt;="&amp;$U$193,DEALS!$K:$K,Y$195,DEALS!$M:$M,$T200,DEALS!$N:$N,"&lt;&gt;*RECEIVED*",DEALS!$N:$N,"&lt;&gt;*EXECUTED*"))+SUM(SUMIFS(DEALS!$R:$R,DEALS!$A:$A,{"*REFUND*","*EXECUTED*"},DEALS!$O:$O,$B$191,DEALS!$E:$E,"&lt;="&amp;$U$193,DEALS!$S:$S,Y$195,DEALS!$U:$U,$T200,DEALS!$V:$V,"&lt;&gt;*RECEIVED*",DEALS!$V:$V,"&lt;&gt;*EXECUTED*"))</f>
        <v>0</v>
      </c>
      <c r="Z200" s="29" cm="1">
        <f t="array" ref="Z200">SUMIFS(BALANCES!$C:$C,BALANCES!$A:$A,$B$191,BALANCES!$B:$B,$T200,BALANCES!$D:$D,Z$195)+SUMIFS(FLOWS!$C:$C,FLOWS!$A:$A,$B$191,FLOWS!$E:$E,$T200,FLOWS!$D:$D,Z$195,FLOWS!$H:$H,"&lt;="&amp;$U$193)+SUM(SUMIFS(DEALS!$J:$J,DEALS!$A:$A,{"*REFUND*","*EXECUTED*"},DEALS!$G:$G,$B$191,DEALS!$E:$E,"&lt;="&amp;$U$193,DEALS!$K:$K,Z$195,DEALS!$M:$M,$T200,DEALS!$N:$N,"&lt;&gt;*RECEIVED*",DEALS!$N:$N,"&lt;&gt;*EXECUTED*"))+SUM(SUMIFS(DEALS!$R:$R,DEALS!$A:$A,{"*REFUND*","*EXECUTED*"},DEALS!$O:$O,$B$191,DEALS!$E:$E,"&lt;="&amp;$U$193,DEALS!$S:$S,Z$195,DEALS!$U:$U,$T200,DEALS!$V:$V,"&lt;&gt;*RECEIVED*",DEALS!$V:$V,"&lt;&gt;*EXECUTED*"))</f>
        <v>0</v>
      </c>
      <c r="AA200" s="30">
        <f ca="1">U200*VLOOKUP(U$195,'FX RATES'!$E$1:$F$50,2,FALSE)+V200*VLOOKUP(V$195,'FX RATES'!$E$1:$F$50,2,FALSE)+W200*VLOOKUP(W$195,'FX RATES'!$E$1:$F$50,2,FALSE)+X200*VLOOKUP(X$195,'FX RATES'!$E$1:$F$50,2,FALSE)+Y200*VLOOKUP(Y$195,'FX RATES'!$E$1:$F$50,2,FALSE)+Z200*VLOOKUP(Z$195,'FX RATES'!$E$1:$F$50,2,FALSE)</f>
        <v>0</v>
      </c>
      <c r="AC200" s="139">
        <f t="shared" ca="1" si="69"/>
        <v>0</v>
      </c>
    </row>
    <row r="201" spans="2:29" ht="18.75" hidden="1" customHeight="1">
      <c r="B201" s="31"/>
      <c r="C201" s="32" cm="1">
        <f t="array" ref="C201">SUMIFS(BALANCES!$C:$C,BALANCES!$A:$A,$B$191,BALANCES!$B:$B,$B201,BALANCES!$D:$D,C$195)+SUMIFS(FLOWS!$C:$C,FLOWS!$A:$A,$B$191,FLOWS!$E:$E,$B201,FLOWS!$D:$D,C$195,FLOWS!$H:$H,"&lt;"&amp;$C$193)+SUM(SUMIFS(DEALS!$J:$J,DEALS!$A:$A,{"*REFUND*","*EXECUTED*"},DEALS!$G:$G,$B$191,DEALS!$E:$E,"&lt;"&amp;$C$193,DEALS!$K:$K,C$195,DEALS!$M:$M,$B201,DEALS!$N:$N,"&lt;&gt;*RECEIVED*",DEALS!$N:$N,"&lt;&gt;*EXECUTED*"))+SUM(SUMIFS(DEALS!$R:$R,DEALS!$A:$A,{"*REFUND*","*EXECUTED*"},DEALS!$O:$O,$B$191,DEALS!$E:$E,"&lt;"&amp;$C$193,DEALS!$S:$S,C$195,DEALS!$U:$U,$B201,DEALS!$V:$V,"&lt;&gt;*RECEIVED*",DEALS!$V:$V,"&lt;&gt;*EXECUTED*"))</f>
        <v>0</v>
      </c>
      <c r="D201" s="32" cm="1">
        <f t="array" ref="D201">SUMIFS(BALANCES!$C:$C,BALANCES!$A:$A,$B$191,BALANCES!$B:$B,$B201,BALANCES!$D:$D,D$195)+SUMIFS(FLOWS!$C:$C,FLOWS!$A:$A,$B$191,FLOWS!$E:$E,$B201,FLOWS!$D:$D,D$195,FLOWS!$H:$H,"&lt;"&amp;$C$193)+SUM(SUMIFS(DEALS!$J:$J,DEALS!$A:$A,{"*REFUND*","*EXECUTED*"},DEALS!$G:$G,$B$191,DEALS!$E:$E,"&lt;"&amp;$C$193,DEALS!$K:$K,D$195,DEALS!$M:$M,$B201,DEALS!$N:$N,"&lt;&gt;*RECEIVED*",DEALS!$N:$N,"&lt;&gt;*EXECUTED*"))+SUM(SUMIFS(DEALS!$R:$R,DEALS!$A:$A,{"*REFUND*","*EXECUTED*"},DEALS!$O:$O,$B$191,DEALS!$E:$E,"&lt;"&amp;$C$193,DEALS!$S:$S,D$195,DEALS!$U:$U,$B201,DEALS!$V:$V,"&lt;&gt;*RECEIVED*",DEALS!$V:$V,"&lt;&gt;*EXECUTED*"))</f>
        <v>0</v>
      </c>
      <c r="E201" s="32" cm="1">
        <f t="array" ref="E201">SUMIFS(BALANCES!$C:$C,BALANCES!$A:$A,$B$191,BALANCES!$B:$B,$B201,BALANCES!$D:$D,E$195)+SUMIFS(FLOWS!$C:$C,FLOWS!$A:$A,$B$191,FLOWS!$E:$E,$B201,FLOWS!$D:$D,E$195,FLOWS!$H:$H,"&lt;"&amp;$C$193)+SUM(SUMIFS(DEALS!$J:$J,DEALS!$A:$A,{"*REFUND*","*EXECUTED*"},DEALS!$G:$G,$B$191,DEALS!$E:$E,"&lt;"&amp;$C$193,DEALS!$K:$K,E$195,DEALS!$M:$M,$B201,DEALS!$N:$N,"&lt;&gt;*RECEIVED*",DEALS!$N:$N,"&lt;&gt;*EXECUTED*"))+SUM(SUMIFS(DEALS!$R:$R,DEALS!$A:$A,{"*REFUND*","*EXECUTED*"},DEALS!$O:$O,$B$191,DEALS!$E:$E,"&lt;"&amp;$C$193,DEALS!$S:$S,E$195,DEALS!$U:$U,$B201,DEALS!$V:$V,"&lt;&gt;*RECEIVED*",DEALS!$V:$V,"&lt;&gt;*EXECUTED*"))</f>
        <v>0</v>
      </c>
      <c r="F201" s="32" cm="1">
        <f t="array" ref="F201">SUMIFS(BALANCES!$C:$C,BALANCES!$A:$A,$B$191,BALANCES!$B:$B,$B201,BALANCES!$D:$D,F$195)+SUMIFS(FLOWS!$C:$C,FLOWS!$A:$A,$B$191,FLOWS!$E:$E,$B201,FLOWS!$D:$D,F$195,FLOWS!$H:$H,"&lt;"&amp;$C$193)+SUM(SUMIFS(DEALS!$J:$J,DEALS!$A:$A,{"*REFUND*","*EXECUTED*"},DEALS!$G:$G,$B$191,DEALS!$E:$E,"&lt;"&amp;$C$193,DEALS!$K:$K,F$195,DEALS!$M:$M,$B201,DEALS!$N:$N,"&lt;&gt;*RECEIVED*",DEALS!$N:$N,"&lt;&gt;*EXECUTED*"))+SUM(SUMIFS(DEALS!$R:$R,DEALS!$A:$A,{"*REFUND*","*EXECUTED*"},DEALS!$O:$O,$B$191,DEALS!$E:$E,"&lt;"&amp;$C$193,DEALS!$S:$S,F$195,DEALS!$U:$U,$B201,DEALS!$V:$V,"&lt;&gt;*RECEIVED*",DEALS!$V:$V,"&lt;&gt;*EXECUTED*"))</f>
        <v>0</v>
      </c>
      <c r="G201" s="32" cm="1">
        <f t="array" ref="G201">SUMIFS(BALANCES!$C:$C,BALANCES!$A:$A,$B$191,BALANCES!$B:$B,$B201,BALANCES!$D:$D,G$195)+SUMIFS(FLOWS!$C:$C,FLOWS!$A:$A,$B$191,FLOWS!$E:$E,$B201,FLOWS!$D:$D,G$195,FLOWS!$H:$H,"&lt;"&amp;$C$193)+SUM(SUMIFS(DEALS!$J:$J,DEALS!$A:$A,{"*REFUND*","*EXECUTED*"},DEALS!$G:$G,$B$191,DEALS!$E:$E,"&lt;"&amp;$C$193,DEALS!$K:$K,G$195,DEALS!$M:$M,$B201,DEALS!$N:$N,"&lt;&gt;*RECEIVED*",DEALS!$N:$N,"&lt;&gt;*EXECUTED*"))+SUM(SUMIFS(DEALS!$R:$R,DEALS!$A:$A,{"*REFUND*","*EXECUTED*"},DEALS!$O:$O,$B$191,DEALS!$E:$E,"&lt;"&amp;$C$193,DEALS!$S:$S,G$195,DEALS!$U:$U,$B201,DEALS!$V:$V,"&lt;&gt;*RECEIVED*",DEALS!$V:$V,"&lt;&gt;*EXECUTED*"))</f>
        <v>0</v>
      </c>
      <c r="H201" s="32" cm="1">
        <f t="array" ref="H201">SUMIFS(BALANCES!$C:$C,BALANCES!$A:$A,$B$191,BALANCES!$B:$B,$B201,BALANCES!$D:$D,H$195)+SUMIFS(FLOWS!$C:$C,FLOWS!$A:$A,$B$191,FLOWS!$E:$E,$B201,FLOWS!$D:$D,H$195,FLOWS!$H:$H,"&lt;"&amp;$C$193)+SUM(SUMIFS(DEALS!$J:$J,DEALS!$A:$A,{"*REFUND*","*EXECUTED*"},DEALS!$G:$G,$B$191,DEALS!$E:$E,"&lt;"&amp;$C$193,DEALS!$K:$K,H$195,DEALS!$M:$M,$B201,DEALS!$N:$N,"&lt;&gt;*RECEIVED*",DEALS!$N:$N,"&lt;&gt;*EXECUTED*"))+SUM(SUMIFS(DEALS!$R:$R,DEALS!$A:$A,{"*REFUND*","*EXECUTED*"},DEALS!$O:$O,$B$191,DEALS!$E:$E,"&lt;"&amp;$C$193,DEALS!$S:$S,H$195,DEALS!$U:$U,$B201,DEALS!$V:$V,"&lt;&gt;*RECEIVED*",DEALS!$V:$V,"&lt;&gt;*EXECUTED*"))</f>
        <v>0</v>
      </c>
      <c r="I201" s="33">
        <f ca="1">C201*VLOOKUP(C$195,'FX RATES'!$E$1:$F$50,2,FALSE)+D201*VLOOKUP(D$195,'FX RATES'!$E$1:$F$50,2,FALSE)+E201*VLOOKUP(E$195,'FX RATES'!$E$1:$F$50,2,FALSE)+F201*VLOOKUP(F$195,'FX RATES'!$E$1:$F$50,2,FALSE)+G201*VLOOKUP(G$195,'FX RATES'!$E$1:$F$50,2,FALSE)+H201*VLOOKUP(H$195,'FX RATES'!$E$1:$F$50,2,FALSE)</f>
        <v>0</v>
      </c>
      <c r="K201" s="31">
        <f t="shared" si="67"/>
        <v>0</v>
      </c>
      <c r="L201" s="32" cm="1">
        <f t="array" ref="L201">SUMIFS(FLOWS!$C:$C,FLOWS!$A:$A,$B$191,FLOWS!$E:$E,$K201,FLOWS!$D:$D,L$195,FLOWS!$H:$H,"&gt;="&amp;$C$193,FLOWS!$H:$H,"&lt;="&amp;$U$193)+SUM(SUMIFS(DEALS!$J:$J,DEALS!$A:$A,{"*REFUND*","*EXECUTED*"},DEALS!$G:$G,$B$191,DEALS!$E:$E,"&gt;="&amp;$C$193,DEALS!$E:$E,"&lt;="&amp;$U$193,DEALS!$K:$K,L$195,DEALS!$M:$M,$K201,DEALS!$N:$N,"&lt;&gt;*RECEIVED*",DEALS!$N:$N,"&lt;&gt;*EXECUTED*"))+SUM(SUMIFS(DEALS!$R:$R,DEALS!$A:$A,{"*REFUND*","*EXECUTED*"},DEALS!$O:$O,$B$191,DEALS!$E:$E,"&gt;="&amp;$C$193,DEALS!$E:$E,"&lt;="&amp;$U$193,DEALS!$S:$S,L$195,DEALS!$U:$U,$K201,DEALS!$V:$V,"&lt;&gt;*RECEIVED*",DEALS!$V:$V,"&lt;&gt;*EXECUTED*"))</f>
        <v>0</v>
      </c>
      <c r="M201" s="32" cm="1">
        <f t="array" ref="M201">SUMIFS(FLOWS!$C:$C,FLOWS!$A:$A,$B$191,FLOWS!$E:$E,$K201,FLOWS!$D:$D,M$195,FLOWS!$H:$H,"&gt;="&amp;$C$193,FLOWS!$H:$H,"&lt;="&amp;$U$193)+SUM(SUMIFS(DEALS!$J:$J,DEALS!$A:$A,{"*REFUND*","*EXECUTED*"},DEALS!$G:$G,$B$191,DEALS!$E:$E,"&gt;="&amp;$C$193,DEALS!$E:$E,"&lt;="&amp;$U$193,DEALS!$K:$K,M$195,DEALS!$M:$M,$K201,DEALS!$N:$N,"&lt;&gt;*RECEIVED*",DEALS!$N:$N,"&lt;&gt;*EXECUTED*"))+SUM(SUMIFS(DEALS!$R:$R,DEALS!$A:$A,{"*REFUND*","*EXECUTED*"},DEALS!$O:$O,$B$191,DEALS!$E:$E,"&gt;="&amp;$C$193,DEALS!$E:$E,"&lt;="&amp;$U$193,DEALS!$S:$S,M$195,DEALS!$U:$U,$K201,DEALS!$V:$V,"&lt;&gt;*RECEIVED*",DEALS!$V:$V,"&lt;&gt;*EXECUTED*"))</f>
        <v>0</v>
      </c>
      <c r="N201" s="32" cm="1">
        <f t="array" ref="N201">SUMIFS(FLOWS!$C:$C,FLOWS!$A:$A,$B$191,FLOWS!$E:$E,$K201,FLOWS!$D:$D,N$195,FLOWS!$H:$H,"&gt;="&amp;$C$193,FLOWS!$H:$H,"&lt;="&amp;$U$193)+SUM(SUMIFS(DEALS!$J:$J,DEALS!$A:$A,{"*REFUND*","*EXECUTED*"},DEALS!$G:$G,$B$191,DEALS!$E:$E,"&gt;="&amp;$C$193,DEALS!$E:$E,"&lt;="&amp;$U$193,DEALS!$K:$K,N$195,DEALS!$M:$M,$K201,DEALS!$N:$N,"&lt;&gt;*RECEIVED*",DEALS!$N:$N,"&lt;&gt;*EXECUTED*"))+SUM(SUMIFS(DEALS!$R:$R,DEALS!$A:$A,{"*REFUND*","*EXECUTED*"},DEALS!$O:$O,$B$191,DEALS!$E:$E,"&gt;="&amp;$C$193,DEALS!$E:$E,"&lt;="&amp;$U$193,DEALS!$S:$S,N$195,DEALS!$U:$U,$K201,DEALS!$V:$V,"&lt;&gt;*RECEIVED*",DEALS!$V:$V,"&lt;&gt;*EXECUTED*"))</f>
        <v>0</v>
      </c>
      <c r="O201" s="32" cm="1">
        <f t="array" ref="O201">SUMIFS(FLOWS!$C:$C,FLOWS!$A:$A,$B$191,FLOWS!$E:$E,$K201,FLOWS!$D:$D,O$195,FLOWS!$H:$H,"&gt;="&amp;$C$193,FLOWS!$H:$H,"&lt;="&amp;$U$193)+SUM(SUMIFS(DEALS!$J:$J,DEALS!$A:$A,{"*REFUND*","*EXECUTED*"},DEALS!$G:$G,$B$191,DEALS!$E:$E,"&gt;="&amp;$C$193,DEALS!$E:$E,"&lt;="&amp;$U$193,DEALS!$K:$K,O$195,DEALS!$M:$M,$K201,DEALS!$N:$N,"&lt;&gt;*RECEIVED*",DEALS!$N:$N,"&lt;&gt;*EXECUTED*"))+SUM(SUMIFS(DEALS!$R:$R,DEALS!$A:$A,{"*REFUND*","*EXECUTED*"},DEALS!$O:$O,$B$191,DEALS!$E:$E,"&gt;="&amp;$C$193,DEALS!$E:$E,"&lt;="&amp;$U$193,DEALS!$S:$S,O$195,DEALS!$U:$U,$K201,DEALS!$V:$V,"&lt;&gt;*RECEIVED*",DEALS!$V:$V,"&lt;&gt;*EXECUTED*"))</f>
        <v>0</v>
      </c>
      <c r="P201" s="32" cm="1">
        <f t="array" ref="P201">SUMIFS(FLOWS!$C:$C,FLOWS!$A:$A,$B$191,FLOWS!$E:$E,$K201,FLOWS!$D:$D,P$195,FLOWS!$H:$H,"&gt;="&amp;$C$193,FLOWS!$H:$H,"&lt;="&amp;$U$193)+SUM(SUMIFS(DEALS!$J:$J,DEALS!$A:$A,{"*REFUND*","*EXECUTED*"},DEALS!$G:$G,$B$191,DEALS!$E:$E,"&gt;="&amp;$C$193,DEALS!$E:$E,"&lt;="&amp;$U$193,DEALS!$K:$K,P$195,DEALS!$M:$M,$K201,DEALS!$N:$N,"&lt;&gt;*RECEIVED*",DEALS!$N:$N,"&lt;&gt;*EXECUTED*"))+SUM(SUMIFS(DEALS!$R:$R,DEALS!$A:$A,{"*REFUND*","*EXECUTED*"},DEALS!$O:$O,$B$191,DEALS!$E:$E,"&gt;="&amp;$C$193,DEALS!$E:$E,"&lt;="&amp;$U$193,DEALS!$S:$S,P$195,DEALS!$U:$U,$K201,DEALS!$V:$V,"&lt;&gt;*RECEIVED*",DEALS!$V:$V,"&lt;&gt;*EXECUTED*"))</f>
        <v>0</v>
      </c>
      <c r="Q201" s="32" cm="1">
        <f t="array" ref="Q201">SUMIFS(FLOWS!$C:$C,FLOWS!$A:$A,$B$191,FLOWS!$E:$E,$K201,FLOWS!$D:$D,Q$195,FLOWS!$H:$H,"&gt;="&amp;$C$193,FLOWS!$H:$H,"&lt;="&amp;$U$193)+SUM(SUMIFS(DEALS!$J:$J,DEALS!$A:$A,{"*REFUND*","*EXECUTED*"},DEALS!$G:$G,$B$191,DEALS!$E:$E,"&gt;="&amp;$C$193,DEALS!$E:$E,"&lt;="&amp;$U$193,DEALS!$K:$K,Q$195,DEALS!$M:$M,$K201,DEALS!$N:$N,"&lt;&gt;*RECEIVED*",DEALS!$N:$N,"&lt;&gt;*EXECUTED*"))+SUM(SUMIFS(DEALS!$R:$R,DEALS!$A:$A,{"*REFUND*","*EXECUTED*"},DEALS!$O:$O,$B$191,DEALS!$E:$E,"&gt;="&amp;$C$193,DEALS!$E:$E,"&lt;="&amp;$U$193,DEALS!$S:$S,Q$195,DEALS!$U:$U,$K201,DEALS!$V:$V,"&lt;&gt;*RECEIVED*",DEALS!$V:$V,"&lt;&gt;*EXECUTED*"))</f>
        <v>0</v>
      </c>
      <c r="R201" s="33">
        <f ca="1">L201*VLOOKUP(L$195,'FX RATES'!$E$1:$F$50,2,FALSE)+M201*VLOOKUP(M$195,'FX RATES'!$E$1:$F$50,2,FALSE)+N201*VLOOKUP(N$195,'FX RATES'!$E$1:$F$50,2,FALSE)+O201*VLOOKUP(O$195,'FX RATES'!$E$1:$F$50,2,FALSE)+P201*VLOOKUP(P$195,'FX RATES'!$E$1:$F$50,2,FALSE)+Q201*VLOOKUP(Q$195,'FX RATES'!$E$1:$F$50,2,FALSE)</f>
        <v>0</v>
      </c>
      <c r="T201" s="31">
        <f t="shared" si="68"/>
        <v>0</v>
      </c>
      <c r="U201" s="32" cm="1">
        <f t="array" ref="U201">SUMIFS(BALANCES!$C:$C,BALANCES!$A:$A,$B$191,BALANCES!$B:$B,$T201,BALANCES!$D:$D,U$195)+SUMIFS(FLOWS!$C:$C,FLOWS!$A:$A,$B$191,FLOWS!$E:$E,$T201,FLOWS!$D:$D,U$195,FLOWS!$H:$H,"&lt;="&amp;$U$193)+SUM(SUMIFS(DEALS!$J:$J,DEALS!$A:$A,{"*REFUND*","*EXECUTED*"},DEALS!$G:$G,$B$191,DEALS!$E:$E,"&lt;="&amp;$U$193,DEALS!$K:$K,U$195,DEALS!$M:$M,$T201,DEALS!$N:$N,"&lt;&gt;*RECEIVED*",DEALS!$N:$N,"&lt;&gt;*EXECUTED*"))+SUM(SUMIFS(DEALS!$R:$R,DEALS!$A:$A,{"*REFUND*","*EXECUTED*"},DEALS!$O:$O,$B$191,DEALS!$E:$E,"&lt;="&amp;$U$193,DEALS!$S:$S,U$195,DEALS!$U:$U,$T201,DEALS!$V:$V,"&lt;&gt;*RECEIVED*",DEALS!$V:$V,"&lt;&gt;*EXECUTED*"))</f>
        <v>0</v>
      </c>
      <c r="V201" s="32" cm="1">
        <f t="array" ref="V201">SUMIFS(BALANCES!$C:$C,BALANCES!$A:$A,$B$191,BALANCES!$B:$B,$T201,BALANCES!$D:$D,V$195)+SUMIFS(FLOWS!$C:$C,FLOWS!$A:$A,$B$191,FLOWS!$E:$E,$T201,FLOWS!$D:$D,V$195,FLOWS!$H:$H,"&lt;="&amp;$U$193)+SUM(SUMIFS(DEALS!$J:$J,DEALS!$A:$A,{"*REFUND*","*EXECUTED*"},DEALS!$G:$G,$B$191,DEALS!$E:$E,"&lt;="&amp;$U$193,DEALS!$K:$K,V$195,DEALS!$M:$M,$T201,DEALS!$N:$N,"&lt;&gt;*RECEIVED*",DEALS!$N:$N,"&lt;&gt;*EXECUTED*"))+SUM(SUMIFS(DEALS!$R:$R,DEALS!$A:$A,{"*REFUND*","*EXECUTED*"},DEALS!$O:$O,$B$191,DEALS!$E:$E,"&lt;="&amp;$U$193,DEALS!$S:$S,V$195,DEALS!$U:$U,$T201,DEALS!$V:$V,"&lt;&gt;*RECEIVED*",DEALS!$V:$V,"&lt;&gt;*EXECUTED*"))</f>
        <v>0</v>
      </c>
      <c r="W201" s="32" cm="1">
        <f t="array" ref="W201">SUMIFS(BALANCES!$C:$C,BALANCES!$A:$A,$B$191,BALANCES!$B:$B,$T201,BALANCES!$D:$D,W$195)+SUMIFS(FLOWS!$C:$C,FLOWS!$A:$A,$B$191,FLOWS!$E:$E,$T201,FLOWS!$D:$D,W$195,FLOWS!$H:$H,"&lt;="&amp;$U$193)+SUM(SUMIFS(DEALS!$J:$J,DEALS!$A:$A,{"*REFUND*","*EXECUTED*"},DEALS!$G:$G,$B$191,DEALS!$E:$E,"&lt;="&amp;$U$193,DEALS!$K:$K,W$195,DEALS!$M:$M,$T201,DEALS!$N:$N,"&lt;&gt;*RECEIVED*",DEALS!$N:$N,"&lt;&gt;*EXECUTED*"))+SUM(SUMIFS(DEALS!$R:$R,DEALS!$A:$A,{"*REFUND*","*EXECUTED*"},DEALS!$O:$O,$B$191,DEALS!$E:$E,"&lt;="&amp;$U$193,DEALS!$S:$S,W$195,DEALS!$U:$U,$T201,DEALS!$V:$V,"&lt;&gt;*RECEIVED*",DEALS!$V:$V,"&lt;&gt;*EXECUTED*"))</f>
        <v>0</v>
      </c>
      <c r="X201" s="32" cm="1">
        <f t="array" ref="X201">SUMIFS(BALANCES!$C:$C,BALANCES!$A:$A,$B$191,BALANCES!$B:$B,$T201,BALANCES!$D:$D,X$195)+SUMIFS(FLOWS!$C:$C,FLOWS!$A:$A,$B$191,FLOWS!$E:$E,$T201,FLOWS!$D:$D,X$195,FLOWS!$H:$H,"&lt;="&amp;$U$193)+SUM(SUMIFS(DEALS!$J:$J,DEALS!$A:$A,{"*REFUND*","*EXECUTED*"},DEALS!$G:$G,$B$191,DEALS!$E:$E,"&lt;="&amp;$U$193,DEALS!$K:$K,X$195,DEALS!$M:$M,$T201,DEALS!$N:$N,"&lt;&gt;*RECEIVED*",DEALS!$N:$N,"&lt;&gt;*EXECUTED*"))+SUM(SUMIFS(DEALS!$R:$R,DEALS!$A:$A,{"*REFUND*","*EXECUTED*"},DEALS!$O:$O,$B$191,DEALS!$E:$E,"&lt;="&amp;$U$193,DEALS!$S:$S,X$195,DEALS!$U:$U,$T201,DEALS!$V:$V,"&lt;&gt;*RECEIVED*",DEALS!$V:$V,"&lt;&gt;*EXECUTED*"))</f>
        <v>0</v>
      </c>
      <c r="Y201" s="32" cm="1">
        <f t="array" ref="Y201">SUMIFS(BALANCES!$C:$C,BALANCES!$A:$A,$B$191,BALANCES!$B:$B,$T201,BALANCES!$D:$D,Y$195)+SUMIFS(FLOWS!$C:$C,FLOWS!$A:$A,$B$191,FLOWS!$E:$E,$T201,FLOWS!$D:$D,Y$195,FLOWS!$H:$H,"&lt;="&amp;$U$193)+SUM(SUMIFS(DEALS!$J:$J,DEALS!$A:$A,{"*REFUND*","*EXECUTED*"},DEALS!$G:$G,$B$191,DEALS!$E:$E,"&lt;="&amp;$U$193,DEALS!$K:$K,Y$195,DEALS!$M:$M,$T201,DEALS!$N:$N,"&lt;&gt;*RECEIVED*",DEALS!$N:$N,"&lt;&gt;*EXECUTED*"))+SUM(SUMIFS(DEALS!$R:$R,DEALS!$A:$A,{"*REFUND*","*EXECUTED*"},DEALS!$O:$O,$B$191,DEALS!$E:$E,"&lt;="&amp;$U$193,DEALS!$S:$S,Y$195,DEALS!$U:$U,$T201,DEALS!$V:$V,"&lt;&gt;*RECEIVED*",DEALS!$V:$V,"&lt;&gt;*EXECUTED*"))</f>
        <v>0</v>
      </c>
      <c r="Z201" s="32" cm="1">
        <f t="array" ref="Z201">SUMIFS(BALANCES!$C:$C,BALANCES!$A:$A,$B$191,BALANCES!$B:$B,$T201,BALANCES!$D:$D,Z$195)+SUMIFS(FLOWS!$C:$C,FLOWS!$A:$A,$B$191,FLOWS!$E:$E,$T201,FLOWS!$D:$D,Z$195,FLOWS!$H:$H,"&lt;="&amp;$U$193)+SUM(SUMIFS(DEALS!$J:$J,DEALS!$A:$A,{"*REFUND*","*EXECUTED*"},DEALS!$G:$G,$B$191,DEALS!$E:$E,"&lt;="&amp;$U$193,DEALS!$K:$K,Z$195,DEALS!$M:$M,$T201,DEALS!$N:$N,"&lt;&gt;*RECEIVED*",DEALS!$N:$N,"&lt;&gt;*EXECUTED*"))+SUM(SUMIFS(DEALS!$R:$R,DEALS!$A:$A,{"*REFUND*","*EXECUTED*"},DEALS!$O:$O,$B$191,DEALS!$E:$E,"&lt;="&amp;$U$193,DEALS!$S:$S,Z$195,DEALS!$U:$U,$T201,DEALS!$V:$V,"&lt;&gt;*RECEIVED*",DEALS!$V:$V,"&lt;&gt;*EXECUTED*"))</f>
        <v>0</v>
      </c>
      <c r="AA201" s="33">
        <f ca="1">U201*VLOOKUP(U$195,'FX RATES'!$E$1:$F$50,2,FALSE)+V201*VLOOKUP(V$195,'FX RATES'!$E$1:$F$50,2,FALSE)+W201*VLOOKUP(W$195,'FX RATES'!$E$1:$F$50,2,FALSE)+X201*VLOOKUP(X$195,'FX RATES'!$E$1:$F$50,2,FALSE)+Y201*VLOOKUP(Y$195,'FX RATES'!$E$1:$F$50,2,FALSE)+Z201*VLOOKUP(Z$195,'FX RATES'!$E$1:$F$50,2,FALSE)</f>
        <v>0</v>
      </c>
      <c r="AC201" s="139">
        <f t="shared" ca="1" si="69"/>
        <v>0</v>
      </c>
    </row>
    <row r="202" spans="2:29" ht="18.75" hidden="1" customHeight="1">
      <c r="B202" s="28"/>
      <c r="C202" s="29" cm="1">
        <f t="array" ref="C202">SUMIFS(BALANCES!$C:$C,BALANCES!$A:$A,$B$191,BALANCES!$B:$B,$B202,BALANCES!$D:$D,C$195)+SUMIFS(FLOWS!$C:$C,FLOWS!$A:$A,$B$191,FLOWS!$E:$E,$B202,FLOWS!$D:$D,C$195,FLOWS!$H:$H,"&lt;"&amp;$C$193)+SUM(SUMIFS(DEALS!$J:$J,DEALS!$A:$A,{"*REFUND*","*EXECUTED*"},DEALS!$G:$G,$B$191,DEALS!$E:$E,"&lt;"&amp;$C$193,DEALS!$K:$K,C$195,DEALS!$M:$M,$B202,DEALS!$N:$N,"&lt;&gt;*RECEIVED*",DEALS!$N:$N,"&lt;&gt;*EXECUTED*"))+SUM(SUMIFS(DEALS!$R:$R,DEALS!$A:$A,{"*REFUND*","*EXECUTED*"},DEALS!$O:$O,$B$191,DEALS!$E:$E,"&lt;"&amp;$C$193,DEALS!$S:$S,C$195,DEALS!$U:$U,$B202,DEALS!$V:$V,"&lt;&gt;*RECEIVED*",DEALS!$V:$V,"&lt;&gt;*EXECUTED*"))</f>
        <v>0</v>
      </c>
      <c r="D202" s="29" cm="1">
        <f t="array" ref="D202">SUMIFS(BALANCES!$C:$C,BALANCES!$A:$A,$B$191,BALANCES!$B:$B,$B202,BALANCES!$D:$D,D$195)+SUMIFS(FLOWS!$C:$C,FLOWS!$A:$A,$B$191,FLOWS!$E:$E,$B202,FLOWS!$D:$D,D$195,FLOWS!$H:$H,"&lt;"&amp;$C$193)+SUM(SUMIFS(DEALS!$J:$J,DEALS!$A:$A,{"*REFUND*","*EXECUTED*"},DEALS!$G:$G,$B$191,DEALS!$E:$E,"&lt;"&amp;$C$193,DEALS!$K:$K,D$195,DEALS!$M:$M,$B202,DEALS!$N:$N,"&lt;&gt;*RECEIVED*",DEALS!$N:$N,"&lt;&gt;*EXECUTED*"))+SUM(SUMIFS(DEALS!$R:$R,DEALS!$A:$A,{"*REFUND*","*EXECUTED*"},DEALS!$O:$O,$B$191,DEALS!$E:$E,"&lt;"&amp;$C$193,DEALS!$S:$S,D$195,DEALS!$U:$U,$B202,DEALS!$V:$V,"&lt;&gt;*RECEIVED*",DEALS!$V:$V,"&lt;&gt;*EXECUTED*"))</f>
        <v>0</v>
      </c>
      <c r="E202" s="29" cm="1">
        <f t="array" ref="E202">SUMIFS(BALANCES!$C:$C,BALANCES!$A:$A,$B$191,BALANCES!$B:$B,$B202,BALANCES!$D:$D,E$195)+SUMIFS(FLOWS!$C:$C,FLOWS!$A:$A,$B$191,FLOWS!$E:$E,$B202,FLOWS!$D:$D,E$195,FLOWS!$H:$H,"&lt;"&amp;$C$193)+SUM(SUMIFS(DEALS!$J:$J,DEALS!$A:$A,{"*REFUND*","*EXECUTED*"},DEALS!$G:$G,$B$191,DEALS!$E:$E,"&lt;"&amp;$C$193,DEALS!$K:$K,E$195,DEALS!$M:$M,$B202,DEALS!$N:$N,"&lt;&gt;*RECEIVED*",DEALS!$N:$N,"&lt;&gt;*EXECUTED*"))+SUM(SUMIFS(DEALS!$R:$R,DEALS!$A:$A,{"*REFUND*","*EXECUTED*"},DEALS!$O:$O,$B$191,DEALS!$E:$E,"&lt;"&amp;$C$193,DEALS!$S:$S,E$195,DEALS!$U:$U,$B202,DEALS!$V:$V,"&lt;&gt;*RECEIVED*",DEALS!$V:$V,"&lt;&gt;*EXECUTED*"))</f>
        <v>0</v>
      </c>
      <c r="F202" s="29" cm="1">
        <f t="array" ref="F202">SUMIFS(BALANCES!$C:$C,BALANCES!$A:$A,$B$191,BALANCES!$B:$B,$B202,BALANCES!$D:$D,F$195)+SUMIFS(FLOWS!$C:$C,FLOWS!$A:$A,$B$191,FLOWS!$E:$E,$B202,FLOWS!$D:$D,F$195,FLOWS!$H:$H,"&lt;"&amp;$C$193)+SUM(SUMIFS(DEALS!$J:$J,DEALS!$A:$A,{"*REFUND*","*EXECUTED*"},DEALS!$G:$G,$B$191,DEALS!$E:$E,"&lt;"&amp;$C$193,DEALS!$K:$K,F$195,DEALS!$M:$M,$B202,DEALS!$N:$N,"&lt;&gt;*RECEIVED*",DEALS!$N:$N,"&lt;&gt;*EXECUTED*"))+SUM(SUMIFS(DEALS!$R:$R,DEALS!$A:$A,{"*REFUND*","*EXECUTED*"},DEALS!$O:$O,$B$191,DEALS!$E:$E,"&lt;"&amp;$C$193,DEALS!$S:$S,F$195,DEALS!$U:$U,$B202,DEALS!$V:$V,"&lt;&gt;*RECEIVED*",DEALS!$V:$V,"&lt;&gt;*EXECUTED*"))</f>
        <v>0</v>
      </c>
      <c r="G202" s="29" cm="1">
        <f t="array" ref="G202">SUMIFS(BALANCES!$C:$C,BALANCES!$A:$A,$B$191,BALANCES!$B:$B,$B202,BALANCES!$D:$D,G$195)+SUMIFS(FLOWS!$C:$C,FLOWS!$A:$A,$B$191,FLOWS!$E:$E,$B202,FLOWS!$D:$D,G$195,FLOWS!$H:$H,"&lt;"&amp;$C$193)+SUM(SUMIFS(DEALS!$J:$J,DEALS!$A:$A,{"*REFUND*","*EXECUTED*"},DEALS!$G:$G,$B$191,DEALS!$E:$E,"&lt;"&amp;$C$193,DEALS!$K:$K,G$195,DEALS!$M:$M,$B202,DEALS!$N:$N,"&lt;&gt;*RECEIVED*",DEALS!$N:$N,"&lt;&gt;*EXECUTED*"))+SUM(SUMIFS(DEALS!$R:$R,DEALS!$A:$A,{"*REFUND*","*EXECUTED*"},DEALS!$O:$O,$B$191,DEALS!$E:$E,"&lt;"&amp;$C$193,DEALS!$S:$S,G$195,DEALS!$U:$U,$B202,DEALS!$V:$V,"&lt;&gt;*RECEIVED*",DEALS!$V:$V,"&lt;&gt;*EXECUTED*"))</f>
        <v>0</v>
      </c>
      <c r="H202" s="29" cm="1">
        <f t="array" ref="H202">SUMIFS(BALANCES!$C:$C,BALANCES!$A:$A,$B$191,BALANCES!$B:$B,$B202,BALANCES!$D:$D,H$195)+SUMIFS(FLOWS!$C:$C,FLOWS!$A:$A,$B$191,FLOWS!$E:$E,$B202,FLOWS!$D:$D,H$195,FLOWS!$H:$H,"&lt;"&amp;$C$193)+SUM(SUMIFS(DEALS!$J:$J,DEALS!$A:$A,{"*REFUND*","*EXECUTED*"},DEALS!$G:$G,$B$191,DEALS!$E:$E,"&lt;"&amp;$C$193,DEALS!$K:$K,H$195,DEALS!$M:$M,$B202,DEALS!$N:$N,"&lt;&gt;*RECEIVED*",DEALS!$N:$N,"&lt;&gt;*EXECUTED*"))+SUM(SUMIFS(DEALS!$R:$R,DEALS!$A:$A,{"*REFUND*","*EXECUTED*"},DEALS!$O:$O,$B$191,DEALS!$E:$E,"&lt;"&amp;$C$193,DEALS!$S:$S,H$195,DEALS!$U:$U,$B202,DEALS!$V:$V,"&lt;&gt;*RECEIVED*",DEALS!$V:$V,"&lt;&gt;*EXECUTED*"))</f>
        <v>0</v>
      </c>
      <c r="I202" s="30">
        <f ca="1">C202*VLOOKUP(C$195,'FX RATES'!$E$1:$F$50,2,FALSE)+D202*VLOOKUP(D$195,'FX RATES'!$E$1:$F$50,2,FALSE)+E202*VLOOKUP(E$195,'FX RATES'!$E$1:$F$50,2,FALSE)+F202*VLOOKUP(F$195,'FX RATES'!$E$1:$F$50,2,FALSE)+G202*VLOOKUP(G$195,'FX RATES'!$E$1:$F$50,2,FALSE)+H202*VLOOKUP(H$195,'FX RATES'!$E$1:$F$50,2,FALSE)</f>
        <v>0</v>
      </c>
      <c r="K202" s="28">
        <f t="shared" si="67"/>
        <v>0</v>
      </c>
      <c r="L202" s="29" cm="1">
        <f t="array" ref="L202">SUMIFS(FLOWS!$C:$C,FLOWS!$A:$A,$B$191,FLOWS!$E:$E,$K202,FLOWS!$D:$D,L$195,FLOWS!$H:$H,"&gt;="&amp;$C$193,FLOWS!$H:$H,"&lt;="&amp;$U$193)+SUM(SUMIFS(DEALS!$J:$J,DEALS!$A:$A,{"*REFUND*","*EXECUTED*"},DEALS!$G:$G,$B$191,DEALS!$E:$E,"&gt;="&amp;$C$193,DEALS!$E:$E,"&lt;="&amp;$U$193,DEALS!$K:$K,L$195,DEALS!$M:$M,$K202,DEALS!$N:$N,"&lt;&gt;*RECEIVED*",DEALS!$N:$N,"&lt;&gt;*EXECUTED*"))+SUM(SUMIFS(DEALS!$R:$R,DEALS!$A:$A,{"*REFUND*","*EXECUTED*"},DEALS!$O:$O,$B$191,DEALS!$E:$E,"&gt;="&amp;$C$193,DEALS!$E:$E,"&lt;="&amp;$U$193,DEALS!$S:$S,L$195,DEALS!$U:$U,$K202,DEALS!$V:$V,"&lt;&gt;*RECEIVED*",DEALS!$V:$V,"&lt;&gt;*EXECUTED*"))</f>
        <v>0</v>
      </c>
      <c r="M202" s="29" cm="1">
        <f t="array" ref="M202">SUMIFS(FLOWS!$C:$C,FLOWS!$A:$A,$B$191,FLOWS!$E:$E,$K202,FLOWS!$D:$D,M$195,FLOWS!$H:$H,"&gt;="&amp;$C$193,FLOWS!$H:$H,"&lt;="&amp;$U$193)+SUM(SUMIFS(DEALS!$J:$J,DEALS!$A:$A,{"*REFUND*","*EXECUTED*"},DEALS!$G:$G,$B$191,DEALS!$E:$E,"&gt;="&amp;$C$193,DEALS!$E:$E,"&lt;="&amp;$U$193,DEALS!$K:$K,M$195,DEALS!$M:$M,$K202,DEALS!$N:$N,"&lt;&gt;*RECEIVED*",DEALS!$N:$N,"&lt;&gt;*EXECUTED*"))+SUM(SUMIFS(DEALS!$R:$R,DEALS!$A:$A,{"*REFUND*","*EXECUTED*"},DEALS!$O:$O,$B$191,DEALS!$E:$E,"&gt;="&amp;$C$193,DEALS!$E:$E,"&lt;="&amp;$U$193,DEALS!$S:$S,M$195,DEALS!$U:$U,$K202,DEALS!$V:$V,"&lt;&gt;*RECEIVED*",DEALS!$V:$V,"&lt;&gt;*EXECUTED*"))</f>
        <v>0</v>
      </c>
      <c r="N202" s="29" cm="1">
        <f t="array" ref="N202">SUMIFS(FLOWS!$C:$C,FLOWS!$A:$A,$B$191,FLOWS!$E:$E,$K202,FLOWS!$D:$D,N$195,FLOWS!$H:$H,"&gt;="&amp;$C$193,FLOWS!$H:$H,"&lt;="&amp;$U$193)+SUM(SUMIFS(DEALS!$J:$J,DEALS!$A:$A,{"*REFUND*","*EXECUTED*"},DEALS!$G:$G,$B$191,DEALS!$E:$E,"&gt;="&amp;$C$193,DEALS!$E:$E,"&lt;="&amp;$U$193,DEALS!$K:$K,N$195,DEALS!$M:$M,$K202,DEALS!$N:$N,"&lt;&gt;*RECEIVED*",DEALS!$N:$N,"&lt;&gt;*EXECUTED*"))+SUM(SUMIFS(DEALS!$R:$R,DEALS!$A:$A,{"*REFUND*","*EXECUTED*"},DEALS!$O:$O,$B$191,DEALS!$E:$E,"&gt;="&amp;$C$193,DEALS!$E:$E,"&lt;="&amp;$U$193,DEALS!$S:$S,N$195,DEALS!$U:$U,$K202,DEALS!$V:$V,"&lt;&gt;*RECEIVED*",DEALS!$V:$V,"&lt;&gt;*EXECUTED*"))</f>
        <v>0</v>
      </c>
      <c r="O202" s="29" cm="1">
        <f t="array" ref="O202">SUMIFS(FLOWS!$C:$C,FLOWS!$A:$A,$B$191,FLOWS!$E:$E,$K202,FLOWS!$D:$D,O$195,FLOWS!$H:$H,"&gt;="&amp;$C$193,FLOWS!$H:$H,"&lt;="&amp;$U$193)+SUM(SUMIFS(DEALS!$J:$J,DEALS!$A:$A,{"*REFUND*","*EXECUTED*"},DEALS!$G:$G,$B$191,DEALS!$E:$E,"&gt;="&amp;$C$193,DEALS!$E:$E,"&lt;="&amp;$U$193,DEALS!$K:$K,O$195,DEALS!$M:$M,$K202,DEALS!$N:$N,"&lt;&gt;*RECEIVED*",DEALS!$N:$N,"&lt;&gt;*EXECUTED*"))+SUM(SUMIFS(DEALS!$R:$R,DEALS!$A:$A,{"*REFUND*","*EXECUTED*"},DEALS!$O:$O,$B$191,DEALS!$E:$E,"&gt;="&amp;$C$193,DEALS!$E:$E,"&lt;="&amp;$U$193,DEALS!$S:$S,O$195,DEALS!$U:$U,$K202,DEALS!$V:$V,"&lt;&gt;*RECEIVED*",DEALS!$V:$V,"&lt;&gt;*EXECUTED*"))</f>
        <v>0</v>
      </c>
      <c r="P202" s="29" cm="1">
        <f t="array" ref="P202">SUMIFS(FLOWS!$C:$C,FLOWS!$A:$A,$B$191,FLOWS!$E:$E,$K202,FLOWS!$D:$D,P$195,FLOWS!$H:$H,"&gt;="&amp;$C$193,FLOWS!$H:$H,"&lt;="&amp;$U$193)+SUM(SUMIFS(DEALS!$J:$J,DEALS!$A:$A,{"*REFUND*","*EXECUTED*"},DEALS!$G:$G,$B$191,DEALS!$E:$E,"&gt;="&amp;$C$193,DEALS!$E:$E,"&lt;="&amp;$U$193,DEALS!$K:$K,P$195,DEALS!$M:$M,$K202,DEALS!$N:$N,"&lt;&gt;*RECEIVED*",DEALS!$N:$N,"&lt;&gt;*EXECUTED*"))+SUM(SUMIFS(DEALS!$R:$R,DEALS!$A:$A,{"*REFUND*","*EXECUTED*"},DEALS!$O:$O,$B$191,DEALS!$E:$E,"&gt;="&amp;$C$193,DEALS!$E:$E,"&lt;="&amp;$U$193,DEALS!$S:$S,P$195,DEALS!$U:$U,$K202,DEALS!$V:$V,"&lt;&gt;*RECEIVED*",DEALS!$V:$V,"&lt;&gt;*EXECUTED*"))</f>
        <v>0</v>
      </c>
      <c r="Q202" s="29" cm="1">
        <f t="array" ref="Q202">SUMIFS(FLOWS!$C:$C,FLOWS!$A:$A,$B$191,FLOWS!$E:$E,$K202,FLOWS!$D:$D,Q$195,FLOWS!$H:$H,"&gt;="&amp;$C$193,FLOWS!$H:$H,"&lt;="&amp;$U$193)+SUM(SUMIFS(DEALS!$J:$J,DEALS!$A:$A,{"*REFUND*","*EXECUTED*"},DEALS!$G:$G,$B$191,DEALS!$E:$E,"&gt;="&amp;$C$193,DEALS!$E:$E,"&lt;="&amp;$U$193,DEALS!$K:$K,Q$195,DEALS!$M:$M,$K202,DEALS!$N:$N,"&lt;&gt;*RECEIVED*",DEALS!$N:$N,"&lt;&gt;*EXECUTED*"))+SUM(SUMIFS(DEALS!$R:$R,DEALS!$A:$A,{"*REFUND*","*EXECUTED*"},DEALS!$O:$O,$B$191,DEALS!$E:$E,"&gt;="&amp;$C$193,DEALS!$E:$E,"&lt;="&amp;$U$193,DEALS!$S:$S,Q$195,DEALS!$U:$U,$K202,DEALS!$V:$V,"&lt;&gt;*RECEIVED*",DEALS!$V:$V,"&lt;&gt;*EXECUTED*"))</f>
        <v>0</v>
      </c>
      <c r="R202" s="30">
        <f ca="1">L202*VLOOKUP(L$195,'FX RATES'!$E$1:$F$50,2,FALSE)+M202*VLOOKUP(M$195,'FX RATES'!$E$1:$F$50,2,FALSE)+N202*VLOOKUP(N$195,'FX RATES'!$E$1:$F$50,2,FALSE)+O202*VLOOKUP(O$195,'FX RATES'!$E$1:$F$50,2,FALSE)+P202*VLOOKUP(P$195,'FX RATES'!$E$1:$F$50,2,FALSE)+Q202*VLOOKUP(Q$195,'FX RATES'!$E$1:$F$50,2,FALSE)</f>
        <v>0</v>
      </c>
      <c r="T202" s="28">
        <f t="shared" si="68"/>
        <v>0</v>
      </c>
      <c r="U202" s="29" cm="1">
        <f t="array" ref="U202">SUMIFS(BALANCES!$C:$C,BALANCES!$A:$A,$B$191,BALANCES!$B:$B,$T202,BALANCES!$D:$D,U$195)+SUMIFS(FLOWS!$C:$C,FLOWS!$A:$A,$B$191,FLOWS!$E:$E,$T202,FLOWS!$D:$D,U$195,FLOWS!$H:$H,"&lt;="&amp;$U$193)+SUM(SUMIFS(DEALS!$J:$J,DEALS!$A:$A,{"*REFUND*","*EXECUTED*"},DEALS!$G:$G,$B$191,DEALS!$E:$E,"&lt;="&amp;$U$193,DEALS!$K:$K,U$195,DEALS!$M:$M,$T202,DEALS!$N:$N,"&lt;&gt;*RECEIVED*",DEALS!$N:$N,"&lt;&gt;*EXECUTED*"))+SUM(SUMIFS(DEALS!$R:$R,DEALS!$A:$A,{"*REFUND*","*EXECUTED*"},DEALS!$O:$O,$B$191,DEALS!$E:$E,"&lt;="&amp;$U$193,DEALS!$S:$S,U$195,DEALS!$U:$U,$T202,DEALS!$V:$V,"&lt;&gt;*RECEIVED*",DEALS!$V:$V,"&lt;&gt;*EXECUTED*"))</f>
        <v>0</v>
      </c>
      <c r="V202" s="29" cm="1">
        <f t="array" ref="V202">SUMIFS(BALANCES!$C:$C,BALANCES!$A:$A,$B$191,BALANCES!$B:$B,$T202,BALANCES!$D:$D,V$195)+SUMIFS(FLOWS!$C:$C,FLOWS!$A:$A,$B$191,FLOWS!$E:$E,$T202,FLOWS!$D:$D,V$195,FLOWS!$H:$H,"&lt;="&amp;$U$193)+SUM(SUMIFS(DEALS!$J:$J,DEALS!$A:$A,{"*REFUND*","*EXECUTED*"},DEALS!$G:$G,$B$191,DEALS!$E:$E,"&lt;="&amp;$U$193,DEALS!$K:$K,V$195,DEALS!$M:$M,$T202,DEALS!$N:$N,"&lt;&gt;*RECEIVED*",DEALS!$N:$N,"&lt;&gt;*EXECUTED*"))+SUM(SUMIFS(DEALS!$R:$R,DEALS!$A:$A,{"*REFUND*","*EXECUTED*"},DEALS!$O:$O,$B$191,DEALS!$E:$E,"&lt;="&amp;$U$193,DEALS!$S:$S,V$195,DEALS!$U:$U,$T202,DEALS!$V:$V,"&lt;&gt;*RECEIVED*",DEALS!$V:$V,"&lt;&gt;*EXECUTED*"))</f>
        <v>0</v>
      </c>
      <c r="W202" s="29" cm="1">
        <f t="array" ref="W202">SUMIFS(BALANCES!$C:$C,BALANCES!$A:$A,$B$191,BALANCES!$B:$B,$T202,BALANCES!$D:$D,W$195)+SUMIFS(FLOWS!$C:$C,FLOWS!$A:$A,$B$191,FLOWS!$E:$E,$T202,FLOWS!$D:$D,W$195,FLOWS!$H:$H,"&lt;="&amp;$U$193)+SUM(SUMIFS(DEALS!$J:$J,DEALS!$A:$A,{"*REFUND*","*EXECUTED*"},DEALS!$G:$G,$B$191,DEALS!$E:$E,"&lt;="&amp;$U$193,DEALS!$K:$K,W$195,DEALS!$M:$M,$T202,DEALS!$N:$N,"&lt;&gt;*RECEIVED*",DEALS!$N:$N,"&lt;&gt;*EXECUTED*"))+SUM(SUMIFS(DEALS!$R:$R,DEALS!$A:$A,{"*REFUND*","*EXECUTED*"},DEALS!$O:$O,$B$191,DEALS!$E:$E,"&lt;="&amp;$U$193,DEALS!$S:$S,W$195,DEALS!$U:$U,$T202,DEALS!$V:$V,"&lt;&gt;*RECEIVED*",DEALS!$V:$V,"&lt;&gt;*EXECUTED*"))</f>
        <v>0</v>
      </c>
      <c r="X202" s="29" cm="1">
        <f t="array" ref="X202">SUMIFS(BALANCES!$C:$C,BALANCES!$A:$A,$B$191,BALANCES!$B:$B,$T202,BALANCES!$D:$D,X$195)+SUMIFS(FLOWS!$C:$C,FLOWS!$A:$A,$B$191,FLOWS!$E:$E,$T202,FLOWS!$D:$D,X$195,FLOWS!$H:$H,"&lt;="&amp;$U$193)+SUM(SUMIFS(DEALS!$J:$J,DEALS!$A:$A,{"*REFUND*","*EXECUTED*"},DEALS!$G:$G,$B$191,DEALS!$E:$E,"&lt;="&amp;$U$193,DEALS!$K:$K,X$195,DEALS!$M:$M,$T202,DEALS!$N:$N,"&lt;&gt;*RECEIVED*",DEALS!$N:$N,"&lt;&gt;*EXECUTED*"))+SUM(SUMIFS(DEALS!$R:$R,DEALS!$A:$A,{"*REFUND*","*EXECUTED*"},DEALS!$O:$O,$B$191,DEALS!$E:$E,"&lt;="&amp;$U$193,DEALS!$S:$S,X$195,DEALS!$U:$U,$T202,DEALS!$V:$V,"&lt;&gt;*RECEIVED*",DEALS!$V:$V,"&lt;&gt;*EXECUTED*"))</f>
        <v>0</v>
      </c>
      <c r="Y202" s="29" cm="1">
        <f t="array" ref="Y202">SUMIFS(BALANCES!$C:$C,BALANCES!$A:$A,$B$191,BALANCES!$B:$B,$T202,BALANCES!$D:$D,Y$195)+SUMIFS(FLOWS!$C:$C,FLOWS!$A:$A,$B$191,FLOWS!$E:$E,$T202,FLOWS!$D:$D,Y$195,FLOWS!$H:$H,"&lt;="&amp;$U$193)+SUM(SUMIFS(DEALS!$J:$J,DEALS!$A:$A,{"*REFUND*","*EXECUTED*"},DEALS!$G:$G,$B$191,DEALS!$E:$E,"&lt;="&amp;$U$193,DEALS!$K:$K,Y$195,DEALS!$M:$M,$T202,DEALS!$N:$N,"&lt;&gt;*RECEIVED*",DEALS!$N:$N,"&lt;&gt;*EXECUTED*"))+SUM(SUMIFS(DEALS!$R:$R,DEALS!$A:$A,{"*REFUND*","*EXECUTED*"},DEALS!$O:$O,$B$191,DEALS!$E:$E,"&lt;="&amp;$U$193,DEALS!$S:$S,Y$195,DEALS!$U:$U,$T202,DEALS!$V:$V,"&lt;&gt;*RECEIVED*",DEALS!$V:$V,"&lt;&gt;*EXECUTED*"))</f>
        <v>0</v>
      </c>
      <c r="Z202" s="29" cm="1">
        <f t="array" ref="Z202">SUMIFS(BALANCES!$C:$C,BALANCES!$A:$A,$B$191,BALANCES!$B:$B,$T202,BALANCES!$D:$D,Z$195)+SUMIFS(FLOWS!$C:$C,FLOWS!$A:$A,$B$191,FLOWS!$E:$E,$T202,FLOWS!$D:$D,Z$195,FLOWS!$H:$H,"&lt;="&amp;$U$193)+SUM(SUMIFS(DEALS!$J:$J,DEALS!$A:$A,{"*REFUND*","*EXECUTED*"},DEALS!$G:$G,$B$191,DEALS!$E:$E,"&lt;="&amp;$U$193,DEALS!$K:$K,Z$195,DEALS!$M:$M,$T202,DEALS!$N:$N,"&lt;&gt;*RECEIVED*",DEALS!$N:$N,"&lt;&gt;*EXECUTED*"))+SUM(SUMIFS(DEALS!$R:$R,DEALS!$A:$A,{"*REFUND*","*EXECUTED*"},DEALS!$O:$O,$B$191,DEALS!$E:$E,"&lt;="&amp;$U$193,DEALS!$S:$S,Z$195,DEALS!$U:$U,$T202,DEALS!$V:$V,"&lt;&gt;*RECEIVED*",DEALS!$V:$V,"&lt;&gt;*EXECUTED*"))</f>
        <v>0</v>
      </c>
      <c r="AA202" s="30">
        <f ca="1">U202*VLOOKUP(U$195,'FX RATES'!$E$1:$F$50,2,FALSE)+V202*VLOOKUP(V$195,'FX RATES'!$E$1:$F$50,2,FALSE)+W202*VLOOKUP(W$195,'FX RATES'!$E$1:$F$50,2,FALSE)+X202*VLOOKUP(X$195,'FX RATES'!$E$1:$F$50,2,FALSE)+Y202*VLOOKUP(Y$195,'FX RATES'!$E$1:$F$50,2,FALSE)+Z202*VLOOKUP(Z$195,'FX RATES'!$E$1:$F$50,2,FALSE)</f>
        <v>0</v>
      </c>
      <c r="AC202" s="139">
        <f t="shared" ca="1" si="69"/>
        <v>0</v>
      </c>
    </row>
    <row r="203" spans="2:29" ht="18.75" hidden="1" customHeight="1">
      <c r="B203" s="31"/>
      <c r="C203" s="32" cm="1">
        <f t="array" ref="C203">SUMIFS(BALANCES!$C:$C,BALANCES!$A:$A,$B$191,BALANCES!$B:$B,$B203,BALANCES!$D:$D,C$195)+SUMIFS(FLOWS!$C:$C,FLOWS!$A:$A,$B$191,FLOWS!$E:$E,$B203,FLOWS!$D:$D,C$195,FLOWS!$H:$H,"&lt;"&amp;$C$193)+SUM(SUMIFS(DEALS!$J:$J,DEALS!$A:$A,{"*REFUND*","*EXECUTED*"},DEALS!$G:$G,$B$191,DEALS!$E:$E,"&lt;"&amp;$C$193,DEALS!$K:$K,C$195,DEALS!$M:$M,$B203,DEALS!$N:$N,"&lt;&gt;*RECEIVED*",DEALS!$N:$N,"&lt;&gt;*EXECUTED*"))+SUM(SUMIFS(DEALS!$R:$R,DEALS!$A:$A,{"*REFUND*","*EXECUTED*"},DEALS!$O:$O,$B$191,DEALS!$E:$E,"&lt;"&amp;$C$193,DEALS!$S:$S,C$195,DEALS!$U:$U,$B203,DEALS!$V:$V,"&lt;&gt;*RECEIVED*",DEALS!$V:$V,"&lt;&gt;*EXECUTED*"))</f>
        <v>0</v>
      </c>
      <c r="D203" s="32" cm="1">
        <f t="array" ref="D203">SUMIFS(BALANCES!$C:$C,BALANCES!$A:$A,$B$191,BALANCES!$B:$B,$B203,BALANCES!$D:$D,D$195)+SUMIFS(FLOWS!$C:$C,FLOWS!$A:$A,$B$191,FLOWS!$E:$E,$B203,FLOWS!$D:$D,D$195,FLOWS!$H:$H,"&lt;"&amp;$C$193)+SUM(SUMIFS(DEALS!$J:$J,DEALS!$A:$A,{"*REFUND*","*EXECUTED*"},DEALS!$G:$G,$B$191,DEALS!$E:$E,"&lt;"&amp;$C$193,DEALS!$K:$K,D$195,DEALS!$M:$M,$B203,DEALS!$N:$N,"&lt;&gt;*RECEIVED*",DEALS!$N:$N,"&lt;&gt;*EXECUTED*"))+SUM(SUMIFS(DEALS!$R:$R,DEALS!$A:$A,{"*REFUND*","*EXECUTED*"},DEALS!$O:$O,$B$191,DEALS!$E:$E,"&lt;"&amp;$C$193,DEALS!$S:$S,D$195,DEALS!$U:$U,$B203,DEALS!$V:$V,"&lt;&gt;*RECEIVED*",DEALS!$V:$V,"&lt;&gt;*EXECUTED*"))</f>
        <v>0</v>
      </c>
      <c r="E203" s="32" cm="1">
        <f t="array" ref="E203">SUMIFS(BALANCES!$C:$C,BALANCES!$A:$A,$B$191,BALANCES!$B:$B,$B203,BALANCES!$D:$D,E$195)+SUMIFS(FLOWS!$C:$C,FLOWS!$A:$A,$B$191,FLOWS!$E:$E,$B203,FLOWS!$D:$D,E$195,FLOWS!$H:$H,"&lt;"&amp;$C$193)+SUM(SUMIFS(DEALS!$J:$J,DEALS!$A:$A,{"*REFUND*","*EXECUTED*"},DEALS!$G:$G,$B$191,DEALS!$E:$E,"&lt;"&amp;$C$193,DEALS!$K:$K,E$195,DEALS!$M:$M,$B203,DEALS!$N:$N,"&lt;&gt;*RECEIVED*",DEALS!$N:$N,"&lt;&gt;*EXECUTED*"))+SUM(SUMIFS(DEALS!$R:$R,DEALS!$A:$A,{"*REFUND*","*EXECUTED*"},DEALS!$O:$O,$B$191,DEALS!$E:$E,"&lt;"&amp;$C$193,DEALS!$S:$S,E$195,DEALS!$U:$U,$B203,DEALS!$V:$V,"&lt;&gt;*RECEIVED*",DEALS!$V:$V,"&lt;&gt;*EXECUTED*"))</f>
        <v>0</v>
      </c>
      <c r="F203" s="32" cm="1">
        <f t="array" ref="F203">SUMIFS(BALANCES!$C:$C,BALANCES!$A:$A,$B$191,BALANCES!$B:$B,$B203,BALANCES!$D:$D,F$195)+SUMIFS(FLOWS!$C:$C,FLOWS!$A:$A,$B$191,FLOWS!$E:$E,$B203,FLOWS!$D:$D,F$195,FLOWS!$H:$H,"&lt;"&amp;$C$193)+SUM(SUMIFS(DEALS!$J:$J,DEALS!$A:$A,{"*REFUND*","*EXECUTED*"},DEALS!$G:$G,$B$191,DEALS!$E:$E,"&lt;"&amp;$C$193,DEALS!$K:$K,F$195,DEALS!$M:$M,$B203,DEALS!$N:$N,"&lt;&gt;*RECEIVED*",DEALS!$N:$N,"&lt;&gt;*EXECUTED*"))+SUM(SUMIFS(DEALS!$R:$R,DEALS!$A:$A,{"*REFUND*","*EXECUTED*"},DEALS!$O:$O,$B$191,DEALS!$E:$E,"&lt;"&amp;$C$193,DEALS!$S:$S,F$195,DEALS!$U:$U,$B203,DEALS!$V:$V,"&lt;&gt;*RECEIVED*",DEALS!$V:$V,"&lt;&gt;*EXECUTED*"))</f>
        <v>0</v>
      </c>
      <c r="G203" s="32" cm="1">
        <f t="array" ref="G203">SUMIFS(BALANCES!$C:$C,BALANCES!$A:$A,$B$191,BALANCES!$B:$B,$B203,BALANCES!$D:$D,G$195)+SUMIFS(FLOWS!$C:$C,FLOWS!$A:$A,$B$191,FLOWS!$E:$E,$B203,FLOWS!$D:$D,G$195,FLOWS!$H:$H,"&lt;"&amp;$C$193)+SUM(SUMIFS(DEALS!$J:$J,DEALS!$A:$A,{"*REFUND*","*EXECUTED*"},DEALS!$G:$G,$B$191,DEALS!$E:$E,"&lt;"&amp;$C$193,DEALS!$K:$K,G$195,DEALS!$M:$M,$B203,DEALS!$N:$N,"&lt;&gt;*RECEIVED*",DEALS!$N:$N,"&lt;&gt;*EXECUTED*"))+SUM(SUMIFS(DEALS!$R:$R,DEALS!$A:$A,{"*REFUND*","*EXECUTED*"},DEALS!$O:$O,$B$191,DEALS!$E:$E,"&lt;"&amp;$C$193,DEALS!$S:$S,G$195,DEALS!$U:$U,$B203,DEALS!$V:$V,"&lt;&gt;*RECEIVED*",DEALS!$V:$V,"&lt;&gt;*EXECUTED*"))</f>
        <v>0</v>
      </c>
      <c r="H203" s="32" cm="1">
        <f t="array" ref="H203">SUMIFS(BALANCES!$C:$C,BALANCES!$A:$A,$B$191,BALANCES!$B:$B,$B203,BALANCES!$D:$D,H$195)+SUMIFS(FLOWS!$C:$C,FLOWS!$A:$A,$B$191,FLOWS!$E:$E,$B203,FLOWS!$D:$D,H$195,FLOWS!$H:$H,"&lt;"&amp;$C$193)+SUM(SUMIFS(DEALS!$J:$J,DEALS!$A:$A,{"*REFUND*","*EXECUTED*"},DEALS!$G:$G,$B$191,DEALS!$E:$E,"&lt;"&amp;$C$193,DEALS!$K:$K,H$195,DEALS!$M:$M,$B203,DEALS!$N:$N,"&lt;&gt;*RECEIVED*",DEALS!$N:$N,"&lt;&gt;*EXECUTED*"))+SUM(SUMIFS(DEALS!$R:$R,DEALS!$A:$A,{"*REFUND*","*EXECUTED*"},DEALS!$O:$O,$B$191,DEALS!$E:$E,"&lt;"&amp;$C$193,DEALS!$S:$S,H$195,DEALS!$U:$U,$B203,DEALS!$V:$V,"&lt;&gt;*RECEIVED*",DEALS!$V:$V,"&lt;&gt;*EXECUTED*"))</f>
        <v>0</v>
      </c>
      <c r="I203" s="33">
        <f ca="1">C203*VLOOKUP(C$195,'FX RATES'!$E$1:$F$50,2,FALSE)+D203*VLOOKUP(D$195,'FX RATES'!$E$1:$F$50,2,FALSE)+E203*VLOOKUP(E$195,'FX RATES'!$E$1:$F$50,2,FALSE)+F203*VLOOKUP(F$195,'FX RATES'!$E$1:$F$50,2,FALSE)+G203*VLOOKUP(G$195,'FX RATES'!$E$1:$F$50,2,FALSE)+H203*VLOOKUP(H$195,'FX RATES'!$E$1:$F$50,2,FALSE)</f>
        <v>0</v>
      </c>
      <c r="K203" s="31">
        <f t="shared" si="67"/>
        <v>0</v>
      </c>
      <c r="L203" s="32" cm="1">
        <f t="array" ref="L203">SUMIFS(FLOWS!$C:$C,FLOWS!$A:$A,$B$191,FLOWS!$E:$E,$K203,FLOWS!$D:$D,L$195,FLOWS!$H:$H,"&gt;="&amp;$C$193,FLOWS!$H:$H,"&lt;="&amp;$U$193)+SUM(SUMIFS(DEALS!$J:$J,DEALS!$A:$A,{"*REFUND*","*EXECUTED*"},DEALS!$G:$G,$B$191,DEALS!$E:$E,"&gt;="&amp;$C$193,DEALS!$E:$E,"&lt;="&amp;$U$193,DEALS!$K:$K,L$195,DEALS!$M:$M,$K203,DEALS!$N:$N,"&lt;&gt;*RECEIVED*",DEALS!$N:$N,"&lt;&gt;*EXECUTED*"))+SUM(SUMIFS(DEALS!$R:$R,DEALS!$A:$A,{"*REFUND*","*EXECUTED*"},DEALS!$O:$O,$B$191,DEALS!$E:$E,"&gt;="&amp;$C$193,DEALS!$E:$E,"&lt;="&amp;$U$193,DEALS!$S:$S,L$195,DEALS!$U:$U,$K203,DEALS!$V:$V,"&lt;&gt;*RECEIVED*",DEALS!$V:$V,"&lt;&gt;*EXECUTED*"))</f>
        <v>0</v>
      </c>
      <c r="M203" s="32" cm="1">
        <f t="array" ref="M203">SUMIFS(FLOWS!$C:$C,FLOWS!$A:$A,$B$191,FLOWS!$E:$E,$K203,FLOWS!$D:$D,M$195,FLOWS!$H:$H,"&gt;="&amp;$C$193,FLOWS!$H:$H,"&lt;="&amp;$U$193)+SUM(SUMIFS(DEALS!$J:$J,DEALS!$A:$A,{"*REFUND*","*EXECUTED*"},DEALS!$G:$G,$B$191,DEALS!$E:$E,"&gt;="&amp;$C$193,DEALS!$E:$E,"&lt;="&amp;$U$193,DEALS!$K:$K,M$195,DEALS!$M:$M,$K203,DEALS!$N:$N,"&lt;&gt;*RECEIVED*",DEALS!$N:$N,"&lt;&gt;*EXECUTED*"))+SUM(SUMIFS(DEALS!$R:$R,DEALS!$A:$A,{"*REFUND*","*EXECUTED*"},DEALS!$O:$O,$B$191,DEALS!$E:$E,"&gt;="&amp;$C$193,DEALS!$E:$E,"&lt;="&amp;$U$193,DEALS!$S:$S,M$195,DEALS!$U:$U,$K203,DEALS!$V:$V,"&lt;&gt;*RECEIVED*",DEALS!$V:$V,"&lt;&gt;*EXECUTED*"))</f>
        <v>0</v>
      </c>
      <c r="N203" s="32" cm="1">
        <f t="array" ref="N203">SUMIFS(FLOWS!$C:$C,FLOWS!$A:$A,$B$191,FLOWS!$E:$E,$K203,FLOWS!$D:$D,N$195,FLOWS!$H:$H,"&gt;="&amp;$C$193,FLOWS!$H:$H,"&lt;="&amp;$U$193)+SUM(SUMIFS(DEALS!$J:$J,DEALS!$A:$A,{"*REFUND*","*EXECUTED*"},DEALS!$G:$G,$B$191,DEALS!$E:$E,"&gt;="&amp;$C$193,DEALS!$E:$E,"&lt;="&amp;$U$193,DEALS!$K:$K,N$195,DEALS!$M:$M,$K203,DEALS!$N:$N,"&lt;&gt;*RECEIVED*",DEALS!$N:$N,"&lt;&gt;*EXECUTED*"))+SUM(SUMIFS(DEALS!$R:$R,DEALS!$A:$A,{"*REFUND*","*EXECUTED*"},DEALS!$O:$O,$B$191,DEALS!$E:$E,"&gt;="&amp;$C$193,DEALS!$E:$E,"&lt;="&amp;$U$193,DEALS!$S:$S,N$195,DEALS!$U:$U,$K203,DEALS!$V:$V,"&lt;&gt;*RECEIVED*",DEALS!$V:$V,"&lt;&gt;*EXECUTED*"))</f>
        <v>0</v>
      </c>
      <c r="O203" s="32" cm="1">
        <f t="array" ref="O203">SUMIFS(FLOWS!$C:$C,FLOWS!$A:$A,$B$191,FLOWS!$E:$E,$K203,FLOWS!$D:$D,O$195,FLOWS!$H:$H,"&gt;="&amp;$C$193,FLOWS!$H:$H,"&lt;="&amp;$U$193)+SUM(SUMIFS(DEALS!$J:$J,DEALS!$A:$A,{"*REFUND*","*EXECUTED*"},DEALS!$G:$G,$B$191,DEALS!$E:$E,"&gt;="&amp;$C$193,DEALS!$E:$E,"&lt;="&amp;$U$193,DEALS!$K:$K,O$195,DEALS!$M:$M,$K203,DEALS!$N:$N,"&lt;&gt;*RECEIVED*",DEALS!$N:$N,"&lt;&gt;*EXECUTED*"))+SUM(SUMIFS(DEALS!$R:$R,DEALS!$A:$A,{"*REFUND*","*EXECUTED*"},DEALS!$O:$O,$B$191,DEALS!$E:$E,"&gt;="&amp;$C$193,DEALS!$E:$E,"&lt;="&amp;$U$193,DEALS!$S:$S,O$195,DEALS!$U:$U,$K203,DEALS!$V:$V,"&lt;&gt;*RECEIVED*",DEALS!$V:$V,"&lt;&gt;*EXECUTED*"))</f>
        <v>0</v>
      </c>
      <c r="P203" s="32" cm="1">
        <f t="array" ref="P203">SUMIFS(FLOWS!$C:$C,FLOWS!$A:$A,$B$191,FLOWS!$E:$E,$K203,FLOWS!$D:$D,P$195,FLOWS!$H:$H,"&gt;="&amp;$C$193,FLOWS!$H:$H,"&lt;="&amp;$U$193)+SUM(SUMIFS(DEALS!$J:$J,DEALS!$A:$A,{"*REFUND*","*EXECUTED*"},DEALS!$G:$G,$B$191,DEALS!$E:$E,"&gt;="&amp;$C$193,DEALS!$E:$E,"&lt;="&amp;$U$193,DEALS!$K:$K,P$195,DEALS!$M:$M,$K203,DEALS!$N:$N,"&lt;&gt;*RECEIVED*",DEALS!$N:$N,"&lt;&gt;*EXECUTED*"))+SUM(SUMIFS(DEALS!$R:$R,DEALS!$A:$A,{"*REFUND*","*EXECUTED*"},DEALS!$O:$O,$B$191,DEALS!$E:$E,"&gt;="&amp;$C$193,DEALS!$E:$E,"&lt;="&amp;$U$193,DEALS!$S:$S,P$195,DEALS!$U:$U,$K203,DEALS!$V:$V,"&lt;&gt;*RECEIVED*",DEALS!$V:$V,"&lt;&gt;*EXECUTED*"))</f>
        <v>0</v>
      </c>
      <c r="Q203" s="32" cm="1">
        <f t="array" ref="Q203">SUMIFS(FLOWS!$C:$C,FLOWS!$A:$A,$B$191,FLOWS!$E:$E,$K203,FLOWS!$D:$D,Q$195,FLOWS!$H:$H,"&gt;="&amp;$C$193,FLOWS!$H:$H,"&lt;="&amp;$U$193)+SUM(SUMIFS(DEALS!$J:$J,DEALS!$A:$A,{"*REFUND*","*EXECUTED*"},DEALS!$G:$G,$B$191,DEALS!$E:$E,"&gt;="&amp;$C$193,DEALS!$E:$E,"&lt;="&amp;$U$193,DEALS!$K:$K,Q$195,DEALS!$M:$M,$K203,DEALS!$N:$N,"&lt;&gt;*RECEIVED*",DEALS!$N:$N,"&lt;&gt;*EXECUTED*"))+SUM(SUMIFS(DEALS!$R:$R,DEALS!$A:$A,{"*REFUND*","*EXECUTED*"},DEALS!$O:$O,$B$191,DEALS!$E:$E,"&gt;="&amp;$C$193,DEALS!$E:$E,"&lt;="&amp;$U$193,DEALS!$S:$S,Q$195,DEALS!$U:$U,$K203,DEALS!$V:$V,"&lt;&gt;*RECEIVED*",DEALS!$V:$V,"&lt;&gt;*EXECUTED*"))</f>
        <v>0</v>
      </c>
      <c r="R203" s="33">
        <f ca="1">L203*VLOOKUP(L$195,'FX RATES'!$E$1:$F$50,2,FALSE)+M203*VLOOKUP(M$195,'FX RATES'!$E$1:$F$50,2,FALSE)+N203*VLOOKUP(N$195,'FX RATES'!$E$1:$F$50,2,FALSE)+O203*VLOOKUP(O$195,'FX RATES'!$E$1:$F$50,2,FALSE)+P203*VLOOKUP(P$195,'FX RATES'!$E$1:$F$50,2,FALSE)+Q203*VLOOKUP(Q$195,'FX RATES'!$E$1:$F$50,2,FALSE)</f>
        <v>0</v>
      </c>
      <c r="T203" s="31">
        <f t="shared" si="68"/>
        <v>0</v>
      </c>
      <c r="U203" s="32" cm="1">
        <f t="array" ref="U203">SUMIFS(BALANCES!$C:$C,BALANCES!$A:$A,$B$191,BALANCES!$B:$B,$T203,BALANCES!$D:$D,U$195)+SUMIFS(FLOWS!$C:$C,FLOWS!$A:$A,$B$191,FLOWS!$E:$E,$T203,FLOWS!$D:$D,U$195,FLOWS!$H:$H,"&lt;="&amp;$U$193)+SUM(SUMIFS(DEALS!$J:$J,DEALS!$A:$A,{"*REFUND*","*EXECUTED*"},DEALS!$G:$G,$B$191,DEALS!$E:$E,"&lt;="&amp;$U$193,DEALS!$K:$K,U$195,DEALS!$M:$M,$T203,DEALS!$N:$N,"&lt;&gt;*RECEIVED*",DEALS!$N:$N,"&lt;&gt;*EXECUTED*"))+SUM(SUMIFS(DEALS!$R:$R,DEALS!$A:$A,{"*REFUND*","*EXECUTED*"},DEALS!$O:$O,$B$191,DEALS!$E:$E,"&lt;="&amp;$U$193,DEALS!$S:$S,U$195,DEALS!$U:$U,$T203,DEALS!$V:$V,"&lt;&gt;*RECEIVED*",DEALS!$V:$V,"&lt;&gt;*EXECUTED*"))</f>
        <v>0</v>
      </c>
      <c r="V203" s="32" cm="1">
        <f t="array" ref="V203">SUMIFS(BALANCES!$C:$C,BALANCES!$A:$A,$B$191,BALANCES!$B:$B,$T203,BALANCES!$D:$D,V$195)+SUMIFS(FLOWS!$C:$C,FLOWS!$A:$A,$B$191,FLOWS!$E:$E,$T203,FLOWS!$D:$D,V$195,FLOWS!$H:$H,"&lt;="&amp;$U$193)+SUM(SUMIFS(DEALS!$J:$J,DEALS!$A:$A,{"*REFUND*","*EXECUTED*"},DEALS!$G:$G,$B$191,DEALS!$E:$E,"&lt;="&amp;$U$193,DEALS!$K:$K,V$195,DEALS!$M:$M,$T203,DEALS!$N:$N,"&lt;&gt;*RECEIVED*",DEALS!$N:$N,"&lt;&gt;*EXECUTED*"))+SUM(SUMIFS(DEALS!$R:$R,DEALS!$A:$A,{"*REFUND*","*EXECUTED*"},DEALS!$O:$O,$B$191,DEALS!$E:$E,"&lt;="&amp;$U$193,DEALS!$S:$S,V$195,DEALS!$U:$U,$T203,DEALS!$V:$V,"&lt;&gt;*RECEIVED*",DEALS!$V:$V,"&lt;&gt;*EXECUTED*"))</f>
        <v>0</v>
      </c>
      <c r="W203" s="32" cm="1">
        <f t="array" ref="W203">SUMIFS(BALANCES!$C:$C,BALANCES!$A:$A,$B$191,BALANCES!$B:$B,$T203,BALANCES!$D:$D,W$195)+SUMIFS(FLOWS!$C:$C,FLOWS!$A:$A,$B$191,FLOWS!$E:$E,$T203,FLOWS!$D:$D,W$195,FLOWS!$H:$H,"&lt;="&amp;$U$193)+SUM(SUMIFS(DEALS!$J:$J,DEALS!$A:$A,{"*REFUND*","*EXECUTED*"},DEALS!$G:$G,$B$191,DEALS!$E:$E,"&lt;="&amp;$U$193,DEALS!$K:$K,W$195,DEALS!$M:$M,$T203,DEALS!$N:$N,"&lt;&gt;*RECEIVED*",DEALS!$N:$N,"&lt;&gt;*EXECUTED*"))+SUM(SUMIFS(DEALS!$R:$R,DEALS!$A:$A,{"*REFUND*","*EXECUTED*"},DEALS!$O:$O,$B$191,DEALS!$E:$E,"&lt;="&amp;$U$193,DEALS!$S:$S,W$195,DEALS!$U:$U,$T203,DEALS!$V:$V,"&lt;&gt;*RECEIVED*",DEALS!$V:$V,"&lt;&gt;*EXECUTED*"))</f>
        <v>0</v>
      </c>
      <c r="X203" s="32" cm="1">
        <f t="array" ref="X203">SUMIFS(BALANCES!$C:$C,BALANCES!$A:$A,$B$191,BALANCES!$B:$B,$T203,BALANCES!$D:$D,X$195)+SUMIFS(FLOWS!$C:$C,FLOWS!$A:$A,$B$191,FLOWS!$E:$E,$T203,FLOWS!$D:$D,X$195,FLOWS!$H:$H,"&lt;="&amp;$U$193)+SUM(SUMIFS(DEALS!$J:$J,DEALS!$A:$A,{"*REFUND*","*EXECUTED*"},DEALS!$G:$G,$B$191,DEALS!$E:$E,"&lt;="&amp;$U$193,DEALS!$K:$K,X$195,DEALS!$M:$M,$T203,DEALS!$N:$N,"&lt;&gt;*RECEIVED*",DEALS!$N:$N,"&lt;&gt;*EXECUTED*"))+SUM(SUMIFS(DEALS!$R:$R,DEALS!$A:$A,{"*REFUND*","*EXECUTED*"},DEALS!$O:$O,$B$191,DEALS!$E:$E,"&lt;="&amp;$U$193,DEALS!$S:$S,X$195,DEALS!$U:$U,$T203,DEALS!$V:$V,"&lt;&gt;*RECEIVED*",DEALS!$V:$V,"&lt;&gt;*EXECUTED*"))</f>
        <v>0</v>
      </c>
      <c r="Y203" s="32" cm="1">
        <f t="array" ref="Y203">SUMIFS(BALANCES!$C:$C,BALANCES!$A:$A,$B$191,BALANCES!$B:$B,$T203,BALANCES!$D:$D,Y$195)+SUMIFS(FLOWS!$C:$C,FLOWS!$A:$A,$B$191,FLOWS!$E:$E,$T203,FLOWS!$D:$D,Y$195,FLOWS!$H:$H,"&lt;="&amp;$U$193)+SUM(SUMIFS(DEALS!$J:$J,DEALS!$A:$A,{"*REFUND*","*EXECUTED*"},DEALS!$G:$G,$B$191,DEALS!$E:$E,"&lt;="&amp;$U$193,DEALS!$K:$K,Y$195,DEALS!$M:$M,$T203,DEALS!$N:$N,"&lt;&gt;*RECEIVED*",DEALS!$N:$N,"&lt;&gt;*EXECUTED*"))+SUM(SUMIFS(DEALS!$R:$R,DEALS!$A:$A,{"*REFUND*","*EXECUTED*"},DEALS!$O:$O,$B$191,DEALS!$E:$E,"&lt;="&amp;$U$193,DEALS!$S:$S,Y$195,DEALS!$U:$U,$T203,DEALS!$V:$V,"&lt;&gt;*RECEIVED*",DEALS!$V:$V,"&lt;&gt;*EXECUTED*"))</f>
        <v>0</v>
      </c>
      <c r="Z203" s="32" cm="1">
        <f t="array" ref="Z203">SUMIFS(BALANCES!$C:$C,BALANCES!$A:$A,$B$191,BALANCES!$B:$B,$T203,BALANCES!$D:$D,Z$195)+SUMIFS(FLOWS!$C:$C,FLOWS!$A:$A,$B$191,FLOWS!$E:$E,$T203,FLOWS!$D:$D,Z$195,FLOWS!$H:$H,"&lt;="&amp;$U$193)+SUM(SUMIFS(DEALS!$J:$J,DEALS!$A:$A,{"*REFUND*","*EXECUTED*"},DEALS!$G:$G,$B$191,DEALS!$E:$E,"&lt;="&amp;$U$193,DEALS!$K:$K,Z$195,DEALS!$M:$M,$T203,DEALS!$N:$N,"&lt;&gt;*RECEIVED*",DEALS!$N:$N,"&lt;&gt;*EXECUTED*"))+SUM(SUMIFS(DEALS!$R:$R,DEALS!$A:$A,{"*REFUND*","*EXECUTED*"},DEALS!$O:$O,$B$191,DEALS!$E:$E,"&lt;="&amp;$U$193,DEALS!$S:$S,Z$195,DEALS!$U:$U,$T203,DEALS!$V:$V,"&lt;&gt;*RECEIVED*",DEALS!$V:$V,"&lt;&gt;*EXECUTED*"))</f>
        <v>0</v>
      </c>
      <c r="AA203" s="33">
        <f ca="1">U203*VLOOKUP(U$195,'FX RATES'!$E$1:$F$50,2,FALSE)+V203*VLOOKUP(V$195,'FX RATES'!$E$1:$F$50,2,FALSE)+W203*VLOOKUP(W$195,'FX RATES'!$E$1:$F$50,2,FALSE)+X203*VLOOKUP(X$195,'FX RATES'!$E$1:$F$50,2,FALSE)+Y203*VLOOKUP(Y$195,'FX RATES'!$E$1:$F$50,2,FALSE)+Z203*VLOOKUP(Z$195,'FX RATES'!$E$1:$F$50,2,FALSE)</f>
        <v>0</v>
      </c>
      <c r="AC203" s="139">
        <f t="shared" ca="1" si="69"/>
        <v>0</v>
      </c>
    </row>
    <row r="204" spans="2:29" ht="18.75" hidden="1" customHeight="1">
      <c r="B204" s="28"/>
      <c r="C204" s="29" cm="1">
        <f t="array" ref="C204">SUMIFS(BALANCES!$C:$C,BALANCES!$A:$A,$B$191,BALANCES!$B:$B,$B204,BALANCES!$D:$D,C$195)+SUMIFS(FLOWS!$C:$C,FLOWS!$A:$A,$B$191,FLOWS!$E:$E,$B204,FLOWS!$D:$D,C$195,FLOWS!$H:$H,"&lt;"&amp;$C$193)+SUM(SUMIFS(DEALS!$J:$J,DEALS!$A:$A,{"*REFUND*","*EXECUTED*"},DEALS!$G:$G,$B$191,DEALS!$E:$E,"&lt;"&amp;$C$193,DEALS!$K:$K,C$195,DEALS!$M:$M,$B204,DEALS!$N:$N,"&lt;&gt;*RECEIVED*",DEALS!$N:$N,"&lt;&gt;*EXECUTED*"))+SUM(SUMIFS(DEALS!$R:$R,DEALS!$A:$A,{"*REFUND*","*EXECUTED*"},DEALS!$O:$O,$B$191,DEALS!$E:$E,"&lt;"&amp;$C$193,DEALS!$S:$S,C$195,DEALS!$U:$U,$B204,DEALS!$V:$V,"&lt;&gt;*RECEIVED*",DEALS!$V:$V,"&lt;&gt;*EXECUTED*"))</f>
        <v>0</v>
      </c>
      <c r="D204" s="29" cm="1">
        <f t="array" ref="D204">SUMIFS(BALANCES!$C:$C,BALANCES!$A:$A,$B$191,BALANCES!$B:$B,$B204,BALANCES!$D:$D,D$195)+SUMIFS(FLOWS!$C:$C,FLOWS!$A:$A,$B$191,FLOWS!$E:$E,$B204,FLOWS!$D:$D,D$195,FLOWS!$H:$H,"&lt;"&amp;$C$193)+SUM(SUMIFS(DEALS!$J:$J,DEALS!$A:$A,{"*REFUND*","*EXECUTED*"},DEALS!$G:$G,$B$191,DEALS!$E:$E,"&lt;"&amp;$C$193,DEALS!$K:$K,D$195,DEALS!$M:$M,$B204,DEALS!$N:$N,"&lt;&gt;*RECEIVED*",DEALS!$N:$N,"&lt;&gt;*EXECUTED*"))+SUM(SUMIFS(DEALS!$R:$R,DEALS!$A:$A,{"*REFUND*","*EXECUTED*"},DEALS!$O:$O,$B$191,DEALS!$E:$E,"&lt;"&amp;$C$193,DEALS!$S:$S,D$195,DEALS!$U:$U,$B204,DEALS!$V:$V,"&lt;&gt;*RECEIVED*",DEALS!$V:$V,"&lt;&gt;*EXECUTED*"))</f>
        <v>0</v>
      </c>
      <c r="E204" s="29" cm="1">
        <f t="array" ref="E204">SUMIFS(BALANCES!$C:$C,BALANCES!$A:$A,$B$191,BALANCES!$B:$B,$B204,BALANCES!$D:$D,E$195)+SUMIFS(FLOWS!$C:$C,FLOWS!$A:$A,$B$191,FLOWS!$E:$E,$B204,FLOWS!$D:$D,E$195,FLOWS!$H:$H,"&lt;"&amp;$C$193)+SUM(SUMIFS(DEALS!$J:$J,DEALS!$A:$A,{"*REFUND*","*EXECUTED*"},DEALS!$G:$G,$B$191,DEALS!$E:$E,"&lt;"&amp;$C$193,DEALS!$K:$K,E$195,DEALS!$M:$M,$B204,DEALS!$N:$N,"&lt;&gt;*RECEIVED*",DEALS!$N:$N,"&lt;&gt;*EXECUTED*"))+SUM(SUMIFS(DEALS!$R:$R,DEALS!$A:$A,{"*REFUND*","*EXECUTED*"},DEALS!$O:$O,$B$191,DEALS!$E:$E,"&lt;"&amp;$C$193,DEALS!$S:$S,E$195,DEALS!$U:$U,$B204,DEALS!$V:$V,"&lt;&gt;*RECEIVED*",DEALS!$V:$V,"&lt;&gt;*EXECUTED*"))</f>
        <v>0</v>
      </c>
      <c r="F204" s="29" cm="1">
        <f t="array" ref="F204">SUMIFS(BALANCES!$C:$C,BALANCES!$A:$A,$B$191,BALANCES!$B:$B,$B204,BALANCES!$D:$D,F$195)+SUMIFS(FLOWS!$C:$C,FLOWS!$A:$A,$B$191,FLOWS!$E:$E,$B204,FLOWS!$D:$D,F$195,FLOWS!$H:$H,"&lt;"&amp;$C$193)+SUM(SUMIFS(DEALS!$J:$J,DEALS!$A:$A,{"*REFUND*","*EXECUTED*"},DEALS!$G:$G,$B$191,DEALS!$E:$E,"&lt;"&amp;$C$193,DEALS!$K:$K,F$195,DEALS!$M:$M,$B204,DEALS!$N:$N,"&lt;&gt;*RECEIVED*",DEALS!$N:$N,"&lt;&gt;*EXECUTED*"))+SUM(SUMIFS(DEALS!$R:$R,DEALS!$A:$A,{"*REFUND*","*EXECUTED*"},DEALS!$O:$O,$B$191,DEALS!$E:$E,"&lt;"&amp;$C$193,DEALS!$S:$S,F$195,DEALS!$U:$U,$B204,DEALS!$V:$V,"&lt;&gt;*RECEIVED*",DEALS!$V:$V,"&lt;&gt;*EXECUTED*"))</f>
        <v>0</v>
      </c>
      <c r="G204" s="29" cm="1">
        <f t="array" ref="G204">SUMIFS(BALANCES!$C:$C,BALANCES!$A:$A,$B$191,BALANCES!$B:$B,$B204,BALANCES!$D:$D,G$195)+SUMIFS(FLOWS!$C:$C,FLOWS!$A:$A,$B$191,FLOWS!$E:$E,$B204,FLOWS!$D:$D,G$195,FLOWS!$H:$H,"&lt;"&amp;$C$193)+SUM(SUMIFS(DEALS!$J:$J,DEALS!$A:$A,{"*REFUND*","*EXECUTED*"},DEALS!$G:$G,$B$191,DEALS!$E:$E,"&lt;"&amp;$C$193,DEALS!$K:$K,G$195,DEALS!$M:$M,$B204,DEALS!$N:$N,"&lt;&gt;*RECEIVED*",DEALS!$N:$N,"&lt;&gt;*EXECUTED*"))+SUM(SUMIFS(DEALS!$R:$R,DEALS!$A:$A,{"*REFUND*","*EXECUTED*"},DEALS!$O:$O,$B$191,DEALS!$E:$E,"&lt;"&amp;$C$193,DEALS!$S:$S,G$195,DEALS!$U:$U,$B204,DEALS!$V:$V,"&lt;&gt;*RECEIVED*",DEALS!$V:$V,"&lt;&gt;*EXECUTED*"))</f>
        <v>0</v>
      </c>
      <c r="H204" s="29" cm="1">
        <f t="array" ref="H204">SUMIFS(BALANCES!$C:$C,BALANCES!$A:$A,$B$191,BALANCES!$B:$B,$B204,BALANCES!$D:$D,H$195)+SUMIFS(FLOWS!$C:$C,FLOWS!$A:$A,$B$191,FLOWS!$E:$E,$B204,FLOWS!$D:$D,H$195,FLOWS!$H:$H,"&lt;"&amp;$C$193)+SUM(SUMIFS(DEALS!$J:$J,DEALS!$A:$A,{"*REFUND*","*EXECUTED*"},DEALS!$G:$G,$B$191,DEALS!$E:$E,"&lt;"&amp;$C$193,DEALS!$K:$K,H$195,DEALS!$M:$M,$B204,DEALS!$N:$N,"&lt;&gt;*RECEIVED*",DEALS!$N:$N,"&lt;&gt;*EXECUTED*"))+SUM(SUMIFS(DEALS!$R:$R,DEALS!$A:$A,{"*REFUND*","*EXECUTED*"},DEALS!$O:$O,$B$191,DEALS!$E:$E,"&lt;"&amp;$C$193,DEALS!$S:$S,H$195,DEALS!$U:$U,$B204,DEALS!$V:$V,"&lt;&gt;*RECEIVED*",DEALS!$V:$V,"&lt;&gt;*EXECUTED*"))</f>
        <v>0</v>
      </c>
      <c r="I204" s="30">
        <f ca="1">C204*VLOOKUP(C$195,'FX RATES'!$E$1:$F$50,2,FALSE)+D204*VLOOKUP(D$195,'FX RATES'!$E$1:$F$50,2,FALSE)+E204*VLOOKUP(E$195,'FX RATES'!$E$1:$F$50,2,FALSE)+F204*VLOOKUP(F$195,'FX RATES'!$E$1:$F$50,2,FALSE)+G204*VLOOKUP(G$195,'FX RATES'!$E$1:$F$50,2,FALSE)+H204*VLOOKUP(H$195,'FX RATES'!$E$1:$F$50,2,FALSE)</f>
        <v>0</v>
      </c>
      <c r="K204" s="28">
        <f t="shared" si="67"/>
        <v>0</v>
      </c>
      <c r="L204" s="29" cm="1">
        <f t="array" ref="L204">SUMIFS(FLOWS!$C:$C,FLOWS!$A:$A,$B$191,FLOWS!$E:$E,$K204,FLOWS!$D:$D,L$195,FLOWS!$H:$H,"&gt;="&amp;$C$193,FLOWS!$H:$H,"&lt;="&amp;$U$193)+SUM(SUMIFS(DEALS!$J:$J,DEALS!$A:$A,{"*REFUND*","*EXECUTED*"},DEALS!$G:$G,$B$191,DEALS!$E:$E,"&gt;="&amp;$C$193,DEALS!$E:$E,"&lt;="&amp;$U$193,DEALS!$K:$K,L$195,DEALS!$M:$M,$K204,DEALS!$N:$N,"&lt;&gt;*RECEIVED*",DEALS!$N:$N,"&lt;&gt;*EXECUTED*"))+SUM(SUMIFS(DEALS!$R:$R,DEALS!$A:$A,{"*REFUND*","*EXECUTED*"},DEALS!$O:$O,$B$191,DEALS!$E:$E,"&gt;="&amp;$C$193,DEALS!$E:$E,"&lt;="&amp;$U$193,DEALS!$S:$S,L$195,DEALS!$U:$U,$K204,DEALS!$V:$V,"&lt;&gt;*RECEIVED*",DEALS!$V:$V,"&lt;&gt;*EXECUTED*"))</f>
        <v>0</v>
      </c>
      <c r="M204" s="29" cm="1">
        <f t="array" ref="M204">SUMIFS(FLOWS!$C:$C,FLOWS!$A:$A,$B$191,FLOWS!$E:$E,$K204,FLOWS!$D:$D,M$195,FLOWS!$H:$H,"&gt;="&amp;$C$193,FLOWS!$H:$H,"&lt;="&amp;$U$193)+SUM(SUMIFS(DEALS!$J:$J,DEALS!$A:$A,{"*REFUND*","*EXECUTED*"},DEALS!$G:$G,$B$191,DEALS!$E:$E,"&gt;="&amp;$C$193,DEALS!$E:$E,"&lt;="&amp;$U$193,DEALS!$K:$K,M$195,DEALS!$M:$M,$K204,DEALS!$N:$N,"&lt;&gt;*RECEIVED*",DEALS!$N:$N,"&lt;&gt;*EXECUTED*"))+SUM(SUMIFS(DEALS!$R:$R,DEALS!$A:$A,{"*REFUND*","*EXECUTED*"},DEALS!$O:$O,$B$191,DEALS!$E:$E,"&gt;="&amp;$C$193,DEALS!$E:$E,"&lt;="&amp;$U$193,DEALS!$S:$S,M$195,DEALS!$U:$U,$K204,DEALS!$V:$V,"&lt;&gt;*RECEIVED*",DEALS!$V:$V,"&lt;&gt;*EXECUTED*"))</f>
        <v>0</v>
      </c>
      <c r="N204" s="29" cm="1">
        <f t="array" ref="N204">SUMIFS(FLOWS!$C:$C,FLOWS!$A:$A,$B$191,FLOWS!$E:$E,$K204,FLOWS!$D:$D,N$195,FLOWS!$H:$H,"&gt;="&amp;$C$193,FLOWS!$H:$H,"&lt;="&amp;$U$193)+SUM(SUMIFS(DEALS!$J:$J,DEALS!$A:$A,{"*REFUND*","*EXECUTED*"},DEALS!$G:$G,$B$191,DEALS!$E:$E,"&gt;="&amp;$C$193,DEALS!$E:$E,"&lt;="&amp;$U$193,DEALS!$K:$K,N$195,DEALS!$M:$M,$K204,DEALS!$N:$N,"&lt;&gt;*RECEIVED*",DEALS!$N:$N,"&lt;&gt;*EXECUTED*"))+SUM(SUMIFS(DEALS!$R:$R,DEALS!$A:$A,{"*REFUND*","*EXECUTED*"},DEALS!$O:$O,$B$191,DEALS!$E:$E,"&gt;="&amp;$C$193,DEALS!$E:$E,"&lt;="&amp;$U$193,DEALS!$S:$S,N$195,DEALS!$U:$U,$K204,DEALS!$V:$V,"&lt;&gt;*RECEIVED*",DEALS!$V:$V,"&lt;&gt;*EXECUTED*"))</f>
        <v>0</v>
      </c>
      <c r="O204" s="29" cm="1">
        <f t="array" ref="O204">SUMIFS(FLOWS!$C:$C,FLOWS!$A:$A,$B$191,FLOWS!$E:$E,$K204,FLOWS!$D:$D,O$195,FLOWS!$H:$H,"&gt;="&amp;$C$193,FLOWS!$H:$H,"&lt;="&amp;$U$193)+SUM(SUMIFS(DEALS!$J:$J,DEALS!$A:$A,{"*REFUND*","*EXECUTED*"},DEALS!$G:$G,$B$191,DEALS!$E:$E,"&gt;="&amp;$C$193,DEALS!$E:$E,"&lt;="&amp;$U$193,DEALS!$K:$K,O$195,DEALS!$M:$M,$K204,DEALS!$N:$N,"&lt;&gt;*RECEIVED*",DEALS!$N:$N,"&lt;&gt;*EXECUTED*"))+SUM(SUMIFS(DEALS!$R:$R,DEALS!$A:$A,{"*REFUND*","*EXECUTED*"},DEALS!$O:$O,$B$191,DEALS!$E:$E,"&gt;="&amp;$C$193,DEALS!$E:$E,"&lt;="&amp;$U$193,DEALS!$S:$S,O$195,DEALS!$U:$U,$K204,DEALS!$V:$V,"&lt;&gt;*RECEIVED*",DEALS!$V:$V,"&lt;&gt;*EXECUTED*"))</f>
        <v>0</v>
      </c>
      <c r="P204" s="29" cm="1">
        <f t="array" ref="P204">SUMIFS(FLOWS!$C:$C,FLOWS!$A:$A,$B$191,FLOWS!$E:$E,$K204,FLOWS!$D:$D,P$195,FLOWS!$H:$H,"&gt;="&amp;$C$193,FLOWS!$H:$H,"&lt;="&amp;$U$193)+SUM(SUMIFS(DEALS!$J:$J,DEALS!$A:$A,{"*REFUND*","*EXECUTED*"},DEALS!$G:$G,$B$191,DEALS!$E:$E,"&gt;="&amp;$C$193,DEALS!$E:$E,"&lt;="&amp;$U$193,DEALS!$K:$K,P$195,DEALS!$M:$M,$K204,DEALS!$N:$N,"&lt;&gt;*RECEIVED*",DEALS!$N:$N,"&lt;&gt;*EXECUTED*"))+SUM(SUMIFS(DEALS!$R:$R,DEALS!$A:$A,{"*REFUND*","*EXECUTED*"},DEALS!$O:$O,$B$191,DEALS!$E:$E,"&gt;="&amp;$C$193,DEALS!$E:$E,"&lt;="&amp;$U$193,DEALS!$S:$S,P$195,DEALS!$U:$U,$K204,DEALS!$V:$V,"&lt;&gt;*RECEIVED*",DEALS!$V:$V,"&lt;&gt;*EXECUTED*"))</f>
        <v>0</v>
      </c>
      <c r="Q204" s="29" cm="1">
        <f t="array" ref="Q204">SUMIFS(FLOWS!$C:$C,FLOWS!$A:$A,$B$191,FLOWS!$E:$E,$K204,FLOWS!$D:$D,Q$195,FLOWS!$H:$H,"&gt;="&amp;$C$193,FLOWS!$H:$H,"&lt;="&amp;$U$193)+SUM(SUMIFS(DEALS!$J:$J,DEALS!$A:$A,{"*REFUND*","*EXECUTED*"},DEALS!$G:$G,$B$191,DEALS!$E:$E,"&gt;="&amp;$C$193,DEALS!$E:$E,"&lt;="&amp;$U$193,DEALS!$K:$K,Q$195,DEALS!$M:$M,$K204,DEALS!$N:$N,"&lt;&gt;*RECEIVED*",DEALS!$N:$N,"&lt;&gt;*EXECUTED*"))+SUM(SUMIFS(DEALS!$R:$R,DEALS!$A:$A,{"*REFUND*","*EXECUTED*"},DEALS!$O:$O,$B$191,DEALS!$E:$E,"&gt;="&amp;$C$193,DEALS!$E:$E,"&lt;="&amp;$U$193,DEALS!$S:$S,Q$195,DEALS!$U:$U,$K204,DEALS!$V:$V,"&lt;&gt;*RECEIVED*",DEALS!$V:$V,"&lt;&gt;*EXECUTED*"))</f>
        <v>0</v>
      </c>
      <c r="R204" s="30">
        <f ca="1">L204*VLOOKUP(L$195,'FX RATES'!$E$1:$F$50,2,FALSE)+M204*VLOOKUP(M$195,'FX RATES'!$E$1:$F$50,2,FALSE)+N204*VLOOKUP(N$195,'FX RATES'!$E$1:$F$50,2,FALSE)+O204*VLOOKUP(O$195,'FX RATES'!$E$1:$F$50,2,FALSE)+P204*VLOOKUP(P$195,'FX RATES'!$E$1:$F$50,2,FALSE)+Q204*VLOOKUP(Q$195,'FX RATES'!$E$1:$F$50,2,FALSE)</f>
        <v>0</v>
      </c>
      <c r="T204" s="28">
        <f t="shared" si="68"/>
        <v>0</v>
      </c>
      <c r="U204" s="29" cm="1">
        <f t="array" ref="U204">SUMIFS(BALANCES!$C:$C,BALANCES!$A:$A,$B$191,BALANCES!$B:$B,$T204,BALANCES!$D:$D,U$195)+SUMIFS(FLOWS!$C:$C,FLOWS!$A:$A,$B$191,FLOWS!$E:$E,$T204,FLOWS!$D:$D,U$195,FLOWS!$H:$H,"&lt;="&amp;$U$193)+SUM(SUMIFS(DEALS!$J:$J,DEALS!$A:$A,{"*REFUND*","*EXECUTED*"},DEALS!$G:$G,$B$191,DEALS!$E:$E,"&lt;="&amp;$U$193,DEALS!$K:$K,U$195,DEALS!$M:$M,$T204,DEALS!$N:$N,"&lt;&gt;*RECEIVED*",DEALS!$N:$N,"&lt;&gt;*EXECUTED*"))+SUM(SUMIFS(DEALS!$R:$R,DEALS!$A:$A,{"*REFUND*","*EXECUTED*"},DEALS!$O:$O,$B$191,DEALS!$E:$E,"&lt;="&amp;$U$193,DEALS!$S:$S,U$195,DEALS!$U:$U,$T204,DEALS!$V:$V,"&lt;&gt;*RECEIVED*",DEALS!$V:$V,"&lt;&gt;*EXECUTED*"))</f>
        <v>0</v>
      </c>
      <c r="V204" s="29" cm="1">
        <f t="array" ref="V204">SUMIFS(BALANCES!$C:$C,BALANCES!$A:$A,$B$191,BALANCES!$B:$B,$T204,BALANCES!$D:$D,V$195)+SUMIFS(FLOWS!$C:$C,FLOWS!$A:$A,$B$191,FLOWS!$E:$E,$T204,FLOWS!$D:$D,V$195,FLOWS!$H:$H,"&lt;="&amp;$U$193)+SUM(SUMIFS(DEALS!$J:$J,DEALS!$A:$A,{"*REFUND*","*EXECUTED*"},DEALS!$G:$G,$B$191,DEALS!$E:$E,"&lt;="&amp;$U$193,DEALS!$K:$K,V$195,DEALS!$M:$M,$T204,DEALS!$N:$N,"&lt;&gt;*RECEIVED*",DEALS!$N:$N,"&lt;&gt;*EXECUTED*"))+SUM(SUMIFS(DEALS!$R:$R,DEALS!$A:$A,{"*REFUND*","*EXECUTED*"},DEALS!$O:$O,$B$191,DEALS!$E:$E,"&lt;="&amp;$U$193,DEALS!$S:$S,V$195,DEALS!$U:$U,$T204,DEALS!$V:$V,"&lt;&gt;*RECEIVED*",DEALS!$V:$V,"&lt;&gt;*EXECUTED*"))</f>
        <v>0</v>
      </c>
      <c r="W204" s="29" cm="1">
        <f t="array" ref="W204">SUMIFS(BALANCES!$C:$C,BALANCES!$A:$A,$B$191,BALANCES!$B:$B,$T204,BALANCES!$D:$D,W$195)+SUMIFS(FLOWS!$C:$C,FLOWS!$A:$A,$B$191,FLOWS!$E:$E,$T204,FLOWS!$D:$D,W$195,FLOWS!$H:$H,"&lt;="&amp;$U$193)+SUM(SUMIFS(DEALS!$J:$J,DEALS!$A:$A,{"*REFUND*","*EXECUTED*"},DEALS!$G:$G,$B$191,DEALS!$E:$E,"&lt;="&amp;$U$193,DEALS!$K:$K,W$195,DEALS!$M:$M,$T204,DEALS!$N:$N,"&lt;&gt;*RECEIVED*",DEALS!$N:$N,"&lt;&gt;*EXECUTED*"))+SUM(SUMIFS(DEALS!$R:$R,DEALS!$A:$A,{"*REFUND*","*EXECUTED*"},DEALS!$O:$O,$B$191,DEALS!$E:$E,"&lt;="&amp;$U$193,DEALS!$S:$S,W$195,DEALS!$U:$U,$T204,DEALS!$V:$V,"&lt;&gt;*RECEIVED*",DEALS!$V:$V,"&lt;&gt;*EXECUTED*"))</f>
        <v>0</v>
      </c>
      <c r="X204" s="29" cm="1">
        <f t="array" ref="X204">SUMIFS(BALANCES!$C:$C,BALANCES!$A:$A,$B$191,BALANCES!$B:$B,$T204,BALANCES!$D:$D,X$195)+SUMIFS(FLOWS!$C:$C,FLOWS!$A:$A,$B$191,FLOWS!$E:$E,$T204,FLOWS!$D:$D,X$195,FLOWS!$H:$H,"&lt;="&amp;$U$193)+SUM(SUMIFS(DEALS!$J:$J,DEALS!$A:$A,{"*REFUND*","*EXECUTED*"},DEALS!$G:$G,$B$191,DEALS!$E:$E,"&lt;="&amp;$U$193,DEALS!$K:$K,X$195,DEALS!$M:$M,$T204,DEALS!$N:$N,"&lt;&gt;*RECEIVED*",DEALS!$N:$N,"&lt;&gt;*EXECUTED*"))+SUM(SUMIFS(DEALS!$R:$R,DEALS!$A:$A,{"*REFUND*","*EXECUTED*"},DEALS!$O:$O,$B$191,DEALS!$E:$E,"&lt;="&amp;$U$193,DEALS!$S:$S,X$195,DEALS!$U:$U,$T204,DEALS!$V:$V,"&lt;&gt;*RECEIVED*",DEALS!$V:$V,"&lt;&gt;*EXECUTED*"))</f>
        <v>0</v>
      </c>
      <c r="Y204" s="29" cm="1">
        <f t="array" ref="Y204">SUMIFS(BALANCES!$C:$C,BALANCES!$A:$A,$B$191,BALANCES!$B:$B,$T204,BALANCES!$D:$D,Y$195)+SUMIFS(FLOWS!$C:$C,FLOWS!$A:$A,$B$191,FLOWS!$E:$E,$T204,FLOWS!$D:$D,Y$195,FLOWS!$H:$H,"&lt;="&amp;$U$193)+SUM(SUMIFS(DEALS!$J:$J,DEALS!$A:$A,{"*REFUND*","*EXECUTED*"},DEALS!$G:$G,$B$191,DEALS!$E:$E,"&lt;="&amp;$U$193,DEALS!$K:$K,Y$195,DEALS!$M:$M,$T204,DEALS!$N:$N,"&lt;&gt;*RECEIVED*",DEALS!$N:$N,"&lt;&gt;*EXECUTED*"))+SUM(SUMIFS(DEALS!$R:$R,DEALS!$A:$A,{"*REFUND*","*EXECUTED*"},DEALS!$O:$O,$B$191,DEALS!$E:$E,"&lt;="&amp;$U$193,DEALS!$S:$S,Y$195,DEALS!$U:$U,$T204,DEALS!$V:$V,"&lt;&gt;*RECEIVED*",DEALS!$V:$V,"&lt;&gt;*EXECUTED*"))</f>
        <v>0</v>
      </c>
      <c r="Z204" s="29" cm="1">
        <f t="array" ref="Z204">SUMIFS(BALANCES!$C:$C,BALANCES!$A:$A,$B$191,BALANCES!$B:$B,$T204,BALANCES!$D:$D,Z$195)+SUMIFS(FLOWS!$C:$C,FLOWS!$A:$A,$B$191,FLOWS!$E:$E,$T204,FLOWS!$D:$D,Z$195,FLOWS!$H:$H,"&lt;="&amp;$U$193)+SUM(SUMIFS(DEALS!$J:$J,DEALS!$A:$A,{"*REFUND*","*EXECUTED*"},DEALS!$G:$G,$B$191,DEALS!$E:$E,"&lt;="&amp;$U$193,DEALS!$K:$K,Z$195,DEALS!$M:$M,$T204,DEALS!$N:$N,"&lt;&gt;*RECEIVED*",DEALS!$N:$N,"&lt;&gt;*EXECUTED*"))+SUM(SUMIFS(DEALS!$R:$R,DEALS!$A:$A,{"*REFUND*","*EXECUTED*"},DEALS!$O:$O,$B$191,DEALS!$E:$E,"&lt;="&amp;$U$193,DEALS!$S:$S,Z$195,DEALS!$U:$U,$T204,DEALS!$V:$V,"&lt;&gt;*RECEIVED*",DEALS!$V:$V,"&lt;&gt;*EXECUTED*"))</f>
        <v>0</v>
      </c>
      <c r="AA204" s="30">
        <f ca="1">U204*VLOOKUP(U$195,'FX RATES'!$E$1:$F$50,2,FALSE)+V204*VLOOKUP(V$195,'FX RATES'!$E$1:$F$50,2,FALSE)+W204*VLOOKUP(W$195,'FX RATES'!$E$1:$F$50,2,FALSE)+X204*VLOOKUP(X$195,'FX RATES'!$E$1:$F$50,2,FALSE)+Y204*VLOOKUP(Y$195,'FX RATES'!$E$1:$F$50,2,FALSE)+Z204*VLOOKUP(Z$195,'FX RATES'!$E$1:$F$50,2,FALSE)</f>
        <v>0</v>
      </c>
      <c r="AC204" s="139">
        <f t="shared" ca="1" si="69"/>
        <v>0</v>
      </c>
    </row>
    <row r="205" spans="2:29" ht="18.75" hidden="1" customHeight="1">
      <c r="B205" s="31"/>
      <c r="C205" s="32" cm="1">
        <f t="array" ref="C205">SUMIFS(BALANCES!$C:$C,BALANCES!$A:$A,$B$191,BALANCES!$B:$B,$B205,BALANCES!$D:$D,C$195)+SUMIFS(FLOWS!$C:$C,FLOWS!$A:$A,$B$191,FLOWS!$E:$E,$B205,FLOWS!$D:$D,C$195,FLOWS!$H:$H,"&lt;"&amp;$C$193)+SUM(SUMIFS(DEALS!$J:$J,DEALS!$A:$A,{"*REFUND*","*EXECUTED*"},DEALS!$G:$G,$B$191,DEALS!$E:$E,"&lt;"&amp;$C$193,DEALS!$K:$K,C$195,DEALS!$M:$M,$B205,DEALS!$N:$N,"&lt;&gt;*RECEIVED*",DEALS!$N:$N,"&lt;&gt;*EXECUTED*"))+SUM(SUMIFS(DEALS!$R:$R,DEALS!$A:$A,{"*REFUND*","*EXECUTED*"},DEALS!$O:$O,$B$191,DEALS!$E:$E,"&lt;"&amp;$C$193,DEALS!$S:$S,C$195,DEALS!$U:$U,$B205,DEALS!$V:$V,"&lt;&gt;*RECEIVED*",DEALS!$V:$V,"&lt;&gt;*EXECUTED*"))</f>
        <v>0</v>
      </c>
      <c r="D205" s="32" cm="1">
        <f t="array" ref="D205">SUMIFS(BALANCES!$C:$C,BALANCES!$A:$A,$B$191,BALANCES!$B:$B,$B205,BALANCES!$D:$D,D$195)+SUMIFS(FLOWS!$C:$C,FLOWS!$A:$A,$B$191,FLOWS!$E:$E,$B205,FLOWS!$D:$D,D$195,FLOWS!$H:$H,"&lt;"&amp;$C$193)+SUM(SUMIFS(DEALS!$J:$J,DEALS!$A:$A,{"*REFUND*","*EXECUTED*"},DEALS!$G:$G,$B$191,DEALS!$E:$E,"&lt;"&amp;$C$193,DEALS!$K:$K,D$195,DEALS!$M:$M,$B205,DEALS!$N:$N,"&lt;&gt;*RECEIVED*",DEALS!$N:$N,"&lt;&gt;*EXECUTED*"))+SUM(SUMIFS(DEALS!$R:$R,DEALS!$A:$A,{"*REFUND*","*EXECUTED*"},DEALS!$O:$O,$B$191,DEALS!$E:$E,"&lt;"&amp;$C$193,DEALS!$S:$S,D$195,DEALS!$U:$U,$B205,DEALS!$V:$V,"&lt;&gt;*RECEIVED*",DEALS!$V:$V,"&lt;&gt;*EXECUTED*"))</f>
        <v>0</v>
      </c>
      <c r="E205" s="32" cm="1">
        <f t="array" ref="E205">SUMIFS(BALANCES!$C:$C,BALANCES!$A:$A,$B$191,BALANCES!$B:$B,$B205,BALANCES!$D:$D,E$195)+SUMIFS(FLOWS!$C:$C,FLOWS!$A:$A,$B$191,FLOWS!$E:$E,$B205,FLOWS!$D:$D,E$195,FLOWS!$H:$H,"&lt;"&amp;$C$193)+SUM(SUMIFS(DEALS!$J:$J,DEALS!$A:$A,{"*REFUND*","*EXECUTED*"},DEALS!$G:$G,$B$191,DEALS!$E:$E,"&lt;"&amp;$C$193,DEALS!$K:$K,E$195,DEALS!$M:$M,$B205,DEALS!$N:$N,"&lt;&gt;*RECEIVED*",DEALS!$N:$N,"&lt;&gt;*EXECUTED*"))+SUM(SUMIFS(DEALS!$R:$R,DEALS!$A:$A,{"*REFUND*","*EXECUTED*"},DEALS!$O:$O,$B$191,DEALS!$E:$E,"&lt;"&amp;$C$193,DEALS!$S:$S,E$195,DEALS!$U:$U,$B205,DEALS!$V:$V,"&lt;&gt;*RECEIVED*",DEALS!$V:$V,"&lt;&gt;*EXECUTED*"))</f>
        <v>0</v>
      </c>
      <c r="F205" s="32" cm="1">
        <f t="array" ref="F205">SUMIFS(BALANCES!$C:$C,BALANCES!$A:$A,$B$191,BALANCES!$B:$B,$B205,BALANCES!$D:$D,F$195)+SUMIFS(FLOWS!$C:$C,FLOWS!$A:$A,$B$191,FLOWS!$E:$E,$B205,FLOWS!$D:$D,F$195,FLOWS!$H:$H,"&lt;"&amp;$C$193)+SUM(SUMIFS(DEALS!$J:$J,DEALS!$A:$A,{"*REFUND*","*EXECUTED*"},DEALS!$G:$G,$B$191,DEALS!$E:$E,"&lt;"&amp;$C$193,DEALS!$K:$K,F$195,DEALS!$M:$M,$B205,DEALS!$N:$N,"&lt;&gt;*RECEIVED*",DEALS!$N:$N,"&lt;&gt;*EXECUTED*"))+SUM(SUMIFS(DEALS!$R:$R,DEALS!$A:$A,{"*REFUND*","*EXECUTED*"},DEALS!$O:$O,$B$191,DEALS!$E:$E,"&lt;"&amp;$C$193,DEALS!$S:$S,F$195,DEALS!$U:$U,$B205,DEALS!$V:$V,"&lt;&gt;*RECEIVED*",DEALS!$V:$V,"&lt;&gt;*EXECUTED*"))</f>
        <v>0</v>
      </c>
      <c r="G205" s="32" cm="1">
        <f t="array" ref="G205">SUMIFS(BALANCES!$C:$C,BALANCES!$A:$A,$B$191,BALANCES!$B:$B,$B205,BALANCES!$D:$D,G$195)+SUMIFS(FLOWS!$C:$C,FLOWS!$A:$A,$B$191,FLOWS!$E:$E,$B205,FLOWS!$D:$D,G$195,FLOWS!$H:$H,"&lt;"&amp;$C$193)+SUM(SUMIFS(DEALS!$J:$J,DEALS!$A:$A,{"*REFUND*","*EXECUTED*"},DEALS!$G:$G,$B$191,DEALS!$E:$E,"&lt;"&amp;$C$193,DEALS!$K:$K,G$195,DEALS!$M:$M,$B205,DEALS!$N:$N,"&lt;&gt;*RECEIVED*",DEALS!$N:$N,"&lt;&gt;*EXECUTED*"))+SUM(SUMIFS(DEALS!$R:$R,DEALS!$A:$A,{"*REFUND*","*EXECUTED*"},DEALS!$O:$O,$B$191,DEALS!$E:$E,"&lt;"&amp;$C$193,DEALS!$S:$S,G$195,DEALS!$U:$U,$B205,DEALS!$V:$V,"&lt;&gt;*RECEIVED*",DEALS!$V:$V,"&lt;&gt;*EXECUTED*"))</f>
        <v>0</v>
      </c>
      <c r="H205" s="32" cm="1">
        <f t="array" ref="H205">SUMIFS(BALANCES!$C:$C,BALANCES!$A:$A,$B$191,BALANCES!$B:$B,$B205,BALANCES!$D:$D,H$195)+SUMIFS(FLOWS!$C:$C,FLOWS!$A:$A,$B$191,FLOWS!$E:$E,$B205,FLOWS!$D:$D,H$195,FLOWS!$H:$H,"&lt;"&amp;$C$193)+SUM(SUMIFS(DEALS!$J:$J,DEALS!$A:$A,{"*REFUND*","*EXECUTED*"},DEALS!$G:$G,$B$191,DEALS!$E:$E,"&lt;"&amp;$C$193,DEALS!$K:$K,H$195,DEALS!$M:$M,$B205,DEALS!$N:$N,"&lt;&gt;*RECEIVED*",DEALS!$N:$N,"&lt;&gt;*EXECUTED*"))+SUM(SUMIFS(DEALS!$R:$R,DEALS!$A:$A,{"*REFUND*","*EXECUTED*"},DEALS!$O:$O,$B$191,DEALS!$E:$E,"&lt;"&amp;$C$193,DEALS!$S:$S,H$195,DEALS!$U:$U,$B205,DEALS!$V:$V,"&lt;&gt;*RECEIVED*",DEALS!$V:$V,"&lt;&gt;*EXECUTED*"))</f>
        <v>0</v>
      </c>
      <c r="I205" s="33">
        <f ca="1">C205*VLOOKUP(C$195,'FX RATES'!$E$1:$F$50,2,FALSE)+D205*VLOOKUP(D$195,'FX RATES'!$E$1:$F$50,2,FALSE)+E205*VLOOKUP(E$195,'FX RATES'!$E$1:$F$50,2,FALSE)+F205*VLOOKUP(F$195,'FX RATES'!$E$1:$F$50,2,FALSE)+G205*VLOOKUP(G$195,'FX RATES'!$E$1:$F$50,2,FALSE)+H205*VLOOKUP(H$195,'FX RATES'!$E$1:$F$50,2,FALSE)</f>
        <v>0</v>
      </c>
      <c r="K205" s="31">
        <f t="shared" si="67"/>
        <v>0</v>
      </c>
      <c r="L205" s="32" cm="1">
        <f t="array" ref="L205">SUMIFS(FLOWS!$C:$C,FLOWS!$A:$A,$B$191,FLOWS!$E:$E,$K205,FLOWS!$D:$D,L$195,FLOWS!$H:$H,"&gt;="&amp;$C$193,FLOWS!$H:$H,"&lt;="&amp;$U$193)+SUM(SUMIFS(DEALS!$J:$J,DEALS!$A:$A,{"*REFUND*","*EXECUTED*"},DEALS!$G:$G,$B$191,DEALS!$E:$E,"&gt;="&amp;$C$193,DEALS!$E:$E,"&lt;="&amp;$U$193,DEALS!$K:$K,L$195,DEALS!$M:$M,$K205,DEALS!$N:$N,"&lt;&gt;*RECEIVED*",DEALS!$N:$N,"&lt;&gt;*EXECUTED*"))+SUM(SUMIFS(DEALS!$R:$R,DEALS!$A:$A,{"*REFUND*","*EXECUTED*"},DEALS!$O:$O,$B$191,DEALS!$E:$E,"&gt;="&amp;$C$193,DEALS!$E:$E,"&lt;="&amp;$U$193,DEALS!$S:$S,L$195,DEALS!$U:$U,$K205,DEALS!$V:$V,"&lt;&gt;*RECEIVED*",DEALS!$V:$V,"&lt;&gt;*EXECUTED*"))</f>
        <v>0</v>
      </c>
      <c r="M205" s="32" cm="1">
        <f t="array" ref="M205">SUMIFS(FLOWS!$C:$C,FLOWS!$A:$A,$B$191,FLOWS!$E:$E,$K205,FLOWS!$D:$D,M$195,FLOWS!$H:$H,"&gt;="&amp;$C$193,FLOWS!$H:$H,"&lt;="&amp;$U$193)+SUM(SUMIFS(DEALS!$J:$J,DEALS!$A:$A,{"*REFUND*","*EXECUTED*"},DEALS!$G:$G,$B$191,DEALS!$E:$E,"&gt;="&amp;$C$193,DEALS!$E:$E,"&lt;="&amp;$U$193,DEALS!$K:$K,M$195,DEALS!$M:$M,$K205,DEALS!$N:$N,"&lt;&gt;*RECEIVED*",DEALS!$N:$N,"&lt;&gt;*EXECUTED*"))+SUM(SUMIFS(DEALS!$R:$R,DEALS!$A:$A,{"*REFUND*","*EXECUTED*"},DEALS!$O:$O,$B$191,DEALS!$E:$E,"&gt;="&amp;$C$193,DEALS!$E:$E,"&lt;="&amp;$U$193,DEALS!$S:$S,M$195,DEALS!$U:$U,$K205,DEALS!$V:$V,"&lt;&gt;*RECEIVED*",DEALS!$V:$V,"&lt;&gt;*EXECUTED*"))</f>
        <v>0</v>
      </c>
      <c r="N205" s="32" cm="1">
        <f t="array" ref="N205">SUMIFS(FLOWS!$C:$C,FLOWS!$A:$A,$B$191,FLOWS!$E:$E,$K205,FLOWS!$D:$D,N$195,FLOWS!$H:$H,"&gt;="&amp;$C$193,FLOWS!$H:$H,"&lt;="&amp;$U$193)+SUM(SUMIFS(DEALS!$J:$J,DEALS!$A:$A,{"*REFUND*","*EXECUTED*"},DEALS!$G:$G,$B$191,DEALS!$E:$E,"&gt;="&amp;$C$193,DEALS!$E:$E,"&lt;="&amp;$U$193,DEALS!$K:$K,N$195,DEALS!$M:$M,$K205,DEALS!$N:$N,"&lt;&gt;*RECEIVED*",DEALS!$N:$N,"&lt;&gt;*EXECUTED*"))+SUM(SUMIFS(DEALS!$R:$R,DEALS!$A:$A,{"*REFUND*","*EXECUTED*"},DEALS!$O:$O,$B$191,DEALS!$E:$E,"&gt;="&amp;$C$193,DEALS!$E:$E,"&lt;="&amp;$U$193,DEALS!$S:$S,N$195,DEALS!$U:$U,$K205,DEALS!$V:$V,"&lt;&gt;*RECEIVED*",DEALS!$V:$V,"&lt;&gt;*EXECUTED*"))</f>
        <v>0</v>
      </c>
      <c r="O205" s="32" cm="1">
        <f t="array" ref="O205">SUMIFS(FLOWS!$C:$C,FLOWS!$A:$A,$B$191,FLOWS!$E:$E,$K205,FLOWS!$D:$D,O$195,FLOWS!$H:$H,"&gt;="&amp;$C$193,FLOWS!$H:$H,"&lt;="&amp;$U$193)+SUM(SUMIFS(DEALS!$J:$J,DEALS!$A:$A,{"*REFUND*","*EXECUTED*"},DEALS!$G:$G,$B$191,DEALS!$E:$E,"&gt;="&amp;$C$193,DEALS!$E:$E,"&lt;="&amp;$U$193,DEALS!$K:$K,O$195,DEALS!$M:$M,$K205,DEALS!$N:$N,"&lt;&gt;*RECEIVED*",DEALS!$N:$N,"&lt;&gt;*EXECUTED*"))+SUM(SUMIFS(DEALS!$R:$R,DEALS!$A:$A,{"*REFUND*","*EXECUTED*"},DEALS!$O:$O,$B$191,DEALS!$E:$E,"&gt;="&amp;$C$193,DEALS!$E:$E,"&lt;="&amp;$U$193,DEALS!$S:$S,O$195,DEALS!$U:$U,$K205,DEALS!$V:$V,"&lt;&gt;*RECEIVED*",DEALS!$V:$V,"&lt;&gt;*EXECUTED*"))</f>
        <v>0</v>
      </c>
      <c r="P205" s="32" cm="1">
        <f t="array" ref="P205">SUMIFS(FLOWS!$C:$C,FLOWS!$A:$A,$B$191,FLOWS!$E:$E,$K205,FLOWS!$D:$D,P$195,FLOWS!$H:$H,"&gt;="&amp;$C$193,FLOWS!$H:$H,"&lt;="&amp;$U$193)+SUM(SUMIFS(DEALS!$J:$J,DEALS!$A:$A,{"*REFUND*","*EXECUTED*"},DEALS!$G:$G,$B$191,DEALS!$E:$E,"&gt;="&amp;$C$193,DEALS!$E:$E,"&lt;="&amp;$U$193,DEALS!$K:$K,P$195,DEALS!$M:$M,$K205,DEALS!$N:$N,"&lt;&gt;*RECEIVED*",DEALS!$N:$N,"&lt;&gt;*EXECUTED*"))+SUM(SUMIFS(DEALS!$R:$R,DEALS!$A:$A,{"*REFUND*","*EXECUTED*"},DEALS!$O:$O,$B$191,DEALS!$E:$E,"&gt;="&amp;$C$193,DEALS!$E:$E,"&lt;="&amp;$U$193,DEALS!$S:$S,P$195,DEALS!$U:$U,$K205,DEALS!$V:$V,"&lt;&gt;*RECEIVED*",DEALS!$V:$V,"&lt;&gt;*EXECUTED*"))</f>
        <v>0</v>
      </c>
      <c r="Q205" s="32" cm="1">
        <f t="array" ref="Q205">SUMIFS(FLOWS!$C:$C,FLOWS!$A:$A,$B$191,FLOWS!$E:$E,$K205,FLOWS!$D:$D,Q$195,FLOWS!$H:$H,"&gt;="&amp;$C$193,FLOWS!$H:$H,"&lt;="&amp;$U$193)+SUM(SUMIFS(DEALS!$J:$J,DEALS!$A:$A,{"*REFUND*","*EXECUTED*"},DEALS!$G:$G,$B$191,DEALS!$E:$E,"&gt;="&amp;$C$193,DEALS!$E:$E,"&lt;="&amp;$U$193,DEALS!$K:$K,Q$195,DEALS!$M:$M,$K205,DEALS!$N:$N,"&lt;&gt;*RECEIVED*",DEALS!$N:$N,"&lt;&gt;*EXECUTED*"))+SUM(SUMIFS(DEALS!$R:$R,DEALS!$A:$A,{"*REFUND*","*EXECUTED*"},DEALS!$O:$O,$B$191,DEALS!$E:$E,"&gt;="&amp;$C$193,DEALS!$E:$E,"&lt;="&amp;$U$193,DEALS!$S:$S,Q$195,DEALS!$U:$U,$K205,DEALS!$V:$V,"&lt;&gt;*RECEIVED*",DEALS!$V:$V,"&lt;&gt;*EXECUTED*"))</f>
        <v>0</v>
      </c>
      <c r="R205" s="33">
        <f ca="1">L205*VLOOKUP(L$195,'FX RATES'!$E$1:$F$50,2,FALSE)+M205*VLOOKUP(M$195,'FX RATES'!$E$1:$F$50,2,FALSE)+N205*VLOOKUP(N$195,'FX RATES'!$E$1:$F$50,2,FALSE)+O205*VLOOKUP(O$195,'FX RATES'!$E$1:$F$50,2,FALSE)+P205*VLOOKUP(P$195,'FX RATES'!$E$1:$F$50,2,FALSE)+Q205*VLOOKUP(Q$195,'FX RATES'!$E$1:$F$50,2,FALSE)</f>
        <v>0</v>
      </c>
      <c r="T205" s="31">
        <f t="shared" si="68"/>
        <v>0</v>
      </c>
      <c r="U205" s="32" cm="1">
        <f t="array" ref="U205">SUMIFS(BALANCES!$C:$C,BALANCES!$A:$A,$B$191,BALANCES!$B:$B,$T205,BALANCES!$D:$D,U$195)+SUMIFS(FLOWS!$C:$C,FLOWS!$A:$A,$B$191,FLOWS!$E:$E,$T205,FLOWS!$D:$D,U$195,FLOWS!$H:$H,"&lt;="&amp;$U$193)+SUM(SUMIFS(DEALS!$J:$J,DEALS!$A:$A,{"*REFUND*","*EXECUTED*"},DEALS!$G:$G,$B$191,DEALS!$E:$E,"&lt;="&amp;$U$193,DEALS!$K:$K,U$195,DEALS!$M:$M,$T205,DEALS!$N:$N,"&lt;&gt;*RECEIVED*",DEALS!$N:$N,"&lt;&gt;*EXECUTED*"))+SUM(SUMIFS(DEALS!$R:$R,DEALS!$A:$A,{"*REFUND*","*EXECUTED*"},DEALS!$O:$O,$B$191,DEALS!$E:$E,"&lt;="&amp;$U$193,DEALS!$S:$S,U$195,DEALS!$U:$U,$T205,DEALS!$V:$V,"&lt;&gt;*RECEIVED*",DEALS!$V:$V,"&lt;&gt;*EXECUTED*"))</f>
        <v>0</v>
      </c>
      <c r="V205" s="32" cm="1">
        <f t="array" ref="V205">SUMIFS(BALANCES!$C:$C,BALANCES!$A:$A,$B$191,BALANCES!$B:$B,$T205,BALANCES!$D:$D,V$195)+SUMIFS(FLOWS!$C:$C,FLOWS!$A:$A,$B$191,FLOWS!$E:$E,$T205,FLOWS!$D:$D,V$195,FLOWS!$H:$H,"&lt;="&amp;$U$193)+SUM(SUMIFS(DEALS!$J:$J,DEALS!$A:$A,{"*REFUND*","*EXECUTED*"},DEALS!$G:$G,$B$191,DEALS!$E:$E,"&lt;="&amp;$U$193,DEALS!$K:$K,V$195,DEALS!$M:$M,$T205,DEALS!$N:$N,"&lt;&gt;*RECEIVED*",DEALS!$N:$N,"&lt;&gt;*EXECUTED*"))+SUM(SUMIFS(DEALS!$R:$R,DEALS!$A:$A,{"*REFUND*","*EXECUTED*"},DEALS!$O:$O,$B$191,DEALS!$E:$E,"&lt;="&amp;$U$193,DEALS!$S:$S,V$195,DEALS!$U:$U,$T205,DEALS!$V:$V,"&lt;&gt;*RECEIVED*",DEALS!$V:$V,"&lt;&gt;*EXECUTED*"))</f>
        <v>0</v>
      </c>
      <c r="W205" s="32" cm="1">
        <f t="array" ref="W205">SUMIFS(BALANCES!$C:$C,BALANCES!$A:$A,$B$191,BALANCES!$B:$B,$T205,BALANCES!$D:$D,W$195)+SUMIFS(FLOWS!$C:$C,FLOWS!$A:$A,$B$191,FLOWS!$E:$E,$T205,FLOWS!$D:$D,W$195,FLOWS!$H:$H,"&lt;="&amp;$U$193)+SUM(SUMIFS(DEALS!$J:$J,DEALS!$A:$A,{"*REFUND*","*EXECUTED*"},DEALS!$G:$G,$B$191,DEALS!$E:$E,"&lt;="&amp;$U$193,DEALS!$K:$K,W$195,DEALS!$M:$M,$T205,DEALS!$N:$N,"&lt;&gt;*RECEIVED*",DEALS!$N:$N,"&lt;&gt;*EXECUTED*"))+SUM(SUMIFS(DEALS!$R:$R,DEALS!$A:$A,{"*REFUND*","*EXECUTED*"},DEALS!$O:$O,$B$191,DEALS!$E:$E,"&lt;="&amp;$U$193,DEALS!$S:$S,W$195,DEALS!$U:$U,$T205,DEALS!$V:$V,"&lt;&gt;*RECEIVED*",DEALS!$V:$V,"&lt;&gt;*EXECUTED*"))</f>
        <v>0</v>
      </c>
      <c r="X205" s="32" cm="1">
        <f t="array" ref="X205">SUMIFS(BALANCES!$C:$C,BALANCES!$A:$A,$B$191,BALANCES!$B:$B,$T205,BALANCES!$D:$D,X$195)+SUMIFS(FLOWS!$C:$C,FLOWS!$A:$A,$B$191,FLOWS!$E:$E,$T205,FLOWS!$D:$D,X$195,FLOWS!$H:$H,"&lt;="&amp;$U$193)+SUM(SUMIFS(DEALS!$J:$J,DEALS!$A:$A,{"*REFUND*","*EXECUTED*"},DEALS!$G:$G,$B$191,DEALS!$E:$E,"&lt;="&amp;$U$193,DEALS!$K:$K,X$195,DEALS!$M:$M,$T205,DEALS!$N:$N,"&lt;&gt;*RECEIVED*",DEALS!$N:$N,"&lt;&gt;*EXECUTED*"))+SUM(SUMIFS(DEALS!$R:$R,DEALS!$A:$A,{"*REFUND*","*EXECUTED*"},DEALS!$O:$O,$B$191,DEALS!$E:$E,"&lt;="&amp;$U$193,DEALS!$S:$S,X$195,DEALS!$U:$U,$T205,DEALS!$V:$V,"&lt;&gt;*RECEIVED*",DEALS!$V:$V,"&lt;&gt;*EXECUTED*"))</f>
        <v>0</v>
      </c>
      <c r="Y205" s="32" cm="1">
        <f t="array" ref="Y205">SUMIFS(BALANCES!$C:$C,BALANCES!$A:$A,$B$191,BALANCES!$B:$B,$T205,BALANCES!$D:$D,Y$195)+SUMIFS(FLOWS!$C:$C,FLOWS!$A:$A,$B$191,FLOWS!$E:$E,$T205,FLOWS!$D:$D,Y$195,FLOWS!$H:$H,"&lt;="&amp;$U$193)+SUM(SUMIFS(DEALS!$J:$J,DEALS!$A:$A,{"*REFUND*","*EXECUTED*"},DEALS!$G:$G,$B$191,DEALS!$E:$E,"&lt;="&amp;$U$193,DEALS!$K:$K,Y$195,DEALS!$M:$M,$T205,DEALS!$N:$N,"&lt;&gt;*RECEIVED*",DEALS!$N:$N,"&lt;&gt;*EXECUTED*"))+SUM(SUMIFS(DEALS!$R:$R,DEALS!$A:$A,{"*REFUND*","*EXECUTED*"},DEALS!$O:$O,$B$191,DEALS!$E:$E,"&lt;="&amp;$U$193,DEALS!$S:$S,Y$195,DEALS!$U:$U,$T205,DEALS!$V:$V,"&lt;&gt;*RECEIVED*",DEALS!$V:$V,"&lt;&gt;*EXECUTED*"))</f>
        <v>0</v>
      </c>
      <c r="Z205" s="32" cm="1">
        <f t="array" ref="Z205">SUMIFS(BALANCES!$C:$C,BALANCES!$A:$A,$B$191,BALANCES!$B:$B,$T205,BALANCES!$D:$D,Z$195)+SUMIFS(FLOWS!$C:$C,FLOWS!$A:$A,$B$191,FLOWS!$E:$E,$T205,FLOWS!$D:$D,Z$195,FLOWS!$H:$H,"&lt;="&amp;$U$193)+SUM(SUMIFS(DEALS!$J:$J,DEALS!$A:$A,{"*REFUND*","*EXECUTED*"},DEALS!$G:$G,$B$191,DEALS!$E:$E,"&lt;="&amp;$U$193,DEALS!$K:$K,Z$195,DEALS!$M:$M,$T205,DEALS!$N:$N,"&lt;&gt;*RECEIVED*",DEALS!$N:$N,"&lt;&gt;*EXECUTED*"))+SUM(SUMIFS(DEALS!$R:$R,DEALS!$A:$A,{"*REFUND*","*EXECUTED*"},DEALS!$O:$O,$B$191,DEALS!$E:$E,"&lt;="&amp;$U$193,DEALS!$S:$S,Z$195,DEALS!$U:$U,$T205,DEALS!$V:$V,"&lt;&gt;*RECEIVED*",DEALS!$V:$V,"&lt;&gt;*EXECUTED*"))</f>
        <v>0</v>
      </c>
      <c r="AA205" s="33">
        <f ca="1">U205*VLOOKUP(U$195,'FX RATES'!$E$1:$F$50,2,FALSE)+V205*VLOOKUP(V$195,'FX RATES'!$E$1:$F$50,2,FALSE)+W205*VLOOKUP(W$195,'FX RATES'!$E$1:$F$50,2,FALSE)+X205*VLOOKUP(X$195,'FX RATES'!$E$1:$F$50,2,FALSE)+Y205*VLOOKUP(Y$195,'FX RATES'!$E$1:$F$50,2,FALSE)+Z205*VLOOKUP(Z$195,'FX RATES'!$E$1:$F$50,2,FALSE)</f>
        <v>0</v>
      </c>
      <c r="AC205" s="139">
        <f t="shared" ca="1" si="69"/>
        <v>0</v>
      </c>
    </row>
    <row r="206" spans="2:29" ht="18.75" hidden="1" customHeight="1">
      <c r="B206" s="28"/>
      <c r="C206" s="29" cm="1">
        <f t="array" ref="C206">SUMIFS(BALANCES!$C:$C,BALANCES!$A:$A,$B$191,BALANCES!$B:$B,$B206,BALANCES!$D:$D,C$195)+SUMIFS(FLOWS!$C:$C,FLOWS!$A:$A,$B$191,FLOWS!$E:$E,$B206,FLOWS!$D:$D,C$195,FLOWS!$H:$H,"&lt;"&amp;$C$193)+SUM(SUMIFS(DEALS!$J:$J,DEALS!$A:$A,{"*REFUND*","*EXECUTED*"},DEALS!$G:$G,$B$191,DEALS!$E:$E,"&lt;"&amp;$C$193,DEALS!$K:$K,C$195,DEALS!$M:$M,$B206,DEALS!$N:$N,"&lt;&gt;*RECEIVED*",DEALS!$N:$N,"&lt;&gt;*EXECUTED*"))+SUM(SUMIFS(DEALS!$R:$R,DEALS!$A:$A,{"*REFUND*","*EXECUTED*"},DEALS!$O:$O,$B$191,DEALS!$E:$E,"&lt;"&amp;$C$193,DEALS!$S:$S,C$195,DEALS!$U:$U,$B206,DEALS!$V:$V,"&lt;&gt;*RECEIVED*",DEALS!$V:$V,"&lt;&gt;*EXECUTED*"))</f>
        <v>0</v>
      </c>
      <c r="D206" s="29" cm="1">
        <f t="array" ref="D206">SUMIFS(BALANCES!$C:$C,BALANCES!$A:$A,$B$191,BALANCES!$B:$B,$B206,BALANCES!$D:$D,D$195)+SUMIFS(FLOWS!$C:$C,FLOWS!$A:$A,$B$191,FLOWS!$E:$E,$B206,FLOWS!$D:$D,D$195,FLOWS!$H:$H,"&lt;"&amp;$C$193)+SUM(SUMIFS(DEALS!$J:$J,DEALS!$A:$A,{"*REFUND*","*EXECUTED*"},DEALS!$G:$G,$B$191,DEALS!$E:$E,"&lt;"&amp;$C$193,DEALS!$K:$K,D$195,DEALS!$M:$M,$B206,DEALS!$N:$N,"&lt;&gt;*RECEIVED*",DEALS!$N:$N,"&lt;&gt;*EXECUTED*"))+SUM(SUMIFS(DEALS!$R:$R,DEALS!$A:$A,{"*REFUND*","*EXECUTED*"},DEALS!$O:$O,$B$191,DEALS!$E:$E,"&lt;"&amp;$C$193,DEALS!$S:$S,D$195,DEALS!$U:$U,$B206,DEALS!$V:$V,"&lt;&gt;*RECEIVED*",DEALS!$V:$V,"&lt;&gt;*EXECUTED*"))</f>
        <v>0</v>
      </c>
      <c r="E206" s="29" cm="1">
        <f t="array" ref="E206">SUMIFS(BALANCES!$C:$C,BALANCES!$A:$A,$B$191,BALANCES!$B:$B,$B206,BALANCES!$D:$D,E$195)+SUMIFS(FLOWS!$C:$C,FLOWS!$A:$A,$B$191,FLOWS!$E:$E,$B206,FLOWS!$D:$D,E$195,FLOWS!$H:$H,"&lt;"&amp;$C$193)+SUM(SUMIFS(DEALS!$J:$J,DEALS!$A:$A,{"*REFUND*","*EXECUTED*"},DEALS!$G:$G,$B$191,DEALS!$E:$E,"&lt;"&amp;$C$193,DEALS!$K:$K,E$195,DEALS!$M:$M,$B206,DEALS!$N:$N,"&lt;&gt;*RECEIVED*",DEALS!$N:$N,"&lt;&gt;*EXECUTED*"))+SUM(SUMIFS(DEALS!$R:$R,DEALS!$A:$A,{"*REFUND*","*EXECUTED*"},DEALS!$O:$O,$B$191,DEALS!$E:$E,"&lt;"&amp;$C$193,DEALS!$S:$S,E$195,DEALS!$U:$U,$B206,DEALS!$V:$V,"&lt;&gt;*RECEIVED*",DEALS!$V:$V,"&lt;&gt;*EXECUTED*"))</f>
        <v>0</v>
      </c>
      <c r="F206" s="29" cm="1">
        <f t="array" ref="F206">SUMIFS(BALANCES!$C:$C,BALANCES!$A:$A,$B$191,BALANCES!$B:$B,$B206,BALANCES!$D:$D,F$195)+SUMIFS(FLOWS!$C:$C,FLOWS!$A:$A,$B$191,FLOWS!$E:$E,$B206,FLOWS!$D:$D,F$195,FLOWS!$H:$H,"&lt;"&amp;$C$193)+SUM(SUMIFS(DEALS!$J:$J,DEALS!$A:$A,{"*REFUND*","*EXECUTED*"},DEALS!$G:$G,$B$191,DEALS!$E:$E,"&lt;"&amp;$C$193,DEALS!$K:$K,F$195,DEALS!$M:$M,$B206,DEALS!$N:$N,"&lt;&gt;*RECEIVED*",DEALS!$N:$N,"&lt;&gt;*EXECUTED*"))+SUM(SUMIFS(DEALS!$R:$R,DEALS!$A:$A,{"*REFUND*","*EXECUTED*"},DEALS!$O:$O,$B$191,DEALS!$E:$E,"&lt;"&amp;$C$193,DEALS!$S:$S,F$195,DEALS!$U:$U,$B206,DEALS!$V:$V,"&lt;&gt;*RECEIVED*",DEALS!$V:$V,"&lt;&gt;*EXECUTED*"))</f>
        <v>0</v>
      </c>
      <c r="G206" s="29" cm="1">
        <f t="array" ref="G206">SUMIFS(BALANCES!$C:$C,BALANCES!$A:$A,$B$191,BALANCES!$B:$B,$B206,BALANCES!$D:$D,G$195)+SUMIFS(FLOWS!$C:$C,FLOWS!$A:$A,$B$191,FLOWS!$E:$E,$B206,FLOWS!$D:$D,G$195,FLOWS!$H:$H,"&lt;"&amp;$C$193)+SUM(SUMIFS(DEALS!$J:$J,DEALS!$A:$A,{"*REFUND*","*EXECUTED*"},DEALS!$G:$G,$B$191,DEALS!$E:$E,"&lt;"&amp;$C$193,DEALS!$K:$K,G$195,DEALS!$M:$M,$B206,DEALS!$N:$N,"&lt;&gt;*RECEIVED*",DEALS!$N:$N,"&lt;&gt;*EXECUTED*"))+SUM(SUMIFS(DEALS!$R:$R,DEALS!$A:$A,{"*REFUND*","*EXECUTED*"},DEALS!$O:$O,$B$191,DEALS!$E:$E,"&lt;"&amp;$C$193,DEALS!$S:$S,G$195,DEALS!$U:$U,$B206,DEALS!$V:$V,"&lt;&gt;*RECEIVED*",DEALS!$V:$V,"&lt;&gt;*EXECUTED*"))</f>
        <v>0</v>
      </c>
      <c r="H206" s="29" cm="1">
        <f t="array" ref="H206">SUMIFS(BALANCES!$C:$C,BALANCES!$A:$A,$B$191,BALANCES!$B:$B,$B206,BALANCES!$D:$D,H$195)+SUMIFS(FLOWS!$C:$C,FLOWS!$A:$A,$B$191,FLOWS!$E:$E,$B206,FLOWS!$D:$D,H$195,FLOWS!$H:$H,"&lt;"&amp;$C$193)+SUM(SUMIFS(DEALS!$J:$J,DEALS!$A:$A,{"*REFUND*","*EXECUTED*"},DEALS!$G:$G,$B$191,DEALS!$E:$E,"&lt;"&amp;$C$193,DEALS!$K:$K,H$195,DEALS!$M:$M,$B206,DEALS!$N:$N,"&lt;&gt;*RECEIVED*",DEALS!$N:$N,"&lt;&gt;*EXECUTED*"))+SUM(SUMIFS(DEALS!$R:$R,DEALS!$A:$A,{"*REFUND*","*EXECUTED*"},DEALS!$O:$O,$B$191,DEALS!$E:$E,"&lt;"&amp;$C$193,DEALS!$S:$S,H$195,DEALS!$U:$U,$B206,DEALS!$V:$V,"&lt;&gt;*RECEIVED*",DEALS!$V:$V,"&lt;&gt;*EXECUTED*"))</f>
        <v>0</v>
      </c>
      <c r="I206" s="30">
        <f ca="1">C206*VLOOKUP(C$195,'FX RATES'!$E$1:$F$50,2,FALSE)+D206*VLOOKUP(D$195,'FX RATES'!$E$1:$F$50,2,FALSE)+E206*VLOOKUP(E$195,'FX RATES'!$E$1:$F$50,2,FALSE)+F206*VLOOKUP(F$195,'FX RATES'!$E$1:$F$50,2,FALSE)+G206*VLOOKUP(G$195,'FX RATES'!$E$1:$F$50,2,FALSE)+H206*VLOOKUP(H$195,'FX RATES'!$E$1:$F$50,2,FALSE)</f>
        <v>0</v>
      </c>
      <c r="K206" s="28">
        <f>B206</f>
        <v>0</v>
      </c>
      <c r="L206" s="29" cm="1">
        <f t="array" ref="L206">SUMIFS(FLOWS!$C:$C,FLOWS!$A:$A,$B$191,FLOWS!$E:$E,$K206,FLOWS!$D:$D,L$195,FLOWS!$H:$H,"&gt;="&amp;$C$193,FLOWS!$H:$H,"&lt;="&amp;$U$193)+SUM(SUMIFS(DEALS!$J:$J,DEALS!$A:$A,{"*REFUND*","*EXECUTED*"},DEALS!$G:$G,$B$191,DEALS!$E:$E,"&gt;="&amp;$C$193,DEALS!$E:$E,"&lt;="&amp;$U$193,DEALS!$K:$K,L$195,DEALS!$M:$M,$K206,DEALS!$N:$N,"&lt;&gt;*RECEIVED*",DEALS!$N:$N,"&lt;&gt;*EXECUTED*"))+SUM(SUMIFS(DEALS!$R:$R,DEALS!$A:$A,{"*REFUND*","*EXECUTED*"},DEALS!$O:$O,$B$191,DEALS!$E:$E,"&gt;="&amp;$C$193,DEALS!$E:$E,"&lt;="&amp;$U$193,DEALS!$S:$S,L$195,DEALS!$U:$U,$K206,DEALS!$V:$V,"&lt;&gt;*RECEIVED*",DEALS!$V:$V,"&lt;&gt;*EXECUTED*"))</f>
        <v>0</v>
      </c>
      <c r="M206" s="29" cm="1">
        <f t="array" ref="M206">SUMIFS(FLOWS!$C:$C,FLOWS!$A:$A,$B$191,FLOWS!$E:$E,$K206,FLOWS!$D:$D,M$195,FLOWS!$H:$H,"&gt;="&amp;$C$193,FLOWS!$H:$H,"&lt;="&amp;$U$193)+SUM(SUMIFS(DEALS!$J:$J,DEALS!$A:$A,{"*REFUND*","*EXECUTED*"},DEALS!$G:$G,$B$191,DEALS!$E:$E,"&gt;="&amp;$C$193,DEALS!$E:$E,"&lt;="&amp;$U$193,DEALS!$K:$K,M$195,DEALS!$M:$M,$K206,DEALS!$N:$N,"&lt;&gt;*RECEIVED*",DEALS!$N:$N,"&lt;&gt;*EXECUTED*"))+SUM(SUMIFS(DEALS!$R:$R,DEALS!$A:$A,{"*REFUND*","*EXECUTED*"},DEALS!$O:$O,$B$191,DEALS!$E:$E,"&gt;="&amp;$C$193,DEALS!$E:$E,"&lt;="&amp;$U$193,DEALS!$S:$S,M$195,DEALS!$U:$U,$K206,DEALS!$V:$V,"&lt;&gt;*RECEIVED*",DEALS!$V:$V,"&lt;&gt;*EXECUTED*"))</f>
        <v>0</v>
      </c>
      <c r="N206" s="29" cm="1">
        <f t="array" ref="N206">SUMIFS(FLOWS!$C:$C,FLOWS!$A:$A,$B$191,FLOWS!$E:$E,$K206,FLOWS!$D:$D,N$195,FLOWS!$H:$H,"&gt;="&amp;$C$193,FLOWS!$H:$H,"&lt;="&amp;$U$193)+SUM(SUMIFS(DEALS!$J:$J,DEALS!$A:$A,{"*REFUND*","*EXECUTED*"},DEALS!$G:$G,$B$191,DEALS!$E:$E,"&gt;="&amp;$C$193,DEALS!$E:$E,"&lt;="&amp;$U$193,DEALS!$K:$K,N$195,DEALS!$M:$M,$K206,DEALS!$N:$N,"&lt;&gt;*RECEIVED*",DEALS!$N:$N,"&lt;&gt;*EXECUTED*"))+SUM(SUMIFS(DEALS!$R:$R,DEALS!$A:$A,{"*REFUND*","*EXECUTED*"},DEALS!$O:$O,$B$191,DEALS!$E:$E,"&gt;="&amp;$C$193,DEALS!$E:$E,"&lt;="&amp;$U$193,DEALS!$S:$S,N$195,DEALS!$U:$U,$K206,DEALS!$V:$V,"&lt;&gt;*RECEIVED*",DEALS!$V:$V,"&lt;&gt;*EXECUTED*"))</f>
        <v>0</v>
      </c>
      <c r="O206" s="29" cm="1">
        <f t="array" ref="O206">SUMIFS(FLOWS!$C:$C,FLOWS!$A:$A,$B$191,FLOWS!$E:$E,$K206,FLOWS!$D:$D,O$195,FLOWS!$H:$H,"&gt;="&amp;$C$193,FLOWS!$H:$H,"&lt;="&amp;$U$193)+SUM(SUMIFS(DEALS!$J:$J,DEALS!$A:$A,{"*REFUND*","*EXECUTED*"},DEALS!$G:$G,$B$191,DEALS!$E:$E,"&gt;="&amp;$C$193,DEALS!$E:$E,"&lt;="&amp;$U$193,DEALS!$K:$K,O$195,DEALS!$M:$M,$K206,DEALS!$N:$N,"&lt;&gt;*RECEIVED*",DEALS!$N:$N,"&lt;&gt;*EXECUTED*"))+SUM(SUMIFS(DEALS!$R:$R,DEALS!$A:$A,{"*REFUND*","*EXECUTED*"},DEALS!$O:$O,$B$191,DEALS!$E:$E,"&gt;="&amp;$C$193,DEALS!$E:$E,"&lt;="&amp;$U$193,DEALS!$S:$S,O$195,DEALS!$U:$U,$K206,DEALS!$V:$V,"&lt;&gt;*RECEIVED*",DEALS!$V:$V,"&lt;&gt;*EXECUTED*"))</f>
        <v>0</v>
      </c>
      <c r="P206" s="29" cm="1">
        <f t="array" ref="P206">SUMIFS(FLOWS!$C:$C,FLOWS!$A:$A,$B$191,FLOWS!$E:$E,$K206,FLOWS!$D:$D,P$195,FLOWS!$H:$H,"&gt;="&amp;$C$193,FLOWS!$H:$H,"&lt;="&amp;$U$193)+SUM(SUMIFS(DEALS!$J:$J,DEALS!$A:$A,{"*REFUND*","*EXECUTED*"},DEALS!$G:$G,$B$191,DEALS!$E:$E,"&gt;="&amp;$C$193,DEALS!$E:$E,"&lt;="&amp;$U$193,DEALS!$K:$K,P$195,DEALS!$M:$M,$K206,DEALS!$N:$N,"&lt;&gt;*RECEIVED*",DEALS!$N:$N,"&lt;&gt;*EXECUTED*"))+SUM(SUMIFS(DEALS!$R:$R,DEALS!$A:$A,{"*REFUND*","*EXECUTED*"},DEALS!$O:$O,$B$191,DEALS!$E:$E,"&gt;="&amp;$C$193,DEALS!$E:$E,"&lt;="&amp;$U$193,DEALS!$S:$S,P$195,DEALS!$U:$U,$K206,DEALS!$V:$V,"&lt;&gt;*RECEIVED*",DEALS!$V:$V,"&lt;&gt;*EXECUTED*"))</f>
        <v>0</v>
      </c>
      <c r="Q206" s="29" cm="1">
        <f t="array" ref="Q206">SUMIFS(FLOWS!$C:$C,FLOWS!$A:$A,$B$191,FLOWS!$E:$E,$K206,FLOWS!$D:$D,Q$195,FLOWS!$H:$H,"&gt;="&amp;$C$193,FLOWS!$H:$H,"&lt;="&amp;$U$193)+SUM(SUMIFS(DEALS!$J:$J,DEALS!$A:$A,{"*REFUND*","*EXECUTED*"},DEALS!$G:$G,$B$191,DEALS!$E:$E,"&gt;="&amp;$C$193,DEALS!$E:$E,"&lt;="&amp;$U$193,DEALS!$K:$K,Q$195,DEALS!$M:$M,$K206,DEALS!$N:$N,"&lt;&gt;*RECEIVED*",DEALS!$N:$N,"&lt;&gt;*EXECUTED*"))+SUM(SUMIFS(DEALS!$R:$R,DEALS!$A:$A,{"*REFUND*","*EXECUTED*"},DEALS!$O:$O,$B$191,DEALS!$E:$E,"&gt;="&amp;$C$193,DEALS!$E:$E,"&lt;="&amp;$U$193,DEALS!$S:$S,Q$195,DEALS!$U:$U,$K206,DEALS!$V:$V,"&lt;&gt;*RECEIVED*",DEALS!$V:$V,"&lt;&gt;*EXECUTED*"))</f>
        <v>0</v>
      </c>
      <c r="R206" s="30">
        <f ca="1">L206*VLOOKUP(L$195,'FX RATES'!$E$1:$F$50,2,FALSE)+M206*VLOOKUP(M$195,'FX RATES'!$E$1:$F$50,2,FALSE)+N206*VLOOKUP(N$195,'FX RATES'!$E$1:$F$50,2,FALSE)+O206*VLOOKUP(O$195,'FX RATES'!$E$1:$F$50,2,FALSE)+P206*VLOOKUP(P$195,'FX RATES'!$E$1:$F$50,2,FALSE)+Q206*VLOOKUP(Q$195,'FX RATES'!$E$1:$F$50,2,FALSE)</f>
        <v>0</v>
      </c>
      <c r="T206" s="28">
        <f>B206</f>
        <v>0</v>
      </c>
      <c r="U206" s="29" cm="1">
        <f t="array" ref="U206">SUMIFS(BALANCES!$C:$C,BALANCES!$A:$A,$B$191,BALANCES!$B:$B,$T206,BALANCES!$D:$D,U$195)+SUMIFS(FLOWS!$C:$C,FLOWS!$A:$A,$B$191,FLOWS!$E:$E,$T206,FLOWS!$D:$D,U$195,FLOWS!$H:$H,"&lt;="&amp;$U$193)+SUM(SUMIFS(DEALS!$J:$J,DEALS!$A:$A,{"*REFUND*","*EXECUTED*"},DEALS!$G:$G,$B$191,DEALS!$E:$E,"&lt;="&amp;$U$193,DEALS!$K:$K,U$195,DEALS!$M:$M,$T206,DEALS!$N:$N,"&lt;&gt;*RECEIVED*",DEALS!$N:$N,"&lt;&gt;*EXECUTED*"))+SUM(SUMIFS(DEALS!$R:$R,DEALS!$A:$A,{"*REFUND*","*EXECUTED*"},DEALS!$O:$O,$B$191,DEALS!$E:$E,"&lt;="&amp;$U$193,DEALS!$S:$S,U$195,DEALS!$U:$U,$T206,DEALS!$V:$V,"&lt;&gt;*RECEIVED*",DEALS!$V:$V,"&lt;&gt;*EXECUTED*"))</f>
        <v>0</v>
      </c>
      <c r="V206" s="29" cm="1">
        <f t="array" ref="V206">SUMIFS(BALANCES!$C:$C,BALANCES!$A:$A,$B$191,BALANCES!$B:$B,$T206,BALANCES!$D:$D,V$195)+SUMIFS(FLOWS!$C:$C,FLOWS!$A:$A,$B$191,FLOWS!$E:$E,$T206,FLOWS!$D:$D,V$195,FLOWS!$H:$H,"&lt;="&amp;$U$193)+SUM(SUMIFS(DEALS!$J:$J,DEALS!$A:$A,{"*REFUND*","*EXECUTED*"},DEALS!$G:$G,$B$191,DEALS!$E:$E,"&lt;="&amp;$U$193,DEALS!$K:$K,V$195,DEALS!$M:$M,$T206,DEALS!$N:$N,"&lt;&gt;*RECEIVED*",DEALS!$N:$N,"&lt;&gt;*EXECUTED*"))+SUM(SUMIFS(DEALS!$R:$R,DEALS!$A:$A,{"*REFUND*","*EXECUTED*"},DEALS!$O:$O,$B$191,DEALS!$E:$E,"&lt;="&amp;$U$193,DEALS!$S:$S,V$195,DEALS!$U:$U,$T206,DEALS!$V:$V,"&lt;&gt;*RECEIVED*",DEALS!$V:$V,"&lt;&gt;*EXECUTED*"))</f>
        <v>0</v>
      </c>
      <c r="W206" s="29" cm="1">
        <f t="array" ref="W206">SUMIFS(BALANCES!$C:$C,BALANCES!$A:$A,$B$191,BALANCES!$B:$B,$T206,BALANCES!$D:$D,W$195)+SUMIFS(FLOWS!$C:$C,FLOWS!$A:$A,$B$191,FLOWS!$E:$E,$T206,FLOWS!$D:$D,W$195,FLOWS!$H:$H,"&lt;="&amp;$U$193)+SUM(SUMIFS(DEALS!$J:$J,DEALS!$A:$A,{"*REFUND*","*EXECUTED*"},DEALS!$G:$G,$B$191,DEALS!$E:$E,"&lt;="&amp;$U$193,DEALS!$K:$K,W$195,DEALS!$M:$M,$T206,DEALS!$N:$N,"&lt;&gt;*RECEIVED*",DEALS!$N:$N,"&lt;&gt;*EXECUTED*"))+SUM(SUMIFS(DEALS!$R:$R,DEALS!$A:$A,{"*REFUND*","*EXECUTED*"},DEALS!$O:$O,$B$191,DEALS!$E:$E,"&lt;="&amp;$U$193,DEALS!$S:$S,W$195,DEALS!$U:$U,$T206,DEALS!$V:$V,"&lt;&gt;*RECEIVED*",DEALS!$V:$V,"&lt;&gt;*EXECUTED*"))</f>
        <v>0</v>
      </c>
      <c r="X206" s="29" cm="1">
        <f t="array" ref="X206">SUMIFS(BALANCES!$C:$C,BALANCES!$A:$A,$B$191,BALANCES!$B:$B,$T206,BALANCES!$D:$D,X$195)+SUMIFS(FLOWS!$C:$C,FLOWS!$A:$A,$B$191,FLOWS!$E:$E,$T206,FLOWS!$D:$D,X$195,FLOWS!$H:$H,"&lt;="&amp;$U$193)+SUM(SUMIFS(DEALS!$J:$J,DEALS!$A:$A,{"*REFUND*","*EXECUTED*"},DEALS!$G:$G,$B$191,DEALS!$E:$E,"&lt;="&amp;$U$193,DEALS!$K:$K,X$195,DEALS!$M:$M,$T206,DEALS!$N:$N,"&lt;&gt;*RECEIVED*",DEALS!$N:$N,"&lt;&gt;*EXECUTED*"))+SUM(SUMIFS(DEALS!$R:$R,DEALS!$A:$A,{"*REFUND*","*EXECUTED*"},DEALS!$O:$O,$B$191,DEALS!$E:$E,"&lt;="&amp;$U$193,DEALS!$S:$S,X$195,DEALS!$U:$U,$T206,DEALS!$V:$V,"&lt;&gt;*RECEIVED*",DEALS!$V:$V,"&lt;&gt;*EXECUTED*"))</f>
        <v>0</v>
      </c>
      <c r="Y206" s="29" cm="1">
        <f t="array" ref="Y206">SUMIFS(BALANCES!$C:$C,BALANCES!$A:$A,$B$191,BALANCES!$B:$B,$T206,BALANCES!$D:$D,Y$195)+SUMIFS(FLOWS!$C:$C,FLOWS!$A:$A,$B$191,FLOWS!$E:$E,$T206,FLOWS!$D:$D,Y$195,FLOWS!$H:$H,"&lt;="&amp;$U$193)+SUM(SUMIFS(DEALS!$J:$J,DEALS!$A:$A,{"*REFUND*","*EXECUTED*"},DEALS!$G:$G,$B$191,DEALS!$E:$E,"&lt;="&amp;$U$193,DEALS!$K:$K,Y$195,DEALS!$M:$M,$T206,DEALS!$N:$N,"&lt;&gt;*RECEIVED*",DEALS!$N:$N,"&lt;&gt;*EXECUTED*"))+SUM(SUMIFS(DEALS!$R:$R,DEALS!$A:$A,{"*REFUND*","*EXECUTED*"},DEALS!$O:$O,$B$191,DEALS!$E:$E,"&lt;="&amp;$U$193,DEALS!$S:$S,Y$195,DEALS!$U:$U,$T206,DEALS!$V:$V,"&lt;&gt;*RECEIVED*",DEALS!$V:$V,"&lt;&gt;*EXECUTED*"))</f>
        <v>0</v>
      </c>
      <c r="Z206" s="29" cm="1">
        <f t="array" ref="Z206">SUMIFS(BALANCES!$C:$C,BALANCES!$A:$A,$B$191,BALANCES!$B:$B,$T206,BALANCES!$D:$D,Z$195)+SUMIFS(FLOWS!$C:$C,FLOWS!$A:$A,$B$191,FLOWS!$E:$E,$T206,FLOWS!$D:$D,Z$195,FLOWS!$H:$H,"&lt;="&amp;$U$193)+SUM(SUMIFS(DEALS!$J:$J,DEALS!$A:$A,{"*REFUND*","*EXECUTED*"},DEALS!$G:$G,$B$191,DEALS!$E:$E,"&lt;="&amp;$U$193,DEALS!$K:$K,Z$195,DEALS!$M:$M,$T206,DEALS!$N:$N,"&lt;&gt;*RECEIVED*",DEALS!$N:$N,"&lt;&gt;*EXECUTED*"))+SUM(SUMIFS(DEALS!$R:$R,DEALS!$A:$A,{"*REFUND*","*EXECUTED*"},DEALS!$O:$O,$B$191,DEALS!$E:$E,"&lt;="&amp;$U$193,DEALS!$S:$S,Z$195,DEALS!$U:$U,$T206,DEALS!$V:$V,"&lt;&gt;*RECEIVED*",DEALS!$V:$V,"&lt;&gt;*EXECUTED*"))</f>
        <v>0</v>
      </c>
      <c r="AA206" s="30">
        <f ca="1">U206*VLOOKUP(U$195,'FX RATES'!$E$1:$F$50,2,FALSE)+V206*VLOOKUP(V$195,'FX RATES'!$E$1:$F$50,2,FALSE)+W206*VLOOKUP(W$195,'FX RATES'!$E$1:$F$50,2,FALSE)+X206*VLOOKUP(X$195,'FX RATES'!$E$1:$F$50,2,FALSE)+Y206*VLOOKUP(Y$195,'FX RATES'!$E$1:$F$50,2,FALSE)+Z206*VLOOKUP(Z$195,'FX RATES'!$E$1:$F$50,2,FALSE)</f>
        <v>0</v>
      </c>
      <c r="AC206" s="139">
        <f ca="1">I206+R206-AA206</f>
        <v>0</v>
      </c>
    </row>
    <row r="207" spans="2:29" ht="18.75" hidden="1" customHeight="1">
      <c r="B207" s="31"/>
      <c r="C207" s="32" cm="1">
        <f t="array" ref="C207">SUMIFS(BALANCES!$C:$C,BALANCES!$A:$A,$B$191,BALANCES!$B:$B,$B207,BALANCES!$D:$D,C$195)+SUMIFS(FLOWS!$C:$C,FLOWS!$A:$A,$B$191,FLOWS!$E:$E,$B207,FLOWS!$D:$D,C$195,FLOWS!$H:$H,"&lt;"&amp;$C$193)+SUM(SUMIFS(DEALS!$J:$J,DEALS!$A:$A,{"*REFUND*","*EXECUTED*"},DEALS!$G:$G,$B$191,DEALS!$E:$E,"&lt;"&amp;$C$193,DEALS!$K:$K,C$195,DEALS!$M:$M,$B207,DEALS!$N:$N,"&lt;&gt;*RECEIVED*",DEALS!$N:$N,"&lt;&gt;*EXECUTED*"))+SUM(SUMIFS(DEALS!$R:$R,DEALS!$A:$A,{"*REFUND*","*EXECUTED*"},DEALS!$O:$O,$B$191,DEALS!$E:$E,"&lt;"&amp;$C$193,DEALS!$S:$S,C$195,DEALS!$U:$U,$B207,DEALS!$V:$V,"&lt;&gt;*RECEIVED*",DEALS!$V:$V,"&lt;&gt;*EXECUTED*"))</f>
        <v>0</v>
      </c>
      <c r="D207" s="32" cm="1">
        <f t="array" ref="D207">SUMIFS(BALANCES!$C:$C,BALANCES!$A:$A,$B$191,BALANCES!$B:$B,$B207,BALANCES!$D:$D,D$195)+SUMIFS(FLOWS!$C:$C,FLOWS!$A:$A,$B$191,FLOWS!$E:$E,$B207,FLOWS!$D:$D,D$195,FLOWS!$H:$H,"&lt;"&amp;$C$193)+SUM(SUMIFS(DEALS!$J:$J,DEALS!$A:$A,{"*REFUND*","*EXECUTED*"},DEALS!$G:$G,$B$191,DEALS!$E:$E,"&lt;"&amp;$C$193,DEALS!$K:$K,D$195,DEALS!$M:$M,$B207,DEALS!$N:$N,"&lt;&gt;*RECEIVED*",DEALS!$N:$N,"&lt;&gt;*EXECUTED*"))+SUM(SUMIFS(DEALS!$R:$R,DEALS!$A:$A,{"*REFUND*","*EXECUTED*"},DEALS!$O:$O,$B$191,DEALS!$E:$E,"&lt;"&amp;$C$193,DEALS!$S:$S,D$195,DEALS!$U:$U,$B207,DEALS!$V:$V,"&lt;&gt;*RECEIVED*",DEALS!$V:$V,"&lt;&gt;*EXECUTED*"))</f>
        <v>0</v>
      </c>
      <c r="E207" s="32" cm="1">
        <f t="array" ref="E207">SUMIFS(BALANCES!$C:$C,BALANCES!$A:$A,$B$191,BALANCES!$B:$B,$B207,BALANCES!$D:$D,E$195)+SUMIFS(FLOWS!$C:$C,FLOWS!$A:$A,$B$191,FLOWS!$E:$E,$B207,FLOWS!$D:$D,E$195,FLOWS!$H:$H,"&lt;"&amp;$C$193)+SUM(SUMIFS(DEALS!$J:$J,DEALS!$A:$A,{"*REFUND*","*EXECUTED*"},DEALS!$G:$G,$B$191,DEALS!$E:$E,"&lt;"&amp;$C$193,DEALS!$K:$K,E$195,DEALS!$M:$M,$B207,DEALS!$N:$N,"&lt;&gt;*RECEIVED*",DEALS!$N:$N,"&lt;&gt;*EXECUTED*"))+SUM(SUMIFS(DEALS!$R:$R,DEALS!$A:$A,{"*REFUND*","*EXECUTED*"},DEALS!$O:$O,$B$191,DEALS!$E:$E,"&lt;"&amp;$C$193,DEALS!$S:$S,E$195,DEALS!$U:$U,$B207,DEALS!$V:$V,"&lt;&gt;*RECEIVED*",DEALS!$V:$V,"&lt;&gt;*EXECUTED*"))</f>
        <v>0</v>
      </c>
      <c r="F207" s="32" cm="1">
        <f t="array" ref="F207">SUMIFS(BALANCES!$C:$C,BALANCES!$A:$A,$B$191,BALANCES!$B:$B,$B207,BALANCES!$D:$D,F$195)+SUMIFS(FLOWS!$C:$C,FLOWS!$A:$A,$B$191,FLOWS!$E:$E,$B207,FLOWS!$D:$D,F$195,FLOWS!$H:$H,"&lt;"&amp;$C$193)+SUM(SUMIFS(DEALS!$J:$J,DEALS!$A:$A,{"*REFUND*","*EXECUTED*"},DEALS!$G:$G,$B$191,DEALS!$E:$E,"&lt;"&amp;$C$193,DEALS!$K:$K,F$195,DEALS!$M:$M,$B207,DEALS!$N:$N,"&lt;&gt;*RECEIVED*",DEALS!$N:$N,"&lt;&gt;*EXECUTED*"))+SUM(SUMIFS(DEALS!$R:$R,DEALS!$A:$A,{"*REFUND*","*EXECUTED*"},DEALS!$O:$O,$B$191,DEALS!$E:$E,"&lt;"&amp;$C$193,DEALS!$S:$S,F$195,DEALS!$U:$U,$B207,DEALS!$V:$V,"&lt;&gt;*RECEIVED*",DEALS!$V:$V,"&lt;&gt;*EXECUTED*"))</f>
        <v>0</v>
      </c>
      <c r="G207" s="32" cm="1">
        <f t="array" ref="G207">SUMIFS(BALANCES!$C:$C,BALANCES!$A:$A,$B$191,BALANCES!$B:$B,$B207,BALANCES!$D:$D,G$195)+SUMIFS(FLOWS!$C:$C,FLOWS!$A:$A,$B$191,FLOWS!$E:$E,$B207,FLOWS!$D:$D,G$195,FLOWS!$H:$H,"&lt;"&amp;$C$193)+SUM(SUMIFS(DEALS!$J:$J,DEALS!$A:$A,{"*REFUND*","*EXECUTED*"},DEALS!$G:$G,$B$191,DEALS!$E:$E,"&lt;"&amp;$C$193,DEALS!$K:$K,G$195,DEALS!$M:$M,$B207,DEALS!$N:$N,"&lt;&gt;*RECEIVED*",DEALS!$N:$N,"&lt;&gt;*EXECUTED*"))+SUM(SUMIFS(DEALS!$R:$R,DEALS!$A:$A,{"*REFUND*","*EXECUTED*"},DEALS!$O:$O,$B$191,DEALS!$E:$E,"&lt;"&amp;$C$193,DEALS!$S:$S,G$195,DEALS!$U:$U,$B207,DEALS!$V:$V,"&lt;&gt;*RECEIVED*",DEALS!$V:$V,"&lt;&gt;*EXECUTED*"))</f>
        <v>0</v>
      </c>
      <c r="H207" s="32" cm="1">
        <f t="array" ref="H207">SUMIFS(BALANCES!$C:$C,BALANCES!$A:$A,$B$191,BALANCES!$B:$B,$B207,BALANCES!$D:$D,H$195)+SUMIFS(FLOWS!$C:$C,FLOWS!$A:$A,$B$191,FLOWS!$E:$E,$B207,FLOWS!$D:$D,H$195,FLOWS!$H:$H,"&lt;"&amp;$C$193)+SUM(SUMIFS(DEALS!$J:$J,DEALS!$A:$A,{"*REFUND*","*EXECUTED*"},DEALS!$G:$G,$B$191,DEALS!$E:$E,"&lt;"&amp;$C$193,DEALS!$K:$K,H$195,DEALS!$M:$M,$B207,DEALS!$N:$N,"&lt;&gt;*RECEIVED*",DEALS!$N:$N,"&lt;&gt;*EXECUTED*"))+SUM(SUMIFS(DEALS!$R:$R,DEALS!$A:$A,{"*REFUND*","*EXECUTED*"},DEALS!$O:$O,$B$191,DEALS!$E:$E,"&lt;"&amp;$C$193,DEALS!$S:$S,H$195,DEALS!$U:$U,$B207,DEALS!$V:$V,"&lt;&gt;*RECEIVED*",DEALS!$V:$V,"&lt;&gt;*EXECUTED*"))</f>
        <v>0</v>
      </c>
      <c r="I207" s="33">
        <f ca="1">C207*VLOOKUP(C$195,'FX RATES'!$E$1:$F$50,2,FALSE)+D207*VLOOKUP(D$195,'FX RATES'!$E$1:$F$50,2,FALSE)+E207*VLOOKUP(E$195,'FX RATES'!$E$1:$F$50,2,FALSE)+F207*VLOOKUP(F$195,'FX RATES'!$E$1:$F$50,2,FALSE)+G207*VLOOKUP(G$195,'FX RATES'!$E$1:$F$50,2,FALSE)+H207*VLOOKUP(H$195,'FX RATES'!$E$1:$F$50,2,FALSE)</f>
        <v>0</v>
      </c>
      <c r="K207" s="31">
        <f>B207</f>
        <v>0</v>
      </c>
      <c r="L207" s="32" cm="1">
        <f t="array" ref="L207">SUMIFS(FLOWS!$C:$C,FLOWS!$A:$A,$B$191,FLOWS!$E:$E,$K207,FLOWS!$D:$D,L$195,FLOWS!$H:$H,"&gt;="&amp;$C$193,FLOWS!$H:$H,"&lt;="&amp;$U$193)+SUM(SUMIFS(DEALS!$J:$J,DEALS!$A:$A,{"*REFUND*","*EXECUTED*"},DEALS!$G:$G,$B$191,DEALS!$E:$E,"&gt;="&amp;$C$193,DEALS!$E:$E,"&lt;="&amp;$U$193,DEALS!$K:$K,L$195,DEALS!$M:$M,$K207,DEALS!$N:$N,"&lt;&gt;*RECEIVED*",DEALS!$N:$N,"&lt;&gt;*EXECUTED*"))+SUM(SUMIFS(DEALS!$R:$R,DEALS!$A:$A,{"*REFUND*","*EXECUTED*"},DEALS!$O:$O,$B$191,DEALS!$E:$E,"&gt;="&amp;$C$193,DEALS!$E:$E,"&lt;="&amp;$U$193,DEALS!$S:$S,L$195,DEALS!$U:$U,$K207,DEALS!$V:$V,"&lt;&gt;*RECEIVED*",DEALS!$V:$V,"&lt;&gt;*EXECUTED*"))</f>
        <v>0</v>
      </c>
      <c r="M207" s="32" cm="1">
        <f t="array" ref="M207">SUMIFS(FLOWS!$C:$C,FLOWS!$A:$A,$B$191,FLOWS!$E:$E,$K207,FLOWS!$D:$D,M$195,FLOWS!$H:$H,"&gt;="&amp;$C$193,FLOWS!$H:$H,"&lt;="&amp;$U$193)+SUM(SUMIFS(DEALS!$J:$J,DEALS!$A:$A,{"*REFUND*","*EXECUTED*"},DEALS!$G:$G,$B$191,DEALS!$E:$E,"&gt;="&amp;$C$193,DEALS!$E:$E,"&lt;="&amp;$U$193,DEALS!$K:$K,M$195,DEALS!$M:$M,$K207,DEALS!$N:$N,"&lt;&gt;*RECEIVED*",DEALS!$N:$N,"&lt;&gt;*EXECUTED*"))+SUM(SUMIFS(DEALS!$R:$R,DEALS!$A:$A,{"*REFUND*","*EXECUTED*"},DEALS!$O:$O,$B$191,DEALS!$E:$E,"&gt;="&amp;$C$193,DEALS!$E:$E,"&lt;="&amp;$U$193,DEALS!$S:$S,M$195,DEALS!$U:$U,$K207,DEALS!$V:$V,"&lt;&gt;*RECEIVED*",DEALS!$V:$V,"&lt;&gt;*EXECUTED*"))</f>
        <v>0</v>
      </c>
      <c r="N207" s="32" cm="1">
        <f t="array" ref="N207">SUMIFS(FLOWS!$C:$C,FLOWS!$A:$A,$B$191,FLOWS!$E:$E,$K207,FLOWS!$D:$D,N$195,FLOWS!$H:$H,"&gt;="&amp;$C$193,FLOWS!$H:$H,"&lt;="&amp;$U$193)+SUM(SUMIFS(DEALS!$J:$J,DEALS!$A:$A,{"*REFUND*","*EXECUTED*"},DEALS!$G:$G,$B$191,DEALS!$E:$E,"&gt;="&amp;$C$193,DEALS!$E:$E,"&lt;="&amp;$U$193,DEALS!$K:$K,N$195,DEALS!$M:$M,$K207,DEALS!$N:$N,"&lt;&gt;*RECEIVED*",DEALS!$N:$N,"&lt;&gt;*EXECUTED*"))+SUM(SUMIFS(DEALS!$R:$R,DEALS!$A:$A,{"*REFUND*","*EXECUTED*"},DEALS!$O:$O,$B$191,DEALS!$E:$E,"&gt;="&amp;$C$193,DEALS!$E:$E,"&lt;="&amp;$U$193,DEALS!$S:$S,N$195,DEALS!$U:$U,$K207,DEALS!$V:$V,"&lt;&gt;*RECEIVED*",DEALS!$V:$V,"&lt;&gt;*EXECUTED*"))</f>
        <v>0</v>
      </c>
      <c r="O207" s="32" cm="1">
        <f t="array" ref="O207">SUMIFS(FLOWS!$C:$C,FLOWS!$A:$A,$B$191,FLOWS!$E:$E,$K207,FLOWS!$D:$D,O$195,FLOWS!$H:$H,"&gt;="&amp;$C$193,FLOWS!$H:$H,"&lt;="&amp;$U$193)+SUM(SUMIFS(DEALS!$J:$J,DEALS!$A:$A,{"*REFUND*","*EXECUTED*"},DEALS!$G:$G,$B$191,DEALS!$E:$E,"&gt;="&amp;$C$193,DEALS!$E:$E,"&lt;="&amp;$U$193,DEALS!$K:$K,O$195,DEALS!$M:$M,$K207,DEALS!$N:$N,"&lt;&gt;*RECEIVED*",DEALS!$N:$N,"&lt;&gt;*EXECUTED*"))+SUM(SUMIFS(DEALS!$R:$R,DEALS!$A:$A,{"*REFUND*","*EXECUTED*"},DEALS!$O:$O,$B$191,DEALS!$E:$E,"&gt;="&amp;$C$193,DEALS!$E:$E,"&lt;="&amp;$U$193,DEALS!$S:$S,O$195,DEALS!$U:$U,$K207,DEALS!$V:$V,"&lt;&gt;*RECEIVED*",DEALS!$V:$V,"&lt;&gt;*EXECUTED*"))</f>
        <v>0</v>
      </c>
      <c r="P207" s="32" cm="1">
        <f t="array" ref="P207">SUMIFS(FLOWS!$C:$C,FLOWS!$A:$A,$B$191,FLOWS!$E:$E,$K207,FLOWS!$D:$D,P$195,FLOWS!$H:$H,"&gt;="&amp;$C$193,FLOWS!$H:$H,"&lt;="&amp;$U$193)+SUM(SUMIFS(DEALS!$J:$J,DEALS!$A:$A,{"*REFUND*","*EXECUTED*"},DEALS!$G:$G,$B$191,DEALS!$E:$E,"&gt;="&amp;$C$193,DEALS!$E:$E,"&lt;="&amp;$U$193,DEALS!$K:$K,P$195,DEALS!$M:$M,$K207,DEALS!$N:$N,"&lt;&gt;*RECEIVED*",DEALS!$N:$N,"&lt;&gt;*EXECUTED*"))+SUM(SUMIFS(DEALS!$R:$R,DEALS!$A:$A,{"*REFUND*","*EXECUTED*"},DEALS!$O:$O,$B$191,DEALS!$E:$E,"&gt;="&amp;$C$193,DEALS!$E:$E,"&lt;="&amp;$U$193,DEALS!$S:$S,P$195,DEALS!$U:$U,$K207,DEALS!$V:$V,"&lt;&gt;*RECEIVED*",DEALS!$V:$V,"&lt;&gt;*EXECUTED*"))</f>
        <v>0</v>
      </c>
      <c r="Q207" s="32" cm="1">
        <f t="array" ref="Q207">SUMIFS(FLOWS!$C:$C,FLOWS!$A:$A,$B$191,FLOWS!$E:$E,$K207,FLOWS!$D:$D,Q$195,FLOWS!$H:$H,"&gt;="&amp;$C$193,FLOWS!$H:$H,"&lt;="&amp;$U$193)+SUM(SUMIFS(DEALS!$J:$J,DEALS!$A:$A,{"*REFUND*","*EXECUTED*"},DEALS!$G:$G,$B$191,DEALS!$E:$E,"&gt;="&amp;$C$193,DEALS!$E:$E,"&lt;="&amp;$U$193,DEALS!$K:$K,Q$195,DEALS!$M:$M,$K207,DEALS!$N:$N,"&lt;&gt;*RECEIVED*",DEALS!$N:$N,"&lt;&gt;*EXECUTED*"))+SUM(SUMIFS(DEALS!$R:$R,DEALS!$A:$A,{"*REFUND*","*EXECUTED*"},DEALS!$O:$O,$B$191,DEALS!$E:$E,"&gt;="&amp;$C$193,DEALS!$E:$E,"&lt;="&amp;$U$193,DEALS!$S:$S,Q$195,DEALS!$U:$U,$K207,DEALS!$V:$V,"&lt;&gt;*RECEIVED*",DEALS!$V:$V,"&lt;&gt;*EXECUTED*"))</f>
        <v>0</v>
      </c>
      <c r="R207" s="33">
        <f ca="1">L207*VLOOKUP(L$195,'FX RATES'!$E$1:$F$50,2,FALSE)+M207*VLOOKUP(M$195,'FX RATES'!$E$1:$F$50,2,FALSE)+N207*VLOOKUP(N$195,'FX RATES'!$E$1:$F$50,2,FALSE)+O207*VLOOKUP(O$195,'FX RATES'!$E$1:$F$50,2,FALSE)+P207*VLOOKUP(P$195,'FX RATES'!$E$1:$F$50,2,FALSE)+Q207*VLOOKUP(Q$195,'FX RATES'!$E$1:$F$50,2,FALSE)</f>
        <v>0</v>
      </c>
      <c r="T207" s="31">
        <f>B207</f>
        <v>0</v>
      </c>
      <c r="U207" s="32" cm="1">
        <f t="array" ref="U207">SUMIFS(BALANCES!$C:$C,BALANCES!$A:$A,$B$191,BALANCES!$B:$B,$T207,BALANCES!$D:$D,U$195)+SUMIFS(FLOWS!$C:$C,FLOWS!$A:$A,$B$191,FLOWS!$E:$E,$T207,FLOWS!$D:$D,U$195,FLOWS!$H:$H,"&lt;="&amp;$U$193)+SUM(SUMIFS(DEALS!$J:$J,DEALS!$A:$A,{"*REFUND*","*EXECUTED*"},DEALS!$G:$G,$B$191,DEALS!$E:$E,"&lt;="&amp;$U$193,DEALS!$K:$K,U$195,DEALS!$M:$M,$T207,DEALS!$N:$N,"&lt;&gt;*RECEIVED*",DEALS!$N:$N,"&lt;&gt;*EXECUTED*"))+SUM(SUMIFS(DEALS!$R:$R,DEALS!$A:$A,{"*REFUND*","*EXECUTED*"},DEALS!$O:$O,$B$191,DEALS!$E:$E,"&lt;="&amp;$U$193,DEALS!$S:$S,U$195,DEALS!$U:$U,$T207,DEALS!$V:$V,"&lt;&gt;*RECEIVED*",DEALS!$V:$V,"&lt;&gt;*EXECUTED*"))</f>
        <v>0</v>
      </c>
      <c r="V207" s="32" cm="1">
        <f t="array" ref="V207">SUMIFS(BALANCES!$C:$C,BALANCES!$A:$A,$B$191,BALANCES!$B:$B,$T207,BALANCES!$D:$D,V$195)+SUMIFS(FLOWS!$C:$C,FLOWS!$A:$A,$B$191,FLOWS!$E:$E,$T207,FLOWS!$D:$D,V$195,FLOWS!$H:$H,"&lt;="&amp;$U$193)+SUM(SUMIFS(DEALS!$J:$J,DEALS!$A:$A,{"*REFUND*","*EXECUTED*"},DEALS!$G:$G,$B$191,DEALS!$E:$E,"&lt;="&amp;$U$193,DEALS!$K:$K,V$195,DEALS!$M:$M,$T207,DEALS!$N:$N,"&lt;&gt;*RECEIVED*",DEALS!$N:$N,"&lt;&gt;*EXECUTED*"))+SUM(SUMIFS(DEALS!$R:$R,DEALS!$A:$A,{"*REFUND*","*EXECUTED*"},DEALS!$O:$O,$B$191,DEALS!$E:$E,"&lt;="&amp;$U$193,DEALS!$S:$S,V$195,DEALS!$U:$U,$T207,DEALS!$V:$V,"&lt;&gt;*RECEIVED*",DEALS!$V:$V,"&lt;&gt;*EXECUTED*"))</f>
        <v>0</v>
      </c>
      <c r="W207" s="32" cm="1">
        <f t="array" ref="W207">SUMIFS(BALANCES!$C:$C,BALANCES!$A:$A,$B$191,BALANCES!$B:$B,$T207,BALANCES!$D:$D,W$195)+SUMIFS(FLOWS!$C:$C,FLOWS!$A:$A,$B$191,FLOWS!$E:$E,$T207,FLOWS!$D:$D,W$195,FLOWS!$H:$H,"&lt;="&amp;$U$193)+SUM(SUMIFS(DEALS!$J:$J,DEALS!$A:$A,{"*REFUND*","*EXECUTED*"},DEALS!$G:$G,$B$191,DEALS!$E:$E,"&lt;="&amp;$U$193,DEALS!$K:$K,W$195,DEALS!$M:$M,$T207,DEALS!$N:$N,"&lt;&gt;*RECEIVED*",DEALS!$N:$N,"&lt;&gt;*EXECUTED*"))+SUM(SUMIFS(DEALS!$R:$R,DEALS!$A:$A,{"*REFUND*","*EXECUTED*"},DEALS!$O:$O,$B$191,DEALS!$E:$E,"&lt;="&amp;$U$193,DEALS!$S:$S,W$195,DEALS!$U:$U,$T207,DEALS!$V:$V,"&lt;&gt;*RECEIVED*",DEALS!$V:$V,"&lt;&gt;*EXECUTED*"))</f>
        <v>0</v>
      </c>
      <c r="X207" s="32" cm="1">
        <f t="array" ref="X207">SUMIFS(BALANCES!$C:$C,BALANCES!$A:$A,$B$191,BALANCES!$B:$B,$T207,BALANCES!$D:$D,X$195)+SUMIFS(FLOWS!$C:$C,FLOWS!$A:$A,$B$191,FLOWS!$E:$E,$T207,FLOWS!$D:$D,X$195,FLOWS!$H:$H,"&lt;="&amp;$U$193)+SUM(SUMIFS(DEALS!$J:$J,DEALS!$A:$A,{"*REFUND*","*EXECUTED*"},DEALS!$G:$G,$B$191,DEALS!$E:$E,"&lt;="&amp;$U$193,DEALS!$K:$K,X$195,DEALS!$M:$M,$T207,DEALS!$N:$N,"&lt;&gt;*RECEIVED*",DEALS!$N:$N,"&lt;&gt;*EXECUTED*"))+SUM(SUMIFS(DEALS!$R:$R,DEALS!$A:$A,{"*REFUND*","*EXECUTED*"},DEALS!$O:$O,$B$191,DEALS!$E:$E,"&lt;="&amp;$U$193,DEALS!$S:$S,X$195,DEALS!$U:$U,$T207,DEALS!$V:$V,"&lt;&gt;*RECEIVED*",DEALS!$V:$V,"&lt;&gt;*EXECUTED*"))</f>
        <v>0</v>
      </c>
      <c r="Y207" s="32" cm="1">
        <f t="array" ref="Y207">SUMIFS(BALANCES!$C:$C,BALANCES!$A:$A,$B$191,BALANCES!$B:$B,$T207,BALANCES!$D:$D,Y$195)+SUMIFS(FLOWS!$C:$C,FLOWS!$A:$A,$B$191,FLOWS!$E:$E,$T207,FLOWS!$D:$D,Y$195,FLOWS!$H:$H,"&lt;="&amp;$U$193)+SUM(SUMIFS(DEALS!$J:$J,DEALS!$A:$A,{"*REFUND*","*EXECUTED*"},DEALS!$G:$G,$B$191,DEALS!$E:$E,"&lt;="&amp;$U$193,DEALS!$K:$K,Y$195,DEALS!$M:$M,$T207,DEALS!$N:$N,"&lt;&gt;*RECEIVED*",DEALS!$N:$N,"&lt;&gt;*EXECUTED*"))+SUM(SUMIFS(DEALS!$R:$R,DEALS!$A:$A,{"*REFUND*","*EXECUTED*"},DEALS!$O:$O,$B$191,DEALS!$E:$E,"&lt;="&amp;$U$193,DEALS!$S:$S,Y$195,DEALS!$U:$U,$T207,DEALS!$V:$V,"&lt;&gt;*RECEIVED*",DEALS!$V:$V,"&lt;&gt;*EXECUTED*"))</f>
        <v>0</v>
      </c>
      <c r="Z207" s="32" cm="1">
        <f t="array" ref="Z207">SUMIFS(BALANCES!$C:$C,BALANCES!$A:$A,$B$191,BALANCES!$B:$B,$T207,BALANCES!$D:$D,Z$195)+SUMIFS(FLOWS!$C:$C,FLOWS!$A:$A,$B$191,FLOWS!$E:$E,$T207,FLOWS!$D:$D,Z$195,FLOWS!$H:$H,"&lt;="&amp;$U$193)+SUM(SUMIFS(DEALS!$J:$J,DEALS!$A:$A,{"*REFUND*","*EXECUTED*"},DEALS!$G:$G,$B$191,DEALS!$E:$E,"&lt;="&amp;$U$193,DEALS!$K:$K,Z$195,DEALS!$M:$M,$T207,DEALS!$N:$N,"&lt;&gt;*RECEIVED*",DEALS!$N:$N,"&lt;&gt;*EXECUTED*"))+SUM(SUMIFS(DEALS!$R:$R,DEALS!$A:$A,{"*REFUND*","*EXECUTED*"},DEALS!$O:$O,$B$191,DEALS!$E:$E,"&lt;="&amp;$U$193,DEALS!$S:$S,Z$195,DEALS!$U:$U,$T207,DEALS!$V:$V,"&lt;&gt;*RECEIVED*",DEALS!$V:$V,"&lt;&gt;*EXECUTED*"))</f>
        <v>0</v>
      </c>
      <c r="AA207" s="33">
        <f ca="1">U207*VLOOKUP(U$195,'FX RATES'!$E$1:$F$50,2,FALSE)+V207*VLOOKUP(V$195,'FX RATES'!$E$1:$F$50,2,FALSE)+W207*VLOOKUP(W$195,'FX RATES'!$E$1:$F$50,2,FALSE)+X207*VLOOKUP(X$195,'FX RATES'!$E$1:$F$50,2,FALSE)+Y207*VLOOKUP(Y$195,'FX RATES'!$E$1:$F$50,2,FALSE)+Z207*VLOOKUP(Z$195,'FX RATES'!$E$1:$F$50,2,FALSE)</f>
        <v>0</v>
      </c>
      <c r="AC207" s="139">
        <f ca="1">I207+R207-AA207</f>
        <v>0</v>
      </c>
    </row>
    <row r="208" spans="2:29" ht="18.75" hidden="1" customHeight="1">
      <c r="B208" s="28"/>
      <c r="C208" s="29" cm="1">
        <f t="array" ref="C208">SUMIFS(BALANCES!$C:$C,BALANCES!$A:$A,$B$191,BALANCES!$B:$B,$B208,BALANCES!$D:$D,C$195)+SUMIFS(FLOWS!$C:$C,FLOWS!$A:$A,$B$191,FLOWS!$E:$E,$B208,FLOWS!$D:$D,C$195,FLOWS!$H:$H,"&lt;"&amp;$C$193)+SUM(SUMIFS(DEALS!$J:$J,DEALS!$A:$A,{"*REFUND*","*EXECUTED*"},DEALS!$G:$G,$B$191,DEALS!$E:$E,"&lt;"&amp;$C$193,DEALS!$K:$K,C$195,DEALS!$M:$M,$B208,DEALS!$N:$N,"&lt;&gt;*RECEIVED*",DEALS!$N:$N,"&lt;&gt;*EXECUTED*"))+SUM(SUMIFS(DEALS!$R:$R,DEALS!$A:$A,{"*REFUND*","*EXECUTED*"},DEALS!$O:$O,$B$191,DEALS!$E:$E,"&lt;"&amp;$C$193,DEALS!$S:$S,C$195,DEALS!$U:$U,$B208,DEALS!$V:$V,"&lt;&gt;*RECEIVED*",DEALS!$V:$V,"&lt;&gt;*EXECUTED*"))</f>
        <v>0</v>
      </c>
      <c r="D208" s="29" cm="1">
        <f t="array" ref="D208">SUMIFS(BALANCES!$C:$C,BALANCES!$A:$A,$B$191,BALANCES!$B:$B,$B208,BALANCES!$D:$D,D$195)+SUMIFS(FLOWS!$C:$C,FLOWS!$A:$A,$B$191,FLOWS!$E:$E,$B208,FLOWS!$D:$D,D$195,FLOWS!$H:$H,"&lt;"&amp;$C$193)+SUM(SUMIFS(DEALS!$J:$J,DEALS!$A:$A,{"*REFUND*","*EXECUTED*"},DEALS!$G:$G,$B$191,DEALS!$E:$E,"&lt;"&amp;$C$193,DEALS!$K:$K,D$195,DEALS!$M:$M,$B208,DEALS!$N:$N,"&lt;&gt;*RECEIVED*",DEALS!$N:$N,"&lt;&gt;*EXECUTED*"))+SUM(SUMIFS(DEALS!$R:$R,DEALS!$A:$A,{"*REFUND*","*EXECUTED*"},DEALS!$O:$O,$B$191,DEALS!$E:$E,"&lt;"&amp;$C$193,DEALS!$S:$S,D$195,DEALS!$U:$U,$B208,DEALS!$V:$V,"&lt;&gt;*RECEIVED*",DEALS!$V:$V,"&lt;&gt;*EXECUTED*"))</f>
        <v>0</v>
      </c>
      <c r="E208" s="29" cm="1">
        <f t="array" ref="E208">SUMIFS(BALANCES!$C:$C,BALANCES!$A:$A,$B$191,BALANCES!$B:$B,$B208,BALANCES!$D:$D,E$195)+SUMIFS(FLOWS!$C:$C,FLOWS!$A:$A,$B$191,FLOWS!$E:$E,$B208,FLOWS!$D:$D,E$195,FLOWS!$H:$H,"&lt;"&amp;$C$193)+SUM(SUMIFS(DEALS!$J:$J,DEALS!$A:$A,{"*REFUND*","*EXECUTED*"},DEALS!$G:$G,$B$191,DEALS!$E:$E,"&lt;"&amp;$C$193,DEALS!$K:$K,E$195,DEALS!$M:$M,$B208,DEALS!$N:$N,"&lt;&gt;*RECEIVED*",DEALS!$N:$N,"&lt;&gt;*EXECUTED*"))+SUM(SUMIFS(DEALS!$R:$R,DEALS!$A:$A,{"*REFUND*","*EXECUTED*"},DEALS!$O:$O,$B$191,DEALS!$E:$E,"&lt;"&amp;$C$193,DEALS!$S:$S,E$195,DEALS!$U:$U,$B208,DEALS!$V:$V,"&lt;&gt;*RECEIVED*",DEALS!$V:$V,"&lt;&gt;*EXECUTED*"))</f>
        <v>0</v>
      </c>
      <c r="F208" s="29" cm="1">
        <f t="array" ref="F208">SUMIFS(BALANCES!$C:$C,BALANCES!$A:$A,$B$191,BALANCES!$B:$B,$B208,BALANCES!$D:$D,F$195)+SUMIFS(FLOWS!$C:$C,FLOWS!$A:$A,$B$191,FLOWS!$E:$E,$B208,FLOWS!$D:$D,F$195,FLOWS!$H:$H,"&lt;"&amp;$C$193)+SUM(SUMIFS(DEALS!$J:$J,DEALS!$A:$A,{"*REFUND*","*EXECUTED*"},DEALS!$G:$G,$B$191,DEALS!$E:$E,"&lt;"&amp;$C$193,DEALS!$K:$K,F$195,DEALS!$M:$M,$B208,DEALS!$N:$N,"&lt;&gt;*RECEIVED*",DEALS!$N:$N,"&lt;&gt;*EXECUTED*"))+SUM(SUMIFS(DEALS!$R:$R,DEALS!$A:$A,{"*REFUND*","*EXECUTED*"},DEALS!$O:$O,$B$191,DEALS!$E:$E,"&lt;"&amp;$C$193,DEALS!$S:$S,F$195,DEALS!$U:$U,$B208,DEALS!$V:$V,"&lt;&gt;*RECEIVED*",DEALS!$V:$V,"&lt;&gt;*EXECUTED*"))</f>
        <v>0</v>
      </c>
      <c r="G208" s="29" cm="1">
        <f t="array" ref="G208">SUMIFS(BALANCES!$C:$C,BALANCES!$A:$A,$B$191,BALANCES!$B:$B,$B208,BALANCES!$D:$D,G$195)+SUMIFS(FLOWS!$C:$C,FLOWS!$A:$A,$B$191,FLOWS!$E:$E,$B208,FLOWS!$D:$D,G$195,FLOWS!$H:$H,"&lt;"&amp;$C$193)+SUM(SUMIFS(DEALS!$J:$J,DEALS!$A:$A,{"*REFUND*","*EXECUTED*"},DEALS!$G:$G,$B$191,DEALS!$E:$E,"&lt;"&amp;$C$193,DEALS!$K:$K,G$195,DEALS!$M:$M,$B208,DEALS!$N:$N,"&lt;&gt;*RECEIVED*",DEALS!$N:$N,"&lt;&gt;*EXECUTED*"))+SUM(SUMIFS(DEALS!$R:$R,DEALS!$A:$A,{"*REFUND*","*EXECUTED*"},DEALS!$O:$O,$B$191,DEALS!$E:$E,"&lt;"&amp;$C$193,DEALS!$S:$S,G$195,DEALS!$U:$U,$B208,DEALS!$V:$V,"&lt;&gt;*RECEIVED*",DEALS!$V:$V,"&lt;&gt;*EXECUTED*"))</f>
        <v>0</v>
      </c>
      <c r="H208" s="29" cm="1">
        <f t="array" ref="H208">SUMIFS(BALANCES!$C:$C,BALANCES!$A:$A,$B$191,BALANCES!$B:$B,$B208,BALANCES!$D:$D,H$195)+SUMIFS(FLOWS!$C:$C,FLOWS!$A:$A,$B$191,FLOWS!$E:$E,$B208,FLOWS!$D:$D,H$195,FLOWS!$H:$H,"&lt;"&amp;$C$193)+SUM(SUMIFS(DEALS!$J:$J,DEALS!$A:$A,{"*REFUND*","*EXECUTED*"},DEALS!$G:$G,$B$191,DEALS!$E:$E,"&lt;"&amp;$C$193,DEALS!$K:$K,H$195,DEALS!$M:$M,$B208,DEALS!$N:$N,"&lt;&gt;*RECEIVED*",DEALS!$N:$N,"&lt;&gt;*EXECUTED*"))+SUM(SUMIFS(DEALS!$R:$R,DEALS!$A:$A,{"*REFUND*","*EXECUTED*"},DEALS!$O:$O,$B$191,DEALS!$E:$E,"&lt;"&amp;$C$193,DEALS!$S:$S,H$195,DEALS!$U:$U,$B208,DEALS!$V:$V,"&lt;&gt;*RECEIVED*",DEALS!$V:$V,"&lt;&gt;*EXECUTED*"))</f>
        <v>0</v>
      </c>
      <c r="I208" s="30">
        <f ca="1">C208*VLOOKUP(C$195,'FX RATES'!$E$1:$F$50,2,FALSE)+D208*VLOOKUP(D$195,'FX RATES'!$E$1:$F$50,2,FALSE)+E208*VLOOKUP(E$195,'FX RATES'!$E$1:$F$50,2,FALSE)+F208*VLOOKUP(F$195,'FX RATES'!$E$1:$F$50,2,FALSE)+G208*VLOOKUP(G$195,'FX RATES'!$E$1:$F$50,2,FALSE)+H208*VLOOKUP(H$195,'FX RATES'!$E$1:$F$50,2,FALSE)</f>
        <v>0</v>
      </c>
      <c r="J208" s="18"/>
      <c r="K208" s="28">
        <f t="shared" si="67"/>
        <v>0</v>
      </c>
      <c r="L208" s="29" cm="1">
        <f t="array" ref="L208">SUMIFS(FLOWS!$C:$C,FLOWS!$A:$A,$B$191,FLOWS!$E:$E,$K208,FLOWS!$D:$D,L$195,FLOWS!$H:$H,"&gt;="&amp;$C$193,FLOWS!$H:$H,"&lt;="&amp;$U$193)+SUM(SUMIFS(DEALS!$J:$J,DEALS!$A:$A,{"*REFUND*","*EXECUTED*"},DEALS!$G:$G,$B$191,DEALS!$E:$E,"&gt;="&amp;$C$193,DEALS!$E:$E,"&lt;="&amp;$U$193,DEALS!$K:$K,L$195,DEALS!$M:$M,$K208,DEALS!$N:$N,"&lt;&gt;*RECEIVED*",DEALS!$N:$N,"&lt;&gt;*EXECUTED*"))+SUM(SUMIFS(DEALS!$R:$R,DEALS!$A:$A,{"*REFUND*","*EXECUTED*"},DEALS!$O:$O,$B$191,DEALS!$E:$E,"&gt;="&amp;$C$193,DEALS!$E:$E,"&lt;="&amp;$U$193,DEALS!$S:$S,L$195,DEALS!$U:$U,$K208,DEALS!$V:$V,"&lt;&gt;*RECEIVED*",DEALS!$V:$V,"&lt;&gt;*EXECUTED*"))</f>
        <v>0</v>
      </c>
      <c r="M208" s="29" cm="1">
        <f t="array" ref="M208">SUMIFS(FLOWS!$C:$C,FLOWS!$A:$A,$B$191,FLOWS!$E:$E,$K208,FLOWS!$D:$D,M$195,FLOWS!$H:$H,"&gt;="&amp;$C$193,FLOWS!$H:$H,"&lt;="&amp;$U$193)+SUM(SUMIFS(DEALS!$J:$J,DEALS!$A:$A,{"*REFUND*","*EXECUTED*"},DEALS!$G:$G,$B$191,DEALS!$E:$E,"&gt;="&amp;$C$193,DEALS!$E:$E,"&lt;="&amp;$U$193,DEALS!$K:$K,M$195,DEALS!$M:$M,$K208,DEALS!$N:$N,"&lt;&gt;*RECEIVED*",DEALS!$N:$N,"&lt;&gt;*EXECUTED*"))+SUM(SUMIFS(DEALS!$R:$R,DEALS!$A:$A,{"*REFUND*","*EXECUTED*"},DEALS!$O:$O,$B$191,DEALS!$E:$E,"&gt;="&amp;$C$193,DEALS!$E:$E,"&lt;="&amp;$U$193,DEALS!$S:$S,M$195,DEALS!$U:$U,$K208,DEALS!$V:$V,"&lt;&gt;*RECEIVED*",DEALS!$V:$V,"&lt;&gt;*EXECUTED*"))</f>
        <v>0</v>
      </c>
      <c r="N208" s="29" cm="1">
        <f t="array" ref="N208">SUMIFS(FLOWS!$C:$C,FLOWS!$A:$A,$B$191,FLOWS!$E:$E,$K208,FLOWS!$D:$D,N$195,FLOWS!$H:$H,"&gt;="&amp;$C$193,FLOWS!$H:$H,"&lt;="&amp;$U$193)+SUM(SUMIFS(DEALS!$J:$J,DEALS!$A:$A,{"*REFUND*","*EXECUTED*"},DEALS!$G:$G,$B$191,DEALS!$E:$E,"&gt;="&amp;$C$193,DEALS!$E:$E,"&lt;="&amp;$U$193,DEALS!$K:$K,N$195,DEALS!$M:$M,$K208,DEALS!$N:$N,"&lt;&gt;*RECEIVED*",DEALS!$N:$N,"&lt;&gt;*EXECUTED*"))+SUM(SUMIFS(DEALS!$R:$R,DEALS!$A:$A,{"*REFUND*","*EXECUTED*"},DEALS!$O:$O,$B$191,DEALS!$E:$E,"&gt;="&amp;$C$193,DEALS!$E:$E,"&lt;="&amp;$U$193,DEALS!$S:$S,N$195,DEALS!$U:$U,$K208,DEALS!$V:$V,"&lt;&gt;*RECEIVED*",DEALS!$V:$V,"&lt;&gt;*EXECUTED*"))</f>
        <v>0</v>
      </c>
      <c r="O208" s="29" cm="1">
        <f t="array" ref="O208">SUMIFS(FLOWS!$C:$C,FLOWS!$A:$A,$B$191,FLOWS!$E:$E,$K208,FLOWS!$D:$D,O$195,FLOWS!$H:$H,"&gt;="&amp;$C$193,FLOWS!$H:$H,"&lt;="&amp;$U$193)+SUM(SUMIFS(DEALS!$J:$J,DEALS!$A:$A,{"*REFUND*","*EXECUTED*"},DEALS!$G:$G,$B$191,DEALS!$E:$E,"&gt;="&amp;$C$193,DEALS!$E:$E,"&lt;="&amp;$U$193,DEALS!$K:$K,O$195,DEALS!$M:$M,$K208,DEALS!$N:$N,"&lt;&gt;*RECEIVED*",DEALS!$N:$N,"&lt;&gt;*EXECUTED*"))+SUM(SUMIFS(DEALS!$R:$R,DEALS!$A:$A,{"*REFUND*","*EXECUTED*"},DEALS!$O:$O,$B$191,DEALS!$E:$E,"&gt;="&amp;$C$193,DEALS!$E:$E,"&lt;="&amp;$U$193,DEALS!$S:$S,O$195,DEALS!$U:$U,$K208,DEALS!$V:$V,"&lt;&gt;*RECEIVED*",DEALS!$V:$V,"&lt;&gt;*EXECUTED*"))</f>
        <v>0</v>
      </c>
      <c r="P208" s="29" cm="1">
        <f t="array" ref="P208">SUMIFS(FLOWS!$C:$C,FLOWS!$A:$A,$B$191,FLOWS!$E:$E,$K208,FLOWS!$D:$D,P$195,FLOWS!$H:$H,"&gt;="&amp;$C$193,FLOWS!$H:$H,"&lt;="&amp;$U$193)+SUM(SUMIFS(DEALS!$J:$J,DEALS!$A:$A,{"*REFUND*","*EXECUTED*"},DEALS!$G:$G,$B$191,DEALS!$E:$E,"&gt;="&amp;$C$193,DEALS!$E:$E,"&lt;="&amp;$U$193,DEALS!$K:$K,P$195,DEALS!$M:$M,$K208,DEALS!$N:$N,"&lt;&gt;*RECEIVED*",DEALS!$N:$N,"&lt;&gt;*EXECUTED*"))+SUM(SUMIFS(DEALS!$R:$R,DEALS!$A:$A,{"*REFUND*","*EXECUTED*"},DEALS!$O:$O,$B$191,DEALS!$E:$E,"&gt;="&amp;$C$193,DEALS!$E:$E,"&lt;="&amp;$U$193,DEALS!$S:$S,P$195,DEALS!$U:$U,$K208,DEALS!$V:$V,"&lt;&gt;*RECEIVED*",DEALS!$V:$V,"&lt;&gt;*EXECUTED*"))</f>
        <v>0</v>
      </c>
      <c r="Q208" s="29" cm="1">
        <f t="array" ref="Q208">SUMIFS(FLOWS!$C:$C,FLOWS!$A:$A,$B$191,FLOWS!$E:$E,$K208,FLOWS!$D:$D,Q$195,FLOWS!$H:$H,"&gt;="&amp;$C$193,FLOWS!$H:$H,"&lt;="&amp;$U$193)+SUM(SUMIFS(DEALS!$J:$J,DEALS!$A:$A,{"*REFUND*","*EXECUTED*"},DEALS!$G:$G,$B$191,DEALS!$E:$E,"&gt;="&amp;$C$193,DEALS!$E:$E,"&lt;="&amp;$U$193,DEALS!$K:$K,Q$195,DEALS!$M:$M,$K208,DEALS!$N:$N,"&lt;&gt;*RECEIVED*",DEALS!$N:$N,"&lt;&gt;*EXECUTED*"))+SUM(SUMIFS(DEALS!$R:$R,DEALS!$A:$A,{"*REFUND*","*EXECUTED*"},DEALS!$O:$O,$B$191,DEALS!$E:$E,"&gt;="&amp;$C$193,DEALS!$E:$E,"&lt;="&amp;$U$193,DEALS!$S:$S,Q$195,DEALS!$U:$U,$K208,DEALS!$V:$V,"&lt;&gt;*RECEIVED*",DEALS!$V:$V,"&lt;&gt;*EXECUTED*"))</f>
        <v>0</v>
      </c>
      <c r="R208" s="30">
        <f ca="1">L208*VLOOKUP(L$195,'FX RATES'!$E$1:$F$50,2,FALSE)+M208*VLOOKUP(M$195,'FX RATES'!$E$1:$F$50,2,FALSE)+N208*VLOOKUP(N$195,'FX RATES'!$E$1:$F$50,2,FALSE)+O208*VLOOKUP(O$195,'FX RATES'!$E$1:$F$50,2,FALSE)+P208*VLOOKUP(P$195,'FX RATES'!$E$1:$F$50,2,FALSE)+Q208*VLOOKUP(Q$195,'FX RATES'!$E$1:$F$50,2,FALSE)</f>
        <v>0</v>
      </c>
      <c r="T208" s="28">
        <f t="shared" si="68"/>
        <v>0</v>
      </c>
      <c r="U208" s="29" cm="1">
        <f t="array" ref="U208">SUMIFS(BALANCES!$C:$C,BALANCES!$A:$A,$B$191,BALANCES!$B:$B,$T208,BALANCES!$D:$D,U$195)+SUMIFS(FLOWS!$C:$C,FLOWS!$A:$A,$B$191,FLOWS!$E:$E,$T208,FLOWS!$D:$D,U$195,FLOWS!$H:$H,"&lt;="&amp;$U$193)+SUM(SUMIFS(DEALS!$J:$J,DEALS!$A:$A,{"*REFUND*","*EXECUTED*"},DEALS!$G:$G,$B$191,DEALS!$E:$E,"&lt;="&amp;$U$193,DEALS!$K:$K,U$195,DEALS!$M:$M,$T208,DEALS!$N:$N,"&lt;&gt;*RECEIVED*",DEALS!$N:$N,"&lt;&gt;*EXECUTED*"))+SUM(SUMIFS(DEALS!$R:$R,DEALS!$A:$A,{"*REFUND*","*EXECUTED*"},DEALS!$O:$O,$B$191,DEALS!$E:$E,"&lt;="&amp;$U$193,DEALS!$S:$S,U$195,DEALS!$U:$U,$T208,DEALS!$V:$V,"&lt;&gt;*RECEIVED*",DEALS!$V:$V,"&lt;&gt;*EXECUTED*"))</f>
        <v>0</v>
      </c>
      <c r="V208" s="29" cm="1">
        <f t="array" ref="V208">SUMIFS(BALANCES!$C:$C,BALANCES!$A:$A,$B$191,BALANCES!$B:$B,$T208,BALANCES!$D:$D,V$195)+SUMIFS(FLOWS!$C:$C,FLOWS!$A:$A,$B$191,FLOWS!$E:$E,$T208,FLOWS!$D:$D,V$195,FLOWS!$H:$H,"&lt;="&amp;$U$193)+SUM(SUMIFS(DEALS!$J:$J,DEALS!$A:$A,{"*REFUND*","*EXECUTED*"},DEALS!$G:$G,$B$191,DEALS!$E:$E,"&lt;="&amp;$U$193,DEALS!$K:$K,V$195,DEALS!$M:$M,$T208,DEALS!$N:$N,"&lt;&gt;*RECEIVED*",DEALS!$N:$N,"&lt;&gt;*EXECUTED*"))+SUM(SUMIFS(DEALS!$R:$R,DEALS!$A:$A,{"*REFUND*","*EXECUTED*"},DEALS!$O:$O,$B$191,DEALS!$E:$E,"&lt;="&amp;$U$193,DEALS!$S:$S,V$195,DEALS!$U:$U,$T208,DEALS!$V:$V,"&lt;&gt;*RECEIVED*",DEALS!$V:$V,"&lt;&gt;*EXECUTED*"))</f>
        <v>0</v>
      </c>
      <c r="W208" s="29" cm="1">
        <f t="array" ref="W208">SUMIFS(BALANCES!$C:$C,BALANCES!$A:$A,$B$191,BALANCES!$B:$B,$T208,BALANCES!$D:$D,W$195)+SUMIFS(FLOWS!$C:$C,FLOWS!$A:$A,$B$191,FLOWS!$E:$E,$T208,FLOWS!$D:$D,W$195,FLOWS!$H:$H,"&lt;="&amp;$U$193)+SUM(SUMIFS(DEALS!$J:$J,DEALS!$A:$A,{"*REFUND*","*EXECUTED*"},DEALS!$G:$G,$B$191,DEALS!$E:$E,"&lt;="&amp;$U$193,DEALS!$K:$K,W$195,DEALS!$M:$M,$T208,DEALS!$N:$N,"&lt;&gt;*RECEIVED*",DEALS!$N:$N,"&lt;&gt;*EXECUTED*"))+SUM(SUMIFS(DEALS!$R:$R,DEALS!$A:$A,{"*REFUND*","*EXECUTED*"},DEALS!$O:$O,$B$191,DEALS!$E:$E,"&lt;="&amp;$U$193,DEALS!$S:$S,W$195,DEALS!$U:$U,$T208,DEALS!$V:$V,"&lt;&gt;*RECEIVED*",DEALS!$V:$V,"&lt;&gt;*EXECUTED*"))</f>
        <v>0</v>
      </c>
      <c r="X208" s="29" cm="1">
        <f t="array" ref="X208">SUMIFS(BALANCES!$C:$C,BALANCES!$A:$A,$B$191,BALANCES!$B:$B,$T208,BALANCES!$D:$D,X$195)+SUMIFS(FLOWS!$C:$C,FLOWS!$A:$A,$B$191,FLOWS!$E:$E,$T208,FLOWS!$D:$D,X$195,FLOWS!$H:$H,"&lt;="&amp;$U$193)+SUM(SUMIFS(DEALS!$J:$J,DEALS!$A:$A,{"*REFUND*","*EXECUTED*"},DEALS!$G:$G,$B$191,DEALS!$E:$E,"&lt;="&amp;$U$193,DEALS!$K:$K,X$195,DEALS!$M:$M,$T208,DEALS!$N:$N,"&lt;&gt;*RECEIVED*",DEALS!$N:$N,"&lt;&gt;*EXECUTED*"))+SUM(SUMIFS(DEALS!$R:$R,DEALS!$A:$A,{"*REFUND*","*EXECUTED*"},DEALS!$O:$O,$B$191,DEALS!$E:$E,"&lt;="&amp;$U$193,DEALS!$S:$S,X$195,DEALS!$U:$U,$T208,DEALS!$V:$V,"&lt;&gt;*RECEIVED*",DEALS!$V:$V,"&lt;&gt;*EXECUTED*"))</f>
        <v>0</v>
      </c>
      <c r="Y208" s="29" cm="1">
        <f t="array" ref="Y208">SUMIFS(BALANCES!$C:$C,BALANCES!$A:$A,$B$191,BALANCES!$B:$B,$T208,BALANCES!$D:$D,Y$195)+SUMIFS(FLOWS!$C:$C,FLOWS!$A:$A,$B$191,FLOWS!$E:$E,$T208,FLOWS!$D:$D,Y$195,FLOWS!$H:$H,"&lt;="&amp;$U$193)+SUM(SUMIFS(DEALS!$J:$J,DEALS!$A:$A,{"*REFUND*","*EXECUTED*"},DEALS!$G:$G,$B$191,DEALS!$E:$E,"&lt;="&amp;$U$193,DEALS!$K:$K,Y$195,DEALS!$M:$M,$T208,DEALS!$N:$N,"&lt;&gt;*RECEIVED*",DEALS!$N:$N,"&lt;&gt;*EXECUTED*"))+SUM(SUMIFS(DEALS!$R:$R,DEALS!$A:$A,{"*REFUND*","*EXECUTED*"},DEALS!$O:$O,$B$191,DEALS!$E:$E,"&lt;="&amp;$U$193,DEALS!$S:$S,Y$195,DEALS!$U:$U,$T208,DEALS!$V:$V,"&lt;&gt;*RECEIVED*",DEALS!$V:$V,"&lt;&gt;*EXECUTED*"))</f>
        <v>0</v>
      </c>
      <c r="Z208" s="29" cm="1">
        <f t="array" ref="Z208">SUMIFS(BALANCES!$C:$C,BALANCES!$A:$A,$B$191,BALANCES!$B:$B,$T208,BALANCES!$D:$D,Z$195)+SUMIFS(FLOWS!$C:$C,FLOWS!$A:$A,$B$191,FLOWS!$E:$E,$T208,FLOWS!$D:$D,Z$195,FLOWS!$H:$H,"&lt;="&amp;$U$193)+SUM(SUMIFS(DEALS!$J:$J,DEALS!$A:$A,{"*REFUND*","*EXECUTED*"},DEALS!$G:$G,$B$191,DEALS!$E:$E,"&lt;="&amp;$U$193,DEALS!$K:$K,Z$195,DEALS!$M:$M,$T208,DEALS!$N:$N,"&lt;&gt;*RECEIVED*",DEALS!$N:$N,"&lt;&gt;*EXECUTED*"))+SUM(SUMIFS(DEALS!$R:$R,DEALS!$A:$A,{"*REFUND*","*EXECUTED*"},DEALS!$O:$O,$B$191,DEALS!$E:$E,"&lt;="&amp;$U$193,DEALS!$S:$S,Z$195,DEALS!$U:$U,$T208,DEALS!$V:$V,"&lt;&gt;*RECEIVED*",DEALS!$V:$V,"&lt;&gt;*EXECUTED*"))</f>
        <v>0</v>
      </c>
      <c r="AA208" s="30">
        <f ca="1">U208*VLOOKUP(U$195,'FX RATES'!$E$1:$F$50,2,FALSE)+V208*VLOOKUP(V$195,'FX RATES'!$E$1:$F$50,2,FALSE)+W208*VLOOKUP(W$195,'FX RATES'!$E$1:$F$50,2,FALSE)+X208*VLOOKUP(X$195,'FX RATES'!$E$1:$F$50,2,FALSE)+Y208*VLOOKUP(Y$195,'FX RATES'!$E$1:$F$50,2,FALSE)+Z208*VLOOKUP(Z$195,'FX RATES'!$E$1:$F$50,2,FALSE)</f>
        <v>0</v>
      </c>
      <c r="AC208" s="139">
        <f t="shared" ca="1" si="69"/>
        <v>0</v>
      </c>
    </row>
    <row r="209" spans="2:29" ht="18.75" hidden="1" customHeight="1">
      <c r="B209" s="31"/>
      <c r="C209" s="32" cm="1">
        <f t="array" ref="C209">SUMIFS(BALANCES!$C:$C,BALANCES!$A:$A,$B$191,BALANCES!$B:$B,$B209,BALANCES!$D:$D,C$195)+SUMIFS(FLOWS!$C:$C,FLOWS!$A:$A,$B$191,FLOWS!$E:$E,$B209,FLOWS!$D:$D,C$195,FLOWS!$H:$H,"&lt;"&amp;$C$193)+SUM(SUMIFS(DEALS!$J:$J,DEALS!$A:$A,{"*REFUND*","*EXECUTED*"},DEALS!$G:$G,$B$191,DEALS!$E:$E,"&lt;"&amp;$C$193,DEALS!$K:$K,C$195,DEALS!$M:$M,$B209,DEALS!$N:$N,"&lt;&gt;*RECEIVED*",DEALS!$N:$N,"&lt;&gt;*EXECUTED*"))+SUM(SUMIFS(DEALS!$R:$R,DEALS!$A:$A,{"*REFUND*","*EXECUTED*"},DEALS!$O:$O,$B$191,DEALS!$E:$E,"&lt;"&amp;$C$193,DEALS!$S:$S,C$195,DEALS!$U:$U,$B209,DEALS!$V:$V,"&lt;&gt;*RECEIVED*",DEALS!$V:$V,"&lt;&gt;*EXECUTED*"))</f>
        <v>0</v>
      </c>
      <c r="D209" s="32" cm="1">
        <f t="array" ref="D209">SUMIFS(BALANCES!$C:$C,BALANCES!$A:$A,$B$191,BALANCES!$B:$B,$B209,BALANCES!$D:$D,D$195)+SUMIFS(FLOWS!$C:$C,FLOWS!$A:$A,$B$191,FLOWS!$E:$E,$B209,FLOWS!$D:$D,D$195,FLOWS!$H:$H,"&lt;"&amp;$C$193)+SUM(SUMIFS(DEALS!$J:$J,DEALS!$A:$A,{"*REFUND*","*EXECUTED*"},DEALS!$G:$G,$B$191,DEALS!$E:$E,"&lt;"&amp;$C$193,DEALS!$K:$K,D$195,DEALS!$M:$M,$B209,DEALS!$N:$N,"&lt;&gt;*RECEIVED*",DEALS!$N:$N,"&lt;&gt;*EXECUTED*"))+SUM(SUMIFS(DEALS!$R:$R,DEALS!$A:$A,{"*REFUND*","*EXECUTED*"},DEALS!$O:$O,$B$191,DEALS!$E:$E,"&lt;"&amp;$C$193,DEALS!$S:$S,D$195,DEALS!$U:$U,$B209,DEALS!$V:$V,"&lt;&gt;*RECEIVED*",DEALS!$V:$V,"&lt;&gt;*EXECUTED*"))</f>
        <v>0</v>
      </c>
      <c r="E209" s="32" cm="1">
        <f t="array" ref="E209">SUMIFS(BALANCES!$C:$C,BALANCES!$A:$A,$B$191,BALANCES!$B:$B,$B209,BALANCES!$D:$D,E$195)+SUMIFS(FLOWS!$C:$C,FLOWS!$A:$A,$B$191,FLOWS!$E:$E,$B209,FLOWS!$D:$D,E$195,FLOWS!$H:$H,"&lt;"&amp;$C$193)+SUM(SUMIFS(DEALS!$J:$J,DEALS!$A:$A,{"*REFUND*","*EXECUTED*"},DEALS!$G:$G,$B$191,DEALS!$E:$E,"&lt;"&amp;$C$193,DEALS!$K:$K,E$195,DEALS!$M:$M,$B209,DEALS!$N:$N,"&lt;&gt;*RECEIVED*",DEALS!$N:$N,"&lt;&gt;*EXECUTED*"))+SUM(SUMIFS(DEALS!$R:$R,DEALS!$A:$A,{"*REFUND*","*EXECUTED*"},DEALS!$O:$O,$B$191,DEALS!$E:$E,"&lt;"&amp;$C$193,DEALS!$S:$S,E$195,DEALS!$U:$U,$B209,DEALS!$V:$V,"&lt;&gt;*RECEIVED*",DEALS!$V:$V,"&lt;&gt;*EXECUTED*"))</f>
        <v>0</v>
      </c>
      <c r="F209" s="32" cm="1">
        <f t="array" ref="F209">SUMIFS(BALANCES!$C:$C,BALANCES!$A:$A,$B$191,BALANCES!$B:$B,$B209,BALANCES!$D:$D,F$195)+SUMIFS(FLOWS!$C:$C,FLOWS!$A:$A,$B$191,FLOWS!$E:$E,$B209,FLOWS!$D:$D,F$195,FLOWS!$H:$H,"&lt;"&amp;$C$193)+SUM(SUMIFS(DEALS!$J:$J,DEALS!$A:$A,{"*REFUND*","*EXECUTED*"},DEALS!$G:$G,$B$191,DEALS!$E:$E,"&lt;"&amp;$C$193,DEALS!$K:$K,F$195,DEALS!$M:$M,$B209,DEALS!$N:$N,"&lt;&gt;*RECEIVED*",DEALS!$N:$N,"&lt;&gt;*EXECUTED*"))+SUM(SUMIFS(DEALS!$R:$R,DEALS!$A:$A,{"*REFUND*","*EXECUTED*"},DEALS!$O:$O,$B$191,DEALS!$E:$E,"&lt;"&amp;$C$193,DEALS!$S:$S,F$195,DEALS!$U:$U,$B209,DEALS!$V:$V,"&lt;&gt;*RECEIVED*",DEALS!$V:$V,"&lt;&gt;*EXECUTED*"))</f>
        <v>0</v>
      </c>
      <c r="G209" s="32" cm="1">
        <f t="array" ref="G209">SUMIFS(BALANCES!$C:$C,BALANCES!$A:$A,$B$191,BALANCES!$B:$B,$B209,BALANCES!$D:$D,G$195)+SUMIFS(FLOWS!$C:$C,FLOWS!$A:$A,$B$191,FLOWS!$E:$E,$B209,FLOWS!$D:$D,G$195,FLOWS!$H:$H,"&lt;"&amp;$C$193)+SUM(SUMIFS(DEALS!$J:$J,DEALS!$A:$A,{"*REFUND*","*EXECUTED*"},DEALS!$G:$G,$B$191,DEALS!$E:$E,"&lt;"&amp;$C$193,DEALS!$K:$K,G$195,DEALS!$M:$M,$B209,DEALS!$N:$N,"&lt;&gt;*RECEIVED*",DEALS!$N:$N,"&lt;&gt;*EXECUTED*"))+SUM(SUMIFS(DEALS!$R:$R,DEALS!$A:$A,{"*REFUND*","*EXECUTED*"},DEALS!$O:$O,$B$191,DEALS!$E:$E,"&lt;"&amp;$C$193,DEALS!$S:$S,G$195,DEALS!$U:$U,$B209,DEALS!$V:$V,"&lt;&gt;*RECEIVED*",DEALS!$V:$V,"&lt;&gt;*EXECUTED*"))</f>
        <v>0</v>
      </c>
      <c r="H209" s="32" cm="1">
        <f t="array" ref="H209">SUMIFS(BALANCES!$C:$C,BALANCES!$A:$A,$B$191,BALANCES!$B:$B,$B209,BALANCES!$D:$D,H$195)+SUMIFS(FLOWS!$C:$C,FLOWS!$A:$A,$B$191,FLOWS!$E:$E,$B209,FLOWS!$D:$D,H$195,FLOWS!$H:$H,"&lt;"&amp;$C$193)+SUM(SUMIFS(DEALS!$J:$J,DEALS!$A:$A,{"*REFUND*","*EXECUTED*"},DEALS!$G:$G,$B$191,DEALS!$E:$E,"&lt;"&amp;$C$193,DEALS!$K:$K,H$195,DEALS!$M:$M,$B209,DEALS!$N:$N,"&lt;&gt;*RECEIVED*",DEALS!$N:$N,"&lt;&gt;*EXECUTED*"))+SUM(SUMIFS(DEALS!$R:$R,DEALS!$A:$A,{"*REFUND*","*EXECUTED*"},DEALS!$O:$O,$B$191,DEALS!$E:$E,"&lt;"&amp;$C$193,DEALS!$S:$S,H$195,DEALS!$U:$U,$B209,DEALS!$V:$V,"&lt;&gt;*RECEIVED*",DEALS!$V:$V,"&lt;&gt;*EXECUTED*"))</f>
        <v>0</v>
      </c>
      <c r="I209" s="33">
        <f ca="1">C209*VLOOKUP(C$195,'FX RATES'!$E$1:$F$50,2,FALSE)+D209*VLOOKUP(D$195,'FX RATES'!$E$1:$F$50,2,FALSE)+E209*VLOOKUP(E$195,'FX RATES'!$E$1:$F$50,2,FALSE)+F209*VLOOKUP(F$195,'FX RATES'!$E$1:$F$50,2,FALSE)+G209*VLOOKUP(G$195,'FX RATES'!$E$1:$F$50,2,FALSE)+H209*VLOOKUP(H$195,'FX RATES'!$E$1:$F$50,2,FALSE)</f>
        <v>0</v>
      </c>
      <c r="J209" s="18"/>
      <c r="K209" s="31">
        <f t="shared" si="67"/>
        <v>0</v>
      </c>
      <c r="L209" s="32" cm="1">
        <f t="array" ref="L209">SUMIFS(FLOWS!$C:$C,FLOWS!$A:$A,$B$191,FLOWS!$E:$E,$K209,FLOWS!$D:$D,L$195,FLOWS!$H:$H,"&gt;="&amp;$C$193,FLOWS!$H:$H,"&lt;="&amp;$U$193)+SUM(SUMIFS(DEALS!$J:$J,DEALS!$A:$A,{"*REFUND*","*EXECUTED*"},DEALS!$G:$G,$B$191,DEALS!$E:$E,"&gt;="&amp;$C$193,DEALS!$E:$E,"&lt;="&amp;$U$193,DEALS!$K:$K,L$195,DEALS!$M:$M,$K209,DEALS!$N:$N,"&lt;&gt;*RECEIVED*",DEALS!$N:$N,"&lt;&gt;*EXECUTED*"))+SUM(SUMIFS(DEALS!$R:$R,DEALS!$A:$A,{"*REFUND*","*EXECUTED*"},DEALS!$O:$O,$B$191,DEALS!$E:$E,"&gt;="&amp;$C$193,DEALS!$E:$E,"&lt;="&amp;$U$193,DEALS!$S:$S,L$195,DEALS!$U:$U,$K209,DEALS!$V:$V,"&lt;&gt;*RECEIVED*",DEALS!$V:$V,"&lt;&gt;*EXECUTED*"))</f>
        <v>0</v>
      </c>
      <c r="M209" s="32" cm="1">
        <f t="array" ref="M209">SUMIFS(FLOWS!$C:$C,FLOWS!$A:$A,$B$191,FLOWS!$E:$E,$K209,FLOWS!$D:$D,M$195,FLOWS!$H:$H,"&gt;="&amp;$C$193,FLOWS!$H:$H,"&lt;="&amp;$U$193)+SUM(SUMIFS(DEALS!$J:$J,DEALS!$A:$A,{"*REFUND*","*EXECUTED*"},DEALS!$G:$G,$B$191,DEALS!$E:$E,"&gt;="&amp;$C$193,DEALS!$E:$E,"&lt;="&amp;$U$193,DEALS!$K:$K,M$195,DEALS!$M:$M,$K209,DEALS!$N:$N,"&lt;&gt;*RECEIVED*",DEALS!$N:$N,"&lt;&gt;*EXECUTED*"))+SUM(SUMIFS(DEALS!$R:$R,DEALS!$A:$A,{"*REFUND*","*EXECUTED*"},DEALS!$O:$O,$B$191,DEALS!$E:$E,"&gt;="&amp;$C$193,DEALS!$E:$E,"&lt;="&amp;$U$193,DEALS!$S:$S,M$195,DEALS!$U:$U,$K209,DEALS!$V:$V,"&lt;&gt;*RECEIVED*",DEALS!$V:$V,"&lt;&gt;*EXECUTED*"))</f>
        <v>0</v>
      </c>
      <c r="N209" s="32" cm="1">
        <f t="array" ref="N209">SUMIFS(FLOWS!$C:$C,FLOWS!$A:$A,$B$191,FLOWS!$E:$E,$K209,FLOWS!$D:$D,N$195,FLOWS!$H:$H,"&gt;="&amp;$C$193,FLOWS!$H:$H,"&lt;="&amp;$U$193)+SUM(SUMIFS(DEALS!$J:$J,DEALS!$A:$A,{"*REFUND*","*EXECUTED*"},DEALS!$G:$G,$B$191,DEALS!$E:$E,"&gt;="&amp;$C$193,DEALS!$E:$E,"&lt;="&amp;$U$193,DEALS!$K:$K,N$195,DEALS!$M:$M,$K209,DEALS!$N:$N,"&lt;&gt;*RECEIVED*",DEALS!$N:$N,"&lt;&gt;*EXECUTED*"))+SUM(SUMIFS(DEALS!$R:$R,DEALS!$A:$A,{"*REFUND*","*EXECUTED*"},DEALS!$O:$O,$B$191,DEALS!$E:$E,"&gt;="&amp;$C$193,DEALS!$E:$E,"&lt;="&amp;$U$193,DEALS!$S:$S,N$195,DEALS!$U:$U,$K209,DEALS!$V:$V,"&lt;&gt;*RECEIVED*",DEALS!$V:$V,"&lt;&gt;*EXECUTED*"))</f>
        <v>0</v>
      </c>
      <c r="O209" s="32" cm="1">
        <f t="array" ref="O209">SUMIFS(FLOWS!$C:$C,FLOWS!$A:$A,$B$191,FLOWS!$E:$E,$K209,FLOWS!$D:$D,O$195,FLOWS!$H:$H,"&gt;="&amp;$C$193,FLOWS!$H:$H,"&lt;="&amp;$U$193)+SUM(SUMIFS(DEALS!$J:$J,DEALS!$A:$A,{"*REFUND*","*EXECUTED*"},DEALS!$G:$G,$B$191,DEALS!$E:$E,"&gt;="&amp;$C$193,DEALS!$E:$E,"&lt;="&amp;$U$193,DEALS!$K:$K,O$195,DEALS!$M:$M,$K209,DEALS!$N:$N,"&lt;&gt;*RECEIVED*",DEALS!$N:$N,"&lt;&gt;*EXECUTED*"))+SUM(SUMIFS(DEALS!$R:$R,DEALS!$A:$A,{"*REFUND*","*EXECUTED*"},DEALS!$O:$O,$B$191,DEALS!$E:$E,"&gt;="&amp;$C$193,DEALS!$E:$E,"&lt;="&amp;$U$193,DEALS!$S:$S,O$195,DEALS!$U:$U,$K209,DEALS!$V:$V,"&lt;&gt;*RECEIVED*",DEALS!$V:$V,"&lt;&gt;*EXECUTED*"))</f>
        <v>0</v>
      </c>
      <c r="P209" s="32" cm="1">
        <f t="array" ref="P209">SUMIFS(FLOWS!$C:$C,FLOWS!$A:$A,$B$191,FLOWS!$E:$E,$K209,FLOWS!$D:$D,P$195,FLOWS!$H:$H,"&gt;="&amp;$C$193,FLOWS!$H:$H,"&lt;="&amp;$U$193)+SUM(SUMIFS(DEALS!$J:$J,DEALS!$A:$A,{"*REFUND*","*EXECUTED*"},DEALS!$G:$G,$B$191,DEALS!$E:$E,"&gt;="&amp;$C$193,DEALS!$E:$E,"&lt;="&amp;$U$193,DEALS!$K:$K,P$195,DEALS!$M:$M,$K209,DEALS!$N:$N,"&lt;&gt;*RECEIVED*",DEALS!$N:$N,"&lt;&gt;*EXECUTED*"))+SUM(SUMIFS(DEALS!$R:$R,DEALS!$A:$A,{"*REFUND*","*EXECUTED*"},DEALS!$O:$O,$B$191,DEALS!$E:$E,"&gt;="&amp;$C$193,DEALS!$E:$E,"&lt;="&amp;$U$193,DEALS!$S:$S,P$195,DEALS!$U:$U,$K209,DEALS!$V:$V,"&lt;&gt;*RECEIVED*",DEALS!$V:$V,"&lt;&gt;*EXECUTED*"))</f>
        <v>0</v>
      </c>
      <c r="Q209" s="32" cm="1">
        <f t="array" ref="Q209">SUMIFS(FLOWS!$C:$C,FLOWS!$A:$A,$B$191,FLOWS!$E:$E,$K209,FLOWS!$D:$D,Q$195,FLOWS!$H:$H,"&gt;="&amp;$C$193,FLOWS!$H:$H,"&lt;="&amp;$U$193)+SUM(SUMIFS(DEALS!$J:$J,DEALS!$A:$A,{"*REFUND*","*EXECUTED*"},DEALS!$G:$G,$B$191,DEALS!$E:$E,"&gt;="&amp;$C$193,DEALS!$E:$E,"&lt;="&amp;$U$193,DEALS!$K:$K,Q$195,DEALS!$M:$M,$K209,DEALS!$N:$N,"&lt;&gt;*RECEIVED*",DEALS!$N:$N,"&lt;&gt;*EXECUTED*"))+SUM(SUMIFS(DEALS!$R:$R,DEALS!$A:$A,{"*REFUND*","*EXECUTED*"},DEALS!$O:$O,$B$191,DEALS!$E:$E,"&gt;="&amp;$C$193,DEALS!$E:$E,"&lt;="&amp;$U$193,DEALS!$S:$S,Q$195,DEALS!$U:$U,$K209,DEALS!$V:$V,"&lt;&gt;*RECEIVED*",DEALS!$V:$V,"&lt;&gt;*EXECUTED*"))</f>
        <v>0</v>
      </c>
      <c r="R209" s="33">
        <f ca="1">L209*VLOOKUP(L$195,'FX RATES'!$E$1:$F$50,2,FALSE)+M209*VLOOKUP(M$195,'FX RATES'!$E$1:$F$50,2,FALSE)+N209*VLOOKUP(N$195,'FX RATES'!$E$1:$F$50,2,FALSE)+O209*VLOOKUP(O$195,'FX RATES'!$E$1:$F$50,2,FALSE)+P209*VLOOKUP(P$195,'FX RATES'!$E$1:$F$50,2,FALSE)+Q209*VLOOKUP(Q$195,'FX RATES'!$E$1:$F$50,2,FALSE)</f>
        <v>0</v>
      </c>
      <c r="T209" s="31">
        <f t="shared" si="68"/>
        <v>0</v>
      </c>
      <c r="U209" s="32" cm="1">
        <f t="array" ref="U209">SUMIFS(BALANCES!$C:$C,BALANCES!$A:$A,$B$191,BALANCES!$B:$B,$T209,BALANCES!$D:$D,U$195)+SUMIFS(FLOWS!$C:$C,FLOWS!$A:$A,$B$191,FLOWS!$E:$E,$T209,FLOWS!$D:$D,U$195,FLOWS!$H:$H,"&lt;="&amp;$U$193)+SUM(SUMIFS(DEALS!$J:$J,DEALS!$A:$A,{"*REFUND*","*EXECUTED*"},DEALS!$G:$G,$B$191,DEALS!$E:$E,"&lt;="&amp;$U$193,DEALS!$K:$K,U$195,DEALS!$M:$M,$T209,DEALS!$N:$N,"&lt;&gt;*RECEIVED*",DEALS!$N:$N,"&lt;&gt;*EXECUTED*"))+SUM(SUMIFS(DEALS!$R:$R,DEALS!$A:$A,{"*REFUND*","*EXECUTED*"},DEALS!$O:$O,$B$191,DEALS!$E:$E,"&lt;="&amp;$U$193,DEALS!$S:$S,U$195,DEALS!$U:$U,$T209,DEALS!$V:$V,"&lt;&gt;*RECEIVED*",DEALS!$V:$V,"&lt;&gt;*EXECUTED*"))</f>
        <v>0</v>
      </c>
      <c r="V209" s="32" cm="1">
        <f t="array" ref="V209">SUMIFS(BALANCES!$C:$C,BALANCES!$A:$A,$B$191,BALANCES!$B:$B,$T209,BALANCES!$D:$D,V$195)+SUMIFS(FLOWS!$C:$C,FLOWS!$A:$A,$B$191,FLOWS!$E:$E,$T209,FLOWS!$D:$D,V$195,FLOWS!$H:$H,"&lt;="&amp;$U$193)+SUM(SUMIFS(DEALS!$J:$J,DEALS!$A:$A,{"*REFUND*","*EXECUTED*"},DEALS!$G:$G,$B$191,DEALS!$E:$E,"&lt;="&amp;$U$193,DEALS!$K:$K,V$195,DEALS!$M:$M,$T209,DEALS!$N:$N,"&lt;&gt;*RECEIVED*",DEALS!$N:$N,"&lt;&gt;*EXECUTED*"))+SUM(SUMIFS(DEALS!$R:$R,DEALS!$A:$A,{"*REFUND*","*EXECUTED*"},DEALS!$O:$O,$B$191,DEALS!$E:$E,"&lt;="&amp;$U$193,DEALS!$S:$S,V$195,DEALS!$U:$U,$T209,DEALS!$V:$V,"&lt;&gt;*RECEIVED*",DEALS!$V:$V,"&lt;&gt;*EXECUTED*"))</f>
        <v>0</v>
      </c>
      <c r="W209" s="32" cm="1">
        <f t="array" ref="W209">SUMIFS(BALANCES!$C:$C,BALANCES!$A:$A,$B$191,BALANCES!$B:$B,$T209,BALANCES!$D:$D,W$195)+SUMIFS(FLOWS!$C:$C,FLOWS!$A:$A,$B$191,FLOWS!$E:$E,$T209,FLOWS!$D:$D,W$195,FLOWS!$H:$H,"&lt;="&amp;$U$193)+SUM(SUMIFS(DEALS!$J:$J,DEALS!$A:$A,{"*REFUND*","*EXECUTED*"},DEALS!$G:$G,$B$191,DEALS!$E:$E,"&lt;="&amp;$U$193,DEALS!$K:$K,W$195,DEALS!$M:$M,$T209,DEALS!$N:$N,"&lt;&gt;*RECEIVED*",DEALS!$N:$N,"&lt;&gt;*EXECUTED*"))+SUM(SUMIFS(DEALS!$R:$R,DEALS!$A:$A,{"*REFUND*","*EXECUTED*"},DEALS!$O:$O,$B$191,DEALS!$E:$E,"&lt;="&amp;$U$193,DEALS!$S:$S,W$195,DEALS!$U:$U,$T209,DEALS!$V:$V,"&lt;&gt;*RECEIVED*",DEALS!$V:$V,"&lt;&gt;*EXECUTED*"))</f>
        <v>0</v>
      </c>
      <c r="X209" s="32" cm="1">
        <f t="array" ref="X209">SUMIFS(BALANCES!$C:$C,BALANCES!$A:$A,$B$191,BALANCES!$B:$B,$T209,BALANCES!$D:$D,X$195)+SUMIFS(FLOWS!$C:$C,FLOWS!$A:$A,$B$191,FLOWS!$E:$E,$T209,FLOWS!$D:$D,X$195,FLOWS!$H:$H,"&lt;="&amp;$U$193)+SUM(SUMIFS(DEALS!$J:$J,DEALS!$A:$A,{"*REFUND*","*EXECUTED*"},DEALS!$G:$G,$B$191,DEALS!$E:$E,"&lt;="&amp;$U$193,DEALS!$K:$K,X$195,DEALS!$M:$M,$T209,DEALS!$N:$N,"&lt;&gt;*RECEIVED*",DEALS!$N:$N,"&lt;&gt;*EXECUTED*"))+SUM(SUMIFS(DEALS!$R:$R,DEALS!$A:$A,{"*REFUND*","*EXECUTED*"},DEALS!$O:$O,$B$191,DEALS!$E:$E,"&lt;="&amp;$U$193,DEALS!$S:$S,X$195,DEALS!$U:$U,$T209,DEALS!$V:$V,"&lt;&gt;*RECEIVED*",DEALS!$V:$V,"&lt;&gt;*EXECUTED*"))</f>
        <v>0</v>
      </c>
      <c r="Y209" s="32" cm="1">
        <f t="array" ref="Y209">SUMIFS(BALANCES!$C:$C,BALANCES!$A:$A,$B$191,BALANCES!$B:$B,$T209,BALANCES!$D:$D,Y$195)+SUMIFS(FLOWS!$C:$C,FLOWS!$A:$A,$B$191,FLOWS!$E:$E,$T209,FLOWS!$D:$D,Y$195,FLOWS!$H:$H,"&lt;="&amp;$U$193)+SUM(SUMIFS(DEALS!$J:$J,DEALS!$A:$A,{"*REFUND*","*EXECUTED*"},DEALS!$G:$G,$B$191,DEALS!$E:$E,"&lt;="&amp;$U$193,DEALS!$K:$K,Y$195,DEALS!$M:$M,$T209,DEALS!$N:$N,"&lt;&gt;*RECEIVED*",DEALS!$N:$N,"&lt;&gt;*EXECUTED*"))+SUM(SUMIFS(DEALS!$R:$R,DEALS!$A:$A,{"*REFUND*","*EXECUTED*"},DEALS!$O:$O,$B$191,DEALS!$E:$E,"&lt;="&amp;$U$193,DEALS!$S:$S,Y$195,DEALS!$U:$U,$T209,DEALS!$V:$V,"&lt;&gt;*RECEIVED*",DEALS!$V:$V,"&lt;&gt;*EXECUTED*"))</f>
        <v>0</v>
      </c>
      <c r="Z209" s="32" cm="1">
        <f t="array" ref="Z209">SUMIFS(BALANCES!$C:$C,BALANCES!$A:$A,$B$191,BALANCES!$B:$B,$T209,BALANCES!$D:$D,Z$195)+SUMIFS(FLOWS!$C:$C,FLOWS!$A:$A,$B$191,FLOWS!$E:$E,$T209,FLOWS!$D:$D,Z$195,FLOWS!$H:$H,"&lt;="&amp;$U$193)+SUM(SUMIFS(DEALS!$J:$J,DEALS!$A:$A,{"*REFUND*","*EXECUTED*"},DEALS!$G:$G,$B$191,DEALS!$E:$E,"&lt;="&amp;$U$193,DEALS!$K:$K,Z$195,DEALS!$M:$M,$T209,DEALS!$N:$N,"&lt;&gt;*RECEIVED*",DEALS!$N:$N,"&lt;&gt;*EXECUTED*"))+SUM(SUMIFS(DEALS!$R:$R,DEALS!$A:$A,{"*REFUND*","*EXECUTED*"},DEALS!$O:$O,$B$191,DEALS!$E:$E,"&lt;="&amp;$U$193,DEALS!$S:$S,Z$195,DEALS!$U:$U,$T209,DEALS!$V:$V,"&lt;&gt;*RECEIVED*",DEALS!$V:$V,"&lt;&gt;*EXECUTED*"))</f>
        <v>0</v>
      </c>
      <c r="AA209" s="33">
        <f ca="1">U209*VLOOKUP(U$195,'FX RATES'!$E$1:$F$50,2,FALSE)+V209*VLOOKUP(V$195,'FX RATES'!$E$1:$F$50,2,FALSE)+W209*VLOOKUP(W$195,'FX RATES'!$E$1:$F$50,2,FALSE)+X209*VLOOKUP(X$195,'FX RATES'!$E$1:$F$50,2,FALSE)+Y209*VLOOKUP(Y$195,'FX RATES'!$E$1:$F$50,2,FALSE)+Z209*VLOOKUP(Z$195,'FX RATES'!$E$1:$F$50,2,FALSE)</f>
        <v>0</v>
      </c>
      <c r="AC209" s="139">
        <f t="shared" ca="1" si="69"/>
        <v>0</v>
      </c>
    </row>
    <row r="210" spans="2:29" ht="18.75" hidden="1" customHeight="1">
      <c r="B210" s="28"/>
      <c r="C210" s="29" cm="1">
        <f t="array" ref="C210">SUMIFS(BALANCES!$C:$C,BALANCES!$A:$A,$B$191,BALANCES!$B:$B,$B210,BALANCES!$D:$D,C$195)+SUMIFS(FLOWS!$C:$C,FLOWS!$A:$A,$B$191,FLOWS!$E:$E,$B210,FLOWS!$D:$D,C$195,FLOWS!$H:$H,"&lt;"&amp;$C$193)+SUM(SUMIFS(DEALS!$J:$J,DEALS!$A:$A,{"*REFUND*","*EXECUTED*"},DEALS!$G:$G,$B$191,DEALS!$E:$E,"&lt;"&amp;$C$193,DEALS!$K:$K,C$195,DEALS!$M:$M,$B210,DEALS!$N:$N,"&lt;&gt;*RECEIVED*",DEALS!$N:$N,"&lt;&gt;*EXECUTED*"))+SUM(SUMIFS(DEALS!$R:$R,DEALS!$A:$A,{"*REFUND*","*EXECUTED*"},DEALS!$O:$O,$B$191,DEALS!$E:$E,"&lt;"&amp;$C$193,DEALS!$S:$S,C$195,DEALS!$U:$U,$B210,DEALS!$V:$V,"&lt;&gt;*RECEIVED*",DEALS!$V:$V,"&lt;&gt;*EXECUTED*"))</f>
        <v>0</v>
      </c>
      <c r="D210" s="29" cm="1">
        <f t="array" ref="D210">SUMIFS(BALANCES!$C:$C,BALANCES!$A:$A,$B$191,BALANCES!$B:$B,$B210,BALANCES!$D:$D,D$195)+SUMIFS(FLOWS!$C:$C,FLOWS!$A:$A,$B$191,FLOWS!$E:$E,$B210,FLOWS!$D:$D,D$195,FLOWS!$H:$H,"&lt;"&amp;$C$193)+SUM(SUMIFS(DEALS!$J:$J,DEALS!$A:$A,{"*REFUND*","*EXECUTED*"},DEALS!$G:$G,$B$191,DEALS!$E:$E,"&lt;"&amp;$C$193,DEALS!$K:$K,D$195,DEALS!$M:$M,$B210,DEALS!$N:$N,"&lt;&gt;*RECEIVED*",DEALS!$N:$N,"&lt;&gt;*EXECUTED*"))+SUM(SUMIFS(DEALS!$R:$R,DEALS!$A:$A,{"*REFUND*","*EXECUTED*"},DEALS!$O:$O,$B$191,DEALS!$E:$E,"&lt;"&amp;$C$193,DEALS!$S:$S,D$195,DEALS!$U:$U,$B210,DEALS!$V:$V,"&lt;&gt;*RECEIVED*",DEALS!$V:$V,"&lt;&gt;*EXECUTED*"))</f>
        <v>0</v>
      </c>
      <c r="E210" s="29" cm="1">
        <f t="array" ref="E210">SUMIFS(BALANCES!$C:$C,BALANCES!$A:$A,$B$191,BALANCES!$B:$B,$B210,BALANCES!$D:$D,E$195)+SUMIFS(FLOWS!$C:$C,FLOWS!$A:$A,$B$191,FLOWS!$E:$E,$B210,FLOWS!$D:$D,E$195,FLOWS!$H:$H,"&lt;"&amp;$C$193)+SUM(SUMIFS(DEALS!$J:$J,DEALS!$A:$A,{"*REFUND*","*EXECUTED*"},DEALS!$G:$G,$B$191,DEALS!$E:$E,"&lt;"&amp;$C$193,DEALS!$K:$K,E$195,DEALS!$M:$M,$B210,DEALS!$N:$N,"&lt;&gt;*RECEIVED*",DEALS!$N:$N,"&lt;&gt;*EXECUTED*"))+SUM(SUMIFS(DEALS!$R:$R,DEALS!$A:$A,{"*REFUND*","*EXECUTED*"},DEALS!$O:$O,$B$191,DEALS!$E:$E,"&lt;"&amp;$C$193,DEALS!$S:$S,E$195,DEALS!$U:$U,$B210,DEALS!$V:$V,"&lt;&gt;*RECEIVED*",DEALS!$V:$V,"&lt;&gt;*EXECUTED*"))</f>
        <v>0</v>
      </c>
      <c r="F210" s="29" cm="1">
        <f t="array" ref="F210">SUMIFS(BALANCES!$C:$C,BALANCES!$A:$A,$B$191,BALANCES!$B:$B,$B210,BALANCES!$D:$D,F$195)+SUMIFS(FLOWS!$C:$C,FLOWS!$A:$A,$B$191,FLOWS!$E:$E,$B210,FLOWS!$D:$D,F$195,FLOWS!$H:$H,"&lt;"&amp;$C$193)+SUM(SUMIFS(DEALS!$J:$J,DEALS!$A:$A,{"*REFUND*","*EXECUTED*"},DEALS!$G:$G,$B$191,DEALS!$E:$E,"&lt;"&amp;$C$193,DEALS!$K:$K,F$195,DEALS!$M:$M,$B210,DEALS!$N:$N,"&lt;&gt;*RECEIVED*",DEALS!$N:$N,"&lt;&gt;*EXECUTED*"))+SUM(SUMIFS(DEALS!$R:$R,DEALS!$A:$A,{"*REFUND*","*EXECUTED*"},DEALS!$O:$O,$B$191,DEALS!$E:$E,"&lt;"&amp;$C$193,DEALS!$S:$S,F$195,DEALS!$U:$U,$B210,DEALS!$V:$V,"&lt;&gt;*RECEIVED*",DEALS!$V:$V,"&lt;&gt;*EXECUTED*"))</f>
        <v>0</v>
      </c>
      <c r="G210" s="29" cm="1">
        <f t="array" ref="G210">SUMIFS(BALANCES!$C:$C,BALANCES!$A:$A,$B$191,BALANCES!$B:$B,$B210,BALANCES!$D:$D,G$195)+SUMIFS(FLOWS!$C:$C,FLOWS!$A:$A,$B$191,FLOWS!$E:$E,$B210,FLOWS!$D:$D,G$195,FLOWS!$H:$H,"&lt;"&amp;$C$193)+SUM(SUMIFS(DEALS!$J:$J,DEALS!$A:$A,{"*REFUND*","*EXECUTED*"},DEALS!$G:$G,$B$191,DEALS!$E:$E,"&lt;"&amp;$C$193,DEALS!$K:$K,G$195,DEALS!$M:$M,$B210,DEALS!$N:$N,"&lt;&gt;*RECEIVED*",DEALS!$N:$N,"&lt;&gt;*EXECUTED*"))+SUM(SUMIFS(DEALS!$R:$R,DEALS!$A:$A,{"*REFUND*","*EXECUTED*"},DEALS!$O:$O,$B$191,DEALS!$E:$E,"&lt;"&amp;$C$193,DEALS!$S:$S,G$195,DEALS!$U:$U,$B210,DEALS!$V:$V,"&lt;&gt;*RECEIVED*",DEALS!$V:$V,"&lt;&gt;*EXECUTED*"))</f>
        <v>0</v>
      </c>
      <c r="H210" s="29" cm="1">
        <f t="array" ref="H210">SUMIFS(BALANCES!$C:$C,BALANCES!$A:$A,$B$191,BALANCES!$B:$B,$B210,BALANCES!$D:$D,H$195)+SUMIFS(FLOWS!$C:$C,FLOWS!$A:$A,$B$191,FLOWS!$E:$E,$B210,FLOWS!$D:$D,H$195,FLOWS!$H:$H,"&lt;"&amp;$C$193)+SUM(SUMIFS(DEALS!$J:$J,DEALS!$A:$A,{"*REFUND*","*EXECUTED*"},DEALS!$G:$G,$B$191,DEALS!$E:$E,"&lt;"&amp;$C$193,DEALS!$K:$K,H$195,DEALS!$M:$M,$B210,DEALS!$N:$N,"&lt;&gt;*RECEIVED*",DEALS!$N:$N,"&lt;&gt;*EXECUTED*"))+SUM(SUMIFS(DEALS!$R:$R,DEALS!$A:$A,{"*REFUND*","*EXECUTED*"},DEALS!$O:$O,$B$191,DEALS!$E:$E,"&lt;"&amp;$C$193,DEALS!$S:$S,H$195,DEALS!$U:$U,$B210,DEALS!$V:$V,"&lt;&gt;*RECEIVED*",DEALS!$V:$V,"&lt;&gt;*EXECUTED*"))</f>
        <v>0</v>
      </c>
      <c r="I210" s="30">
        <f ca="1">C210*VLOOKUP(C$195,'FX RATES'!$E$1:$F$50,2,FALSE)+D210*VLOOKUP(D$195,'FX RATES'!$E$1:$F$50,2,FALSE)+E210*VLOOKUP(E$195,'FX RATES'!$E$1:$F$50,2,FALSE)+F210*VLOOKUP(F$195,'FX RATES'!$E$1:$F$50,2,FALSE)+G210*VLOOKUP(G$195,'FX RATES'!$E$1:$F$50,2,FALSE)+H210*VLOOKUP(H$195,'FX RATES'!$E$1:$F$50,2,FALSE)</f>
        <v>0</v>
      </c>
      <c r="K210" s="28">
        <f t="shared" si="67"/>
        <v>0</v>
      </c>
      <c r="L210" s="29" cm="1">
        <f t="array" ref="L210">SUMIFS(FLOWS!$C:$C,FLOWS!$A:$A,$B$191,FLOWS!$E:$E,$K210,FLOWS!$D:$D,L$195,FLOWS!$H:$H,"&gt;="&amp;$C$193,FLOWS!$H:$H,"&lt;="&amp;$U$193)+SUM(SUMIFS(DEALS!$J:$J,DEALS!$A:$A,{"*REFUND*","*EXECUTED*"},DEALS!$G:$G,$B$191,DEALS!$E:$E,"&gt;="&amp;$C$193,DEALS!$E:$E,"&lt;="&amp;$U$193,DEALS!$K:$K,L$195,DEALS!$M:$M,$K210,DEALS!$N:$N,"&lt;&gt;*RECEIVED*",DEALS!$N:$N,"&lt;&gt;*EXECUTED*"))+SUM(SUMIFS(DEALS!$R:$R,DEALS!$A:$A,{"*REFUND*","*EXECUTED*"},DEALS!$O:$O,$B$191,DEALS!$E:$E,"&gt;="&amp;$C$193,DEALS!$E:$E,"&lt;="&amp;$U$193,DEALS!$S:$S,L$195,DEALS!$U:$U,$K210,DEALS!$V:$V,"&lt;&gt;*RECEIVED*",DEALS!$V:$V,"&lt;&gt;*EXECUTED*"))</f>
        <v>0</v>
      </c>
      <c r="M210" s="29" cm="1">
        <f t="array" ref="M210">SUMIFS(FLOWS!$C:$C,FLOWS!$A:$A,$B$191,FLOWS!$E:$E,$K210,FLOWS!$D:$D,M$195,FLOWS!$H:$H,"&gt;="&amp;$C$193,FLOWS!$H:$H,"&lt;="&amp;$U$193)+SUM(SUMIFS(DEALS!$J:$J,DEALS!$A:$A,{"*REFUND*","*EXECUTED*"},DEALS!$G:$G,$B$191,DEALS!$E:$E,"&gt;="&amp;$C$193,DEALS!$E:$E,"&lt;="&amp;$U$193,DEALS!$K:$K,M$195,DEALS!$M:$M,$K210,DEALS!$N:$N,"&lt;&gt;*RECEIVED*",DEALS!$N:$N,"&lt;&gt;*EXECUTED*"))+SUM(SUMIFS(DEALS!$R:$R,DEALS!$A:$A,{"*REFUND*","*EXECUTED*"},DEALS!$O:$O,$B$191,DEALS!$E:$E,"&gt;="&amp;$C$193,DEALS!$E:$E,"&lt;="&amp;$U$193,DEALS!$S:$S,M$195,DEALS!$U:$U,$K210,DEALS!$V:$V,"&lt;&gt;*RECEIVED*",DEALS!$V:$V,"&lt;&gt;*EXECUTED*"))</f>
        <v>0</v>
      </c>
      <c r="N210" s="29" cm="1">
        <f t="array" ref="N210">SUMIFS(FLOWS!$C:$C,FLOWS!$A:$A,$B$191,FLOWS!$E:$E,$K210,FLOWS!$D:$D,N$195,FLOWS!$H:$H,"&gt;="&amp;$C$193,FLOWS!$H:$H,"&lt;="&amp;$U$193)+SUM(SUMIFS(DEALS!$J:$J,DEALS!$A:$A,{"*REFUND*","*EXECUTED*"},DEALS!$G:$G,$B$191,DEALS!$E:$E,"&gt;="&amp;$C$193,DEALS!$E:$E,"&lt;="&amp;$U$193,DEALS!$K:$K,N$195,DEALS!$M:$M,$K210,DEALS!$N:$N,"&lt;&gt;*RECEIVED*",DEALS!$N:$N,"&lt;&gt;*EXECUTED*"))+SUM(SUMIFS(DEALS!$R:$R,DEALS!$A:$A,{"*REFUND*","*EXECUTED*"},DEALS!$O:$O,$B$191,DEALS!$E:$E,"&gt;="&amp;$C$193,DEALS!$E:$E,"&lt;="&amp;$U$193,DEALS!$S:$S,N$195,DEALS!$U:$U,$K210,DEALS!$V:$V,"&lt;&gt;*RECEIVED*",DEALS!$V:$V,"&lt;&gt;*EXECUTED*"))</f>
        <v>0</v>
      </c>
      <c r="O210" s="29" cm="1">
        <f t="array" ref="O210">SUMIFS(FLOWS!$C:$C,FLOWS!$A:$A,$B$191,FLOWS!$E:$E,$K210,FLOWS!$D:$D,O$195,FLOWS!$H:$H,"&gt;="&amp;$C$193,FLOWS!$H:$H,"&lt;="&amp;$U$193)+SUM(SUMIFS(DEALS!$J:$J,DEALS!$A:$A,{"*REFUND*","*EXECUTED*"},DEALS!$G:$G,$B$191,DEALS!$E:$E,"&gt;="&amp;$C$193,DEALS!$E:$E,"&lt;="&amp;$U$193,DEALS!$K:$K,O$195,DEALS!$M:$M,$K210,DEALS!$N:$N,"&lt;&gt;*RECEIVED*",DEALS!$N:$N,"&lt;&gt;*EXECUTED*"))+SUM(SUMIFS(DEALS!$R:$R,DEALS!$A:$A,{"*REFUND*","*EXECUTED*"},DEALS!$O:$O,$B$191,DEALS!$E:$E,"&gt;="&amp;$C$193,DEALS!$E:$E,"&lt;="&amp;$U$193,DEALS!$S:$S,O$195,DEALS!$U:$U,$K210,DEALS!$V:$V,"&lt;&gt;*RECEIVED*",DEALS!$V:$V,"&lt;&gt;*EXECUTED*"))</f>
        <v>0</v>
      </c>
      <c r="P210" s="29" cm="1">
        <f t="array" ref="P210">SUMIFS(FLOWS!$C:$C,FLOWS!$A:$A,$B$191,FLOWS!$E:$E,$K210,FLOWS!$D:$D,P$195,FLOWS!$H:$H,"&gt;="&amp;$C$193,FLOWS!$H:$H,"&lt;="&amp;$U$193)+SUM(SUMIFS(DEALS!$J:$J,DEALS!$A:$A,{"*REFUND*","*EXECUTED*"},DEALS!$G:$G,$B$191,DEALS!$E:$E,"&gt;="&amp;$C$193,DEALS!$E:$E,"&lt;="&amp;$U$193,DEALS!$K:$K,P$195,DEALS!$M:$M,$K210,DEALS!$N:$N,"&lt;&gt;*RECEIVED*",DEALS!$N:$N,"&lt;&gt;*EXECUTED*"))+SUM(SUMIFS(DEALS!$R:$R,DEALS!$A:$A,{"*REFUND*","*EXECUTED*"},DEALS!$O:$O,$B$191,DEALS!$E:$E,"&gt;="&amp;$C$193,DEALS!$E:$E,"&lt;="&amp;$U$193,DEALS!$S:$S,P$195,DEALS!$U:$U,$K210,DEALS!$V:$V,"&lt;&gt;*RECEIVED*",DEALS!$V:$V,"&lt;&gt;*EXECUTED*"))</f>
        <v>0</v>
      </c>
      <c r="Q210" s="29" cm="1">
        <f t="array" ref="Q210">SUMIFS(FLOWS!$C:$C,FLOWS!$A:$A,$B$191,FLOWS!$E:$E,$K210,FLOWS!$D:$D,Q$195,FLOWS!$H:$H,"&gt;="&amp;$C$193,FLOWS!$H:$H,"&lt;="&amp;$U$193)+SUM(SUMIFS(DEALS!$J:$J,DEALS!$A:$A,{"*REFUND*","*EXECUTED*"},DEALS!$G:$G,$B$191,DEALS!$E:$E,"&gt;="&amp;$C$193,DEALS!$E:$E,"&lt;="&amp;$U$193,DEALS!$K:$K,Q$195,DEALS!$M:$M,$K210,DEALS!$N:$N,"&lt;&gt;*RECEIVED*",DEALS!$N:$N,"&lt;&gt;*EXECUTED*"))+SUM(SUMIFS(DEALS!$R:$R,DEALS!$A:$A,{"*REFUND*","*EXECUTED*"},DEALS!$O:$O,$B$191,DEALS!$E:$E,"&gt;="&amp;$C$193,DEALS!$E:$E,"&lt;="&amp;$U$193,DEALS!$S:$S,Q$195,DEALS!$U:$U,$K210,DEALS!$V:$V,"&lt;&gt;*RECEIVED*",DEALS!$V:$V,"&lt;&gt;*EXECUTED*"))</f>
        <v>0</v>
      </c>
      <c r="R210" s="30">
        <f ca="1">L210*VLOOKUP(L$195,'FX RATES'!$E$1:$F$50,2,FALSE)+M210*VLOOKUP(M$195,'FX RATES'!$E$1:$F$50,2,FALSE)+N210*VLOOKUP(N$195,'FX RATES'!$E$1:$F$50,2,FALSE)+O210*VLOOKUP(O$195,'FX RATES'!$E$1:$F$50,2,FALSE)+P210*VLOOKUP(P$195,'FX RATES'!$E$1:$F$50,2,FALSE)+Q210*VLOOKUP(Q$195,'FX RATES'!$E$1:$F$50,2,FALSE)</f>
        <v>0</v>
      </c>
      <c r="T210" s="28">
        <f t="shared" si="68"/>
        <v>0</v>
      </c>
      <c r="U210" s="29" cm="1">
        <f t="array" ref="U210">SUMIFS(BALANCES!$C:$C,BALANCES!$A:$A,$B$191,BALANCES!$B:$B,$T210,BALANCES!$D:$D,U$195)+SUMIFS(FLOWS!$C:$C,FLOWS!$A:$A,$B$191,FLOWS!$E:$E,$T210,FLOWS!$D:$D,U$195,FLOWS!$H:$H,"&lt;="&amp;$U$193)+SUM(SUMIFS(DEALS!$J:$J,DEALS!$A:$A,{"*REFUND*","*EXECUTED*"},DEALS!$G:$G,$B$191,DEALS!$E:$E,"&lt;="&amp;$U$193,DEALS!$K:$K,U$195,DEALS!$M:$M,$T210,DEALS!$N:$N,"&lt;&gt;*RECEIVED*",DEALS!$N:$N,"&lt;&gt;*EXECUTED*"))+SUM(SUMIFS(DEALS!$R:$R,DEALS!$A:$A,{"*REFUND*","*EXECUTED*"},DEALS!$O:$O,$B$191,DEALS!$E:$E,"&lt;="&amp;$U$193,DEALS!$S:$S,U$195,DEALS!$U:$U,$T210,DEALS!$V:$V,"&lt;&gt;*RECEIVED*",DEALS!$V:$V,"&lt;&gt;*EXECUTED*"))</f>
        <v>0</v>
      </c>
      <c r="V210" s="29" cm="1">
        <f t="array" ref="V210">SUMIFS(BALANCES!$C:$C,BALANCES!$A:$A,$B$191,BALANCES!$B:$B,$T210,BALANCES!$D:$D,V$195)+SUMIFS(FLOWS!$C:$C,FLOWS!$A:$A,$B$191,FLOWS!$E:$E,$T210,FLOWS!$D:$D,V$195,FLOWS!$H:$H,"&lt;="&amp;$U$193)+SUM(SUMIFS(DEALS!$J:$J,DEALS!$A:$A,{"*REFUND*","*EXECUTED*"},DEALS!$G:$G,$B$191,DEALS!$E:$E,"&lt;="&amp;$U$193,DEALS!$K:$K,V$195,DEALS!$M:$M,$T210,DEALS!$N:$N,"&lt;&gt;*RECEIVED*",DEALS!$N:$N,"&lt;&gt;*EXECUTED*"))+SUM(SUMIFS(DEALS!$R:$R,DEALS!$A:$A,{"*REFUND*","*EXECUTED*"},DEALS!$O:$O,$B$191,DEALS!$E:$E,"&lt;="&amp;$U$193,DEALS!$S:$S,V$195,DEALS!$U:$U,$T210,DEALS!$V:$V,"&lt;&gt;*RECEIVED*",DEALS!$V:$V,"&lt;&gt;*EXECUTED*"))</f>
        <v>0</v>
      </c>
      <c r="W210" s="29" cm="1">
        <f t="array" ref="W210">SUMIFS(BALANCES!$C:$C,BALANCES!$A:$A,$B$191,BALANCES!$B:$B,$T210,BALANCES!$D:$D,W$195)+SUMIFS(FLOWS!$C:$C,FLOWS!$A:$A,$B$191,FLOWS!$E:$E,$T210,FLOWS!$D:$D,W$195,FLOWS!$H:$H,"&lt;="&amp;$U$193)+SUM(SUMIFS(DEALS!$J:$J,DEALS!$A:$A,{"*REFUND*","*EXECUTED*"},DEALS!$G:$G,$B$191,DEALS!$E:$E,"&lt;="&amp;$U$193,DEALS!$K:$K,W$195,DEALS!$M:$M,$T210,DEALS!$N:$N,"&lt;&gt;*RECEIVED*",DEALS!$N:$N,"&lt;&gt;*EXECUTED*"))+SUM(SUMIFS(DEALS!$R:$R,DEALS!$A:$A,{"*REFUND*","*EXECUTED*"},DEALS!$O:$O,$B$191,DEALS!$E:$E,"&lt;="&amp;$U$193,DEALS!$S:$S,W$195,DEALS!$U:$U,$T210,DEALS!$V:$V,"&lt;&gt;*RECEIVED*",DEALS!$V:$V,"&lt;&gt;*EXECUTED*"))</f>
        <v>0</v>
      </c>
      <c r="X210" s="29" cm="1">
        <f t="array" ref="X210">SUMIFS(BALANCES!$C:$C,BALANCES!$A:$A,$B$191,BALANCES!$B:$B,$T210,BALANCES!$D:$D,X$195)+SUMIFS(FLOWS!$C:$C,FLOWS!$A:$A,$B$191,FLOWS!$E:$E,$T210,FLOWS!$D:$D,X$195,FLOWS!$H:$H,"&lt;="&amp;$U$193)+SUM(SUMIFS(DEALS!$J:$J,DEALS!$A:$A,{"*REFUND*","*EXECUTED*"},DEALS!$G:$G,$B$191,DEALS!$E:$E,"&lt;="&amp;$U$193,DEALS!$K:$K,X$195,DEALS!$M:$M,$T210,DEALS!$N:$N,"&lt;&gt;*RECEIVED*",DEALS!$N:$N,"&lt;&gt;*EXECUTED*"))+SUM(SUMIFS(DEALS!$R:$R,DEALS!$A:$A,{"*REFUND*","*EXECUTED*"},DEALS!$O:$O,$B$191,DEALS!$E:$E,"&lt;="&amp;$U$193,DEALS!$S:$S,X$195,DEALS!$U:$U,$T210,DEALS!$V:$V,"&lt;&gt;*RECEIVED*",DEALS!$V:$V,"&lt;&gt;*EXECUTED*"))</f>
        <v>0</v>
      </c>
      <c r="Y210" s="29" cm="1">
        <f t="array" ref="Y210">SUMIFS(BALANCES!$C:$C,BALANCES!$A:$A,$B$191,BALANCES!$B:$B,$T210,BALANCES!$D:$D,Y$195)+SUMIFS(FLOWS!$C:$C,FLOWS!$A:$A,$B$191,FLOWS!$E:$E,$T210,FLOWS!$D:$D,Y$195,FLOWS!$H:$H,"&lt;="&amp;$U$193)+SUM(SUMIFS(DEALS!$J:$J,DEALS!$A:$A,{"*REFUND*","*EXECUTED*"},DEALS!$G:$G,$B$191,DEALS!$E:$E,"&lt;="&amp;$U$193,DEALS!$K:$K,Y$195,DEALS!$M:$M,$T210,DEALS!$N:$N,"&lt;&gt;*RECEIVED*",DEALS!$N:$N,"&lt;&gt;*EXECUTED*"))+SUM(SUMIFS(DEALS!$R:$R,DEALS!$A:$A,{"*REFUND*","*EXECUTED*"},DEALS!$O:$O,$B$191,DEALS!$E:$E,"&lt;="&amp;$U$193,DEALS!$S:$S,Y$195,DEALS!$U:$U,$T210,DEALS!$V:$V,"&lt;&gt;*RECEIVED*",DEALS!$V:$V,"&lt;&gt;*EXECUTED*"))</f>
        <v>0</v>
      </c>
      <c r="Z210" s="29" cm="1">
        <f t="array" ref="Z210">SUMIFS(BALANCES!$C:$C,BALANCES!$A:$A,$B$191,BALANCES!$B:$B,$T210,BALANCES!$D:$D,Z$195)+SUMIFS(FLOWS!$C:$C,FLOWS!$A:$A,$B$191,FLOWS!$E:$E,$T210,FLOWS!$D:$D,Z$195,FLOWS!$H:$H,"&lt;="&amp;$U$193)+SUM(SUMIFS(DEALS!$J:$J,DEALS!$A:$A,{"*REFUND*","*EXECUTED*"},DEALS!$G:$G,$B$191,DEALS!$E:$E,"&lt;="&amp;$U$193,DEALS!$K:$K,Z$195,DEALS!$M:$M,$T210,DEALS!$N:$N,"&lt;&gt;*RECEIVED*",DEALS!$N:$N,"&lt;&gt;*EXECUTED*"))+SUM(SUMIFS(DEALS!$R:$R,DEALS!$A:$A,{"*REFUND*","*EXECUTED*"},DEALS!$O:$O,$B$191,DEALS!$E:$E,"&lt;="&amp;$U$193,DEALS!$S:$S,Z$195,DEALS!$U:$U,$T210,DEALS!$V:$V,"&lt;&gt;*RECEIVED*",DEALS!$V:$V,"&lt;&gt;*EXECUTED*"))</f>
        <v>0</v>
      </c>
      <c r="AA210" s="30">
        <f ca="1">U210*VLOOKUP(U$195,'FX RATES'!$E$1:$F$50,2,FALSE)+V210*VLOOKUP(V$195,'FX RATES'!$E$1:$F$50,2,FALSE)+W210*VLOOKUP(W$195,'FX RATES'!$E$1:$F$50,2,FALSE)+X210*VLOOKUP(X$195,'FX RATES'!$E$1:$F$50,2,FALSE)+Y210*VLOOKUP(Y$195,'FX RATES'!$E$1:$F$50,2,FALSE)+Z210*VLOOKUP(Z$195,'FX RATES'!$E$1:$F$50,2,FALSE)</f>
        <v>0</v>
      </c>
      <c r="AC210" s="139">
        <f t="shared" ca="1" si="69"/>
        <v>0</v>
      </c>
    </row>
    <row r="211" spans="2:29" ht="18.75" hidden="1" customHeight="1">
      <c r="B211" s="31"/>
      <c r="C211" s="32" cm="1">
        <f t="array" ref="C211">SUMIFS(BALANCES!$C:$C,BALANCES!$A:$A,$B$191,BALANCES!$B:$B,$B211,BALANCES!$D:$D,C$195)+SUMIFS(FLOWS!$C:$C,FLOWS!$A:$A,$B$191,FLOWS!$E:$E,$B211,FLOWS!$D:$D,C$195,FLOWS!$H:$H,"&lt;"&amp;$C$193)+SUM(SUMIFS(DEALS!$J:$J,DEALS!$A:$A,{"*REFUND*","*EXECUTED*"},DEALS!$G:$G,$B$191,DEALS!$E:$E,"&lt;"&amp;$C$193,DEALS!$K:$K,C$195,DEALS!$M:$M,$B211,DEALS!$N:$N,"&lt;&gt;*RECEIVED*",DEALS!$N:$N,"&lt;&gt;*EXECUTED*"))+SUM(SUMIFS(DEALS!$R:$R,DEALS!$A:$A,{"*REFUND*","*EXECUTED*"},DEALS!$O:$O,$B$191,DEALS!$E:$E,"&lt;"&amp;$C$193,DEALS!$S:$S,C$195,DEALS!$U:$U,$B211,DEALS!$V:$V,"&lt;&gt;*RECEIVED*",DEALS!$V:$V,"&lt;&gt;*EXECUTED*"))</f>
        <v>0</v>
      </c>
      <c r="D211" s="32" cm="1">
        <f t="array" ref="D211">SUMIFS(BALANCES!$C:$C,BALANCES!$A:$A,$B$191,BALANCES!$B:$B,$B211,BALANCES!$D:$D,D$195)+SUMIFS(FLOWS!$C:$C,FLOWS!$A:$A,$B$191,FLOWS!$E:$E,$B211,FLOWS!$D:$D,D$195,FLOWS!$H:$H,"&lt;"&amp;$C$193)+SUM(SUMIFS(DEALS!$J:$J,DEALS!$A:$A,{"*REFUND*","*EXECUTED*"},DEALS!$G:$G,$B$191,DEALS!$E:$E,"&lt;"&amp;$C$193,DEALS!$K:$K,D$195,DEALS!$M:$M,$B211,DEALS!$N:$N,"&lt;&gt;*RECEIVED*",DEALS!$N:$N,"&lt;&gt;*EXECUTED*"))+SUM(SUMIFS(DEALS!$R:$R,DEALS!$A:$A,{"*REFUND*","*EXECUTED*"},DEALS!$O:$O,$B$191,DEALS!$E:$E,"&lt;"&amp;$C$193,DEALS!$S:$S,D$195,DEALS!$U:$U,$B211,DEALS!$V:$V,"&lt;&gt;*RECEIVED*",DEALS!$V:$V,"&lt;&gt;*EXECUTED*"))</f>
        <v>0</v>
      </c>
      <c r="E211" s="32" cm="1">
        <f t="array" ref="E211">SUMIFS(BALANCES!$C:$C,BALANCES!$A:$A,$B$191,BALANCES!$B:$B,$B211,BALANCES!$D:$D,E$195)+SUMIFS(FLOWS!$C:$C,FLOWS!$A:$A,$B$191,FLOWS!$E:$E,$B211,FLOWS!$D:$D,E$195,FLOWS!$H:$H,"&lt;"&amp;$C$193)+SUM(SUMIFS(DEALS!$J:$J,DEALS!$A:$A,{"*REFUND*","*EXECUTED*"},DEALS!$G:$G,$B$191,DEALS!$E:$E,"&lt;"&amp;$C$193,DEALS!$K:$K,E$195,DEALS!$M:$M,$B211,DEALS!$N:$N,"&lt;&gt;*RECEIVED*",DEALS!$N:$N,"&lt;&gt;*EXECUTED*"))+SUM(SUMIFS(DEALS!$R:$R,DEALS!$A:$A,{"*REFUND*","*EXECUTED*"},DEALS!$O:$O,$B$191,DEALS!$E:$E,"&lt;"&amp;$C$193,DEALS!$S:$S,E$195,DEALS!$U:$U,$B211,DEALS!$V:$V,"&lt;&gt;*RECEIVED*",DEALS!$V:$V,"&lt;&gt;*EXECUTED*"))</f>
        <v>0</v>
      </c>
      <c r="F211" s="32" cm="1">
        <f t="array" ref="F211">SUMIFS(BALANCES!$C:$C,BALANCES!$A:$A,$B$191,BALANCES!$B:$B,$B211,BALANCES!$D:$D,F$195)+SUMIFS(FLOWS!$C:$C,FLOWS!$A:$A,$B$191,FLOWS!$E:$E,$B211,FLOWS!$D:$D,F$195,FLOWS!$H:$H,"&lt;"&amp;$C$193)+SUM(SUMIFS(DEALS!$J:$J,DEALS!$A:$A,{"*REFUND*","*EXECUTED*"},DEALS!$G:$G,$B$191,DEALS!$E:$E,"&lt;"&amp;$C$193,DEALS!$K:$K,F$195,DEALS!$M:$M,$B211,DEALS!$N:$N,"&lt;&gt;*RECEIVED*",DEALS!$N:$N,"&lt;&gt;*EXECUTED*"))+SUM(SUMIFS(DEALS!$R:$R,DEALS!$A:$A,{"*REFUND*","*EXECUTED*"},DEALS!$O:$O,$B$191,DEALS!$E:$E,"&lt;"&amp;$C$193,DEALS!$S:$S,F$195,DEALS!$U:$U,$B211,DEALS!$V:$V,"&lt;&gt;*RECEIVED*",DEALS!$V:$V,"&lt;&gt;*EXECUTED*"))</f>
        <v>0</v>
      </c>
      <c r="G211" s="32" cm="1">
        <f t="array" ref="G211">SUMIFS(BALANCES!$C:$C,BALANCES!$A:$A,$B$191,BALANCES!$B:$B,$B211,BALANCES!$D:$D,G$195)+SUMIFS(FLOWS!$C:$C,FLOWS!$A:$A,$B$191,FLOWS!$E:$E,$B211,FLOWS!$D:$D,G$195,FLOWS!$H:$H,"&lt;"&amp;$C$193)+SUM(SUMIFS(DEALS!$J:$J,DEALS!$A:$A,{"*REFUND*","*EXECUTED*"},DEALS!$G:$G,$B$191,DEALS!$E:$E,"&lt;"&amp;$C$193,DEALS!$K:$K,G$195,DEALS!$M:$M,$B211,DEALS!$N:$N,"&lt;&gt;*RECEIVED*",DEALS!$N:$N,"&lt;&gt;*EXECUTED*"))+SUM(SUMIFS(DEALS!$R:$R,DEALS!$A:$A,{"*REFUND*","*EXECUTED*"},DEALS!$O:$O,$B$191,DEALS!$E:$E,"&lt;"&amp;$C$193,DEALS!$S:$S,G$195,DEALS!$U:$U,$B211,DEALS!$V:$V,"&lt;&gt;*RECEIVED*",DEALS!$V:$V,"&lt;&gt;*EXECUTED*"))</f>
        <v>0</v>
      </c>
      <c r="H211" s="32" cm="1">
        <f t="array" ref="H211">SUMIFS(BALANCES!$C:$C,BALANCES!$A:$A,$B$191,BALANCES!$B:$B,$B211,BALANCES!$D:$D,H$195)+SUMIFS(FLOWS!$C:$C,FLOWS!$A:$A,$B$191,FLOWS!$E:$E,$B211,FLOWS!$D:$D,H$195,FLOWS!$H:$H,"&lt;"&amp;$C$193)+SUM(SUMIFS(DEALS!$J:$J,DEALS!$A:$A,{"*REFUND*","*EXECUTED*"},DEALS!$G:$G,$B$191,DEALS!$E:$E,"&lt;"&amp;$C$193,DEALS!$K:$K,H$195,DEALS!$M:$M,$B211,DEALS!$N:$N,"&lt;&gt;*RECEIVED*",DEALS!$N:$N,"&lt;&gt;*EXECUTED*"))+SUM(SUMIFS(DEALS!$R:$R,DEALS!$A:$A,{"*REFUND*","*EXECUTED*"},DEALS!$O:$O,$B$191,DEALS!$E:$E,"&lt;"&amp;$C$193,DEALS!$S:$S,H$195,DEALS!$U:$U,$B211,DEALS!$V:$V,"&lt;&gt;*RECEIVED*",DEALS!$V:$V,"&lt;&gt;*EXECUTED*"))</f>
        <v>0</v>
      </c>
      <c r="I211" s="33">
        <f ca="1">C211*VLOOKUP(C$195,'FX RATES'!$E$1:$F$50,2,FALSE)+D211*VLOOKUP(D$195,'FX RATES'!$E$1:$F$50,2,FALSE)+E211*VLOOKUP(E$195,'FX RATES'!$E$1:$F$50,2,FALSE)+F211*VLOOKUP(F$195,'FX RATES'!$E$1:$F$50,2,FALSE)+G211*VLOOKUP(G$195,'FX RATES'!$E$1:$F$50,2,FALSE)+H211*VLOOKUP(H$195,'FX RATES'!$E$1:$F$50,2,FALSE)</f>
        <v>0</v>
      </c>
      <c r="K211" s="31">
        <f t="shared" si="67"/>
        <v>0</v>
      </c>
      <c r="L211" s="32" cm="1">
        <f t="array" ref="L211">SUMIFS(FLOWS!$C:$C,FLOWS!$A:$A,$B$191,FLOWS!$E:$E,$K211,FLOWS!$D:$D,L$195,FLOWS!$H:$H,"&gt;="&amp;$C$193,FLOWS!$H:$H,"&lt;="&amp;$U$193)+SUM(SUMIFS(DEALS!$J:$J,DEALS!$A:$A,{"*REFUND*","*EXECUTED*"},DEALS!$G:$G,$B$191,DEALS!$E:$E,"&gt;="&amp;$C$193,DEALS!$E:$E,"&lt;="&amp;$U$193,DEALS!$K:$K,L$195,DEALS!$M:$M,$K211,DEALS!$N:$N,"&lt;&gt;*RECEIVED*",DEALS!$N:$N,"&lt;&gt;*EXECUTED*"))+SUM(SUMIFS(DEALS!$R:$R,DEALS!$A:$A,{"*REFUND*","*EXECUTED*"},DEALS!$O:$O,$B$191,DEALS!$E:$E,"&gt;="&amp;$C$193,DEALS!$E:$E,"&lt;="&amp;$U$193,DEALS!$S:$S,L$195,DEALS!$U:$U,$K211,DEALS!$V:$V,"&lt;&gt;*RECEIVED*",DEALS!$V:$V,"&lt;&gt;*EXECUTED*"))</f>
        <v>0</v>
      </c>
      <c r="M211" s="32" cm="1">
        <f t="array" ref="M211">SUMIFS(FLOWS!$C:$C,FLOWS!$A:$A,$B$191,FLOWS!$E:$E,$K211,FLOWS!$D:$D,M$195,FLOWS!$H:$H,"&gt;="&amp;$C$193,FLOWS!$H:$H,"&lt;="&amp;$U$193)+SUM(SUMIFS(DEALS!$J:$J,DEALS!$A:$A,{"*REFUND*","*EXECUTED*"},DEALS!$G:$G,$B$191,DEALS!$E:$E,"&gt;="&amp;$C$193,DEALS!$E:$E,"&lt;="&amp;$U$193,DEALS!$K:$K,M$195,DEALS!$M:$M,$K211,DEALS!$N:$N,"&lt;&gt;*RECEIVED*",DEALS!$N:$N,"&lt;&gt;*EXECUTED*"))+SUM(SUMIFS(DEALS!$R:$R,DEALS!$A:$A,{"*REFUND*","*EXECUTED*"},DEALS!$O:$O,$B$191,DEALS!$E:$E,"&gt;="&amp;$C$193,DEALS!$E:$E,"&lt;="&amp;$U$193,DEALS!$S:$S,M$195,DEALS!$U:$U,$K211,DEALS!$V:$V,"&lt;&gt;*RECEIVED*",DEALS!$V:$V,"&lt;&gt;*EXECUTED*"))</f>
        <v>0</v>
      </c>
      <c r="N211" s="32" cm="1">
        <f t="array" ref="N211">SUMIFS(FLOWS!$C:$C,FLOWS!$A:$A,$B$191,FLOWS!$E:$E,$K211,FLOWS!$D:$D,N$195,FLOWS!$H:$H,"&gt;="&amp;$C$193,FLOWS!$H:$H,"&lt;="&amp;$U$193)+SUM(SUMIFS(DEALS!$J:$J,DEALS!$A:$A,{"*REFUND*","*EXECUTED*"},DEALS!$G:$G,$B$191,DEALS!$E:$E,"&gt;="&amp;$C$193,DEALS!$E:$E,"&lt;="&amp;$U$193,DEALS!$K:$K,N$195,DEALS!$M:$M,$K211,DEALS!$N:$N,"&lt;&gt;*RECEIVED*",DEALS!$N:$N,"&lt;&gt;*EXECUTED*"))+SUM(SUMIFS(DEALS!$R:$R,DEALS!$A:$A,{"*REFUND*","*EXECUTED*"},DEALS!$O:$O,$B$191,DEALS!$E:$E,"&gt;="&amp;$C$193,DEALS!$E:$E,"&lt;="&amp;$U$193,DEALS!$S:$S,N$195,DEALS!$U:$U,$K211,DEALS!$V:$V,"&lt;&gt;*RECEIVED*",DEALS!$V:$V,"&lt;&gt;*EXECUTED*"))</f>
        <v>0</v>
      </c>
      <c r="O211" s="32" cm="1">
        <f t="array" ref="O211">SUMIFS(FLOWS!$C:$C,FLOWS!$A:$A,$B$191,FLOWS!$E:$E,$K211,FLOWS!$D:$D,O$195,FLOWS!$H:$H,"&gt;="&amp;$C$193,FLOWS!$H:$H,"&lt;="&amp;$U$193)+SUM(SUMIFS(DEALS!$J:$J,DEALS!$A:$A,{"*REFUND*","*EXECUTED*"},DEALS!$G:$G,$B$191,DEALS!$E:$E,"&gt;="&amp;$C$193,DEALS!$E:$E,"&lt;="&amp;$U$193,DEALS!$K:$K,O$195,DEALS!$M:$M,$K211,DEALS!$N:$N,"&lt;&gt;*RECEIVED*",DEALS!$N:$N,"&lt;&gt;*EXECUTED*"))+SUM(SUMIFS(DEALS!$R:$R,DEALS!$A:$A,{"*REFUND*","*EXECUTED*"},DEALS!$O:$O,$B$191,DEALS!$E:$E,"&gt;="&amp;$C$193,DEALS!$E:$E,"&lt;="&amp;$U$193,DEALS!$S:$S,O$195,DEALS!$U:$U,$K211,DEALS!$V:$V,"&lt;&gt;*RECEIVED*",DEALS!$V:$V,"&lt;&gt;*EXECUTED*"))</f>
        <v>0</v>
      </c>
      <c r="P211" s="32" cm="1">
        <f t="array" ref="P211">SUMIFS(FLOWS!$C:$C,FLOWS!$A:$A,$B$191,FLOWS!$E:$E,$K211,FLOWS!$D:$D,P$195,FLOWS!$H:$H,"&gt;="&amp;$C$193,FLOWS!$H:$H,"&lt;="&amp;$U$193)+SUM(SUMIFS(DEALS!$J:$J,DEALS!$A:$A,{"*REFUND*","*EXECUTED*"},DEALS!$G:$G,$B$191,DEALS!$E:$E,"&gt;="&amp;$C$193,DEALS!$E:$E,"&lt;="&amp;$U$193,DEALS!$K:$K,P$195,DEALS!$M:$M,$K211,DEALS!$N:$N,"&lt;&gt;*RECEIVED*",DEALS!$N:$N,"&lt;&gt;*EXECUTED*"))+SUM(SUMIFS(DEALS!$R:$R,DEALS!$A:$A,{"*REFUND*","*EXECUTED*"},DEALS!$O:$O,$B$191,DEALS!$E:$E,"&gt;="&amp;$C$193,DEALS!$E:$E,"&lt;="&amp;$U$193,DEALS!$S:$S,P$195,DEALS!$U:$U,$K211,DEALS!$V:$V,"&lt;&gt;*RECEIVED*",DEALS!$V:$V,"&lt;&gt;*EXECUTED*"))</f>
        <v>0</v>
      </c>
      <c r="Q211" s="32" cm="1">
        <f t="array" ref="Q211">SUMIFS(FLOWS!$C:$C,FLOWS!$A:$A,$B$191,FLOWS!$E:$E,$K211,FLOWS!$D:$D,Q$195,FLOWS!$H:$H,"&gt;="&amp;$C$193,FLOWS!$H:$H,"&lt;="&amp;$U$193)+SUM(SUMIFS(DEALS!$J:$J,DEALS!$A:$A,{"*REFUND*","*EXECUTED*"},DEALS!$G:$G,$B$191,DEALS!$E:$E,"&gt;="&amp;$C$193,DEALS!$E:$E,"&lt;="&amp;$U$193,DEALS!$K:$K,Q$195,DEALS!$M:$M,$K211,DEALS!$N:$N,"&lt;&gt;*RECEIVED*",DEALS!$N:$N,"&lt;&gt;*EXECUTED*"))+SUM(SUMIFS(DEALS!$R:$R,DEALS!$A:$A,{"*REFUND*","*EXECUTED*"},DEALS!$O:$O,$B$191,DEALS!$E:$E,"&gt;="&amp;$C$193,DEALS!$E:$E,"&lt;="&amp;$U$193,DEALS!$S:$S,Q$195,DEALS!$U:$U,$K211,DEALS!$V:$V,"&lt;&gt;*RECEIVED*",DEALS!$V:$V,"&lt;&gt;*EXECUTED*"))</f>
        <v>0</v>
      </c>
      <c r="R211" s="33">
        <f ca="1">L211*VLOOKUP(L$195,'FX RATES'!$E$1:$F$50,2,FALSE)+M211*VLOOKUP(M$195,'FX RATES'!$E$1:$F$50,2,FALSE)+N211*VLOOKUP(N$195,'FX RATES'!$E$1:$F$50,2,FALSE)+O211*VLOOKUP(O$195,'FX RATES'!$E$1:$F$50,2,FALSE)+P211*VLOOKUP(P$195,'FX RATES'!$E$1:$F$50,2,FALSE)+Q211*VLOOKUP(Q$195,'FX RATES'!$E$1:$F$50,2,FALSE)</f>
        <v>0</v>
      </c>
      <c r="T211" s="31">
        <f t="shared" si="68"/>
        <v>0</v>
      </c>
      <c r="U211" s="32" cm="1">
        <f t="array" ref="U211">SUMIFS(BALANCES!$C:$C,BALANCES!$A:$A,$B$191,BALANCES!$B:$B,$T211,BALANCES!$D:$D,U$195)+SUMIFS(FLOWS!$C:$C,FLOWS!$A:$A,$B$191,FLOWS!$E:$E,$T211,FLOWS!$D:$D,U$195,FLOWS!$H:$H,"&lt;="&amp;$U$193)+SUM(SUMIFS(DEALS!$J:$J,DEALS!$A:$A,{"*REFUND*","*EXECUTED*"},DEALS!$G:$G,$B$191,DEALS!$E:$E,"&lt;="&amp;$U$193,DEALS!$K:$K,U$195,DEALS!$M:$M,$T211,DEALS!$N:$N,"&lt;&gt;*RECEIVED*",DEALS!$N:$N,"&lt;&gt;*EXECUTED*"))+SUM(SUMIFS(DEALS!$R:$R,DEALS!$A:$A,{"*REFUND*","*EXECUTED*"},DEALS!$O:$O,$B$191,DEALS!$E:$E,"&lt;="&amp;$U$193,DEALS!$S:$S,U$195,DEALS!$U:$U,$T211,DEALS!$V:$V,"&lt;&gt;*RECEIVED*",DEALS!$V:$V,"&lt;&gt;*EXECUTED*"))</f>
        <v>0</v>
      </c>
      <c r="V211" s="32" cm="1">
        <f t="array" ref="V211">SUMIFS(BALANCES!$C:$C,BALANCES!$A:$A,$B$191,BALANCES!$B:$B,$T211,BALANCES!$D:$D,V$195)+SUMIFS(FLOWS!$C:$C,FLOWS!$A:$A,$B$191,FLOWS!$E:$E,$T211,FLOWS!$D:$D,V$195,FLOWS!$H:$H,"&lt;="&amp;$U$193)+SUM(SUMIFS(DEALS!$J:$J,DEALS!$A:$A,{"*REFUND*","*EXECUTED*"},DEALS!$G:$G,$B$191,DEALS!$E:$E,"&lt;="&amp;$U$193,DEALS!$K:$K,V$195,DEALS!$M:$M,$T211,DEALS!$N:$N,"&lt;&gt;*RECEIVED*",DEALS!$N:$N,"&lt;&gt;*EXECUTED*"))+SUM(SUMIFS(DEALS!$R:$R,DEALS!$A:$A,{"*REFUND*","*EXECUTED*"},DEALS!$O:$O,$B$191,DEALS!$E:$E,"&lt;="&amp;$U$193,DEALS!$S:$S,V$195,DEALS!$U:$U,$T211,DEALS!$V:$V,"&lt;&gt;*RECEIVED*",DEALS!$V:$V,"&lt;&gt;*EXECUTED*"))</f>
        <v>0</v>
      </c>
      <c r="W211" s="32" cm="1">
        <f t="array" ref="W211">SUMIFS(BALANCES!$C:$C,BALANCES!$A:$A,$B$191,BALANCES!$B:$B,$T211,BALANCES!$D:$D,W$195)+SUMIFS(FLOWS!$C:$C,FLOWS!$A:$A,$B$191,FLOWS!$E:$E,$T211,FLOWS!$D:$D,W$195,FLOWS!$H:$H,"&lt;="&amp;$U$193)+SUM(SUMIFS(DEALS!$J:$J,DEALS!$A:$A,{"*REFUND*","*EXECUTED*"},DEALS!$G:$G,$B$191,DEALS!$E:$E,"&lt;="&amp;$U$193,DEALS!$K:$K,W$195,DEALS!$M:$M,$T211,DEALS!$N:$N,"&lt;&gt;*RECEIVED*",DEALS!$N:$N,"&lt;&gt;*EXECUTED*"))+SUM(SUMIFS(DEALS!$R:$R,DEALS!$A:$A,{"*REFUND*","*EXECUTED*"},DEALS!$O:$O,$B$191,DEALS!$E:$E,"&lt;="&amp;$U$193,DEALS!$S:$S,W$195,DEALS!$U:$U,$T211,DEALS!$V:$V,"&lt;&gt;*RECEIVED*",DEALS!$V:$V,"&lt;&gt;*EXECUTED*"))</f>
        <v>0</v>
      </c>
      <c r="X211" s="32" cm="1">
        <f t="array" ref="X211">SUMIFS(BALANCES!$C:$C,BALANCES!$A:$A,$B$191,BALANCES!$B:$B,$T211,BALANCES!$D:$D,X$195)+SUMIFS(FLOWS!$C:$C,FLOWS!$A:$A,$B$191,FLOWS!$E:$E,$T211,FLOWS!$D:$D,X$195,FLOWS!$H:$H,"&lt;="&amp;$U$193)+SUM(SUMIFS(DEALS!$J:$J,DEALS!$A:$A,{"*REFUND*","*EXECUTED*"},DEALS!$G:$G,$B$191,DEALS!$E:$E,"&lt;="&amp;$U$193,DEALS!$K:$K,X$195,DEALS!$M:$M,$T211,DEALS!$N:$N,"&lt;&gt;*RECEIVED*",DEALS!$N:$N,"&lt;&gt;*EXECUTED*"))+SUM(SUMIFS(DEALS!$R:$R,DEALS!$A:$A,{"*REFUND*","*EXECUTED*"},DEALS!$O:$O,$B$191,DEALS!$E:$E,"&lt;="&amp;$U$193,DEALS!$S:$S,X$195,DEALS!$U:$U,$T211,DEALS!$V:$V,"&lt;&gt;*RECEIVED*",DEALS!$V:$V,"&lt;&gt;*EXECUTED*"))</f>
        <v>0</v>
      </c>
      <c r="Y211" s="32" cm="1">
        <f t="array" ref="Y211">SUMIFS(BALANCES!$C:$C,BALANCES!$A:$A,$B$191,BALANCES!$B:$B,$T211,BALANCES!$D:$D,Y$195)+SUMIFS(FLOWS!$C:$C,FLOWS!$A:$A,$B$191,FLOWS!$E:$E,$T211,FLOWS!$D:$D,Y$195,FLOWS!$H:$H,"&lt;="&amp;$U$193)+SUM(SUMIFS(DEALS!$J:$J,DEALS!$A:$A,{"*REFUND*","*EXECUTED*"},DEALS!$G:$G,$B$191,DEALS!$E:$E,"&lt;="&amp;$U$193,DEALS!$K:$K,Y$195,DEALS!$M:$M,$T211,DEALS!$N:$N,"&lt;&gt;*RECEIVED*",DEALS!$N:$N,"&lt;&gt;*EXECUTED*"))+SUM(SUMIFS(DEALS!$R:$R,DEALS!$A:$A,{"*REFUND*","*EXECUTED*"},DEALS!$O:$O,$B$191,DEALS!$E:$E,"&lt;="&amp;$U$193,DEALS!$S:$S,Y$195,DEALS!$U:$U,$T211,DEALS!$V:$V,"&lt;&gt;*RECEIVED*",DEALS!$V:$V,"&lt;&gt;*EXECUTED*"))</f>
        <v>0</v>
      </c>
      <c r="Z211" s="32" cm="1">
        <f t="array" ref="Z211">SUMIFS(BALANCES!$C:$C,BALANCES!$A:$A,$B$191,BALANCES!$B:$B,$T211,BALANCES!$D:$D,Z$195)+SUMIFS(FLOWS!$C:$C,FLOWS!$A:$A,$B$191,FLOWS!$E:$E,$T211,FLOWS!$D:$D,Z$195,FLOWS!$H:$H,"&lt;="&amp;$U$193)+SUM(SUMIFS(DEALS!$J:$J,DEALS!$A:$A,{"*REFUND*","*EXECUTED*"},DEALS!$G:$G,$B$191,DEALS!$E:$E,"&lt;="&amp;$U$193,DEALS!$K:$K,Z$195,DEALS!$M:$M,$T211,DEALS!$N:$N,"&lt;&gt;*RECEIVED*",DEALS!$N:$N,"&lt;&gt;*EXECUTED*"))+SUM(SUMIFS(DEALS!$R:$R,DEALS!$A:$A,{"*REFUND*","*EXECUTED*"},DEALS!$O:$O,$B$191,DEALS!$E:$E,"&lt;="&amp;$U$193,DEALS!$S:$S,Z$195,DEALS!$U:$U,$T211,DEALS!$V:$V,"&lt;&gt;*RECEIVED*",DEALS!$V:$V,"&lt;&gt;*EXECUTED*"))</f>
        <v>0</v>
      </c>
      <c r="AA211" s="33">
        <f ca="1">U211*VLOOKUP(U$195,'FX RATES'!$E$1:$F$50,2,FALSE)+V211*VLOOKUP(V$195,'FX RATES'!$E$1:$F$50,2,FALSE)+W211*VLOOKUP(W$195,'FX RATES'!$E$1:$F$50,2,FALSE)+X211*VLOOKUP(X$195,'FX RATES'!$E$1:$F$50,2,FALSE)+Y211*VLOOKUP(Y$195,'FX RATES'!$E$1:$F$50,2,FALSE)+Z211*VLOOKUP(Z$195,'FX RATES'!$E$1:$F$50,2,FALSE)</f>
        <v>0</v>
      </c>
      <c r="AC211" s="139">
        <f t="shared" ca="1" si="69"/>
        <v>0</v>
      </c>
    </row>
    <row r="212" spans="2:29" ht="18.75" hidden="1" customHeight="1">
      <c r="B212" s="28"/>
      <c r="C212" s="29" cm="1">
        <f t="array" ref="C212">SUMIFS(BALANCES!$C:$C,BALANCES!$A:$A,$B$191,BALANCES!$B:$B,$B212,BALANCES!$D:$D,C$195)+SUMIFS(FLOWS!$C:$C,FLOWS!$A:$A,$B$191,FLOWS!$E:$E,$B212,FLOWS!$D:$D,C$195,FLOWS!$H:$H,"&lt;"&amp;$C$193)+SUM(SUMIFS(DEALS!$J:$J,DEALS!$A:$A,{"*REFUND*","*EXECUTED*"},DEALS!$G:$G,$B$191,DEALS!$E:$E,"&lt;"&amp;$C$193,DEALS!$K:$K,C$195,DEALS!$M:$M,$B212,DEALS!$N:$N,"&lt;&gt;*RECEIVED*",DEALS!$N:$N,"&lt;&gt;*EXECUTED*"))+SUM(SUMIFS(DEALS!$R:$R,DEALS!$A:$A,{"*REFUND*","*EXECUTED*"},DEALS!$O:$O,$B$191,DEALS!$E:$E,"&lt;"&amp;$C$193,DEALS!$S:$S,C$195,DEALS!$U:$U,$B212,DEALS!$V:$V,"&lt;&gt;*RECEIVED*",DEALS!$V:$V,"&lt;&gt;*EXECUTED*"))</f>
        <v>0</v>
      </c>
      <c r="D212" s="29" cm="1">
        <f t="array" ref="D212">SUMIFS(BALANCES!$C:$C,BALANCES!$A:$A,$B$191,BALANCES!$B:$B,$B212,BALANCES!$D:$D,D$195)+SUMIFS(FLOWS!$C:$C,FLOWS!$A:$A,$B$191,FLOWS!$E:$E,$B212,FLOWS!$D:$D,D$195,FLOWS!$H:$H,"&lt;"&amp;$C$193)+SUM(SUMIFS(DEALS!$J:$J,DEALS!$A:$A,{"*REFUND*","*EXECUTED*"},DEALS!$G:$G,$B$191,DEALS!$E:$E,"&lt;"&amp;$C$193,DEALS!$K:$K,D$195,DEALS!$M:$M,$B212,DEALS!$N:$N,"&lt;&gt;*RECEIVED*",DEALS!$N:$N,"&lt;&gt;*EXECUTED*"))+SUM(SUMIFS(DEALS!$R:$R,DEALS!$A:$A,{"*REFUND*","*EXECUTED*"},DEALS!$O:$O,$B$191,DEALS!$E:$E,"&lt;"&amp;$C$193,DEALS!$S:$S,D$195,DEALS!$U:$U,$B212,DEALS!$V:$V,"&lt;&gt;*RECEIVED*",DEALS!$V:$V,"&lt;&gt;*EXECUTED*"))</f>
        <v>0</v>
      </c>
      <c r="E212" s="29" cm="1">
        <f t="array" ref="E212">SUMIFS(BALANCES!$C:$C,BALANCES!$A:$A,$B$191,BALANCES!$B:$B,$B212,BALANCES!$D:$D,E$195)+SUMIFS(FLOWS!$C:$C,FLOWS!$A:$A,$B$191,FLOWS!$E:$E,$B212,FLOWS!$D:$D,E$195,FLOWS!$H:$H,"&lt;"&amp;$C$193)+SUM(SUMIFS(DEALS!$J:$J,DEALS!$A:$A,{"*REFUND*","*EXECUTED*"},DEALS!$G:$G,$B$191,DEALS!$E:$E,"&lt;"&amp;$C$193,DEALS!$K:$K,E$195,DEALS!$M:$M,$B212,DEALS!$N:$N,"&lt;&gt;*RECEIVED*",DEALS!$N:$N,"&lt;&gt;*EXECUTED*"))+SUM(SUMIFS(DEALS!$R:$R,DEALS!$A:$A,{"*REFUND*","*EXECUTED*"},DEALS!$O:$O,$B$191,DEALS!$E:$E,"&lt;"&amp;$C$193,DEALS!$S:$S,E$195,DEALS!$U:$U,$B212,DEALS!$V:$V,"&lt;&gt;*RECEIVED*",DEALS!$V:$V,"&lt;&gt;*EXECUTED*"))</f>
        <v>0</v>
      </c>
      <c r="F212" s="29" cm="1">
        <f t="array" ref="F212">SUMIFS(BALANCES!$C:$C,BALANCES!$A:$A,$B$191,BALANCES!$B:$B,$B212,BALANCES!$D:$D,F$195)+SUMIFS(FLOWS!$C:$C,FLOWS!$A:$A,$B$191,FLOWS!$E:$E,$B212,FLOWS!$D:$D,F$195,FLOWS!$H:$H,"&lt;"&amp;$C$193)+SUM(SUMIFS(DEALS!$J:$J,DEALS!$A:$A,{"*REFUND*","*EXECUTED*"},DEALS!$G:$G,$B$191,DEALS!$E:$E,"&lt;"&amp;$C$193,DEALS!$K:$K,F$195,DEALS!$M:$M,$B212,DEALS!$N:$N,"&lt;&gt;*RECEIVED*",DEALS!$N:$N,"&lt;&gt;*EXECUTED*"))+SUM(SUMIFS(DEALS!$R:$R,DEALS!$A:$A,{"*REFUND*","*EXECUTED*"},DEALS!$O:$O,$B$191,DEALS!$E:$E,"&lt;"&amp;$C$193,DEALS!$S:$S,F$195,DEALS!$U:$U,$B212,DEALS!$V:$V,"&lt;&gt;*RECEIVED*",DEALS!$V:$V,"&lt;&gt;*EXECUTED*"))</f>
        <v>0</v>
      </c>
      <c r="G212" s="29" cm="1">
        <f t="array" ref="G212">SUMIFS(BALANCES!$C:$C,BALANCES!$A:$A,$B$191,BALANCES!$B:$B,$B212,BALANCES!$D:$D,G$195)+SUMIFS(FLOWS!$C:$C,FLOWS!$A:$A,$B$191,FLOWS!$E:$E,$B212,FLOWS!$D:$D,G$195,FLOWS!$H:$H,"&lt;"&amp;$C$193)+SUM(SUMIFS(DEALS!$J:$J,DEALS!$A:$A,{"*REFUND*","*EXECUTED*"},DEALS!$G:$G,$B$191,DEALS!$E:$E,"&lt;"&amp;$C$193,DEALS!$K:$K,G$195,DEALS!$M:$M,$B212,DEALS!$N:$N,"&lt;&gt;*RECEIVED*",DEALS!$N:$N,"&lt;&gt;*EXECUTED*"))+SUM(SUMIFS(DEALS!$R:$R,DEALS!$A:$A,{"*REFUND*","*EXECUTED*"},DEALS!$O:$O,$B$191,DEALS!$E:$E,"&lt;"&amp;$C$193,DEALS!$S:$S,G$195,DEALS!$U:$U,$B212,DEALS!$V:$V,"&lt;&gt;*RECEIVED*",DEALS!$V:$V,"&lt;&gt;*EXECUTED*"))</f>
        <v>0</v>
      </c>
      <c r="H212" s="29" cm="1">
        <f t="array" ref="H212">SUMIFS(BALANCES!$C:$C,BALANCES!$A:$A,$B$191,BALANCES!$B:$B,$B212,BALANCES!$D:$D,H$195)+SUMIFS(FLOWS!$C:$C,FLOWS!$A:$A,$B$191,FLOWS!$E:$E,$B212,FLOWS!$D:$D,H$195,FLOWS!$H:$H,"&lt;"&amp;$C$193)+SUM(SUMIFS(DEALS!$J:$J,DEALS!$A:$A,{"*REFUND*","*EXECUTED*"},DEALS!$G:$G,$B$191,DEALS!$E:$E,"&lt;"&amp;$C$193,DEALS!$K:$K,H$195,DEALS!$M:$M,$B212,DEALS!$N:$N,"&lt;&gt;*RECEIVED*",DEALS!$N:$N,"&lt;&gt;*EXECUTED*"))+SUM(SUMIFS(DEALS!$R:$R,DEALS!$A:$A,{"*REFUND*","*EXECUTED*"},DEALS!$O:$O,$B$191,DEALS!$E:$E,"&lt;"&amp;$C$193,DEALS!$S:$S,H$195,DEALS!$U:$U,$B212,DEALS!$V:$V,"&lt;&gt;*RECEIVED*",DEALS!$V:$V,"&lt;&gt;*EXECUTED*"))</f>
        <v>0</v>
      </c>
      <c r="I212" s="30">
        <f ca="1">C212*VLOOKUP(C$195,'FX RATES'!$E$1:$F$50,2,FALSE)+D212*VLOOKUP(D$195,'FX RATES'!$E$1:$F$50,2,FALSE)+E212*VLOOKUP(E$195,'FX RATES'!$E$1:$F$50,2,FALSE)+F212*VLOOKUP(F$195,'FX RATES'!$E$1:$F$50,2,FALSE)+G212*VLOOKUP(G$195,'FX RATES'!$E$1:$F$50,2,FALSE)+H212*VLOOKUP(H$195,'FX RATES'!$E$1:$F$50,2,FALSE)</f>
        <v>0</v>
      </c>
      <c r="K212" s="28">
        <f t="shared" si="67"/>
        <v>0</v>
      </c>
      <c r="L212" s="29" cm="1">
        <f t="array" ref="L212">SUMIFS(FLOWS!$C:$C,FLOWS!$A:$A,$B$191,FLOWS!$E:$E,$K212,FLOWS!$D:$D,L$195,FLOWS!$H:$H,"&gt;="&amp;$C$193,FLOWS!$H:$H,"&lt;="&amp;$U$193)+SUM(SUMIFS(DEALS!$J:$J,DEALS!$A:$A,{"*REFUND*","*EXECUTED*"},DEALS!$G:$G,$B$191,DEALS!$E:$E,"&gt;="&amp;$C$193,DEALS!$E:$E,"&lt;="&amp;$U$193,DEALS!$K:$K,L$195,DEALS!$M:$M,$K212,DEALS!$N:$N,"&lt;&gt;*RECEIVED*",DEALS!$N:$N,"&lt;&gt;*EXECUTED*"))+SUM(SUMIFS(DEALS!$R:$R,DEALS!$A:$A,{"*REFUND*","*EXECUTED*"},DEALS!$O:$O,$B$191,DEALS!$E:$E,"&gt;="&amp;$C$193,DEALS!$E:$E,"&lt;="&amp;$U$193,DEALS!$S:$S,L$195,DEALS!$U:$U,$K212,DEALS!$V:$V,"&lt;&gt;*RECEIVED*",DEALS!$V:$V,"&lt;&gt;*EXECUTED*"))</f>
        <v>0</v>
      </c>
      <c r="M212" s="29" cm="1">
        <f t="array" ref="M212">SUMIFS(FLOWS!$C:$C,FLOWS!$A:$A,$B$191,FLOWS!$E:$E,$K212,FLOWS!$D:$D,M$195,FLOWS!$H:$H,"&gt;="&amp;$C$193,FLOWS!$H:$H,"&lt;="&amp;$U$193)+SUM(SUMIFS(DEALS!$J:$J,DEALS!$A:$A,{"*REFUND*","*EXECUTED*"},DEALS!$G:$G,$B$191,DEALS!$E:$E,"&gt;="&amp;$C$193,DEALS!$E:$E,"&lt;="&amp;$U$193,DEALS!$K:$K,M$195,DEALS!$M:$M,$K212,DEALS!$N:$N,"&lt;&gt;*RECEIVED*",DEALS!$N:$N,"&lt;&gt;*EXECUTED*"))+SUM(SUMIFS(DEALS!$R:$R,DEALS!$A:$A,{"*REFUND*","*EXECUTED*"},DEALS!$O:$O,$B$191,DEALS!$E:$E,"&gt;="&amp;$C$193,DEALS!$E:$E,"&lt;="&amp;$U$193,DEALS!$S:$S,M$195,DEALS!$U:$U,$K212,DEALS!$V:$V,"&lt;&gt;*RECEIVED*",DEALS!$V:$V,"&lt;&gt;*EXECUTED*"))</f>
        <v>0</v>
      </c>
      <c r="N212" s="29" cm="1">
        <f t="array" ref="N212">SUMIFS(FLOWS!$C:$C,FLOWS!$A:$A,$B$191,FLOWS!$E:$E,$K212,FLOWS!$D:$D,N$195,FLOWS!$H:$H,"&gt;="&amp;$C$193,FLOWS!$H:$H,"&lt;="&amp;$U$193)+SUM(SUMIFS(DEALS!$J:$J,DEALS!$A:$A,{"*REFUND*","*EXECUTED*"},DEALS!$G:$G,$B$191,DEALS!$E:$E,"&gt;="&amp;$C$193,DEALS!$E:$E,"&lt;="&amp;$U$193,DEALS!$K:$K,N$195,DEALS!$M:$M,$K212,DEALS!$N:$N,"&lt;&gt;*RECEIVED*",DEALS!$N:$N,"&lt;&gt;*EXECUTED*"))+SUM(SUMIFS(DEALS!$R:$R,DEALS!$A:$A,{"*REFUND*","*EXECUTED*"},DEALS!$O:$O,$B$191,DEALS!$E:$E,"&gt;="&amp;$C$193,DEALS!$E:$E,"&lt;="&amp;$U$193,DEALS!$S:$S,N$195,DEALS!$U:$U,$K212,DEALS!$V:$V,"&lt;&gt;*RECEIVED*",DEALS!$V:$V,"&lt;&gt;*EXECUTED*"))</f>
        <v>0</v>
      </c>
      <c r="O212" s="29" cm="1">
        <f t="array" ref="O212">SUMIFS(FLOWS!$C:$C,FLOWS!$A:$A,$B$191,FLOWS!$E:$E,$K212,FLOWS!$D:$D,O$195,FLOWS!$H:$H,"&gt;="&amp;$C$193,FLOWS!$H:$H,"&lt;="&amp;$U$193)+SUM(SUMIFS(DEALS!$J:$J,DEALS!$A:$A,{"*REFUND*","*EXECUTED*"},DEALS!$G:$G,$B$191,DEALS!$E:$E,"&gt;="&amp;$C$193,DEALS!$E:$E,"&lt;="&amp;$U$193,DEALS!$K:$K,O$195,DEALS!$M:$M,$K212,DEALS!$N:$N,"&lt;&gt;*RECEIVED*",DEALS!$N:$N,"&lt;&gt;*EXECUTED*"))+SUM(SUMIFS(DEALS!$R:$R,DEALS!$A:$A,{"*REFUND*","*EXECUTED*"},DEALS!$O:$O,$B$191,DEALS!$E:$E,"&gt;="&amp;$C$193,DEALS!$E:$E,"&lt;="&amp;$U$193,DEALS!$S:$S,O$195,DEALS!$U:$U,$K212,DEALS!$V:$V,"&lt;&gt;*RECEIVED*",DEALS!$V:$V,"&lt;&gt;*EXECUTED*"))</f>
        <v>0</v>
      </c>
      <c r="P212" s="29" cm="1">
        <f t="array" ref="P212">SUMIFS(FLOWS!$C:$C,FLOWS!$A:$A,$B$191,FLOWS!$E:$E,$K212,FLOWS!$D:$D,P$195,FLOWS!$H:$H,"&gt;="&amp;$C$193,FLOWS!$H:$H,"&lt;="&amp;$U$193)+SUM(SUMIFS(DEALS!$J:$J,DEALS!$A:$A,{"*REFUND*","*EXECUTED*"},DEALS!$G:$G,$B$191,DEALS!$E:$E,"&gt;="&amp;$C$193,DEALS!$E:$E,"&lt;="&amp;$U$193,DEALS!$K:$K,P$195,DEALS!$M:$M,$K212,DEALS!$N:$N,"&lt;&gt;*RECEIVED*",DEALS!$N:$N,"&lt;&gt;*EXECUTED*"))+SUM(SUMIFS(DEALS!$R:$R,DEALS!$A:$A,{"*REFUND*","*EXECUTED*"},DEALS!$O:$O,$B$191,DEALS!$E:$E,"&gt;="&amp;$C$193,DEALS!$E:$E,"&lt;="&amp;$U$193,DEALS!$S:$S,P$195,DEALS!$U:$U,$K212,DEALS!$V:$V,"&lt;&gt;*RECEIVED*",DEALS!$V:$V,"&lt;&gt;*EXECUTED*"))</f>
        <v>0</v>
      </c>
      <c r="Q212" s="29" cm="1">
        <f t="array" ref="Q212">SUMIFS(FLOWS!$C:$C,FLOWS!$A:$A,$B$191,FLOWS!$E:$E,$K212,FLOWS!$D:$D,Q$195,FLOWS!$H:$H,"&gt;="&amp;$C$193,FLOWS!$H:$H,"&lt;="&amp;$U$193)+SUM(SUMIFS(DEALS!$J:$J,DEALS!$A:$A,{"*REFUND*","*EXECUTED*"},DEALS!$G:$G,$B$191,DEALS!$E:$E,"&gt;="&amp;$C$193,DEALS!$E:$E,"&lt;="&amp;$U$193,DEALS!$K:$K,Q$195,DEALS!$M:$M,$K212,DEALS!$N:$N,"&lt;&gt;*RECEIVED*",DEALS!$N:$N,"&lt;&gt;*EXECUTED*"))+SUM(SUMIFS(DEALS!$R:$R,DEALS!$A:$A,{"*REFUND*","*EXECUTED*"},DEALS!$O:$O,$B$191,DEALS!$E:$E,"&gt;="&amp;$C$193,DEALS!$E:$E,"&lt;="&amp;$U$193,DEALS!$S:$S,Q$195,DEALS!$U:$U,$K212,DEALS!$V:$V,"&lt;&gt;*RECEIVED*",DEALS!$V:$V,"&lt;&gt;*EXECUTED*"))</f>
        <v>0</v>
      </c>
      <c r="R212" s="30">
        <f ca="1">L212*VLOOKUP(L$195,'FX RATES'!$E$1:$F$50,2,FALSE)+M212*VLOOKUP(M$195,'FX RATES'!$E$1:$F$50,2,FALSE)+N212*VLOOKUP(N$195,'FX RATES'!$E$1:$F$50,2,FALSE)+O212*VLOOKUP(O$195,'FX RATES'!$E$1:$F$50,2,FALSE)+P212*VLOOKUP(P$195,'FX RATES'!$E$1:$F$50,2,FALSE)+Q212*VLOOKUP(Q$195,'FX RATES'!$E$1:$F$50,2,FALSE)</f>
        <v>0</v>
      </c>
      <c r="T212" s="28">
        <f t="shared" si="68"/>
        <v>0</v>
      </c>
      <c r="U212" s="29" cm="1">
        <f t="array" ref="U212">SUMIFS(BALANCES!$C:$C,BALANCES!$A:$A,$B$191,BALANCES!$B:$B,$T212,BALANCES!$D:$D,U$195)+SUMIFS(FLOWS!$C:$C,FLOWS!$A:$A,$B$191,FLOWS!$E:$E,$T212,FLOWS!$D:$D,U$195,FLOWS!$H:$H,"&lt;="&amp;$U$193)+SUM(SUMIFS(DEALS!$J:$J,DEALS!$A:$A,{"*REFUND*","*EXECUTED*"},DEALS!$G:$G,$B$191,DEALS!$E:$E,"&lt;="&amp;$U$193,DEALS!$K:$K,U$195,DEALS!$M:$M,$T212,DEALS!$N:$N,"&lt;&gt;*RECEIVED*",DEALS!$N:$N,"&lt;&gt;*EXECUTED*"))+SUM(SUMIFS(DEALS!$R:$R,DEALS!$A:$A,{"*REFUND*","*EXECUTED*"},DEALS!$O:$O,$B$191,DEALS!$E:$E,"&lt;="&amp;$U$193,DEALS!$S:$S,U$195,DEALS!$U:$U,$T212,DEALS!$V:$V,"&lt;&gt;*RECEIVED*",DEALS!$V:$V,"&lt;&gt;*EXECUTED*"))</f>
        <v>0</v>
      </c>
      <c r="V212" s="29" cm="1">
        <f t="array" ref="V212">SUMIFS(BALANCES!$C:$C,BALANCES!$A:$A,$B$191,BALANCES!$B:$B,$T212,BALANCES!$D:$D,V$195)+SUMIFS(FLOWS!$C:$C,FLOWS!$A:$A,$B$191,FLOWS!$E:$E,$T212,FLOWS!$D:$D,V$195,FLOWS!$H:$H,"&lt;="&amp;$U$193)+SUM(SUMIFS(DEALS!$J:$J,DEALS!$A:$A,{"*REFUND*","*EXECUTED*"},DEALS!$G:$G,$B$191,DEALS!$E:$E,"&lt;="&amp;$U$193,DEALS!$K:$K,V$195,DEALS!$M:$M,$T212,DEALS!$N:$N,"&lt;&gt;*RECEIVED*",DEALS!$N:$N,"&lt;&gt;*EXECUTED*"))+SUM(SUMIFS(DEALS!$R:$R,DEALS!$A:$A,{"*REFUND*","*EXECUTED*"},DEALS!$O:$O,$B$191,DEALS!$E:$E,"&lt;="&amp;$U$193,DEALS!$S:$S,V$195,DEALS!$U:$U,$T212,DEALS!$V:$V,"&lt;&gt;*RECEIVED*",DEALS!$V:$V,"&lt;&gt;*EXECUTED*"))</f>
        <v>0</v>
      </c>
      <c r="W212" s="29" cm="1">
        <f t="array" ref="W212">SUMIFS(BALANCES!$C:$C,BALANCES!$A:$A,$B$191,BALANCES!$B:$B,$T212,BALANCES!$D:$D,W$195)+SUMIFS(FLOWS!$C:$C,FLOWS!$A:$A,$B$191,FLOWS!$E:$E,$T212,FLOWS!$D:$D,W$195,FLOWS!$H:$H,"&lt;="&amp;$U$193)+SUM(SUMIFS(DEALS!$J:$J,DEALS!$A:$A,{"*REFUND*","*EXECUTED*"},DEALS!$G:$G,$B$191,DEALS!$E:$E,"&lt;="&amp;$U$193,DEALS!$K:$K,W$195,DEALS!$M:$M,$T212,DEALS!$N:$N,"&lt;&gt;*RECEIVED*",DEALS!$N:$N,"&lt;&gt;*EXECUTED*"))+SUM(SUMIFS(DEALS!$R:$R,DEALS!$A:$A,{"*REFUND*","*EXECUTED*"},DEALS!$O:$O,$B$191,DEALS!$E:$E,"&lt;="&amp;$U$193,DEALS!$S:$S,W$195,DEALS!$U:$U,$T212,DEALS!$V:$V,"&lt;&gt;*RECEIVED*",DEALS!$V:$V,"&lt;&gt;*EXECUTED*"))</f>
        <v>0</v>
      </c>
      <c r="X212" s="29" cm="1">
        <f t="array" ref="X212">SUMIFS(BALANCES!$C:$C,BALANCES!$A:$A,$B$191,BALANCES!$B:$B,$T212,BALANCES!$D:$D,X$195)+SUMIFS(FLOWS!$C:$C,FLOWS!$A:$A,$B$191,FLOWS!$E:$E,$T212,FLOWS!$D:$D,X$195,FLOWS!$H:$H,"&lt;="&amp;$U$193)+SUM(SUMIFS(DEALS!$J:$J,DEALS!$A:$A,{"*REFUND*","*EXECUTED*"},DEALS!$G:$G,$B$191,DEALS!$E:$E,"&lt;="&amp;$U$193,DEALS!$K:$K,X$195,DEALS!$M:$M,$T212,DEALS!$N:$N,"&lt;&gt;*RECEIVED*",DEALS!$N:$N,"&lt;&gt;*EXECUTED*"))+SUM(SUMIFS(DEALS!$R:$R,DEALS!$A:$A,{"*REFUND*","*EXECUTED*"},DEALS!$O:$O,$B$191,DEALS!$E:$E,"&lt;="&amp;$U$193,DEALS!$S:$S,X$195,DEALS!$U:$U,$T212,DEALS!$V:$V,"&lt;&gt;*RECEIVED*",DEALS!$V:$V,"&lt;&gt;*EXECUTED*"))</f>
        <v>0</v>
      </c>
      <c r="Y212" s="29" cm="1">
        <f t="array" ref="Y212">SUMIFS(BALANCES!$C:$C,BALANCES!$A:$A,$B$191,BALANCES!$B:$B,$T212,BALANCES!$D:$D,Y$195)+SUMIFS(FLOWS!$C:$C,FLOWS!$A:$A,$B$191,FLOWS!$E:$E,$T212,FLOWS!$D:$D,Y$195,FLOWS!$H:$H,"&lt;="&amp;$U$193)+SUM(SUMIFS(DEALS!$J:$J,DEALS!$A:$A,{"*REFUND*","*EXECUTED*"},DEALS!$G:$G,$B$191,DEALS!$E:$E,"&lt;="&amp;$U$193,DEALS!$K:$K,Y$195,DEALS!$M:$M,$T212,DEALS!$N:$N,"&lt;&gt;*RECEIVED*",DEALS!$N:$N,"&lt;&gt;*EXECUTED*"))+SUM(SUMIFS(DEALS!$R:$R,DEALS!$A:$A,{"*REFUND*","*EXECUTED*"},DEALS!$O:$O,$B$191,DEALS!$E:$E,"&lt;="&amp;$U$193,DEALS!$S:$S,Y$195,DEALS!$U:$U,$T212,DEALS!$V:$V,"&lt;&gt;*RECEIVED*",DEALS!$V:$V,"&lt;&gt;*EXECUTED*"))</f>
        <v>0</v>
      </c>
      <c r="Z212" s="29" cm="1">
        <f t="array" ref="Z212">SUMIFS(BALANCES!$C:$C,BALANCES!$A:$A,$B$191,BALANCES!$B:$B,$T212,BALANCES!$D:$D,Z$195)+SUMIFS(FLOWS!$C:$C,FLOWS!$A:$A,$B$191,FLOWS!$E:$E,$T212,FLOWS!$D:$D,Z$195,FLOWS!$H:$H,"&lt;="&amp;$U$193)+SUM(SUMIFS(DEALS!$J:$J,DEALS!$A:$A,{"*REFUND*","*EXECUTED*"},DEALS!$G:$G,$B$191,DEALS!$E:$E,"&lt;="&amp;$U$193,DEALS!$K:$K,Z$195,DEALS!$M:$M,$T212,DEALS!$N:$N,"&lt;&gt;*RECEIVED*",DEALS!$N:$N,"&lt;&gt;*EXECUTED*"))+SUM(SUMIFS(DEALS!$R:$R,DEALS!$A:$A,{"*REFUND*","*EXECUTED*"},DEALS!$O:$O,$B$191,DEALS!$E:$E,"&lt;="&amp;$U$193,DEALS!$S:$S,Z$195,DEALS!$U:$U,$T212,DEALS!$V:$V,"&lt;&gt;*RECEIVED*",DEALS!$V:$V,"&lt;&gt;*EXECUTED*"))</f>
        <v>0</v>
      </c>
      <c r="AA212" s="30">
        <f ca="1">U212*VLOOKUP(U$195,'FX RATES'!$E$1:$F$50,2,FALSE)+V212*VLOOKUP(V$195,'FX RATES'!$E$1:$F$50,2,FALSE)+W212*VLOOKUP(W$195,'FX RATES'!$E$1:$F$50,2,FALSE)+X212*VLOOKUP(X$195,'FX RATES'!$E$1:$F$50,2,FALSE)+Y212*VLOOKUP(Y$195,'FX RATES'!$E$1:$F$50,2,FALSE)+Z212*VLOOKUP(Z$195,'FX RATES'!$E$1:$F$50,2,FALSE)</f>
        <v>0</v>
      </c>
      <c r="AC212" s="139">
        <f t="shared" ca="1" si="69"/>
        <v>0</v>
      </c>
    </row>
    <row r="213" spans="2:29" ht="18.75" hidden="1" customHeight="1">
      <c r="B213" s="31"/>
      <c r="C213" s="32" cm="1">
        <f t="array" ref="C213">SUMIFS(BALANCES!$C:$C,BALANCES!$A:$A,$B$191,BALANCES!$B:$B,$B213,BALANCES!$D:$D,C$195)+SUMIFS(FLOWS!$C:$C,FLOWS!$A:$A,$B$191,FLOWS!$E:$E,$B213,FLOWS!$D:$D,C$195,FLOWS!$H:$H,"&lt;"&amp;$C$193)+SUM(SUMIFS(DEALS!$J:$J,DEALS!$A:$A,{"*REFUND*","*EXECUTED*"},DEALS!$G:$G,$B$191,DEALS!$E:$E,"&lt;"&amp;$C$193,DEALS!$K:$K,C$195,DEALS!$M:$M,$B213,DEALS!$N:$N,"&lt;&gt;*RECEIVED*",DEALS!$N:$N,"&lt;&gt;*EXECUTED*"))+SUM(SUMIFS(DEALS!$R:$R,DEALS!$A:$A,{"*REFUND*","*EXECUTED*"},DEALS!$O:$O,$B$191,DEALS!$E:$E,"&lt;"&amp;$C$193,DEALS!$S:$S,C$195,DEALS!$U:$U,$B213,DEALS!$V:$V,"&lt;&gt;*RECEIVED*",DEALS!$V:$V,"&lt;&gt;*EXECUTED*"))</f>
        <v>0</v>
      </c>
      <c r="D213" s="32" cm="1">
        <f t="array" ref="D213">SUMIFS(BALANCES!$C:$C,BALANCES!$A:$A,$B$191,BALANCES!$B:$B,$B213,BALANCES!$D:$D,D$195)+SUMIFS(FLOWS!$C:$C,FLOWS!$A:$A,$B$191,FLOWS!$E:$E,$B213,FLOWS!$D:$D,D$195,FLOWS!$H:$H,"&lt;"&amp;$C$193)+SUM(SUMIFS(DEALS!$J:$J,DEALS!$A:$A,{"*REFUND*","*EXECUTED*"},DEALS!$G:$G,$B$191,DEALS!$E:$E,"&lt;"&amp;$C$193,DEALS!$K:$K,D$195,DEALS!$M:$M,$B213,DEALS!$N:$N,"&lt;&gt;*RECEIVED*",DEALS!$N:$N,"&lt;&gt;*EXECUTED*"))+SUM(SUMIFS(DEALS!$R:$R,DEALS!$A:$A,{"*REFUND*","*EXECUTED*"},DEALS!$O:$O,$B$191,DEALS!$E:$E,"&lt;"&amp;$C$193,DEALS!$S:$S,D$195,DEALS!$U:$U,$B213,DEALS!$V:$V,"&lt;&gt;*RECEIVED*",DEALS!$V:$V,"&lt;&gt;*EXECUTED*"))</f>
        <v>0</v>
      </c>
      <c r="E213" s="32" cm="1">
        <f t="array" ref="E213">SUMIFS(BALANCES!$C:$C,BALANCES!$A:$A,$B$191,BALANCES!$B:$B,$B213,BALANCES!$D:$D,E$195)+SUMIFS(FLOWS!$C:$C,FLOWS!$A:$A,$B$191,FLOWS!$E:$E,$B213,FLOWS!$D:$D,E$195,FLOWS!$H:$H,"&lt;"&amp;$C$193)+SUM(SUMIFS(DEALS!$J:$J,DEALS!$A:$A,{"*REFUND*","*EXECUTED*"},DEALS!$G:$G,$B$191,DEALS!$E:$E,"&lt;"&amp;$C$193,DEALS!$K:$K,E$195,DEALS!$M:$M,$B213,DEALS!$N:$N,"&lt;&gt;*RECEIVED*",DEALS!$N:$N,"&lt;&gt;*EXECUTED*"))+SUM(SUMIFS(DEALS!$R:$R,DEALS!$A:$A,{"*REFUND*","*EXECUTED*"},DEALS!$O:$O,$B$191,DEALS!$E:$E,"&lt;"&amp;$C$193,DEALS!$S:$S,E$195,DEALS!$U:$U,$B213,DEALS!$V:$V,"&lt;&gt;*RECEIVED*",DEALS!$V:$V,"&lt;&gt;*EXECUTED*"))</f>
        <v>0</v>
      </c>
      <c r="F213" s="32" cm="1">
        <f t="array" ref="F213">SUMIFS(BALANCES!$C:$C,BALANCES!$A:$A,$B$191,BALANCES!$B:$B,$B213,BALANCES!$D:$D,F$195)+SUMIFS(FLOWS!$C:$C,FLOWS!$A:$A,$B$191,FLOWS!$E:$E,$B213,FLOWS!$D:$D,F$195,FLOWS!$H:$H,"&lt;"&amp;$C$193)+SUM(SUMIFS(DEALS!$J:$J,DEALS!$A:$A,{"*REFUND*","*EXECUTED*"},DEALS!$G:$G,$B$191,DEALS!$E:$E,"&lt;"&amp;$C$193,DEALS!$K:$K,F$195,DEALS!$M:$M,$B213,DEALS!$N:$N,"&lt;&gt;*RECEIVED*",DEALS!$N:$N,"&lt;&gt;*EXECUTED*"))+SUM(SUMIFS(DEALS!$R:$R,DEALS!$A:$A,{"*REFUND*","*EXECUTED*"},DEALS!$O:$O,$B$191,DEALS!$E:$E,"&lt;"&amp;$C$193,DEALS!$S:$S,F$195,DEALS!$U:$U,$B213,DEALS!$V:$V,"&lt;&gt;*RECEIVED*",DEALS!$V:$V,"&lt;&gt;*EXECUTED*"))</f>
        <v>0</v>
      </c>
      <c r="G213" s="32" cm="1">
        <f t="array" ref="G213">SUMIFS(BALANCES!$C:$C,BALANCES!$A:$A,$B$191,BALANCES!$B:$B,$B213,BALANCES!$D:$D,G$195)+SUMIFS(FLOWS!$C:$C,FLOWS!$A:$A,$B$191,FLOWS!$E:$E,$B213,FLOWS!$D:$D,G$195,FLOWS!$H:$H,"&lt;"&amp;$C$193)+SUM(SUMIFS(DEALS!$J:$J,DEALS!$A:$A,{"*REFUND*","*EXECUTED*"},DEALS!$G:$G,$B$191,DEALS!$E:$E,"&lt;"&amp;$C$193,DEALS!$K:$K,G$195,DEALS!$M:$M,$B213,DEALS!$N:$N,"&lt;&gt;*RECEIVED*",DEALS!$N:$N,"&lt;&gt;*EXECUTED*"))+SUM(SUMIFS(DEALS!$R:$R,DEALS!$A:$A,{"*REFUND*","*EXECUTED*"},DEALS!$O:$O,$B$191,DEALS!$E:$E,"&lt;"&amp;$C$193,DEALS!$S:$S,G$195,DEALS!$U:$U,$B213,DEALS!$V:$V,"&lt;&gt;*RECEIVED*",DEALS!$V:$V,"&lt;&gt;*EXECUTED*"))</f>
        <v>0</v>
      </c>
      <c r="H213" s="32" cm="1">
        <f t="array" ref="H213">SUMIFS(BALANCES!$C:$C,BALANCES!$A:$A,$B$191,BALANCES!$B:$B,$B213,BALANCES!$D:$D,H$195)+SUMIFS(FLOWS!$C:$C,FLOWS!$A:$A,$B$191,FLOWS!$E:$E,$B213,FLOWS!$D:$D,H$195,FLOWS!$H:$H,"&lt;"&amp;$C$193)+SUM(SUMIFS(DEALS!$J:$J,DEALS!$A:$A,{"*REFUND*","*EXECUTED*"},DEALS!$G:$G,$B$191,DEALS!$E:$E,"&lt;"&amp;$C$193,DEALS!$K:$K,H$195,DEALS!$M:$M,$B213,DEALS!$N:$N,"&lt;&gt;*RECEIVED*",DEALS!$N:$N,"&lt;&gt;*EXECUTED*"))+SUM(SUMIFS(DEALS!$R:$R,DEALS!$A:$A,{"*REFUND*","*EXECUTED*"},DEALS!$O:$O,$B$191,DEALS!$E:$E,"&lt;"&amp;$C$193,DEALS!$S:$S,H$195,DEALS!$U:$U,$B213,DEALS!$V:$V,"&lt;&gt;*RECEIVED*",DEALS!$V:$V,"&lt;&gt;*EXECUTED*"))</f>
        <v>0</v>
      </c>
      <c r="I213" s="33">
        <f ca="1">C213*VLOOKUP(C$195,'FX RATES'!$E$1:$F$50,2,FALSE)+D213*VLOOKUP(D$195,'FX RATES'!$E$1:$F$50,2,FALSE)+E213*VLOOKUP(E$195,'FX RATES'!$E$1:$F$50,2,FALSE)+F213*VLOOKUP(F$195,'FX RATES'!$E$1:$F$50,2,FALSE)+G213*VLOOKUP(G$195,'FX RATES'!$E$1:$F$50,2,FALSE)+H213*VLOOKUP(H$195,'FX RATES'!$E$1:$F$50,2,FALSE)</f>
        <v>0</v>
      </c>
      <c r="K213" s="31">
        <f t="shared" si="67"/>
        <v>0</v>
      </c>
      <c r="L213" s="32" cm="1">
        <f t="array" ref="L213">SUMIFS(FLOWS!$C:$C,FLOWS!$A:$A,$B$191,FLOWS!$E:$E,$K213,FLOWS!$D:$D,L$195,FLOWS!$H:$H,"&gt;="&amp;$C$193,FLOWS!$H:$H,"&lt;="&amp;$U$193)+SUM(SUMIFS(DEALS!$J:$J,DEALS!$A:$A,{"*REFUND*","*EXECUTED*"},DEALS!$G:$G,$B$191,DEALS!$E:$E,"&gt;="&amp;$C$193,DEALS!$E:$E,"&lt;="&amp;$U$193,DEALS!$K:$K,L$195,DEALS!$M:$M,$K213,DEALS!$N:$N,"&lt;&gt;*RECEIVED*",DEALS!$N:$N,"&lt;&gt;*EXECUTED*"))+SUM(SUMIFS(DEALS!$R:$R,DEALS!$A:$A,{"*REFUND*","*EXECUTED*"},DEALS!$O:$O,$B$191,DEALS!$E:$E,"&gt;="&amp;$C$193,DEALS!$E:$E,"&lt;="&amp;$U$193,DEALS!$S:$S,L$195,DEALS!$U:$U,$K213,DEALS!$V:$V,"&lt;&gt;*RECEIVED*",DEALS!$V:$V,"&lt;&gt;*EXECUTED*"))</f>
        <v>0</v>
      </c>
      <c r="M213" s="32" cm="1">
        <f t="array" ref="M213">SUMIFS(FLOWS!$C:$C,FLOWS!$A:$A,$B$191,FLOWS!$E:$E,$K213,FLOWS!$D:$D,M$195,FLOWS!$H:$H,"&gt;="&amp;$C$193,FLOWS!$H:$H,"&lt;="&amp;$U$193)+SUM(SUMIFS(DEALS!$J:$J,DEALS!$A:$A,{"*REFUND*","*EXECUTED*"},DEALS!$G:$G,$B$191,DEALS!$E:$E,"&gt;="&amp;$C$193,DEALS!$E:$E,"&lt;="&amp;$U$193,DEALS!$K:$K,M$195,DEALS!$M:$M,$K213,DEALS!$N:$N,"&lt;&gt;*RECEIVED*",DEALS!$N:$N,"&lt;&gt;*EXECUTED*"))+SUM(SUMIFS(DEALS!$R:$R,DEALS!$A:$A,{"*REFUND*","*EXECUTED*"},DEALS!$O:$O,$B$191,DEALS!$E:$E,"&gt;="&amp;$C$193,DEALS!$E:$E,"&lt;="&amp;$U$193,DEALS!$S:$S,M$195,DEALS!$U:$U,$K213,DEALS!$V:$V,"&lt;&gt;*RECEIVED*",DEALS!$V:$V,"&lt;&gt;*EXECUTED*"))</f>
        <v>0</v>
      </c>
      <c r="N213" s="32" cm="1">
        <f t="array" ref="N213">SUMIFS(FLOWS!$C:$C,FLOWS!$A:$A,$B$191,FLOWS!$E:$E,$K213,FLOWS!$D:$D,N$195,FLOWS!$H:$H,"&gt;="&amp;$C$193,FLOWS!$H:$H,"&lt;="&amp;$U$193)+SUM(SUMIFS(DEALS!$J:$J,DEALS!$A:$A,{"*REFUND*","*EXECUTED*"},DEALS!$G:$G,$B$191,DEALS!$E:$E,"&gt;="&amp;$C$193,DEALS!$E:$E,"&lt;="&amp;$U$193,DEALS!$K:$K,N$195,DEALS!$M:$M,$K213,DEALS!$N:$N,"&lt;&gt;*RECEIVED*",DEALS!$N:$N,"&lt;&gt;*EXECUTED*"))+SUM(SUMIFS(DEALS!$R:$R,DEALS!$A:$A,{"*REFUND*","*EXECUTED*"},DEALS!$O:$O,$B$191,DEALS!$E:$E,"&gt;="&amp;$C$193,DEALS!$E:$E,"&lt;="&amp;$U$193,DEALS!$S:$S,N$195,DEALS!$U:$U,$K213,DEALS!$V:$V,"&lt;&gt;*RECEIVED*",DEALS!$V:$V,"&lt;&gt;*EXECUTED*"))</f>
        <v>0</v>
      </c>
      <c r="O213" s="32" cm="1">
        <f t="array" ref="O213">SUMIFS(FLOWS!$C:$C,FLOWS!$A:$A,$B$191,FLOWS!$E:$E,$K213,FLOWS!$D:$D,O$195,FLOWS!$H:$H,"&gt;="&amp;$C$193,FLOWS!$H:$H,"&lt;="&amp;$U$193)+SUM(SUMIFS(DEALS!$J:$J,DEALS!$A:$A,{"*REFUND*","*EXECUTED*"},DEALS!$G:$G,$B$191,DEALS!$E:$E,"&gt;="&amp;$C$193,DEALS!$E:$E,"&lt;="&amp;$U$193,DEALS!$K:$K,O$195,DEALS!$M:$M,$K213,DEALS!$N:$N,"&lt;&gt;*RECEIVED*",DEALS!$N:$N,"&lt;&gt;*EXECUTED*"))+SUM(SUMIFS(DEALS!$R:$R,DEALS!$A:$A,{"*REFUND*","*EXECUTED*"},DEALS!$O:$O,$B$191,DEALS!$E:$E,"&gt;="&amp;$C$193,DEALS!$E:$E,"&lt;="&amp;$U$193,DEALS!$S:$S,O$195,DEALS!$U:$U,$K213,DEALS!$V:$V,"&lt;&gt;*RECEIVED*",DEALS!$V:$V,"&lt;&gt;*EXECUTED*"))</f>
        <v>0</v>
      </c>
      <c r="P213" s="32" cm="1">
        <f t="array" ref="P213">SUMIFS(FLOWS!$C:$C,FLOWS!$A:$A,$B$191,FLOWS!$E:$E,$K213,FLOWS!$D:$D,P$195,FLOWS!$H:$H,"&gt;="&amp;$C$193,FLOWS!$H:$H,"&lt;="&amp;$U$193)+SUM(SUMIFS(DEALS!$J:$J,DEALS!$A:$A,{"*REFUND*","*EXECUTED*"},DEALS!$G:$G,$B$191,DEALS!$E:$E,"&gt;="&amp;$C$193,DEALS!$E:$E,"&lt;="&amp;$U$193,DEALS!$K:$K,P$195,DEALS!$M:$M,$K213,DEALS!$N:$N,"&lt;&gt;*RECEIVED*",DEALS!$N:$N,"&lt;&gt;*EXECUTED*"))+SUM(SUMIFS(DEALS!$R:$R,DEALS!$A:$A,{"*REFUND*","*EXECUTED*"},DEALS!$O:$O,$B$191,DEALS!$E:$E,"&gt;="&amp;$C$193,DEALS!$E:$E,"&lt;="&amp;$U$193,DEALS!$S:$S,P$195,DEALS!$U:$U,$K213,DEALS!$V:$V,"&lt;&gt;*RECEIVED*",DEALS!$V:$V,"&lt;&gt;*EXECUTED*"))</f>
        <v>0</v>
      </c>
      <c r="Q213" s="32" cm="1">
        <f t="array" ref="Q213">SUMIFS(FLOWS!$C:$C,FLOWS!$A:$A,$B$191,FLOWS!$E:$E,$K213,FLOWS!$D:$D,Q$195,FLOWS!$H:$H,"&gt;="&amp;$C$193,FLOWS!$H:$H,"&lt;="&amp;$U$193)+SUM(SUMIFS(DEALS!$J:$J,DEALS!$A:$A,{"*REFUND*","*EXECUTED*"},DEALS!$G:$G,$B$191,DEALS!$E:$E,"&gt;="&amp;$C$193,DEALS!$E:$E,"&lt;="&amp;$U$193,DEALS!$K:$K,Q$195,DEALS!$M:$M,$K213,DEALS!$N:$N,"&lt;&gt;*RECEIVED*",DEALS!$N:$N,"&lt;&gt;*EXECUTED*"))+SUM(SUMIFS(DEALS!$R:$R,DEALS!$A:$A,{"*REFUND*","*EXECUTED*"},DEALS!$O:$O,$B$191,DEALS!$E:$E,"&gt;="&amp;$C$193,DEALS!$E:$E,"&lt;="&amp;$U$193,DEALS!$S:$S,Q$195,DEALS!$U:$U,$K213,DEALS!$V:$V,"&lt;&gt;*RECEIVED*",DEALS!$V:$V,"&lt;&gt;*EXECUTED*"))</f>
        <v>0</v>
      </c>
      <c r="R213" s="33">
        <f ca="1">L213*VLOOKUP(L$195,'FX RATES'!$E$1:$F$50,2,FALSE)+M213*VLOOKUP(M$195,'FX RATES'!$E$1:$F$50,2,FALSE)+N213*VLOOKUP(N$195,'FX RATES'!$E$1:$F$50,2,FALSE)+O213*VLOOKUP(O$195,'FX RATES'!$E$1:$F$50,2,FALSE)+P213*VLOOKUP(P$195,'FX RATES'!$E$1:$F$50,2,FALSE)+Q213*VLOOKUP(Q$195,'FX RATES'!$E$1:$F$50,2,FALSE)</f>
        <v>0</v>
      </c>
      <c r="T213" s="31">
        <f t="shared" si="68"/>
        <v>0</v>
      </c>
      <c r="U213" s="32" cm="1">
        <f t="array" ref="U213">SUMIFS(BALANCES!$C:$C,BALANCES!$A:$A,$B$191,BALANCES!$B:$B,$T213,BALANCES!$D:$D,U$195)+SUMIFS(FLOWS!$C:$C,FLOWS!$A:$A,$B$191,FLOWS!$E:$E,$T213,FLOWS!$D:$D,U$195,FLOWS!$H:$H,"&lt;="&amp;$U$193)+SUM(SUMIFS(DEALS!$J:$J,DEALS!$A:$A,{"*REFUND*","*EXECUTED*"},DEALS!$G:$G,$B$191,DEALS!$E:$E,"&lt;="&amp;$U$193,DEALS!$K:$K,U$195,DEALS!$M:$M,$T213,DEALS!$N:$N,"&lt;&gt;*RECEIVED*",DEALS!$N:$N,"&lt;&gt;*EXECUTED*"))+SUM(SUMIFS(DEALS!$R:$R,DEALS!$A:$A,{"*REFUND*","*EXECUTED*"},DEALS!$O:$O,$B$191,DEALS!$E:$E,"&lt;="&amp;$U$193,DEALS!$S:$S,U$195,DEALS!$U:$U,$T213,DEALS!$V:$V,"&lt;&gt;*RECEIVED*",DEALS!$V:$V,"&lt;&gt;*EXECUTED*"))</f>
        <v>0</v>
      </c>
      <c r="V213" s="32" cm="1">
        <f t="array" ref="V213">SUMIFS(BALANCES!$C:$C,BALANCES!$A:$A,$B$191,BALANCES!$B:$B,$T213,BALANCES!$D:$D,V$195)+SUMIFS(FLOWS!$C:$C,FLOWS!$A:$A,$B$191,FLOWS!$E:$E,$T213,FLOWS!$D:$D,V$195,FLOWS!$H:$H,"&lt;="&amp;$U$193)+SUM(SUMIFS(DEALS!$J:$J,DEALS!$A:$A,{"*REFUND*","*EXECUTED*"},DEALS!$G:$G,$B$191,DEALS!$E:$E,"&lt;="&amp;$U$193,DEALS!$K:$K,V$195,DEALS!$M:$M,$T213,DEALS!$N:$N,"&lt;&gt;*RECEIVED*",DEALS!$N:$N,"&lt;&gt;*EXECUTED*"))+SUM(SUMIFS(DEALS!$R:$R,DEALS!$A:$A,{"*REFUND*","*EXECUTED*"},DEALS!$O:$O,$B$191,DEALS!$E:$E,"&lt;="&amp;$U$193,DEALS!$S:$S,V$195,DEALS!$U:$U,$T213,DEALS!$V:$V,"&lt;&gt;*RECEIVED*",DEALS!$V:$V,"&lt;&gt;*EXECUTED*"))</f>
        <v>0</v>
      </c>
      <c r="W213" s="32" cm="1">
        <f t="array" ref="W213">SUMIFS(BALANCES!$C:$C,BALANCES!$A:$A,$B$191,BALANCES!$B:$B,$T213,BALANCES!$D:$D,W$195)+SUMIFS(FLOWS!$C:$C,FLOWS!$A:$A,$B$191,FLOWS!$E:$E,$T213,FLOWS!$D:$D,W$195,FLOWS!$H:$H,"&lt;="&amp;$U$193)+SUM(SUMIFS(DEALS!$J:$J,DEALS!$A:$A,{"*REFUND*","*EXECUTED*"},DEALS!$G:$G,$B$191,DEALS!$E:$E,"&lt;="&amp;$U$193,DEALS!$K:$K,W$195,DEALS!$M:$M,$T213,DEALS!$N:$N,"&lt;&gt;*RECEIVED*",DEALS!$N:$N,"&lt;&gt;*EXECUTED*"))+SUM(SUMIFS(DEALS!$R:$R,DEALS!$A:$A,{"*REFUND*","*EXECUTED*"},DEALS!$O:$O,$B$191,DEALS!$E:$E,"&lt;="&amp;$U$193,DEALS!$S:$S,W$195,DEALS!$U:$U,$T213,DEALS!$V:$V,"&lt;&gt;*RECEIVED*",DEALS!$V:$V,"&lt;&gt;*EXECUTED*"))</f>
        <v>0</v>
      </c>
      <c r="X213" s="32" cm="1">
        <f t="array" ref="X213">SUMIFS(BALANCES!$C:$C,BALANCES!$A:$A,$B$191,BALANCES!$B:$B,$T213,BALANCES!$D:$D,X$195)+SUMIFS(FLOWS!$C:$C,FLOWS!$A:$A,$B$191,FLOWS!$E:$E,$T213,FLOWS!$D:$D,X$195,FLOWS!$H:$H,"&lt;="&amp;$U$193)+SUM(SUMIFS(DEALS!$J:$J,DEALS!$A:$A,{"*REFUND*","*EXECUTED*"},DEALS!$G:$G,$B$191,DEALS!$E:$E,"&lt;="&amp;$U$193,DEALS!$K:$K,X$195,DEALS!$M:$M,$T213,DEALS!$N:$N,"&lt;&gt;*RECEIVED*",DEALS!$N:$N,"&lt;&gt;*EXECUTED*"))+SUM(SUMIFS(DEALS!$R:$R,DEALS!$A:$A,{"*REFUND*","*EXECUTED*"},DEALS!$O:$O,$B$191,DEALS!$E:$E,"&lt;="&amp;$U$193,DEALS!$S:$S,X$195,DEALS!$U:$U,$T213,DEALS!$V:$V,"&lt;&gt;*RECEIVED*",DEALS!$V:$V,"&lt;&gt;*EXECUTED*"))</f>
        <v>0</v>
      </c>
      <c r="Y213" s="32" cm="1">
        <f t="array" ref="Y213">SUMIFS(BALANCES!$C:$C,BALANCES!$A:$A,$B$191,BALANCES!$B:$B,$T213,BALANCES!$D:$D,Y$195)+SUMIFS(FLOWS!$C:$C,FLOWS!$A:$A,$B$191,FLOWS!$E:$E,$T213,FLOWS!$D:$D,Y$195,FLOWS!$H:$H,"&lt;="&amp;$U$193)+SUM(SUMIFS(DEALS!$J:$J,DEALS!$A:$A,{"*REFUND*","*EXECUTED*"},DEALS!$G:$G,$B$191,DEALS!$E:$E,"&lt;="&amp;$U$193,DEALS!$K:$K,Y$195,DEALS!$M:$M,$T213,DEALS!$N:$N,"&lt;&gt;*RECEIVED*",DEALS!$N:$N,"&lt;&gt;*EXECUTED*"))+SUM(SUMIFS(DEALS!$R:$R,DEALS!$A:$A,{"*REFUND*","*EXECUTED*"},DEALS!$O:$O,$B$191,DEALS!$E:$E,"&lt;="&amp;$U$193,DEALS!$S:$S,Y$195,DEALS!$U:$U,$T213,DEALS!$V:$V,"&lt;&gt;*RECEIVED*",DEALS!$V:$V,"&lt;&gt;*EXECUTED*"))</f>
        <v>0</v>
      </c>
      <c r="Z213" s="32" cm="1">
        <f t="array" ref="Z213">SUMIFS(BALANCES!$C:$C,BALANCES!$A:$A,$B$191,BALANCES!$B:$B,$T213,BALANCES!$D:$D,Z$195)+SUMIFS(FLOWS!$C:$C,FLOWS!$A:$A,$B$191,FLOWS!$E:$E,$T213,FLOWS!$D:$D,Z$195,FLOWS!$H:$H,"&lt;="&amp;$U$193)+SUM(SUMIFS(DEALS!$J:$J,DEALS!$A:$A,{"*REFUND*","*EXECUTED*"},DEALS!$G:$G,$B$191,DEALS!$E:$E,"&lt;="&amp;$U$193,DEALS!$K:$K,Z$195,DEALS!$M:$M,$T213,DEALS!$N:$N,"&lt;&gt;*RECEIVED*",DEALS!$N:$N,"&lt;&gt;*EXECUTED*"))+SUM(SUMIFS(DEALS!$R:$R,DEALS!$A:$A,{"*REFUND*","*EXECUTED*"},DEALS!$O:$O,$B$191,DEALS!$E:$E,"&lt;="&amp;$U$193,DEALS!$S:$S,Z$195,DEALS!$U:$U,$T213,DEALS!$V:$V,"&lt;&gt;*RECEIVED*",DEALS!$V:$V,"&lt;&gt;*EXECUTED*"))</f>
        <v>0</v>
      </c>
      <c r="AA213" s="33">
        <f ca="1">U213*VLOOKUP(U$195,'FX RATES'!$E$1:$F$50,2,FALSE)+V213*VLOOKUP(V$195,'FX RATES'!$E$1:$F$50,2,FALSE)+W213*VLOOKUP(W$195,'FX RATES'!$E$1:$F$50,2,FALSE)+X213*VLOOKUP(X$195,'FX RATES'!$E$1:$F$50,2,FALSE)+Y213*VLOOKUP(Y$195,'FX RATES'!$E$1:$F$50,2,FALSE)+Z213*VLOOKUP(Z$195,'FX RATES'!$E$1:$F$50,2,FALSE)</f>
        <v>0</v>
      </c>
      <c r="AC213" s="139">
        <f t="shared" ca="1" si="69"/>
        <v>0</v>
      </c>
    </row>
    <row r="214" spans="2:29" ht="18.75" customHeight="1" thickBot="1">
      <c r="B214" s="13" t="s">
        <v>26</v>
      </c>
      <c r="C214" s="16">
        <f>SUM(C196:C213)</f>
        <v>10484.02</v>
      </c>
      <c r="D214" s="16">
        <f t="shared" ref="D214:H214" si="70">SUM(D196:D213)</f>
        <v>0</v>
      </c>
      <c r="E214" s="16">
        <f t="shared" si="70"/>
        <v>0</v>
      </c>
      <c r="F214" s="16">
        <f>SUM(F196:F213)</f>
        <v>161119.5</v>
      </c>
      <c r="G214" s="16">
        <f t="shared" si="70"/>
        <v>0</v>
      </c>
      <c r="H214" s="16">
        <f t="shared" si="70"/>
        <v>0</v>
      </c>
      <c r="I214" s="16">
        <f ca="1">SUM(I196:I213)</f>
        <v>54354.711063551702</v>
      </c>
      <c r="K214" s="13" t="s">
        <v>26</v>
      </c>
      <c r="L214" s="16">
        <f t="shared" ref="L214:R214" si="71">SUM(L196:L213)</f>
        <v>0</v>
      </c>
      <c r="M214" s="16">
        <f t="shared" si="71"/>
        <v>0</v>
      </c>
      <c r="N214" s="16">
        <f t="shared" si="71"/>
        <v>0</v>
      </c>
      <c r="O214" s="16">
        <f t="shared" si="71"/>
        <v>0</v>
      </c>
      <c r="P214" s="16">
        <f t="shared" si="71"/>
        <v>0</v>
      </c>
      <c r="Q214" s="16">
        <f t="shared" si="71"/>
        <v>0</v>
      </c>
      <c r="R214" s="16">
        <f t="shared" ca="1" si="71"/>
        <v>0</v>
      </c>
      <c r="T214" s="13" t="s">
        <v>26</v>
      </c>
      <c r="U214" s="16">
        <f t="shared" ref="U214:AA214" si="72">SUM(U196:U213)</f>
        <v>10484.02</v>
      </c>
      <c r="V214" s="16">
        <f t="shared" si="72"/>
        <v>0</v>
      </c>
      <c r="W214" s="16">
        <f t="shared" si="72"/>
        <v>0</v>
      </c>
      <c r="X214" s="16">
        <f t="shared" si="72"/>
        <v>161119.5</v>
      </c>
      <c r="Y214" s="16">
        <f t="shared" si="72"/>
        <v>0</v>
      </c>
      <c r="Z214" s="16">
        <f t="shared" si="72"/>
        <v>0</v>
      </c>
      <c r="AA214" s="16">
        <f t="shared" ca="1" si="72"/>
        <v>54354.711063551702</v>
      </c>
      <c r="AC214" s="139">
        <f t="shared" ca="1" si="69"/>
        <v>0</v>
      </c>
    </row>
    <row r="215" spans="2:29" ht="18.75" customHeight="1" thickBot="1">
      <c r="B215" s="10" t="s">
        <v>11</v>
      </c>
      <c r="C215" s="17">
        <f>VLOOKUP(C195,'FX RATES'!$E$1:$F$50,2,FALSE)*C214</f>
        <v>10484.02</v>
      </c>
      <c r="D215" s="17">
        <f ca="1">VLOOKUP(D195,'FX RATES'!$E$1:$F$50,2,FALSE)*D214</f>
        <v>0</v>
      </c>
      <c r="E215" s="17">
        <f ca="1">VLOOKUP(E195,'FX RATES'!$E$1:$F$50,2,FALSE)*E214</f>
        <v>0</v>
      </c>
      <c r="F215" s="17">
        <f ca="1">VLOOKUP(F195,'FX RATES'!$E$1:$F$50,2,FALSE)*F214</f>
        <v>43870.691063551705</v>
      </c>
      <c r="G215" s="17">
        <f ca="1">VLOOKUP(G195,'FX RATES'!$E$1:$F$50,2,FALSE)*G214</f>
        <v>0</v>
      </c>
      <c r="H215" s="17">
        <f ca="1">VLOOKUP(H195,'FX RATES'!$E$1:$F$50,2,FALSE)*H214</f>
        <v>0</v>
      </c>
      <c r="I215" s="16">
        <f ca="1">SUM(C215:H215)</f>
        <v>54354.711063551702</v>
      </c>
      <c r="K215" s="10" t="s">
        <v>11</v>
      </c>
      <c r="L215" s="17">
        <f>VLOOKUP(L195,'FX RATES'!$E$1:$F$50,2,FALSE)*L214</f>
        <v>0</v>
      </c>
      <c r="M215" s="17">
        <f ca="1">VLOOKUP(M195,'FX RATES'!$E$1:$F$50,2,FALSE)*M214</f>
        <v>0</v>
      </c>
      <c r="N215" s="17">
        <f ca="1">VLOOKUP(N195,'FX RATES'!$E$1:$F$50,2,FALSE)*N214</f>
        <v>0</v>
      </c>
      <c r="O215" s="17">
        <f ca="1">VLOOKUP(O195,'FX RATES'!$E$1:$F$50,2,FALSE)*O214</f>
        <v>0</v>
      </c>
      <c r="P215" s="17">
        <f ca="1">VLOOKUP(P195,'FX RATES'!$E$1:$F$50,2,FALSE)*P214</f>
        <v>0</v>
      </c>
      <c r="Q215" s="17">
        <f ca="1">VLOOKUP(Q195,'FX RATES'!$E$1:$F$50,2,FALSE)*Q214</f>
        <v>0</v>
      </c>
      <c r="R215" s="16">
        <f ca="1">SUM(L215:Q215)</f>
        <v>0</v>
      </c>
      <c r="T215" s="10" t="s">
        <v>11</v>
      </c>
      <c r="U215" s="17">
        <f>VLOOKUP(U195,'FX RATES'!$E$1:$F$50,2,FALSE)*U214</f>
        <v>10484.02</v>
      </c>
      <c r="V215" s="17">
        <f ca="1">VLOOKUP(V195,'FX RATES'!$E$1:$F$50,2,FALSE)*V214</f>
        <v>0</v>
      </c>
      <c r="W215" s="17">
        <f ca="1">VLOOKUP(W195,'FX RATES'!$E$1:$F$50,2,FALSE)*W214</f>
        <v>0</v>
      </c>
      <c r="X215" s="17">
        <f ca="1">VLOOKUP(X195,'FX RATES'!$E$1:$F$50,2,FALSE)*X214</f>
        <v>43870.691063551705</v>
      </c>
      <c r="Y215" s="17">
        <f ca="1">VLOOKUP(Y195,'FX RATES'!$E$1:$F$50,2,FALSE)*Y214</f>
        <v>0</v>
      </c>
      <c r="Z215" s="17">
        <f ca="1">VLOOKUP(Z195,'FX RATES'!$E$1:$F$50,2,FALSE)*Z214</f>
        <v>0</v>
      </c>
      <c r="AA215" s="16">
        <f ca="1">SUM(U215:Z215)</f>
        <v>54354.711063551702</v>
      </c>
      <c r="AC215" s="139">
        <f t="shared" ca="1" si="69"/>
        <v>0</v>
      </c>
    </row>
    <row r="219" spans="2:29" ht="18.75" customHeight="1">
      <c r="B219" s="593" t="s">
        <v>44</v>
      </c>
      <c r="C219" s="593"/>
      <c r="D219" s="593"/>
      <c r="E219" s="593"/>
      <c r="F219" s="593"/>
      <c r="G219" s="593"/>
      <c r="H219" s="593"/>
      <c r="I219" s="593"/>
      <c r="J219" s="137"/>
      <c r="K219" s="593" t="str">
        <f>B219</f>
        <v>NHZ</v>
      </c>
      <c r="L219" s="593"/>
      <c r="M219" s="593"/>
      <c r="N219" s="593"/>
      <c r="O219" s="593"/>
      <c r="P219" s="593"/>
      <c r="Q219" s="593"/>
      <c r="R219" s="593"/>
      <c r="S219" s="137"/>
      <c r="T219" s="593" t="str">
        <f>B219</f>
        <v>NHZ</v>
      </c>
      <c r="U219" s="593"/>
      <c r="V219" s="593"/>
      <c r="W219" s="593"/>
      <c r="X219" s="593"/>
      <c r="Y219" s="593"/>
      <c r="Z219" s="593"/>
      <c r="AA219" s="593"/>
    </row>
    <row r="221" spans="2:29" ht="18.75" customHeight="1">
      <c r="B221" s="9" t="s">
        <v>1</v>
      </c>
      <c r="C221" s="91">
        <f>BALANCES!B1</f>
        <v>46073</v>
      </c>
      <c r="K221" s="56" t="s">
        <v>2</v>
      </c>
      <c r="L221" s="110">
        <f>C221</f>
        <v>46073</v>
      </c>
      <c r="M221" s="144" t="s">
        <v>3</v>
      </c>
      <c r="N221" s="110">
        <f>U221</f>
        <v>46081</v>
      </c>
      <c r="O221" s="140"/>
      <c r="P221" s="140"/>
      <c r="Q221" s="140"/>
      <c r="R221" s="20"/>
      <c r="T221" s="9" t="s">
        <v>1</v>
      </c>
      <c r="U221" s="90">
        <f>U4</f>
        <v>46081</v>
      </c>
    </row>
    <row r="222" spans="2:29" ht="18.75" customHeight="1">
      <c r="B222" s="14"/>
      <c r="C222" s="15"/>
      <c r="D222" s="15"/>
      <c r="E222" s="15"/>
      <c r="F222" s="15"/>
      <c r="G222" s="15"/>
      <c r="H222" s="15"/>
      <c r="I222" s="15"/>
      <c r="K222" s="23"/>
      <c r="L222" s="24"/>
      <c r="M222" s="24"/>
      <c r="N222" s="24"/>
      <c r="O222" s="24"/>
      <c r="P222" s="24"/>
      <c r="Q222" s="24"/>
      <c r="R222" s="25"/>
      <c r="T222" s="14"/>
      <c r="U222" s="15"/>
      <c r="V222" s="15"/>
      <c r="W222" s="15"/>
      <c r="X222" s="15"/>
      <c r="Y222" s="15"/>
      <c r="Z222" s="15"/>
      <c r="AA222" s="15"/>
    </row>
    <row r="223" spans="2:29" ht="18.75" customHeight="1">
      <c r="B223" s="10" t="s">
        <v>4</v>
      </c>
      <c r="C223" s="11" t="s">
        <v>5</v>
      </c>
      <c r="D223" s="11" t="s">
        <v>6</v>
      </c>
      <c r="E223" s="11" t="s">
        <v>7</v>
      </c>
      <c r="F223" s="11" t="s">
        <v>8</v>
      </c>
      <c r="G223" s="11" t="s">
        <v>9</v>
      </c>
      <c r="H223" s="11" t="s">
        <v>35</v>
      </c>
      <c r="I223" s="12" t="s">
        <v>11</v>
      </c>
      <c r="K223" s="10" t="s">
        <v>4</v>
      </c>
      <c r="L223" s="11" t="str">
        <f t="shared" ref="L223" si="73">C223</f>
        <v>USD</v>
      </c>
      <c r="M223" s="11" t="str">
        <f t="shared" ref="M223" si="74">D223</f>
        <v>EUR</v>
      </c>
      <c r="N223" s="11" t="str">
        <f t="shared" ref="N223" si="75">E223</f>
        <v>CNY</v>
      </c>
      <c r="O223" s="11" t="str">
        <f t="shared" ref="O223" si="76">F223</f>
        <v>AED</v>
      </c>
      <c r="P223" s="11" t="str">
        <f t="shared" ref="P223" si="77">G223</f>
        <v>RUB</v>
      </c>
      <c r="Q223" s="11" t="str">
        <f t="shared" ref="Q223" si="78">H223</f>
        <v>HKD</v>
      </c>
      <c r="R223" s="12" t="s">
        <v>11</v>
      </c>
      <c r="T223" s="10" t="s">
        <v>4</v>
      </c>
      <c r="U223" s="11" t="str">
        <f t="shared" ref="U223" si="79">C223</f>
        <v>USD</v>
      </c>
      <c r="V223" s="11" t="str">
        <f t="shared" ref="V223" si="80">D223</f>
        <v>EUR</v>
      </c>
      <c r="W223" s="11" t="str">
        <f t="shared" ref="W223" si="81">E223</f>
        <v>CNY</v>
      </c>
      <c r="X223" s="11" t="str">
        <f t="shared" ref="X223" si="82">F223</f>
        <v>AED</v>
      </c>
      <c r="Y223" s="11" t="str">
        <f t="shared" ref="Y223" si="83">G223</f>
        <v>RUB</v>
      </c>
      <c r="Z223" s="11" t="str">
        <f t="shared" ref="Z223" si="84">H223</f>
        <v>HKD</v>
      </c>
      <c r="AA223" s="12" t="s">
        <v>11</v>
      </c>
      <c r="AC223" s="40" t="s">
        <v>12</v>
      </c>
    </row>
    <row r="224" spans="2:29" ht="18.75" customHeight="1" thickBot="1">
      <c r="B224" s="28" t="s">
        <v>22</v>
      </c>
      <c r="C224" s="29" cm="1">
        <f t="array" ref="C224">SUMIFS(BALANCES!$C:$C,BALANCES!$A:$A,$B$219,BALANCES!$B:$B,$B224,BALANCES!$D:$D,C$223)+SUMIFS(FLOWS!$C:$C,FLOWS!$A:$A,$B$219,FLOWS!$E:$E,$B224,FLOWS!$D:$D,C$223,FLOWS!$H:$H,"&lt;"&amp;$C$221)+SUM(SUMIFS(DEALS!$J:$J,DEALS!$A:$A,{"*REFUND*","*EXECUTED*"},DEALS!$G:$G,$B$219,DEALS!$E:$E,"&lt;"&amp;$C$221,DEALS!$K:$K,C$223,DEALS!$M:$M,$B224,DEALS!$N:$N,"&lt;&gt;*RECEIVED*",DEALS!$N:$N,"&lt;&gt;*EXECUTED*"))+SUM(SUMIFS(DEALS!$R:$R,DEALS!$A:$A,{"*REFUND*","*EXECUTED*"},DEALS!$O:$O,$B$219,DEALS!$E:$E,"&lt;"&amp;$C$221,DEALS!$S:$S,C$223,DEALS!$U:$U,$B224,DEALS!$V:$V,"&lt;&gt;*RECEIVED*",DEALS!$V:$V,"&lt;&gt;*EXECUTED*"))</f>
        <v>816.49</v>
      </c>
      <c r="D224" s="29" cm="1">
        <f t="array" ref="D224">SUMIFS(BALANCES!$C:$C,BALANCES!$A:$A,$B$219,BALANCES!$B:$B,$B224,BALANCES!$D:$D,D$223)+SUMIFS(FLOWS!$C:$C,FLOWS!$A:$A,$B$219,FLOWS!$E:$E,$B224,FLOWS!$D:$D,D$223,FLOWS!$H:$H,"&lt;"&amp;$C$221)+SUM(SUMIFS(DEALS!$J:$J,DEALS!$A:$A,{"*REFUND*","*EXECUTED*"},DEALS!$G:$G,$B$219,DEALS!$E:$E,"&lt;"&amp;$C$221,DEALS!$K:$K,D$223,DEALS!$M:$M,$B224,DEALS!$N:$N,"&lt;&gt;*RECEIVED*",DEALS!$N:$N,"&lt;&gt;*EXECUTED*"))+SUM(SUMIFS(DEALS!$R:$R,DEALS!$A:$A,{"*REFUND*","*EXECUTED*"},DEALS!$O:$O,$B$219,DEALS!$E:$E,"&lt;"&amp;$C$221,DEALS!$S:$S,D$223,DEALS!$U:$U,$B224,DEALS!$V:$V,"&lt;&gt;*RECEIVED*",DEALS!$V:$V,"&lt;&gt;*EXECUTED*"))</f>
        <v>0</v>
      </c>
      <c r="E224" s="29" cm="1">
        <f t="array" ref="E224">SUMIFS(BALANCES!$C:$C,BALANCES!$A:$A,$B$219,BALANCES!$B:$B,$B224,BALANCES!$D:$D,E$223)+SUMIFS(FLOWS!$C:$C,FLOWS!$A:$A,$B$219,FLOWS!$E:$E,$B224,FLOWS!$D:$D,E$223,FLOWS!$H:$H,"&lt;"&amp;$C$221)+SUM(SUMIFS(DEALS!$J:$J,DEALS!$A:$A,{"*REFUND*","*EXECUTED*"},DEALS!$G:$G,$B$219,DEALS!$E:$E,"&lt;"&amp;$C$221,DEALS!$K:$K,E$223,DEALS!$M:$M,$B224,DEALS!$N:$N,"&lt;&gt;*RECEIVED*",DEALS!$N:$N,"&lt;&gt;*EXECUTED*"))+SUM(SUMIFS(DEALS!$R:$R,DEALS!$A:$A,{"*REFUND*","*EXECUTED*"},DEALS!$O:$O,$B$219,DEALS!$E:$E,"&lt;"&amp;$C$221,DEALS!$S:$S,E$223,DEALS!$U:$U,$B224,DEALS!$V:$V,"&lt;&gt;*RECEIVED*",DEALS!$V:$V,"&lt;&gt;*EXECUTED*"))</f>
        <v>0</v>
      </c>
      <c r="F224" s="29" cm="1">
        <f t="array" ref="F224">SUMIFS(BALANCES!$C:$C,BALANCES!$A:$A,$B$219,BALANCES!$B:$B,$B224,BALANCES!$D:$D,F$223)+SUMIFS(FLOWS!$C:$C,FLOWS!$A:$A,$B$219,FLOWS!$E:$E,$B224,FLOWS!$D:$D,F$223,FLOWS!$H:$H,"&lt;"&amp;$C$221)+SUM(SUMIFS(DEALS!$J:$J,DEALS!$A:$A,{"*REFUND*","*EXECUTED*"},DEALS!$G:$G,$B$219,DEALS!$E:$E,"&lt;"&amp;$C$221,DEALS!$K:$K,F$223,DEALS!$M:$M,$B224,DEALS!$N:$N,"&lt;&gt;*RECEIVED*",DEALS!$N:$N,"&lt;&gt;*EXECUTED*"))+SUM(SUMIFS(DEALS!$R:$R,DEALS!$A:$A,{"*REFUND*","*EXECUTED*"},DEALS!$O:$O,$B$219,DEALS!$E:$E,"&lt;"&amp;$C$221,DEALS!$S:$S,F$223,DEALS!$U:$U,$B224,DEALS!$V:$V,"&lt;&gt;*RECEIVED*",DEALS!$V:$V,"&lt;&gt;*EXECUTED*"))</f>
        <v>0</v>
      </c>
      <c r="G224" s="29" cm="1">
        <f t="array" ref="G224">SUMIFS(BALANCES!$C:$C,BALANCES!$A:$A,$B$219,BALANCES!$B:$B,$B224,BALANCES!$D:$D,G$223)+SUMIFS(FLOWS!$C:$C,FLOWS!$A:$A,$B$219,FLOWS!$E:$E,$B224,FLOWS!$D:$D,G$223,FLOWS!$H:$H,"&lt;"&amp;$C$221)+SUM(SUMIFS(DEALS!$J:$J,DEALS!$A:$A,{"*REFUND*","*EXECUTED*"},DEALS!$G:$G,$B$219,DEALS!$E:$E,"&lt;"&amp;$C$221,DEALS!$K:$K,G$223,DEALS!$M:$M,$B224,DEALS!$N:$N,"&lt;&gt;*RECEIVED*",DEALS!$N:$N,"&lt;&gt;*EXECUTED*"))+SUM(SUMIFS(DEALS!$R:$R,DEALS!$A:$A,{"*REFUND*","*EXECUTED*"},DEALS!$O:$O,$B$219,DEALS!$E:$E,"&lt;"&amp;$C$221,DEALS!$S:$S,G$223,DEALS!$U:$U,$B224,DEALS!$V:$V,"&lt;&gt;*RECEIVED*",DEALS!$V:$V,"&lt;&gt;*EXECUTED*"))</f>
        <v>0</v>
      </c>
      <c r="H224" s="29" cm="1">
        <f t="array" ref="H224">SUMIFS(BALANCES!$C:$C,BALANCES!$A:$A,$B$219,BALANCES!$B:$B,$B224,BALANCES!$D:$D,H$223)+SUMIFS(FLOWS!$C:$C,FLOWS!$A:$A,$B$219,FLOWS!$E:$E,$B224,FLOWS!$D:$D,H$223,FLOWS!$H:$H,"&lt;"&amp;$C$221)+SUM(SUMIFS(DEALS!$J:$J,DEALS!$A:$A,{"*REFUND*","*EXECUTED*"},DEALS!$G:$G,$B$219,DEALS!$E:$E,"&lt;"&amp;$C$221,DEALS!$K:$K,H$223,DEALS!$M:$M,$B224,DEALS!$N:$N,"&lt;&gt;*RECEIVED*",DEALS!$N:$N,"&lt;&gt;*EXECUTED*"))+SUM(SUMIFS(DEALS!$R:$R,DEALS!$A:$A,{"*REFUND*","*EXECUTED*"},DEALS!$O:$O,$B$219,DEALS!$E:$E,"&lt;"&amp;$C$221,DEALS!$S:$S,H$223,DEALS!$U:$U,$B224,DEALS!$V:$V,"&lt;&gt;*RECEIVED*",DEALS!$V:$V,"&lt;&gt;*EXECUTED*"))</f>
        <v>0</v>
      </c>
      <c r="I224" s="30">
        <f ca="1">C224*VLOOKUP(C$223,'FX RATES'!$E$1:$F$50,2,FALSE)+D224*VLOOKUP(D$223,'FX RATES'!$E$1:$F$50,2,FALSE)+E224*VLOOKUP(E$223,'FX RATES'!$E$1:$F$50,2,FALSE)+F224*VLOOKUP(F$223,'FX RATES'!$E$1:$F$50,2,FALSE)+G224*VLOOKUP(G$223,'FX RATES'!$E$1:$F$50,2,FALSE)+H224*VLOOKUP(H$223,'FX RATES'!$E$1:$F$50,2,FALSE)</f>
        <v>816.49</v>
      </c>
      <c r="K224" s="28" t="str">
        <f t="shared" ref="K224:K241" si="85">B224</f>
        <v>CHZH</v>
      </c>
      <c r="L224" s="29" cm="1">
        <f t="array" ref="L224">SUMIFS(FLOWS!$C:$C,FLOWS!$A:$A,$B$219,FLOWS!$E:$E,$K224,FLOWS!$D:$D,L$223,FLOWS!$H:$H,"&gt;="&amp;$C$221,FLOWS!$H:$H,"&lt;="&amp;$U$221)+SUM(SUMIFS(DEALS!$J:$J,DEALS!$A:$A,{"*REFUND*","*EXECUTED*"},DEALS!$G:$G,$B$219,DEALS!$E:$E,"&gt;="&amp;$C$221,DEALS!$E:$E,"&lt;="&amp;$U$221,DEALS!$K:$K,L$223,DEALS!$M:$M,$K224,DEALS!$N:$N,"&lt;&gt;*RECEIVED*",DEALS!$N:$N,"&lt;&gt;*EXECUTED*"))+SUM(SUMIFS(DEALS!$R:$R,DEALS!$A:$A,{"*REFUND*","*EXECUTED*"},DEALS!$O:$O,$B$219,DEALS!$E:$E,"&gt;="&amp;$C$221,DEALS!$E:$E,"&lt;="&amp;$U$221,DEALS!$S:$S,L$223,DEALS!$U:$U,$K224,DEALS!$V:$V,"&lt;&gt;*RECEIVED*",DEALS!$V:$V,"&lt;&gt;*EXECUTED*"))</f>
        <v>0</v>
      </c>
      <c r="M224" s="29" cm="1">
        <f t="array" ref="M224">SUMIFS(FLOWS!$C:$C,FLOWS!$A:$A,$B$219,FLOWS!$E:$E,$K224,FLOWS!$D:$D,M$223,FLOWS!$H:$H,"&gt;="&amp;$C$221,FLOWS!$H:$H,"&lt;="&amp;$U$221)+SUM(SUMIFS(DEALS!$J:$J,DEALS!$A:$A,{"*REFUND*","*EXECUTED*"},DEALS!$G:$G,$B$219,DEALS!$E:$E,"&gt;="&amp;$C$221,DEALS!$E:$E,"&lt;="&amp;$U$221,DEALS!$K:$K,M$223,DEALS!$M:$M,$K224,DEALS!$N:$N,"&lt;&gt;*RECEIVED*",DEALS!$N:$N,"&lt;&gt;*EXECUTED*"))+SUM(SUMIFS(DEALS!$R:$R,DEALS!$A:$A,{"*REFUND*","*EXECUTED*"},DEALS!$O:$O,$B$219,DEALS!$E:$E,"&gt;="&amp;$C$221,DEALS!$E:$E,"&lt;="&amp;$U$221,DEALS!$S:$S,M$223,DEALS!$U:$U,$K224,DEALS!$V:$V,"&lt;&gt;*RECEIVED*",DEALS!$V:$V,"&lt;&gt;*EXECUTED*"))</f>
        <v>0</v>
      </c>
      <c r="N224" s="29" cm="1">
        <f t="array" ref="N224">SUMIFS(FLOWS!$C:$C,FLOWS!$A:$A,$B$219,FLOWS!$E:$E,$K224,FLOWS!$D:$D,N$223,FLOWS!$H:$H,"&gt;="&amp;$C$221,FLOWS!$H:$H,"&lt;="&amp;$U$221)+SUM(SUMIFS(DEALS!$J:$J,DEALS!$A:$A,{"*REFUND*","*EXECUTED*"},DEALS!$G:$G,$B$219,DEALS!$E:$E,"&gt;="&amp;$C$221,DEALS!$E:$E,"&lt;="&amp;$U$221,DEALS!$K:$K,N$223,DEALS!$M:$M,$K224,DEALS!$N:$N,"&lt;&gt;*RECEIVED*",DEALS!$N:$N,"&lt;&gt;*EXECUTED*"))+SUM(SUMIFS(DEALS!$R:$R,DEALS!$A:$A,{"*REFUND*","*EXECUTED*"},DEALS!$O:$O,$B$219,DEALS!$E:$E,"&gt;="&amp;$C$221,DEALS!$E:$E,"&lt;="&amp;$U$221,DEALS!$S:$S,N$223,DEALS!$U:$U,$K224,DEALS!$V:$V,"&lt;&gt;*RECEIVED*",DEALS!$V:$V,"&lt;&gt;*EXECUTED*"))</f>
        <v>0</v>
      </c>
      <c r="O224" s="29" cm="1">
        <f t="array" ref="O224">SUMIFS(FLOWS!$C:$C,FLOWS!$A:$A,$B$219,FLOWS!$E:$E,$K224,FLOWS!$D:$D,O$223,FLOWS!$H:$H,"&gt;="&amp;$C$221,FLOWS!$H:$H,"&lt;="&amp;$U$221)+SUM(SUMIFS(DEALS!$J:$J,DEALS!$A:$A,{"*REFUND*","*EXECUTED*"},DEALS!$G:$G,$B$219,DEALS!$E:$E,"&gt;="&amp;$C$221,DEALS!$E:$E,"&lt;="&amp;$U$221,DEALS!$K:$K,O$223,DEALS!$M:$M,$K224,DEALS!$N:$N,"&lt;&gt;*RECEIVED*",DEALS!$N:$N,"&lt;&gt;*EXECUTED*"))+SUM(SUMIFS(DEALS!$R:$R,DEALS!$A:$A,{"*REFUND*","*EXECUTED*"},DEALS!$O:$O,$B$219,DEALS!$E:$E,"&gt;="&amp;$C$221,DEALS!$E:$E,"&lt;="&amp;$U$221,DEALS!$S:$S,O$223,DEALS!$U:$U,$K224,DEALS!$V:$V,"&lt;&gt;*RECEIVED*",DEALS!$V:$V,"&lt;&gt;*EXECUTED*"))</f>
        <v>0</v>
      </c>
      <c r="P224" s="29" cm="1">
        <f t="array" ref="P224">SUMIFS(FLOWS!$C:$C,FLOWS!$A:$A,$B$219,FLOWS!$E:$E,$K224,FLOWS!$D:$D,P$223,FLOWS!$H:$H,"&gt;="&amp;$C$221,FLOWS!$H:$H,"&lt;="&amp;$U$221)+SUM(SUMIFS(DEALS!$J:$J,DEALS!$A:$A,{"*REFUND*","*EXECUTED*"},DEALS!$G:$G,$B$219,DEALS!$E:$E,"&gt;="&amp;$C$221,DEALS!$E:$E,"&lt;="&amp;$U$221,DEALS!$K:$K,P$223,DEALS!$M:$M,$K224,DEALS!$N:$N,"&lt;&gt;*RECEIVED*",DEALS!$N:$N,"&lt;&gt;*EXECUTED*"))+SUM(SUMIFS(DEALS!$R:$R,DEALS!$A:$A,{"*REFUND*","*EXECUTED*"},DEALS!$O:$O,$B$219,DEALS!$E:$E,"&gt;="&amp;$C$221,DEALS!$E:$E,"&lt;="&amp;$U$221,DEALS!$S:$S,P$223,DEALS!$U:$U,$K224,DEALS!$V:$V,"&lt;&gt;*RECEIVED*",DEALS!$V:$V,"&lt;&gt;*EXECUTED*"))</f>
        <v>0</v>
      </c>
      <c r="Q224" s="29" cm="1">
        <f t="array" ref="Q224">SUMIFS(FLOWS!$C:$C,FLOWS!$A:$A,$B$219,FLOWS!$E:$E,$K224,FLOWS!$D:$D,Q$223,FLOWS!$H:$H,"&gt;="&amp;$C$221,FLOWS!$H:$H,"&lt;="&amp;$U$221)+SUM(SUMIFS(DEALS!$J:$J,DEALS!$A:$A,{"*REFUND*","*EXECUTED*"},DEALS!$G:$G,$B$219,DEALS!$E:$E,"&gt;="&amp;$C$221,DEALS!$E:$E,"&lt;="&amp;$U$221,DEALS!$K:$K,Q$223,DEALS!$M:$M,$K224,DEALS!$N:$N,"&lt;&gt;*RECEIVED*",DEALS!$N:$N,"&lt;&gt;*EXECUTED*"))+SUM(SUMIFS(DEALS!$R:$R,DEALS!$A:$A,{"*REFUND*","*EXECUTED*"},DEALS!$O:$O,$B$219,DEALS!$E:$E,"&gt;="&amp;$C$221,DEALS!$E:$E,"&lt;="&amp;$U$221,DEALS!$S:$S,Q$223,DEALS!$U:$U,$K224,DEALS!$V:$V,"&lt;&gt;*RECEIVED*",DEALS!$V:$V,"&lt;&gt;*EXECUTED*"))</f>
        <v>0</v>
      </c>
      <c r="R224" s="30">
        <f ca="1">L224*VLOOKUP(L$223,'FX RATES'!$E$1:$F$50,2,FALSE)+M224*VLOOKUP(M$223,'FX RATES'!$E$1:$F$50,2,FALSE)+N224*VLOOKUP(N$223,'FX RATES'!$E$1:$F$50,2,FALSE)+O224*VLOOKUP(O$223,'FX RATES'!$E$1:$F$50,2,FALSE)+P224*VLOOKUP(P$223,'FX RATES'!$E$1:$F$50,2,FALSE)+Q224*VLOOKUP(Q$223,'FX RATES'!$E$1:$F$50,2,FALSE)</f>
        <v>0</v>
      </c>
      <c r="T224" s="28" t="str">
        <f t="shared" ref="T224:T241" si="86">B224</f>
        <v>CHZH</v>
      </c>
      <c r="U224" s="29" cm="1">
        <f t="array" ref="U224">SUMIFS(BALANCES!$C:$C,BALANCES!$A:$A,$B$219,BALANCES!$B:$B,$T224,BALANCES!$D:$D,U$223)+SUMIFS(FLOWS!$C:$C,FLOWS!$A:$A,$B$219,FLOWS!$E:$E,$T224,FLOWS!$D:$D,U$223,FLOWS!$H:$H,"&lt;="&amp;$U$221)+SUM(SUMIFS(DEALS!$J:$J,DEALS!$A:$A,{"*REFUND*","*EXECUTED*"},DEALS!$G:$G,$B$219,DEALS!$E:$E,"&lt;="&amp;$U$221,DEALS!$K:$K,U$223,DEALS!$M:$M,$T224,DEALS!$N:$N,"&lt;&gt;*RECEIVED*",DEALS!$N:$N,"&lt;&gt;*EXECUTED*"))+SUM(SUMIFS(DEALS!$R:$R,DEALS!$A:$A,{"*REFUND*","*EXECUTED*"},DEALS!$O:$O,$B$219,DEALS!$E:$E,"&lt;="&amp;$U$221,DEALS!$S:$S,U$223,DEALS!$U:$U,$T224,DEALS!$V:$V,"&lt;&gt;*RECEIVED*",DEALS!$V:$V,"&lt;&gt;*EXECUTED*"))</f>
        <v>816.49</v>
      </c>
      <c r="V224" s="29" cm="1">
        <f t="array" ref="V224">SUMIFS(BALANCES!$C:$C,BALANCES!$A:$A,$B$219,BALANCES!$B:$B,$T224,BALANCES!$D:$D,V$223)+SUMIFS(FLOWS!$C:$C,FLOWS!$A:$A,$B$219,FLOWS!$E:$E,$T224,FLOWS!$D:$D,V$223,FLOWS!$H:$H,"&lt;="&amp;$U$221)+SUM(SUMIFS(DEALS!$J:$J,DEALS!$A:$A,{"*REFUND*","*EXECUTED*"},DEALS!$G:$G,$B$219,DEALS!$E:$E,"&lt;="&amp;$U$221,DEALS!$K:$K,V$223,DEALS!$M:$M,$T224,DEALS!$N:$N,"&lt;&gt;*RECEIVED*",DEALS!$N:$N,"&lt;&gt;*EXECUTED*"))+SUM(SUMIFS(DEALS!$R:$R,DEALS!$A:$A,{"*REFUND*","*EXECUTED*"},DEALS!$O:$O,$B$219,DEALS!$E:$E,"&lt;="&amp;$U$221,DEALS!$S:$S,V$223,DEALS!$U:$U,$T224,DEALS!$V:$V,"&lt;&gt;*RECEIVED*",DEALS!$V:$V,"&lt;&gt;*EXECUTED*"))</f>
        <v>0</v>
      </c>
      <c r="W224" s="29" cm="1">
        <f t="array" ref="W224">SUMIFS(BALANCES!$C:$C,BALANCES!$A:$A,$B$219,BALANCES!$B:$B,$T224,BALANCES!$D:$D,W$223)+SUMIFS(FLOWS!$C:$C,FLOWS!$A:$A,$B$219,FLOWS!$E:$E,$T224,FLOWS!$D:$D,W$223,FLOWS!$H:$H,"&lt;="&amp;$U$221)+SUM(SUMIFS(DEALS!$J:$J,DEALS!$A:$A,{"*REFUND*","*EXECUTED*"},DEALS!$G:$G,$B$219,DEALS!$E:$E,"&lt;="&amp;$U$221,DEALS!$K:$K,W$223,DEALS!$M:$M,$T224,DEALS!$N:$N,"&lt;&gt;*RECEIVED*",DEALS!$N:$N,"&lt;&gt;*EXECUTED*"))+SUM(SUMIFS(DEALS!$R:$R,DEALS!$A:$A,{"*REFUND*","*EXECUTED*"},DEALS!$O:$O,$B$219,DEALS!$E:$E,"&lt;="&amp;$U$221,DEALS!$S:$S,W$223,DEALS!$U:$U,$T224,DEALS!$V:$V,"&lt;&gt;*RECEIVED*",DEALS!$V:$V,"&lt;&gt;*EXECUTED*"))</f>
        <v>0</v>
      </c>
      <c r="X224" s="29" cm="1">
        <f t="array" ref="X224">SUMIFS(BALANCES!$C:$C,BALANCES!$A:$A,$B$219,BALANCES!$B:$B,$T224,BALANCES!$D:$D,X$223)+SUMIFS(FLOWS!$C:$C,FLOWS!$A:$A,$B$219,FLOWS!$E:$E,$T224,FLOWS!$D:$D,X$223,FLOWS!$H:$H,"&lt;="&amp;$U$221)+SUM(SUMIFS(DEALS!$J:$J,DEALS!$A:$A,{"*REFUND*","*EXECUTED*"},DEALS!$G:$G,$B$219,DEALS!$E:$E,"&lt;="&amp;$U$221,DEALS!$K:$K,X$223,DEALS!$M:$M,$T224,DEALS!$N:$N,"&lt;&gt;*RECEIVED*",DEALS!$N:$N,"&lt;&gt;*EXECUTED*"))+SUM(SUMIFS(DEALS!$R:$R,DEALS!$A:$A,{"*REFUND*","*EXECUTED*"},DEALS!$O:$O,$B$219,DEALS!$E:$E,"&lt;="&amp;$U$221,DEALS!$S:$S,X$223,DEALS!$U:$U,$T224,DEALS!$V:$V,"&lt;&gt;*RECEIVED*",DEALS!$V:$V,"&lt;&gt;*EXECUTED*"))</f>
        <v>0</v>
      </c>
      <c r="Y224" s="29" cm="1">
        <f t="array" ref="Y224">SUMIFS(BALANCES!$C:$C,BALANCES!$A:$A,$B$219,BALANCES!$B:$B,$T224,BALANCES!$D:$D,Y$223)+SUMIFS(FLOWS!$C:$C,FLOWS!$A:$A,$B$219,FLOWS!$E:$E,$T224,FLOWS!$D:$D,Y$223,FLOWS!$H:$H,"&lt;="&amp;$U$221)+SUM(SUMIFS(DEALS!$J:$J,DEALS!$A:$A,{"*REFUND*","*EXECUTED*"},DEALS!$G:$G,$B$219,DEALS!$E:$E,"&lt;="&amp;$U$221,DEALS!$K:$K,Y$223,DEALS!$M:$M,$T224,DEALS!$N:$N,"&lt;&gt;*RECEIVED*",DEALS!$N:$N,"&lt;&gt;*EXECUTED*"))+SUM(SUMIFS(DEALS!$R:$R,DEALS!$A:$A,{"*REFUND*","*EXECUTED*"},DEALS!$O:$O,$B$219,DEALS!$E:$E,"&lt;="&amp;$U$221,DEALS!$S:$S,Y$223,DEALS!$U:$U,$T224,DEALS!$V:$V,"&lt;&gt;*RECEIVED*",DEALS!$V:$V,"&lt;&gt;*EXECUTED*"))</f>
        <v>0</v>
      </c>
      <c r="Z224" s="29" cm="1">
        <f t="array" ref="Z224">SUMIFS(BALANCES!$C:$C,BALANCES!$A:$A,$B$219,BALANCES!$B:$B,$T224,BALANCES!$D:$D,Z$223)+SUMIFS(FLOWS!$C:$C,FLOWS!$A:$A,$B$219,FLOWS!$E:$E,$T224,FLOWS!$D:$D,Z$223,FLOWS!$H:$H,"&lt;="&amp;$U$221)+SUM(SUMIFS(DEALS!$J:$J,DEALS!$A:$A,{"*REFUND*","*EXECUTED*"},DEALS!$G:$G,$B$219,DEALS!$E:$E,"&lt;="&amp;$U$221,DEALS!$K:$K,Z$223,DEALS!$M:$M,$T224,DEALS!$N:$N,"&lt;&gt;*RECEIVED*",DEALS!$N:$N,"&lt;&gt;*EXECUTED*"))+SUM(SUMIFS(DEALS!$R:$R,DEALS!$A:$A,{"*REFUND*","*EXECUTED*"},DEALS!$O:$O,$B$219,DEALS!$E:$E,"&lt;="&amp;$U$221,DEALS!$S:$S,Z$223,DEALS!$U:$U,$T224,DEALS!$V:$V,"&lt;&gt;*RECEIVED*",DEALS!$V:$V,"&lt;&gt;*EXECUTED*"))</f>
        <v>0</v>
      </c>
      <c r="AA224" s="30">
        <f ca="1">U224*VLOOKUP(U$223,'FX RATES'!$E$1:$F$50,2,FALSE)+V224*VLOOKUP(V$223,'FX RATES'!$E$1:$F$50,2,FALSE)+W224*VLOOKUP(W$223,'FX RATES'!$E$1:$F$50,2,FALSE)+X224*VLOOKUP(X$223,'FX RATES'!$E$1:$F$50,2,FALSE)+Y224*VLOOKUP(Y$223,'FX RATES'!$E$1:$F$50,2,FALSE)+Z224*VLOOKUP(Z$223,'FX RATES'!$E$1:$F$50,2,FALSE)</f>
        <v>816.49</v>
      </c>
      <c r="AC224" s="139">
        <f t="shared" ref="AC224:AC243" ca="1" si="87">I224+R224-AA224</f>
        <v>0</v>
      </c>
    </row>
    <row r="225" spans="2:29" ht="18.75" hidden="1" customHeight="1">
      <c r="B225" s="31"/>
      <c r="C225" s="32" cm="1">
        <f t="array" ref="C225">SUMIFS(BALANCES!$C:$C,BALANCES!$A:$A,$B$219,BALANCES!$B:$B,$B225,BALANCES!$D:$D,C$223)+SUMIFS(FLOWS!$C:$C,FLOWS!$A:$A,$B$219,FLOWS!$E:$E,$B225,FLOWS!$D:$D,C$223,FLOWS!$H:$H,"&lt;"&amp;$C$221)+SUM(SUMIFS(DEALS!$J:$J,DEALS!$A:$A,{"*REFUND*","*EXECUTED*"},DEALS!$G:$G,$B$219,DEALS!$E:$E,"&lt;"&amp;$C$221,DEALS!$K:$K,C$223,DEALS!$M:$M,$B225,DEALS!$N:$N,"&lt;&gt;*RECEIVED*",DEALS!$N:$N,"&lt;&gt;*EXECUTED*"))+SUM(SUMIFS(DEALS!$R:$R,DEALS!$A:$A,{"*REFUND*","*EXECUTED*"},DEALS!$O:$O,$B$219,DEALS!$E:$E,"&lt;"&amp;$C$221,DEALS!$S:$S,C$223,DEALS!$U:$U,$B225,DEALS!$V:$V,"&lt;&gt;*RECEIVED*",DEALS!$V:$V,"&lt;&gt;*EXECUTED*"))</f>
        <v>0</v>
      </c>
      <c r="D225" s="32" cm="1">
        <f t="array" ref="D225">SUMIFS(BALANCES!$C:$C,BALANCES!$A:$A,$B$219,BALANCES!$B:$B,$B225,BALANCES!$D:$D,D$223)+SUMIFS(FLOWS!$C:$C,FLOWS!$A:$A,$B$219,FLOWS!$E:$E,$B225,FLOWS!$D:$D,D$223,FLOWS!$H:$H,"&lt;"&amp;$C$221)+SUM(SUMIFS(DEALS!$J:$J,DEALS!$A:$A,{"*REFUND*","*EXECUTED*"},DEALS!$G:$G,$B$219,DEALS!$E:$E,"&lt;"&amp;$C$221,DEALS!$K:$K,D$223,DEALS!$M:$M,$B225,DEALS!$N:$N,"&lt;&gt;*RECEIVED*",DEALS!$N:$N,"&lt;&gt;*EXECUTED*"))+SUM(SUMIFS(DEALS!$R:$R,DEALS!$A:$A,{"*REFUND*","*EXECUTED*"},DEALS!$O:$O,$B$219,DEALS!$E:$E,"&lt;"&amp;$C$221,DEALS!$S:$S,D$223,DEALS!$U:$U,$B225,DEALS!$V:$V,"&lt;&gt;*RECEIVED*",DEALS!$V:$V,"&lt;&gt;*EXECUTED*"))</f>
        <v>0</v>
      </c>
      <c r="E225" s="32" cm="1">
        <f t="array" ref="E225">SUMIFS(BALANCES!$C:$C,BALANCES!$A:$A,$B$219,BALANCES!$B:$B,$B225,BALANCES!$D:$D,E$223)+SUMIFS(FLOWS!$C:$C,FLOWS!$A:$A,$B$219,FLOWS!$E:$E,$B225,FLOWS!$D:$D,E$223,FLOWS!$H:$H,"&lt;"&amp;$C$221)+SUM(SUMIFS(DEALS!$J:$J,DEALS!$A:$A,{"*REFUND*","*EXECUTED*"},DEALS!$G:$G,$B$219,DEALS!$E:$E,"&lt;"&amp;$C$221,DEALS!$K:$K,E$223,DEALS!$M:$M,$B225,DEALS!$N:$N,"&lt;&gt;*RECEIVED*",DEALS!$N:$N,"&lt;&gt;*EXECUTED*"))+SUM(SUMIFS(DEALS!$R:$R,DEALS!$A:$A,{"*REFUND*","*EXECUTED*"},DEALS!$O:$O,$B$219,DEALS!$E:$E,"&lt;"&amp;$C$221,DEALS!$S:$S,E$223,DEALS!$U:$U,$B225,DEALS!$V:$V,"&lt;&gt;*RECEIVED*",DEALS!$V:$V,"&lt;&gt;*EXECUTED*"))</f>
        <v>0</v>
      </c>
      <c r="F225" s="32" cm="1">
        <f t="array" ref="F225">SUMIFS(BALANCES!$C:$C,BALANCES!$A:$A,$B$219,BALANCES!$B:$B,$B225,BALANCES!$D:$D,F$223)+SUMIFS(FLOWS!$C:$C,FLOWS!$A:$A,$B$219,FLOWS!$E:$E,$B225,FLOWS!$D:$D,F$223,FLOWS!$H:$H,"&lt;"&amp;$C$221)+SUM(SUMIFS(DEALS!$J:$J,DEALS!$A:$A,{"*REFUND*","*EXECUTED*"},DEALS!$G:$G,$B$219,DEALS!$E:$E,"&lt;"&amp;$C$221,DEALS!$K:$K,F$223,DEALS!$M:$M,$B225,DEALS!$N:$N,"&lt;&gt;*RECEIVED*",DEALS!$N:$N,"&lt;&gt;*EXECUTED*"))+SUM(SUMIFS(DEALS!$R:$R,DEALS!$A:$A,{"*REFUND*","*EXECUTED*"},DEALS!$O:$O,$B$219,DEALS!$E:$E,"&lt;"&amp;$C$221,DEALS!$S:$S,F$223,DEALS!$U:$U,$B225,DEALS!$V:$V,"&lt;&gt;*RECEIVED*",DEALS!$V:$V,"&lt;&gt;*EXECUTED*"))</f>
        <v>0</v>
      </c>
      <c r="G225" s="32" cm="1">
        <f t="array" ref="G225">SUMIFS(BALANCES!$C:$C,BALANCES!$A:$A,$B$219,BALANCES!$B:$B,$B225,BALANCES!$D:$D,G$223)+SUMIFS(FLOWS!$C:$C,FLOWS!$A:$A,$B$219,FLOWS!$E:$E,$B225,FLOWS!$D:$D,G$223,FLOWS!$H:$H,"&lt;"&amp;$C$221)+SUM(SUMIFS(DEALS!$J:$J,DEALS!$A:$A,{"*REFUND*","*EXECUTED*"},DEALS!$G:$G,$B$219,DEALS!$E:$E,"&lt;"&amp;$C$221,DEALS!$K:$K,G$223,DEALS!$M:$M,$B225,DEALS!$N:$N,"&lt;&gt;*RECEIVED*",DEALS!$N:$N,"&lt;&gt;*EXECUTED*"))+SUM(SUMIFS(DEALS!$R:$R,DEALS!$A:$A,{"*REFUND*","*EXECUTED*"},DEALS!$O:$O,$B$219,DEALS!$E:$E,"&lt;"&amp;$C$221,DEALS!$S:$S,G$223,DEALS!$U:$U,$B225,DEALS!$V:$V,"&lt;&gt;*RECEIVED*",DEALS!$V:$V,"&lt;&gt;*EXECUTED*"))</f>
        <v>0</v>
      </c>
      <c r="H225" s="32" cm="1">
        <f t="array" ref="H225">SUMIFS(BALANCES!$C:$C,BALANCES!$A:$A,$B$219,BALANCES!$B:$B,$B225,BALANCES!$D:$D,H$223)+SUMIFS(FLOWS!$C:$C,FLOWS!$A:$A,$B$219,FLOWS!$E:$E,$B225,FLOWS!$D:$D,H$223,FLOWS!$H:$H,"&lt;"&amp;$C$221)+SUM(SUMIFS(DEALS!$J:$J,DEALS!$A:$A,{"*REFUND*","*EXECUTED*"},DEALS!$G:$G,$B$219,DEALS!$E:$E,"&lt;"&amp;$C$221,DEALS!$K:$K,H$223,DEALS!$M:$M,$B225,DEALS!$N:$N,"&lt;&gt;*RECEIVED*",DEALS!$N:$N,"&lt;&gt;*EXECUTED*"))+SUM(SUMIFS(DEALS!$R:$R,DEALS!$A:$A,{"*REFUND*","*EXECUTED*"},DEALS!$O:$O,$B$219,DEALS!$E:$E,"&lt;"&amp;$C$221,DEALS!$S:$S,H$223,DEALS!$U:$U,$B225,DEALS!$V:$V,"&lt;&gt;*RECEIVED*",DEALS!$V:$V,"&lt;&gt;*EXECUTED*"))</f>
        <v>0</v>
      </c>
      <c r="I225" s="33">
        <f ca="1">C225*VLOOKUP(C$223,'FX RATES'!$E$1:$F$50,2,FALSE)+D225*VLOOKUP(D$223,'FX RATES'!$E$1:$F$50,2,FALSE)+E225*VLOOKUP(E$223,'FX RATES'!$E$1:$F$50,2,FALSE)+F225*VLOOKUP(F$223,'FX RATES'!$E$1:$F$50,2,FALSE)+G225*VLOOKUP(G$223,'FX RATES'!$E$1:$F$50,2,FALSE)+H225*VLOOKUP(H$223,'FX RATES'!$E$1:$F$50,2,FALSE)</f>
        <v>0</v>
      </c>
      <c r="K225" s="31">
        <f t="shared" si="85"/>
        <v>0</v>
      </c>
      <c r="L225" s="32" cm="1">
        <f t="array" ref="L225">SUMIFS(FLOWS!$C:$C,FLOWS!$A:$A,$B$219,FLOWS!$E:$E,$K225,FLOWS!$D:$D,L$223,FLOWS!$H:$H,"&gt;="&amp;$C$221,FLOWS!$H:$H,"&lt;="&amp;$U$221)+SUM(SUMIFS(DEALS!$J:$J,DEALS!$A:$A,{"*REFUND*","*EXECUTED*"},DEALS!$G:$G,$B$219,DEALS!$E:$E,"&gt;="&amp;$C$221,DEALS!$E:$E,"&lt;="&amp;$U$221,DEALS!$K:$K,L$223,DEALS!$M:$M,$K225,DEALS!$N:$N,"&lt;&gt;*RECEIVED*",DEALS!$N:$N,"&lt;&gt;*EXECUTED*"))+SUM(SUMIFS(DEALS!$R:$R,DEALS!$A:$A,{"*REFUND*","*EXECUTED*"},DEALS!$O:$O,$B$219,DEALS!$E:$E,"&gt;="&amp;$C$221,DEALS!$E:$E,"&lt;="&amp;$U$221,DEALS!$S:$S,L$223,DEALS!$U:$U,$K225,DEALS!$V:$V,"&lt;&gt;*RECEIVED*",DEALS!$V:$V,"&lt;&gt;*EXECUTED*"))</f>
        <v>0</v>
      </c>
      <c r="M225" s="32" cm="1">
        <f t="array" ref="M225">SUMIFS(FLOWS!$C:$C,FLOWS!$A:$A,$B$219,FLOWS!$E:$E,$K225,FLOWS!$D:$D,M$223,FLOWS!$H:$H,"&gt;="&amp;$C$221,FLOWS!$H:$H,"&lt;="&amp;$U$221)+SUM(SUMIFS(DEALS!$J:$J,DEALS!$A:$A,{"*REFUND*","*EXECUTED*"},DEALS!$G:$G,$B$219,DEALS!$E:$E,"&gt;="&amp;$C$221,DEALS!$E:$E,"&lt;="&amp;$U$221,DEALS!$K:$K,M$223,DEALS!$M:$M,$K225,DEALS!$N:$N,"&lt;&gt;*RECEIVED*",DEALS!$N:$N,"&lt;&gt;*EXECUTED*"))+SUM(SUMIFS(DEALS!$R:$R,DEALS!$A:$A,{"*REFUND*","*EXECUTED*"},DEALS!$O:$O,$B$219,DEALS!$E:$E,"&gt;="&amp;$C$221,DEALS!$E:$E,"&lt;="&amp;$U$221,DEALS!$S:$S,M$223,DEALS!$U:$U,$K225,DEALS!$V:$V,"&lt;&gt;*RECEIVED*",DEALS!$V:$V,"&lt;&gt;*EXECUTED*"))</f>
        <v>0</v>
      </c>
      <c r="N225" s="32" cm="1">
        <f t="array" ref="N225">SUMIFS(FLOWS!$C:$C,FLOWS!$A:$A,$B$219,FLOWS!$E:$E,$K225,FLOWS!$D:$D,N$223,FLOWS!$H:$H,"&gt;="&amp;$C$221,FLOWS!$H:$H,"&lt;="&amp;$U$221)+SUM(SUMIFS(DEALS!$J:$J,DEALS!$A:$A,{"*REFUND*","*EXECUTED*"},DEALS!$G:$G,$B$219,DEALS!$E:$E,"&gt;="&amp;$C$221,DEALS!$E:$E,"&lt;="&amp;$U$221,DEALS!$K:$K,N$223,DEALS!$M:$M,$K225,DEALS!$N:$N,"&lt;&gt;*RECEIVED*",DEALS!$N:$N,"&lt;&gt;*EXECUTED*"))+SUM(SUMIFS(DEALS!$R:$R,DEALS!$A:$A,{"*REFUND*","*EXECUTED*"},DEALS!$O:$O,$B$219,DEALS!$E:$E,"&gt;="&amp;$C$221,DEALS!$E:$E,"&lt;="&amp;$U$221,DEALS!$S:$S,N$223,DEALS!$U:$U,$K225,DEALS!$V:$V,"&lt;&gt;*RECEIVED*",DEALS!$V:$V,"&lt;&gt;*EXECUTED*"))</f>
        <v>0</v>
      </c>
      <c r="O225" s="32" cm="1">
        <f t="array" ref="O225">SUMIFS(FLOWS!$C:$C,FLOWS!$A:$A,$B$219,FLOWS!$E:$E,$K225,FLOWS!$D:$D,O$223,FLOWS!$H:$H,"&gt;="&amp;$C$221,FLOWS!$H:$H,"&lt;="&amp;$U$221)+SUM(SUMIFS(DEALS!$J:$J,DEALS!$A:$A,{"*REFUND*","*EXECUTED*"},DEALS!$G:$G,$B$219,DEALS!$E:$E,"&gt;="&amp;$C$221,DEALS!$E:$E,"&lt;="&amp;$U$221,DEALS!$K:$K,O$223,DEALS!$M:$M,$K225,DEALS!$N:$N,"&lt;&gt;*RECEIVED*",DEALS!$N:$N,"&lt;&gt;*EXECUTED*"))+SUM(SUMIFS(DEALS!$R:$R,DEALS!$A:$A,{"*REFUND*","*EXECUTED*"},DEALS!$O:$O,$B$219,DEALS!$E:$E,"&gt;="&amp;$C$221,DEALS!$E:$E,"&lt;="&amp;$U$221,DEALS!$S:$S,O$223,DEALS!$U:$U,$K225,DEALS!$V:$V,"&lt;&gt;*RECEIVED*",DEALS!$V:$V,"&lt;&gt;*EXECUTED*"))</f>
        <v>0</v>
      </c>
      <c r="P225" s="32" cm="1">
        <f t="array" ref="P225">SUMIFS(FLOWS!$C:$C,FLOWS!$A:$A,$B$219,FLOWS!$E:$E,$K225,FLOWS!$D:$D,P$223,FLOWS!$H:$H,"&gt;="&amp;$C$221,FLOWS!$H:$H,"&lt;="&amp;$U$221)+SUM(SUMIFS(DEALS!$J:$J,DEALS!$A:$A,{"*REFUND*","*EXECUTED*"},DEALS!$G:$G,$B$219,DEALS!$E:$E,"&gt;="&amp;$C$221,DEALS!$E:$E,"&lt;="&amp;$U$221,DEALS!$K:$K,P$223,DEALS!$M:$M,$K225,DEALS!$N:$N,"&lt;&gt;*RECEIVED*",DEALS!$N:$N,"&lt;&gt;*EXECUTED*"))+SUM(SUMIFS(DEALS!$R:$R,DEALS!$A:$A,{"*REFUND*","*EXECUTED*"},DEALS!$O:$O,$B$219,DEALS!$E:$E,"&gt;="&amp;$C$221,DEALS!$E:$E,"&lt;="&amp;$U$221,DEALS!$S:$S,P$223,DEALS!$U:$U,$K225,DEALS!$V:$V,"&lt;&gt;*RECEIVED*",DEALS!$V:$V,"&lt;&gt;*EXECUTED*"))</f>
        <v>0</v>
      </c>
      <c r="Q225" s="32" cm="1">
        <f t="array" ref="Q225">SUMIFS(FLOWS!$C:$C,FLOWS!$A:$A,$B$219,FLOWS!$E:$E,$K225,FLOWS!$D:$D,Q$223,FLOWS!$H:$H,"&gt;="&amp;$C$221,FLOWS!$H:$H,"&lt;="&amp;$U$221)+SUM(SUMIFS(DEALS!$J:$J,DEALS!$A:$A,{"*REFUND*","*EXECUTED*"},DEALS!$G:$G,$B$219,DEALS!$E:$E,"&gt;="&amp;$C$221,DEALS!$E:$E,"&lt;="&amp;$U$221,DEALS!$K:$K,Q$223,DEALS!$M:$M,$K225,DEALS!$N:$N,"&lt;&gt;*RECEIVED*",DEALS!$N:$N,"&lt;&gt;*EXECUTED*"))+SUM(SUMIFS(DEALS!$R:$R,DEALS!$A:$A,{"*REFUND*","*EXECUTED*"},DEALS!$O:$O,$B$219,DEALS!$E:$E,"&gt;="&amp;$C$221,DEALS!$E:$E,"&lt;="&amp;$U$221,DEALS!$S:$S,Q$223,DEALS!$U:$U,$K225,DEALS!$V:$V,"&lt;&gt;*RECEIVED*",DEALS!$V:$V,"&lt;&gt;*EXECUTED*"))</f>
        <v>0</v>
      </c>
      <c r="R225" s="33">
        <f ca="1">L225*VLOOKUP(L$223,'FX RATES'!$E$1:$F$50,2,FALSE)+M225*VLOOKUP(M$223,'FX RATES'!$E$1:$F$50,2,FALSE)+N225*VLOOKUP(N$223,'FX RATES'!$E$1:$F$50,2,FALSE)+O225*VLOOKUP(O$223,'FX RATES'!$E$1:$F$50,2,FALSE)+P225*VLOOKUP(P$223,'FX RATES'!$E$1:$F$50,2,FALSE)+Q225*VLOOKUP(Q$223,'FX RATES'!$E$1:$F$50,2,FALSE)</f>
        <v>0</v>
      </c>
      <c r="T225" s="31">
        <f t="shared" si="86"/>
        <v>0</v>
      </c>
      <c r="U225" s="32" cm="1">
        <f t="array" ref="U225">SUMIFS(BALANCES!$C:$C,BALANCES!$A:$A,$B$219,BALANCES!$B:$B,$T225,BALANCES!$D:$D,U$223)+SUMIFS(FLOWS!$C:$C,FLOWS!$A:$A,$B$219,FLOWS!$E:$E,$T225,FLOWS!$D:$D,U$223,FLOWS!$H:$H,"&lt;="&amp;$U$221)+SUM(SUMIFS(DEALS!$J:$J,DEALS!$A:$A,{"*REFUND*","*EXECUTED*"},DEALS!$G:$G,$B$219,DEALS!$E:$E,"&lt;="&amp;$U$221,DEALS!$K:$K,U$223,DEALS!$M:$M,$T225,DEALS!$N:$N,"&lt;&gt;*RECEIVED*",DEALS!$N:$N,"&lt;&gt;*EXECUTED*"))+SUM(SUMIFS(DEALS!$R:$R,DEALS!$A:$A,{"*REFUND*","*EXECUTED*"},DEALS!$O:$O,$B$219,DEALS!$E:$E,"&lt;="&amp;$U$221,DEALS!$S:$S,U$223,DEALS!$U:$U,$T225,DEALS!$V:$V,"&lt;&gt;*RECEIVED*",DEALS!$V:$V,"&lt;&gt;*EXECUTED*"))</f>
        <v>0</v>
      </c>
      <c r="V225" s="32" cm="1">
        <f t="array" ref="V225">SUMIFS(BALANCES!$C:$C,BALANCES!$A:$A,$B$219,BALANCES!$B:$B,$T225,BALANCES!$D:$D,V$223)+SUMIFS(FLOWS!$C:$C,FLOWS!$A:$A,$B$219,FLOWS!$E:$E,$T225,FLOWS!$D:$D,V$223,FLOWS!$H:$H,"&lt;="&amp;$U$221)+SUM(SUMIFS(DEALS!$J:$J,DEALS!$A:$A,{"*REFUND*","*EXECUTED*"},DEALS!$G:$G,$B$219,DEALS!$E:$E,"&lt;="&amp;$U$221,DEALS!$K:$K,V$223,DEALS!$M:$M,$T225,DEALS!$N:$N,"&lt;&gt;*RECEIVED*",DEALS!$N:$N,"&lt;&gt;*EXECUTED*"))+SUM(SUMIFS(DEALS!$R:$R,DEALS!$A:$A,{"*REFUND*","*EXECUTED*"},DEALS!$O:$O,$B$219,DEALS!$E:$E,"&lt;="&amp;$U$221,DEALS!$S:$S,V$223,DEALS!$U:$U,$T225,DEALS!$V:$V,"&lt;&gt;*RECEIVED*",DEALS!$V:$V,"&lt;&gt;*EXECUTED*"))</f>
        <v>0</v>
      </c>
      <c r="W225" s="32" cm="1">
        <f t="array" ref="W225">SUMIFS(BALANCES!$C:$C,BALANCES!$A:$A,$B$219,BALANCES!$B:$B,$T225,BALANCES!$D:$D,W$223)+SUMIFS(FLOWS!$C:$C,FLOWS!$A:$A,$B$219,FLOWS!$E:$E,$T225,FLOWS!$D:$D,W$223,FLOWS!$H:$H,"&lt;="&amp;$U$221)+SUM(SUMIFS(DEALS!$J:$J,DEALS!$A:$A,{"*REFUND*","*EXECUTED*"},DEALS!$G:$G,$B$219,DEALS!$E:$E,"&lt;="&amp;$U$221,DEALS!$K:$K,W$223,DEALS!$M:$M,$T225,DEALS!$N:$N,"&lt;&gt;*RECEIVED*",DEALS!$N:$N,"&lt;&gt;*EXECUTED*"))+SUM(SUMIFS(DEALS!$R:$R,DEALS!$A:$A,{"*REFUND*","*EXECUTED*"},DEALS!$O:$O,$B$219,DEALS!$E:$E,"&lt;="&amp;$U$221,DEALS!$S:$S,W$223,DEALS!$U:$U,$T225,DEALS!$V:$V,"&lt;&gt;*RECEIVED*",DEALS!$V:$V,"&lt;&gt;*EXECUTED*"))</f>
        <v>0</v>
      </c>
      <c r="X225" s="32" cm="1">
        <f t="array" ref="X225">SUMIFS(BALANCES!$C:$C,BALANCES!$A:$A,$B$219,BALANCES!$B:$B,$T225,BALANCES!$D:$D,X$223)+SUMIFS(FLOWS!$C:$C,FLOWS!$A:$A,$B$219,FLOWS!$E:$E,$T225,FLOWS!$D:$D,X$223,FLOWS!$H:$H,"&lt;="&amp;$U$221)+SUM(SUMIFS(DEALS!$J:$J,DEALS!$A:$A,{"*REFUND*","*EXECUTED*"},DEALS!$G:$G,$B$219,DEALS!$E:$E,"&lt;="&amp;$U$221,DEALS!$K:$K,X$223,DEALS!$M:$M,$T225,DEALS!$N:$N,"&lt;&gt;*RECEIVED*",DEALS!$N:$N,"&lt;&gt;*EXECUTED*"))+SUM(SUMIFS(DEALS!$R:$R,DEALS!$A:$A,{"*REFUND*","*EXECUTED*"},DEALS!$O:$O,$B$219,DEALS!$E:$E,"&lt;="&amp;$U$221,DEALS!$S:$S,X$223,DEALS!$U:$U,$T225,DEALS!$V:$V,"&lt;&gt;*RECEIVED*",DEALS!$V:$V,"&lt;&gt;*EXECUTED*"))</f>
        <v>0</v>
      </c>
      <c r="Y225" s="32" cm="1">
        <f t="array" ref="Y225">SUMIFS(BALANCES!$C:$C,BALANCES!$A:$A,$B$219,BALANCES!$B:$B,$T225,BALANCES!$D:$D,Y$223)+SUMIFS(FLOWS!$C:$C,FLOWS!$A:$A,$B$219,FLOWS!$E:$E,$T225,FLOWS!$D:$D,Y$223,FLOWS!$H:$H,"&lt;="&amp;$U$221)+SUM(SUMIFS(DEALS!$J:$J,DEALS!$A:$A,{"*REFUND*","*EXECUTED*"},DEALS!$G:$G,$B$219,DEALS!$E:$E,"&lt;="&amp;$U$221,DEALS!$K:$K,Y$223,DEALS!$M:$M,$T225,DEALS!$N:$N,"&lt;&gt;*RECEIVED*",DEALS!$N:$N,"&lt;&gt;*EXECUTED*"))+SUM(SUMIFS(DEALS!$R:$R,DEALS!$A:$A,{"*REFUND*","*EXECUTED*"},DEALS!$O:$O,$B$219,DEALS!$E:$E,"&lt;="&amp;$U$221,DEALS!$S:$S,Y$223,DEALS!$U:$U,$T225,DEALS!$V:$V,"&lt;&gt;*RECEIVED*",DEALS!$V:$V,"&lt;&gt;*EXECUTED*"))</f>
        <v>0</v>
      </c>
      <c r="Z225" s="32" cm="1">
        <f t="array" ref="Z225">SUMIFS(BALANCES!$C:$C,BALANCES!$A:$A,$B$219,BALANCES!$B:$B,$T225,BALANCES!$D:$D,Z$223)+SUMIFS(FLOWS!$C:$C,FLOWS!$A:$A,$B$219,FLOWS!$E:$E,$T225,FLOWS!$D:$D,Z$223,FLOWS!$H:$H,"&lt;="&amp;$U$221)+SUM(SUMIFS(DEALS!$J:$J,DEALS!$A:$A,{"*REFUND*","*EXECUTED*"},DEALS!$G:$G,$B$219,DEALS!$E:$E,"&lt;="&amp;$U$221,DEALS!$K:$K,Z$223,DEALS!$M:$M,$T225,DEALS!$N:$N,"&lt;&gt;*RECEIVED*",DEALS!$N:$N,"&lt;&gt;*EXECUTED*"))+SUM(SUMIFS(DEALS!$R:$R,DEALS!$A:$A,{"*REFUND*","*EXECUTED*"},DEALS!$O:$O,$B$219,DEALS!$E:$E,"&lt;="&amp;$U$221,DEALS!$S:$S,Z$223,DEALS!$U:$U,$T225,DEALS!$V:$V,"&lt;&gt;*RECEIVED*",DEALS!$V:$V,"&lt;&gt;*EXECUTED*"))</f>
        <v>0</v>
      </c>
      <c r="AA225" s="33">
        <f ca="1">U225*VLOOKUP(U$223,'FX RATES'!$E$1:$F$50,2,FALSE)+V225*VLOOKUP(V$223,'FX RATES'!$E$1:$F$50,2,FALSE)+W225*VLOOKUP(W$223,'FX RATES'!$E$1:$F$50,2,FALSE)+X225*VLOOKUP(X$223,'FX RATES'!$E$1:$F$50,2,FALSE)+Y225*VLOOKUP(Y$223,'FX RATES'!$E$1:$F$50,2,FALSE)+Z225*VLOOKUP(Z$223,'FX RATES'!$E$1:$F$50,2,FALSE)</f>
        <v>0</v>
      </c>
      <c r="AC225" s="139">
        <f t="shared" ca="1" si="87"/>
        <v>0</v>
      </c>
    </row>
    <row r="226" spans="2:29" ht="18.75" hidden="1" customHeight="1">
      <c r="B226" s="28"/>
      <c r="C226" s="29" cm="1">
        <f t="array" ref="C226">SUMIFS(BALANCES!$C:$C,BALANCES!$A:$A,$B$219,BALANCES!$B:$B,$B226,BALANCES!$D:$D,C$223)+SUMIFS(FLOWS!$C:$C,FLOWS!$A:$A,$B$219,FLOWS!$E:$E,$B226,FLOWS!$D:$D,C$223,FLOWS!$H:$H,"&lt;"&amp;$C$221)+SUM(SUMIFS(DEALS!$J:$J,DEALS!$A:$A,{"*REFUND*","*EXECUTED*"},DEALS!$G:$G,$B$219,DEALS!$E:$E,"&lt;"&amp;$C$221,DEALS!$K:$K,C$223,DEALS!$M:$M,$B226,DEALS!$N:$N,"&lt;&gt;*RECEIVED*",DEALS!$N:$N,"&lt;&gt;*EXECUTED*"))+SUM(SUMIFS(DEALS!$R:$R,DEALS!$A:$A,{"*REFUND*","*EXECUTED*"},DEALS!$O:$O,$B$219,DEALS!$E:$E,"&lt;"&amp;$C$221,DEALS!$S:$S,C$223,DEALS!$U:$U,$B226,DEALS!$V:$V,"&lt;&gt;*RECEIVED*",DEALS!$V:$V,"&lt;&gt;*EXECUTED*"))</f>
        <v>0</v>
      </c>
      <c r="D226" s="29" cm="1">
        <f t="array" ref="D226">SUMIFS(BALANCES!$C:$C,BALANCES!$A:$A,$B$219,BALANCES!$B:$B,$B226,BALANCES!$D:$D,D$223)+SUMIFS(FLOWS!$C:$C,FLOWS!$A:$A,$B$219,FLOWS!$E:$E,$B226,FLOWS!$D:$D,D$223,FLOWS!$H:$H,"&lt;"&amp;$C$221)+SUM(SUMIFS(DEALS!$J:$J,DEALS!$A:$A,{"*REFUND*","*EXECUTED*"},DEALS!$G:$G,$B$219,DEALS!$E:$E,"&lt;"&amp;$C$221,DEALS!$K:$K,D$223,DEALS!$M:$M,$B226,DEALS!$N:$N,"&lt;&gt;*RECEIVED*",DEALS!$N:$N,"&lt;&gt;*EXECUTED*"))+SUM(SUMIFS(DEALS!$R:$R,DEALS!$A:$A,{"*REFUND*","*EXECUTED*"},DEALS!$O:$O,$B$219,DEALS!$E:$E,"&lt;"&amp;$C$221,DEALS!$S:$S,D$223,DEALS!$U:$U,$B226,DEALS!$V:$V,"&lt;&gt;*RECEIVED*",DEALS!$V:$V,"&lt;&gt;*EXECUTED*"))</f>
        <v>0</v>
      </c>
      <c r="E226" s="29" cm="1">
        <f t="array" ref="E226">SUMIFS(BALANCES!$C:$C,BALANCES!$A:$A,$B$219,BALANCES!$B:$B,$B226,BALANCES!$D:$D,E$223)+SUMIFS(FLOWS!$C:$C,FLOWS!$A:$A,$B$219,FLOWS!$E:$E,$B226,FLOWS!$D:$D,E$223,FLOWS!$H:$H,"&lt;"&amp;$C$221)+SUM(SUMIFS(DEALS!$J:$J,DEALS!$A:$A,{"*REFUND*","*EXECUTED*"},DEALS!$G:$G,$B$219,DEALS!$E:$E,"&lt;"&amp;$C$221,DEALS!$K:$K,E$223,DEALS!$M:$M,$B226,DEALS!$N:$N,"&lt;&gt;*RECEIVED*",DEALS!$N:$N,"&lt;&gt;*EXECUTED*"))+SUM(SUMIFS(DEALS!$R:$R,DEALS!$A:$A,{"*REFUND*","*EXECUTED*"},DEALS!$O:$O,$B$219,DEALS!$E:$E,"&lt;"&amp;$C$221,DEALS!$S:$S,E$223,DEALS!$U:$U,$B226,DEALS!$V:$V,"&lt;&gt;*RECEIVED*",DEALS!$V:$V,"&lt;&gt;*EXECUTED*"))</f>
        <v>0</v>
      </c>
      <c r="F226" s="29" cm="1">
        <f t="array" ref="F226">SUMIFS(BALANCES!$C:$C,BALANCES!$A:$A,$B$219,BALANCES!$B:$B,$B226,BALANCES!$D:$D,F$223)+SUMIFS(FLOWS!$C:$C,FLOWS!$A:$A,$B$219,FLOWS!$E:$E,$B226,FLOWS!$D:$D,F$223,FLOWS!$H:$H,"&lt;"&amp;$C$221)+SUM(SUMIFS(DEALS!$J:$J,DEALS!$A:$A,{"*REFUND*","*EXECUTED*"},DEALS!$G:$G,$B$219,DEALS!$E:$E,"&lt;"&amp;$C$221,DEALS!$K:$K,F$223,DEALS!$M:$M,$B226,DEALS!$N:$N,"&lt;&gt;*RECEIVED*",DEALS!$N:$N,"&lt;&gt;*EXECUTED*"))+SUM(SUMIFS(DEALS!$R:$R,DEALS!$A:$A,{"*REFUND*","*EXECUTED*"},DEALS!$O:$O,$B$219,DEALS!$E:$E,"&lt;"&amp;$C$221,DEALS!$S:$S,F$223,DEALS!$U:$U,$B226,DEALS!$V:$V,"&lt;&gt;*RECEIVED*",DEALS!$V:$V,"&lt;&gt;*EXECUTED*"))</f>
        <v>0</v>
      </c>
      <c r="G226" s="29" cm="1">
        <f t="array" ref="G226">SUMIFS(BALANCES!$C:$C,BALANCES!$A:$A,$B$219,BALANCES!$B:$B,$B226,BALANCES!$D:$D,G$223)+SUMIFS(FLOWS!$C:$C,FLOWS!$A:$A,$B$219,FLOWS!$E:$E,$B226,FLOWS!$D:$D,G$223,FLOWS!$H:$H,"&lt;"&amp;$C$221)+SUM(SUMIFS(DEALS!$J:$J,DEALS!$A:$A,{"*REFUND*","*EXECUTED*"},DEALS!$G:$G,$B$219,DEALS!$E:$E,"&lt;"&amp;$C$221,DEALS!$K:$K,G$223,DEALS!$M:$M,$B226,DEALS!$N:$N,"&lt;&gt;*RECEIVED*",DEALS!$N:$N,"&lt;&gt;*EXECUTED*"))+SUM(SUMIFS(DEALS!$R:$R,DEALS!$A:$A,{"*REFUND*","*EXECUTED*"},DEALS!$O:$O,$B$219,DEALS!$E:$E,"&lt;"&amp;$C$221,DEALS!$S:$S,G$223,DEALS!$U:$U,$B226,DEALS!$V:$V,"&lt;&gt;*RECEIVED*",DEALS!$V:$V,"&lt;&gt;*EXECUTED*"))</f>
        <v>0</v>
      </c>
      <c r="H226" s="29" cm="1">
        <f t="array" ref="H226">SUMIFS(BALANCES!$C:$C,BALANCES!$A:$A,$B$219,BALANCES!$B:$B,$B226,BALANCES!$D:$D,H$223)+SUMIFS(FLOWS!$C:$C,FLOWS!$A:$A,$B$219,FLOWS!$E:$E,$B226,FLOWS!$D:$D,H$223,FLOWS!$H:$H,"&lt;"&amp;$C$221)+SUM(SUMIFS(DEALS!$J:$J,DEALS!$A:$A,{"*REFUND*","*EXECUTED*"},DEALS!$G:$G,$B$219,DEALS!$E:$E,"&lt;"&amp;$C$221,DEALS!$K:$K,H$223,DEALS!$M:$M,$B226,DEALS!$N:$N,"&lt;&gt;*RECEIVED*",DEALS!$N:$N,"&lt;&gt;*EXECUTED*"))+SUM(SUMIFS(DEALS!$R:$R,DEALS!$A:$A,{"*REFUND*","*EXECUTED*"},DEALS!$O:$O,$B$219,DEALS!$E:$E,"&lt;"&amp;$C$221,DEALS!$S:$S,H$223,DEALS!$U:$U,$B226,DEALS!$V:$V,"&lt;&gt;*RECEIVED*",DEALS!$V:$V,"&lt;&gt;*EXECUTED*"))</f>
        <v>0</v>
      </c>
      <c r="I226" s="30">
        <f ca="1">C226*VLOOKUP(C$223,'FX RATES'!$E$1:$F$50,2,FALSE)+D226*VLOOKUP(D$223,'FX RATES'!$E$1:$F$50,2,FALSE)+E226*VLOOKUP(E$223,'FX RATES'!$E$1:$F$50,2,FALSE)+F226*VLOOKUP(F$223,'FX RATES'!$E$1:$F$50,2,FALSE)+G226*VLOOKUP(G$223,'FX RATES'!$E$1:$F$50,2,FALSE)+H226*VLOOKUP(H$223,'FX RATES'!$E$1:$F$50,2,FALSE)</f>
        <v>0</v>
      </c>
      <c r="K226" s="28">
        <f t="shared" si="85"/>
        <v>0</v>
      </c>
      <c r="L226" s="29" cm="1">
        <f t="array" ref="L226">SUMIFS(FLOWS!$C:$C,FLOWS!$A:$A,$B$219,FLOWS!$E:$E,$K226,FLOWS!$D:$D,L$223,FLOWS!$H:$H,"&gt;="&amp;$C$221,FLOWS!$H:$H,"&lt;="&amp;$U$221)+SUM(SUMIFS(DEALS!$J:$J,DEALS!$A:$A,{"*REFUND*","*EXECUTED*"},DEALS!$G:$G,$B$219,DEALS!$E:$E,"&gt;="&amp;$C$221,DEALS!$E:$E,"&lt;="&amp;$U$221,DEALS!$K:$K,L$223,DEALS!$M:$M,$K226,DEALS!$N:$N,"&lt;&gt;*RECEIVED*",DEALS!$N:$N,"&lt;&gt;*EXECUTED*"))+SUM(SUMIFS(DEALS!$R:$R,DEALS!$A:$A,{"*REFUND*","*EXECUTED*"},DEALS!$O:$O,$B$219,DEALS!$E:$E,"&gt;="&amp;$C$221,DEALS!$E:$E,"&lt;="&amp;$U$221,DEALS!$S:$S,L$223,DEALS!$U:$U,$K226,DEALS!$V:$V,"&lt;&gt;*RECEIVED*",DEALS!$V:$V,"&lt;&gt;*EXECUTED*"))</f>
        <v>0</v>
      </c>
      <c r="M226" s="29" cm="1">
        <f t="array" ref="M226">SUMIFS(FLOWS!$C:$C,FLOWS!$A:$A,$B$219,FLOWS!$E:$E,$K226,FLOWS!$D:$D,M$223,FLOWS!$H:$H,"&gt;="&amp;$C$221,FLOWS!$H:$H,"&lt;="&amp;$U$221)+SUM(SUMIFS(DEALS!$J:$J,DEALS!$A:$A,{"*REFUND*","*EXECUTED*"},DEALS!$G:$G,$B$219,DEALS!$E:$E,"&gt;="&amp;$C$221,DEALS!$E:$E,"&lt;="&amp;$U$221,DEALS!$K:$K,M$223,DEALS!$M:$M,$K226,DEALS!$N:$N,"&lt;&gt;*RECEIVED*",DEALS!$N:$N,"&lt;&gt;*EXECUTED*"))+SUM(SUMIFS(DEALS!$R:$R,DEALS!$A:$A,{"*REFUND*","*EXECUTED*"},DEALS!$O:$O,$B$219,DEALS!$E:$E,"&gt;="&amp;$C$221,DEALS!$E:$E,"&lt;="&amp;$U$221,DEALS!$S:$S,M$223,DEALS!$U:$U,$K226,DEALS!$V:$V,"&lt;&gt;*RECEIVED*",DEALS!$V:$V,"&lt;&gt;*EXECUTED*"))</f>
        <v>0</v>
      </c>
      <c r="N226" s="29" cm="1">
        <f t="array" ref="N226">SUMIFS(FLOWS!$C:$C,FLOWS!$A:$A,$B$219,FLOWS!$E:$E,$K226,FLOWS!$D:$D,N$223,FLOWS!$H:$H,"&gt;="&amp;$C$221,FLOWS!$H:$H,"&lt;="&amp;$U$221)+SUM(SUMIFS(DEALS!$J:$J,DEALS!$A:$A,{"*REFUND*","*EXECUTED*"},DEALS!$G:$G,$B$219,DEALS!$E:$E,"&gt;="&amp;$C$221,DEALS!$E:$E,"&lt;="&amp;$U$221,DEALS!$K:$K,N$223,DEALS!$M:$M,$K226,DEALS!$N:$N,"&lt;&gt;*RECEIVED*",DEALS!$N:$N,"&lt;&gt;*EXECUTED*"))+SUM(SUMIFS(DEALS!$R:$R,DEALS!$A:$A,{"*REFUND*","*EXECUTED*"},DEALS!$O:$O,$B$219,DEALS!$E:$E,"&gt;="&amp;$C$221,DEALS!$E:$E,"&lt;="&amp;$U$221,DEALS!$S:$S,N$223,DEALS!$U:$U,$K226,DEALS!$V:$V,"&lt;&gt;*RECEIVED*",DEALS!$V:$V,"&lt;&gt;*EXECUTED*"))</f>
        <v>0</v>
      </c>
      <c r="O226" s="29" cm="1">
        <f t="array" ref="O226">SUMIFS(FLOWS!$C:$C,FLOWS!$A:$A,$B$219,FLOWS!$E:$E,$K226,FLOWS!$D:$D,O$223,FLOWS!$H:$H,"&gt;="&amp;$C$221,FLOWS!$H:$H,"&lt;="&amp;$U$221)+SUM(SUMIFS(DEALS!$J:$J,DEALS!$A:$A,{"*REFUND*","*EXECUTED*"},DEALS!$G:$G,$B$219,DEALS!$E:$E,"&gt;="&amp;$C$221,DEALS!$E:$E,"&lt;="&amp;$U$221,DEALS!$K:$K,O$223,DEALS!$M:$M,$K226,DEALS!$N:$N,"&lt;&gt;*RECEIVED*",DEALS!$N:$N,"&lt;&gt;*EXECUTED*"))+SUM(SUMIFS(DEALS!$R:$R,DEALS!$A:$A,{"*REFUND*","*EXECUTED*"},DEALS!$O:$O,$B$219,DEALS!$E:$E,"&gt;="&amp;$C$221,DEALS!$E:$E,"&lt;="&amp;$U$221,DEALS!$S:$S,O$223,DEALS!$U:$U,$K226,DEALS!$V:$V,"&lt;&gt;*RECEIVED*",DEALS!$V:$V,"&lt;&gt;*EXECUTED*"))</f>
        <v>0</v>
      </c>
      <c r="P226" s="29" cm="1">
        <f t="array" ref="P226">SUMIFS(FLOWS!$C:$C,FLOWS!$A:$A,$B$219,FLOWS!$E:$E,$K226,FLOWS!$D:$D,P$223,FLOWS!$H:$H,"&gt;="&amp;$C$221,FLOWS!$H:$H,"&lt;="&amp;$U$221)+SUM(SUMIFS(DEALS!$J:$J,DEALS!$A:$A,{"*REFUND*","*EXECUTED*"},DEALS!$G:$G,$B$219,DEALS!$E:$E,"&gt;="&amp;$C$221,DEALS!$E:$E,"&lt;="&amp;$U$221,DEALS!$K:$K,P$223,DEALS!$M:$M,$K226,DEALS!$N:$N,"&lt;&gt;*RECEIVED*",DEALS!$N:$N,"&lt;&gt;*EXECUTED*"))+SUM(SUMIFS(DEALS!$R:$R,DEALS!$A:$A,{"*REFUND*","*EXECUTED*"},DEALS!$O:$O,$B$219,DEALS!$E:$E,"&gt;="&amp;$C$221,DEALS!$E:$E,"&lt;="&amp;$U$221,DEALS!$S:$S,P$223,DEALS!$U:$U,$K226,DEALS!$V:$V,"&lt;&gt;*RECEIVED*",DEALS!$V:$V,"&lt;&gt;*EXECUTED*"))</f>
        <v>0</v>
      </c>
      <c r="Q226" s="29" cm="1">
        <f t="array" ref="Q226">SUMIFS(FLOWS!$C:$C,FLOWS!$A:$A,$B$219,FLOWS!$E:$E,$K226,FLOWS!$D:$D,Q$223,FLOWS!$H:$H,"&gt;="&amp;$C$221,FLOWS!$H:$H,"&lt;="&amp;$U$221)+SUM(SUMIFS(DEALS!$J:$J,DEALS!$A:$A,{"*REFUND*","*EXECUTED*"},DEALS!$G:$G,$B$219,DEALS!$E:$E,"&gt;="&amp;$C$221,DEALS!$E:$E,"&lt;="&amp;$U$221,DEALS!$K:$K,Q$223,DEALS!$M:$M,$K226,DEALS!$N:$N,"&lt;&gt;*RECEIVED*",DEALS!$N:$N,"&lt;&gt;*EXECUTED*"))+SUM(SUMIFS(DEALS!$R:$R,DEALS!$A:$A,{"*REFUND*","*EXECUTED*"},DEALS!$O:$O,$B$219,DEALS!$E:$E,"&gt;="&amp;$C$221,DEALS!$E:$E,"&lt;="&amp;$U$221,DEALS!$S:$S,Q$223,DEALS!$U:$U,$K226,DEALS!$V:$V,"&lt;&gt;*RECEIVED*",DEALS!$V:$V,"&lt;&gt;*EXECUTED*"))</f>
        <v>0</v>
      </c>
      <c r="R226" s="30">
        <f ca="1">L226*VLOOKUP(L$223,'FX RATES'!$E$1:$F$50,2,FALSE)+M226*VLOOKUP(M$223,'FX RATES'!$E$1:$F$50,2,FALSE)+N226*VLOOKUP(N$223,'FX RATES'!$E$1:$F$50,2,FALSE)+O226*VLOOKUP(O$223,'FX RATES'!$E$1:$F$50,2,FALSE)+P226*VLOOKUP(P$223,'FX RATES'!$E$1:$F$50,2,FALSE)+Q226*VLOOKUP(Q$223,'FX RATES'!$E$1:$F$50,2,FALSE)</f>
        <v>0</v>
      </c>
      <c r="T226" s="28">
        <f t="shared" si="86"/>
        <v>0</v>
      </c>
      <c r="U226" s="29" cm="1">
        <f t="array" ref="U226">SUMIFS(BALANCES!$C:$C,BALANCES!$A:$A,$B$219,BALANCES!$B:$B,$T226,BALANCES!$D:$D,U$223)+SUMIFS(FLOWS!$C:$C,FLOWS!$A:$A,$B$219,FLOWS!$E:$E,$T226,FLOWS!$D:$D,U$223,FLOWS!$H:$H,"&lt;="&amp;$U$221)+SUM(SUMIFS(DEALS!$J:$J,DEALS!$A:$A,{"*REFUND*","*EXECUTED*"},DEALS!$G:$G,$B$219,DEALS!$E:$E,"&lt;="&amp;$U$221,DEALS!$K:$K,U$223,DEALS!$M:$M,$T226,DEALS!$N:$N,"&lt;&gt;*RECEIVED*",DEALS!$N:$N,"&lt;&gt;*EXECUTED*"))+SUM(SUMIFS(DEALS!$R:$R,DEALS!$A:$A,{"*REFUND*","*EXECUTED*"},DEALS!$O:$O,$B$219,DEALS!$E:$E,"&lt;="&amp;$U$221,DEALS!$S:$S,U$223,DEALS!$U:$U,$T226,DEALS!$V:$V,"&lt;&gt;*RECEIVED*",DEALS!$V:$V,"&lt;&gt;*EXECUTED*"))</f>
        <v>0</v>
      </c>
      <c r="V226" s="29" cm="1">
        <f t="array" ref="V226">SUMIFS(BALANCES!$C:$C,BALANCES!$A:$A,$B$219,BALANCES!$B:$B,$T226,BALANCES!$D:$D,V$223)+SUMIFS(FLOWS!$C:$C,FLOWS!$A:$A,$B$219,FLOWS!$E:$E,$T226,FLOWS!$D:$D,V$223,FLOWS!$H:$H,"&lt;="&amp;$U$221)+SUM(SUMIFS(DEALS!$J:$J,DEALS!$A:$A,{"*REFUND*","*EXECUTED*"},DEALS!$G:$G,$B$219,DEALS!$E:$E,"&lt;="&amp;$U$221,DEALS!$K:$K,V$223,DEALS!$M:$M,$T226,DEALS!$N:$N,"&lt;&gt;*RECEIVED*",DEALS!$N:$N,"&lt;&gt;*EXECUTED*"))+SUM(SUMIFS(DEALS!$R:$R,DEALS!$A:$A,{"*REFUND*","*EXECUTED*"},DEALS!$O:$O,$B$219,DEALS!$E:$E,"&lt;="&amp;$U$221,DEALS!$S:$S,V$223,DEALS!$U:$U,$T226,DEALS!$V:$V,"&lt;&gt;*RECEIVED*",DEALS!$V:$V,"&lt;&gt;*EXECUTED*"))</f>
        <v>0</v>
      </c>
      <c r="W226" s="29" cm="1">
        <f t="array" ref="W226">SUMIFS(BALANCES!$C:$C,BALANCES!$A:$A,$B$219,BALANCES!$B:$B,$T226,BALANCES!$D:$D,W$223)+SUMIFS(FLOWS!$C:$C,FLOWS!$A:$A,$B$219,FLOWS!$E:$E,$T226,FLOWS!$D:$D,W$223,FLOWS!$H:$H,"&lt;="&amp;$U$221)+SUM(SUMIFS(DEALS!$J:$J,DEALS!$A:$A,{"*REFUND*","*EXECUTED*"},DEALS!$G:$G,$B$219,DEALS!$E:$E,"&lt;="&amp;$U$221,DEALS!$K:$K,W$223,DEALS!$M:$M,$T226,DEALS!$N:$N,"&lt;&gt;*RECEIVED*",DEALS!$N:$N,"&lt;&gt;*EXECUTED*"))+SUM(SUMIFS(DEALS!$R:$R,DEALS!$A:$A,{"*REFUND*","*EXECUTED*"},DEALS!$O:$O,$B$219,DEALS!$E:$E,"&lt;="&amp;$U$221,DEALS!$S:$S,W$223,DEALS!$U:$U,$T226,DEALS!$V:$V,"&lt;&gt;*RECEIVED*",DEALS!$V:$V,"&lt;&gt;*EXECUTED*"))</f>
        <v>0</v>
      </c>
      <c r="X226" s="29" cm="1">
        <f t="array" ref="X226">SUMIFS(BALANCES!$C:$C,BALANCES!$A:$A,$B$219,BALANCES!$B:$B,$T226,BALANCES!$D:$D,X$223)+SUMIFS(FLOWS!$C:$C,FLOWS!$A:$A,$B$219,FLOWS!$E:$E,$T226,FLOWS!$D:$D,X$223,FLOWS!$H:$H,"&lt;="&amp;$U$221)+SUM(SUMIFS(DEALS!$J:$J,DEALS!$A:$A,{"*REFUND*","*EXECUTED*"},DEALS!$G:$G,$B$219,DEALS!$E:$E,"&lt;="&amp;$U$221,DEALS!$K:$K,X$223,DEALS!$M:$M,$T226,DEALS!$N:$N,"&lt;&gt;*RECEIVED*",DEALS!$N:$N,"&lt;&gt;*EXECUTED*"))+SUM(SUMIFS(DEALS!$R:$R,DEALS!$A:$A,{"*REFUND*","*EXECUTED*"},DEALS!$O:$O,$B$219,DEALS!$E:$E,"&lt;="&amp;$U$221,DEALS!$S:$S,X$223,DEALS!$U:$U,$T226,DEALS!$V:$V,"&lt;&gt;*RECEIVED*",DEALS!$V:$V,"&lt;&gt;*EXECUTED*"))</f>
        <v>0</v>
      </c>
      <c r="Y226" s="29" cm="1">
        <f t="array" ref="Y226">SUMIFS(BALANCES!$C:$C,BALANCES!$A:$A,$B$219,BALANCES!$B:$B,$T226,BALANCES!$D:$D,Y$223)+SUMIFS(FLOWS!$C:$C,FLOWS!$A:$A,$B$219,FLOWS!$E:$E,$T226,FLOWS!$D:$D,Y$223,FLOWS!$H:$H,"&lt;="&amp;$U$221)+SUM(SUMIFS(DEALS!$J:$J,DEALS!$A:$A,{"*REFUND*","*EXECUTED*"},DEALS!$G:$G,$B$219,DEALS!$E:$E,"&lt;="&amp;$U$221,DEALS!$K:$K,Y$223,DEALS!$M:$M,$T226,DEALS!$N:$N,"&lt;&gt;*RECEIVED*",DEALS!$N:$N,"&lt;&gt;*EXECUTED*"))+SUM(SUMIFS(DEALS!$R:$R,DEALS!$A:$A,{"*REFUND*","*EXECUTED*"},DEALS!$O:$O,$B$219,DEALS!$E:$E,"&lt;="&amp;$U$221,DEALS!$S:$S,Y$223,DEALS!$U:$U,$T226,DEALS!$V:$V,"&lt;&gt;*RECEIVED*",DEALS!$V:$V,"&lt;&gt;*EXECUTED*"))</f>
        <v>0</v>
      </c>
      <c r="Z226" s="29" cm="1">
        <f t="array" ref="Z226">SUMIFS(BALANCES!$C:$C,BALANCES!$A:$A,$B$219,BALANCES!$B:$B,$T226,BALANCES!$D:$D,Z$223)+SUMIFS(FLOWS!$C:$C,FLOWS!$A:$A,$B$219,FLOWS!$E:$E,$T226,FLOWS!$D:$D,Z$223,FLOWS!$H:$H,"&lt;="&amp;$U$221)+SUM(SUMIFS(DEALS!$J:$J,DEALS!$A:$A,{"*REFUND*","*EXECUTED*"},DEALS!$G:$G,$B$219,DEALS!$E:$E,"&lt;="&amp;$U$221,DEALS!$K:$K,Z$223,DEALS!$M:$M,$T226,DEALS!$N:$N,"&lt;&gt;*RECEIVED*",DEALS!$N:$N,"&lt;&gt;*EXECUTED*"))+SUM(SUMIFS(DEALS!$R:$R,DEALS!$A:$A,{"*REFUND*","*EXECUTED*"},DEALS!$O:$O,$B$219,DEALS!$E:$E,"&lt;="&amp;$U$221,DEALS!$S:$S,Z$223,DEALS!$U:$U,$T226,DEALS!$V:$V,"&lt;&gt;*RECEIVED*",DEALS!$V:$V,"&lt;&gt;*EXECUTED*"))</f>
        <v>0</v>
      </c>
      <c r="AA226" s="30">
        <f ca="1">U226*VLOOKUP(U$223,'FX RATES'!$E$1:$F$50,2,FALSE)+V226*VLOOKUP(V$223,'FX RATES'!$E$1:$F$50,2,FALSE)+W226*VLOOKUP(W$223,'FX RATES'!$E$1:$F$50,2,FALSE)+X226*VLOOKUP(X$223,'FX RATES'!$E$1:$F$50,2,FALSE)+Y226*VLOOKUP(Y$223,'FX RATES'!$E$1:$F$50,2,FALSE)+Z226*VLOOKUP(Z$223,'FX RATES'!$E$1:$F$50,2,FALSE)</f>
        <v>0</v>
      </c>
      <c r="AC226" s="139">
        <f t="shared" ca="1" si="87"/>
        <v>0</v>
      </c>
    </row>
    <row r="227" spans="2:29" ht="18.75" hidden="1" customHeight="1">
      <c r="B227" s="31"/>
      <c r="C227" s="32" cm="1">
        <f t="array" ref="C227">SUMIFS(BALANCES!$C:$C,BALANCES!$A:$A,$B$219,BALANCES!$B:$B,$B227,BALANCES!$D:$D,C$223)+SUMIFS(FLOWS!$C:$C,FLOWS!$A:$A,$B$219,FLOWS!$E:$E,$B227,FLOWS!$D:$D,C$223,FLOWS!$H:$H,"&lt;"&amp;$C$221)+SUM(SUMIFS(DEALS!$J:$J,DEALS!$A:$A,{"*REFUND*","*EXECUTED*"},DEALS!$G:$G,$B$219,DEALS!$E:$E,"&lt;"&amp;$C$221,DEALS!$K:$K,C$223,DEALS!$M:$M,$B227,DEALS!$N:$N,"&lt;&gt;*RECEIVED*",DEALS!$N:$N,"&lt;&gt;*EXECUTED*"))+SUM(SUMIFS(DEALS!$R:$R,DEALS!$A:$A,{"*REFUND*","*EXECUTED*"},DEALS!$O:$O,$B$219,DEALS!$E:$E,"&lt;"&amp;$C$221,DEALS!$S:$S,C$223,DEALS!$U:$U,$B227,DEALS!$V:$V,"&lt;&gt;*RECEIVED*",DEALS!$V:$V,"&lt;&gt;*EXECUTED*"))</f>
        <v>0</v>
      </c>
      <c r="D227" s="32" cm="1">
        <f t="array" ref="D227">SUMIFS(BALANCES!$C:$C,BALANCES!$A:$A,$B$219,BALANCES!$B:$B,$B227,BALANCES!$D:$D,D$223)+SUMIFS(FLOWS!$C:$C,FLOWS!$A:$A,$B$219,FLOWS!$E:$E,$B227,FLOWS!$D:$D,D$223,FLOWS!$H:$H,"&lt;"&amp;$C$221)+SUM(SUMIFS(DEALS!$J:$J,DEALS!$A:$A,{"*REFUND*","*EXECUTED*"},DEALS!$G:$G,$B$219,DEALS!$E:$E,"&lt;"&amp;$C$221,DEALS!$K:$K,D$223,DEALS!$M:$M,$B227,DEALS!$N:$N,"&lt;&gt;*RECEIVED*",DEALS!$N:$N,"&lt;&gt;*EXECUTED*"))+SUM(SUMIFS(DEALS!$R:$R,DEALS!$A:$A,{"*REFUND*","*EXECUTED*"},DEALS!$O:$O,$B$219,DEALS!$E:$E,"&lt;"&amp;$C$221,DEALS!$S:$S,D$223,DEALS!$U:$U,$B227,DEALS!$V:$V,"&lt;&gt;*RECEIVED*",DEALS!$V:$V,"&lt;&gt;*EXECUTED*"))</f>
        <v>0</v>
      </c>
      <c r="E227" s="32" cm="1">
        <f t="array" ref="E227">SUMIFS(BALANCES!$C:$C,BALANCES!$A:$A,$B$219,BALANCES!$B:$B,$B227,BALANCES!$D:$D,E$223)+SUMIFS(FLOWS!$C:$C,FLOWS!$A:$A,$B$219,FLOWS!$E:$E,$B227,FLOWS!$D:$D,E$223,FLOWS!$H:$H,"&lt;"&amp;$C$221)+SUM(SUMIFS(DEALS!$J:$J,DEALS!$A:$A,{"*REFUND*","*EXECUTED*"},DEALS!$G:$G,$B$219,DEALS!$E:$E,"&lt;"&amp;$C$221,DEALS!$K:$K,E$223,DEALS!$M:$M,$B227,DEALS!$N:$N,"&lt;&gt;*RECEIVED*",DEALS!$N:$N,"&lt;&gt;*EXECUTED*"))+SUM(SUMIFS(DEALS!$R:$R,DEALS!$A:$A,{"*REFUND*","*EXECUTED*"},DEALS!$O:$O,$B$219,DEALS!$E:$E,"&lt;"&amp;$C$221,DEALS!$S:$S,E$223,DEALS!$U:$U,$B227,DEALS!$V:$V,"&lt;&gt;*RECEIVED*",DEALS!$V:$V,"&lt;&gt;*EXECUTED*"))</f>
        <v>0</v>
      </c>
      <c r="F227" s="32" cm="1">
        <f t="array" ref="F227">SUMIFS(BALANCES!$C:$C,BALANCES!$A:$A,$B$219,BALANCES!$B:$B,$B227,BALANCES!$D:$D,F$223)+SUMIFS(FLOWS!$C:$C,FLOWS!$A:$A,$B$219,FLOWS!$E:$E,$B227,FLOWS!$D:$D,F$223,FLOWS!$H:$H,"&lt;"&amp;$C$221)+SUM(SUMIFS(DEALS!$J:$J,DEALS!$A:$A,{"*REFUND*","*EXECUTED*"},DEALS!$G:$G,$B$219,DEALS!$E:$E,"&lt;"&amp;$C$221,DEALS!$K:$K,F$223,DEALS!$M:$M,$B227,DEALS!$N:$N,"&lt;&gt;*RECEIVED*",DEALS!$N:$N,"&lt;&gt;*EXECUTED*"))+SUM(SUMIFS(DEALS!$R:$R,DEALS!$A:$A,{"*REFUND*","*EXECUTED*"},DEALS!$O:$O,$B$219,DEALS!$E:$E,"&lt;"&amp;$C$221,DEALS!$S:$S,F$223,DEALS!$U:$U,$B227,DEALS!$V:$V,"&lt;&gt;*RECEIVED*",DEALS!$V:$V,"&lt;&gt;*EXECUTED*"))</f>
        <v>0</v>
      </c>
      <c r="G227" s="32" cm="1">
        <f t="array" ref="G227">SUMIFS(BALANCES!$C:$C,BALANCES!$A:$A,$B$219,BALANCES!$B:$B,$B227,BALANCES!$D:$D,G$223)+SUMIFS(FLOWS!$C:$C,FLOWS!$A:$A,$B$219,FLOWS!$E:$E,$B227,FLOWS!$D:$D,G$223,FLOWS!$H:$H,"&lt;"&amp;$C$221)+SUM(SUMIFS(DEALS!$J:$J,DEALS!$A:$A,{"*REFUND*","*EXECUTED*"},DEALS!$G:$G,$B$219,DEALS!$E:$E,"&lt;"&amp;$C$221,DEALS!$K:$K,G$223,DEALS!$M:$M,$B227,DEALS!$N:$N,"&lt;&gt;*RECEIVED*",DEALS!$N:$N,"&lt;&gt;*EXECUTED*"))+SUM(SUMIFS(DEALS!$R:$R,DEALS!$A:$A,{"*REFUND*","*EXECUTED*"},DEALS!$O:$O,$B$219,DEALS!$E:$E,"&lt;"&amp;$C$221,DEALS!$S:$S,G$223,DEALS!$U:$U,$B227,DEALS!$V:$V,"&lt;&gt;*RECEIVED*",DEALS!$V:$V,"&lt;&gt;*EXECUTED*"))</f>
        <v>0</v>
      </c>
      <c r="H227" s="32" cm="1">
        <f t="array" ref="H227">SUMIFS(BALANCES!$C:$C,BALANCES!$A:$A,$B$219,BALANCES!$B:$B,$B227,BALANCES!$D:$D,H$223)+SUMIFS(FLOWS!$C:$C,FLOWS!$A:$A,$B$219,FLOWS!$E:$E,$B227,FLOWS!$D:$D,H$223,FLOWS!$H:$H,"&lt;"&amp;$C$221)+SUM(SUMIFS(DEALS!$J:$J,DEALS!$A:$A,{"*REFUND*","*EXECUTED*"},DEALS!$G:$G,$B$219,DEALS!$E:$E,"&lt;"&amp;$C$221,DEALS!$K:$K,H$223,DEALS!$M:$M,$B227,DEALS!$N:$N,"&lt;&gt;*RECEIVED*",DEALS!$N:$N,"&lt;&gt;*EXECUTED*"))+SUM(SUMIFS(DEALS!$R:$R,DEALS!$A:$A,{"*REFUND*","*EXECUTED*"},DEALS!$O:$O,$B$219,DEALS!$E:$E,"&lt;"&amp;$C$221,DEALS!$S:$S,H$223,DEALS!$U:$U,$B227,DEALS!$V:$V,"&lt;&gt;*RECEIVED*",DEALS!$V:$V,"&lt;&gt;*EXECUTED*"))</f>
        <v>0</v>
      </c>
      <c r="I227" s="33">
        <f ca="1">C227*VLOOKUP(C$223,'FX RATES'!$E$1:$F$50,2,FALSE)+D227*VLOOKUP(D$223,'FX RATES'!$E$1:$F$50,2,FALSE)+E227*VLOOKUP(E$223,'FX RATES'!$E$1:$F$50,2,FALSE)+F227*VLOOKUP(F$223,'FX RATES'!$E$1:$F$50,2,FALSE)+G227*VLOOKUP(G$223,'FX RATES'!$E$1:$F$50,2,FALSE)+H227*VLOOKUP(H$223,'FX RATES'!$E$1:$F$50,2,FALSE)</f>
        <v>0</v>
      </c>
      <c r="K227" s="31">
        <f t="shared" si="85"/>
        <v>0</v>
      </c>
      <c r="L227" s="32" cm="1">
        <f t="array" ref="L227">SUMIFS(FLOWS!$C:$C,FLOWS!$A:$A,$B$219,FLOWS!$E:$E,$K227,FLOWS!$D:$D,L$223,FLOWS!$H:$H,"&gt;="&amp;$C$221,FLOWS!$H:$H,"&lt;="&amp;$U$221)+SUM(SUMIFS(DEALS!$J:$J,DEALS!$A:$A,{"*REFUND*","*EXECUTED*"},DEALS!$G:$G,$B$219,DEALS!$E:$E,"&gt;="&amp;$C$221,DEALS!$E:$E,"&lt;="&amp;$U$221,DEALS!$K:$K,L$223,DEALS!$M:$M,$K227,DEALS!$N:$N,"&lt;&gt;*RECEIVED*",DEALS!$N:$N,"&lt;&gt;*EXECUTED*"))+SUM(SUMIFS(DEALS!$R:$R,DEALS!$A:$A,{"*REFUND*","*EXECUTED*"},DEALS!$O:$O,$B$219,DEALS!$E:$E,"&gt;="&amp;$C$221,DEALS!$E:$E,"&lt;="&amp;$U$221,DEALS!$S:$S,L$223,DEALS!$U:$U,$K227,DEALS!$V:$V,"&lt;&gt;*RECEIVED*",DEALS!$V:$V,"&lt;&gt;*EXECUTED*"))</f>
        <v>0</v>
      </c>
      <c r="M227" s="32" cm="1">
        <f t="array" ref="M227">SUMIFS(FLOWS!$C:$C,FLOWS!$A:$A,$B$219,FLOWS!$E:$E,$K227,FLOWS!$D:$D,M$223,FLOWS!$H:$H,"&gt;="&amp;$C$221,FLOWS!$H:$H,"&lt;="&amp;$U$221)+SUM(SUMIFS(DEALS!$J:$J,DEALS!$A:$A,{"*REFUND*","*EXECUTED*"},DEALS!$G:$G,$B$219,DEALS!$E:$E,"&gt;="&amp;$C$221,DEALS!$E:$E,"&lt;="&amp;$U$221,DEALS!$K:$K,M$223,DEALS!$M:$M,$K227,DEALS!$N:$N,"&lt;&gt;*RECEIVED*",DEALS!$N:$N,"&lt;&gt;*EXECUTED*"))+SUM(SUMIFS(DEALS!$R:$R,DEALS!$A:$A,{"*REFUND*","*EXECUTED*"},DEALS!$O:$O,$B$219,DEALS!$E:$E,"&gt;="&amp;$C$221,DEALS!$E:$E,"&lt;="&amp;$U$221,DEALS!$S:$S,M$223,DEALS!$U:$U,$K227,DEALS!$V:$V,"&lt;&gt;*RECEIVED*",DEALS!$V:$V,"&lt;&gt;*EXECUTED*"))</f>
        <v>0</v>
      </c>
      <c r="N227" s="32" cm="1">
        <f t="array" ref="N227">SUMIFS(FLOWS!$C:$C,FLOWS!$A:$A,$B$219,FLOWS!$E:$E,$K227,FLOWS!$D:$D,N$223,FLOWS!$H:$H,"&gt;="&amp;$C$221,FLOWS!$H:$H,"&lt;="&amp;$U$221)+SUM(SUMIFS(DEALS!$J:$J,DEALS!$A:$A,{"*REFUND*","*EXECUTED*"},DEALS!$G:$G,$B$219,DEALS!$E:$E,"&gt;="&amp;$C$221,DEALS!$E:$E,"&lt;="&amp;$U$221,DEALS!$K:$K,N$223,DEALS!$M:$M,$K227,DEALS!$N:$N,"&lt;&gt;*RECEIVED*",DEALS!$N:$N,"&lt;&gt;*EXECUTED*"))+SUM(SUMIFS(DEALS!$R:$R,DEALS!$A:$A,{"*REFUND*","*EXECUTED*"},DEALS!$O:$O,$B$219,DEALS!$E:$E,"&gt;="&amp;$C$221,DEALS!$E:$E,"&lt;="&amp;$U$221,DEALS!$S:$S,N$223,DEALS!$U:$U,$K227,DEALS!$V:$V,"&lt;&gt;*RECEIVED*",DEALS!$V:$V,"&lt;&gt;*EXECUTED*"))</f>
        <v>0</v>
      </c>
      <c r="O227" s="32" cm="1">
        <f t="array" ref="O227">SUMIFS(FLOWS!$C:$C,FLOWS!$A:$A,$B$219,FLOWS!$E:$E,$K227,FLOWS!$D:$D,O$223,FLOWS!$H:$H,"&gt;="&amp;$C$221,FLOWS!$H:$H,"&lt;="&amp;$U$221)+SUM(SUMIFS(DEALS!$J:$J,DEALS!$A:$A,{"*REFUND*","*EXECUTED*"},DEALS!$G:$G,$B$219,DEALS!$E:$E,"&gt;="&amp;$C$221,DEALS!$E:$E,"&lt;="&amp;$U$221,DEALS!$K:$K,O$223,DEALS!$M:$M,$K227,DEALS!$N:$N,"&lt;&gt;*RECEIVED*",DEALS!$N:$N,"&lt;&gt;*EXECUTED*"))+SUM(SUMIFS(DEALS!$R:$R,DEALS!$A:$A,{"*REFUND*","*EXECUTED*"},DEALS!$O:$O,$B$219,DEALS!$E:$E,"&gt;="&amp;$C$221,DEALS!$E:$E,"&lt;="&amp;$U$221,DEALS!$S:$S,O$223,DEALS!$U:$U,$K227,DEALS!$V:$V,"&lt;&gt;*RECEIVED*",DEALS!$V:$V,"&lt;&gt;*EXECUTED*"))</f>
        <v>0</v>
      </c>
      <c r="P227" s="32" cm="1">
        <f t="array" ref="P227">SUMIFS(FLOWS!$C:$C,FLOWS!$A:$A,$B$219,FLOWS!$E:$E,$K227,FLOWS!$D:$D,P$223,FLOWS!$H:$H,"&gt;="&amp;$C$221,FLOWS!$H:$H,"&lt;="&amp;$U$221)+SUM(SUMIFS(DEALS!$J:$J,DEALS!$A:$A,{"*REFUND*","*EXECUTED*"},DEALS!$G:$G,$B$219,DEALS!$E:$E,"&gt;="&amp;$C$221,DEALS!$E:$E,"&lt;="&amp;$U$221,DEALS!$K:$K,P$223,DEALS!$M:$M,$K227,DEALS!$N:$N,"&lt;&gt;*RECEIVED*",DEALS!$N:$N,"&lt;&gt;*EXECUTED*"))+SUM(SUMIFS(DEALS!$R:$R,DEALS!$A:$A,{"*REFUND*","*EXECUTED*"},DEALS!$O:$O,$B$219,DEALS!$E:$E,"&gt;="&amp;$C$221,DEALS!$E:$E,"&lt;="&amp;$U$221,DEALS!$S:$S,P$223,DEALS!$U:$U,$K227,DEALS!$V:$V,"&lt;&gt;*RECEIVED*",DEALS!$V:$V,"&lt;&gt;*EXECUTED*"))</f>
        <v>0</v>
      </c>
      <c r="Q227" s="32" cm="1">
        <f t="array" ref="Q227">SUMIFS(FLOWS!$C:$C,FLOWS!$A:$A,$B$219,FLOWS!$E:$E,$K227,FLOWS!$D:$D,Q$223,FLOWS!$H:$H,"&gt;="&amp;$C$221,FLOWS!$H:$H,"&lt;="&amp;$U$221)+SUM(SUMIFS(DEALS!$J:$J,DEALS!$A:$A,{"*REFUND*","*EXECUTED*"},DEALS!$G:$G,$B$219,DEALS!$E:$E,"&gt;="&amp;$C$221,DEALS!$E:$E,"&lt;="&amp;$U$221,DEALS!$K:$K,Q$223,DEALS!$M:$M,$K227,DEALS!$N:$N,"&lt;&gt;*RECEIVED*",DEALS!$N:$N,"&lt;&gt;*EXECUTED*"))+SUM(SUMIFS(DEALS!$R:$R,DEALS!$A:$A,{"*REFUND*","*EXECUTED*"},DEALS!$O:$O,$B$219,DEALS!$E:$E,"&gt;="&amp;$C$221,DEALS!$E:$E,"&lt;="&amp;$U$221,DEALS!$S:$S,Q$223,DEALS!$U:$U,$K227,DEALS!$V:$V,"&lt;&gt;*RECEIVED*",DEALS!$V:$V,"&lt;&gt;*EXECUTED*"))</f>
        <v>0</v>
      </c>
      <c r="R227" s="33">
        <f ca="1">L227*VLOOKUP(L$223,'FX RATES'!$E$1:$F$50,2,FALSE)+M227*VLOOKUP(M$223,'FX RATES'!$E$1:$F$50,2,FALSE)+N227*VLOOKUP(N$223,'FX RATES'!$E$1:$F$50,2,FALSE)+O227*VLOOKUP(O$223,'FX RATES'!$E$1:$F$50,2,FALSE)+P227*VLOOKUP(P$223,'FX RATES'!$E$1:$F$50,2,FALSE)+Q227*VLOOKUP(Q$223,'FX RATES'!$E$1:$F$50,2,FALSE)</f>
        <v>0</v>
      </c>
      <c r="T227" s="31">
        <f t="shared" si="86"/>
        <v>0</v>
      </c>
      <c r="U227" s="32" cm="1">
        <f t="array" ref="U227">SUMIFS(BALANCES!$C:$C,BALANCES!$A:$A,$B$219,BALANCES!$B:$B,$T227,BALANCES!$D:$D,U$223)+SUMIFS(FLOWS!$C:$C,FLOWS!$A:$A,$B$219,FLOWS!$E:$E,$T227,FLOWS!$D:$D,U$223,FLOWS!$H:$H,"&lt;="&amp;$U$221)+SUM(SUMIFS(DEALS!$J:$J,DEALS!$A:$A,{"*REFUND*","*EXECUTED*"},DEALS!$G:$G,$B$219,DEALS!$E:$E,"&lt;="&amp;$U$221,DEALS!$K:$K,U$223,DEALS!$M:$M,$T227,DEALS!$N:$N,"&lt;&gt;*RECEIVED*",DEALS!$N:$N,"&lt;&gt;*EXECUTED*"))+SUM(SUMIFS(DEALS!$R:$R,DEALS!$A:$A,{"*REFUND*","*EXECUTED*"},DEALS!$O:$O,$B$219,DEALS!$E:$E,"&lt;="&amp;$U$221,DEALS!$S:$S,U$223,DEALS!$U:$U,$T227,DEALS!$V:$V,"&lt;&gt;*RECEIVED*",DEALS!$V:$V,"&lt;&gt;*EXECUTED*"))</f>
        <v>0</v>
      </c>
      <c r="V227" s="32" cm="1">
        <f t="array" ref="V227">SUMIFS(BALANCES!$C:$C,BALANCES!$A:$A,$B$219,BALANCES!$B:$B,$T227,BALANCES!$D:$D,V$223)+SUMIFS(FLOWS!$C:$C,FLOWS!$A:$A,$B$219,FLOWS!$E:$E,$T227,FLOWS!$D:$D,V$223,FLOWS!$H:$H,"&lt;="&amp;$U$221)+SUM(SUMIFS(DEALS!$J:$J,DEALS!$A:$A,{"*REFUND*","*EXECUTED*"},DEALS!$G:$G,$B$219,DEALS!$E:$E,"&lt;="&amp;$U$221,DEALS!$K:$K,V$223,DEALS!$M:$M,$T227,DEALS!$N:$N,"&lt;&gt;*RECEIVED*",DEALS!$N:$N,"&lt;&gt;*EXECUTED*"))+SUM(SUMIFS(DEALS!$R:$R,DEALS!$A:$A,{"*REFUND*","*EXECUTED*"},DEALS!$O:$O,$B$219,DEALS!$E:$E,"&lt;="&amp;$U$221,DEALS!$S:$S,V$223,DEALS!$U:$U,$T227,DEALS!$V:$V,"&lt;&gt;*RECEIVED*",DEALS!$V:$V,"&lt;&gt;*EXECUTED*"))</f>
        <v>0</v>
      </c>
      <c r="W227" s="32" cm="1">
        <f t="array" ref="W227">SUMIFS(BALANCES!$C:$C,BALANCES!$A:$A,$B$219,BALANCES!$B:$B,$T227,BALANCES!$D:$D,W$223)+SUMIFS(FLOWS!$C:$C,FLOWS!$A:$A,$B$219,FLOWS!$E:$E,$T227,FLOWS!$D:$D,W$223,FLOWS!$H:$H,"&lt;="&amp;$U$221)+SUM(SUMIFS(DEALS!$J:$J,DEALS!$A:$A,{"*REFUND*","*EXECUTED*"},DEALS!$G:$G,$B$219,DEALS!$E:$E,"&lt;="&amp;$U$221,DEALS!$K:$K,W$223,DEALS!$M:$M,$T227,DEALS!$N:$N,"&lt;&gt;*RECEIVED*",DEALS!$N:$N,"&lt;&gt;*EXECUTED*"))+SUM(SUMIFS(DEALS!$R:$R,DEALS!$A:$A,{"*REFUND*","*EXECUTED*"},DEALS!$O:$O,$B$219,DEALS!$E:$E,"&lt;="&amp;$U$221,DEALS!$S:$S,W$223,DEALS!$U:$U,$T227,DEALS!$V:$V,"&lt;&gt;*RECEIVED*",DEALS!$V:$V,"&lt;&gt;*EXECUTED*"))</f>
        <v>0</v>
      </c>
      <c r="X227" s="32" cm="1">
        <f t="array" ref="X227">SUMIFS(BALANCES!$C:$C,BALANCES!$A:$A,$B$219,BALANCES!$B:$B,$T227,BALANCES!$D:$D,X$223)+SUMIFS(FLOWS!$C:$C,FLOWS!$A:$A,$B$219,FLOWS!$E:$E,$T227,FLOWS!$D:$D,X$223,FLOWS!$H:$H,"&lt;="&amp;$U$221)+SUM(SUMIFS(DEALS!$J:$J,DEALS!$A:$A,{"*REFUND*","*EXECUTED*"},DEALS!$G:$G,$B$219,DEALS!$E:$E,"&lt;="&amp;$U$221,DEALS!$K:$K,X$223,DEALS!$M:$M,$T227,DEALS!$N:$N,"&lt;&gt;*RECEIVED*",DEALS!$N:$N,"&lt;&gt;*EXECUTED*"))+SUM(SUMIFS(DEALS!$R:$R,DEALS!$A:$A,{"*REFUND*","*EXECUTED*"},DEALS!$O:$O,$B$219,DEALS!$E:$E,"&lt;="&amp;$U$221,DEALS!$S:$S,X$223,DEALS!$U:$U,$T227,DEALS!$V:$V,"&lt;&gt;*RECEIVED*",DEALS!$V:$V,"&lt;&gt;*EXECUTED*"))</f>
        <v>0</v>
      </c>
      <c r="Y227" s="32" cm="1">
        <f t="array" ref="Y227">SUMIFS(BALANCES!$C:$C,BALANCES!$A:$A,$B$219,BALANCES!$B:$B,$T227,BALANCES!$D:$D,Y$223)+SUMIFS(FLOWS!$C:$C,FLOWS!$A:$A,$B$219,FLOWS!$E:$E,$T227,FLOWS!$D:$D,Y$223,FLOWS!$H:$H,"&lt;="&amp;$U$221)+SUM(SUMIFS(DEALS!$J:$J,DEALS!$A:$A,{"*REFUND*","*EXECUTED*"},DEALS!$G:$G,$B$219,DEALS!$E:$E,"&lt;="&amp;$U$221,DEALS!$K:$K,Y$223,DEALS!$M:$M,$T227,DEALS!$N:$N,"&lt;&gt;*RECEIVED*",DEALS!$N:$N,"&lt;&gt;*EXECUTED*"))+SUM(SUMIFS(DEALS!$R:$R,DEALS!$A:$A,{"*REFUND*","*EXECUTED*"},DEALS!$O:$O,$B$219,DEALS!$E:$E,"&lt;="&amp;$U$221,DEALS!$S:$S,Y$223,DEALS!$U:$U,$T227,DEALS!$V:$V,"&lt;&gt;*RECEIVED*",DEALS!$V:$V,"&lt;&gt;*EXECUTED*"))</f>
        <v>0</v>
      </c>
      <c r="Z227" s="32" cm="1">
        <f t="array" ref="Z227">SUMIFS(BALANCES!$C:$C,BALANCES!$A:$A,$B$219,BALANCES!$B:$B,$T227,BALANCES!$D:$D,Z$223)+SUMIFS(FLOWS!$C:$C,FLOWS!$A:$A,$B$219,FLOWS!$E:$E,$T227,FLOWS!$D:$D,Z$223,FLOWS!$H:$H,"&lt;="&amp;$U$221)+SUM(SUMIFS(DEALS!$J:$J,DEALS!$A:$A,{"*REFUND*","*EXECUTED*"},DEALS!$G:$G,$B$219,DEALS!$E:$E,"&lt;="&amp;$U$221,DEALS!$K:$K,Z$223,DEALS!$M:$M,$T227,DEALS!$N:$N,"&lt;&gt;*RECEIVED*",DEALS!$N:$N,"&lt;&gt;*EXECUTED*"))+SUM(SUMIFS(DEALS!$R:$R,DEALS!$A:$A,{"*REFUND*","*EXECUTED*"},DEALS!$O:$O,$B$219,DEALS!$E:$E,"&lt;="&amp;$U$221,DEALS!$S:$S,Z$223,DEALS!$U:$U,$T227,DEALS!$V:$V,"&lt;&gt;*RECEIVED*",DEALS!$V:$V,"&lt;&gt;*EXECUTED*"))</f>
        <v>0</v>
      </c>
      <c r="AA227" s="33">
        <f ca="1">U227*VLOOKUP(U$223,'FX RATES'!$E$1:$F$50,2,FALSE)+V227*VLOOKUP(V$223,'FX RATES'!$E$1:$F$50,2,FALSE)+W227*VLOOKUP(W$223,'FX RATES'!$E$1:$F$50,2,FALSE)+X227*VLOOKUP(X$223,'FX RATES'!$E$1:$F$50,2,FALSE)+Y227*VLOOKUP(Y$223,'FX RATES'!$E$1:$F$50,2,FALSE)+Z227*VLOOKUP(Z$223,'FX RATES'!$E$1:$F$50,2,FALSE)</f>
        <v>0</v>
      </c>
      <c r="AC227" s="139">
        <f t="shared" ca="1" si="87"/>
        <v>0</v>
      </c>
    </row>
    <row r="228" spans="2:29" ht="18.75" hidden="1" customHeight="1">
      <c r="B228" s="28"/>
      <c r="C228" s="29" cm="1">
        <f t="array" ref="C228">SUMIFS(BALANCES!$C:$C,BALANCES!$A:$A,$B$219,BALANCES!$B:$B,$B228,BALANCES!$D:$D,C$223)+SUMIFS(FLOWS!$C:$C,FLOWS!$A:$A,$B$219,FLOWS!$E:$E,$B228,FLOWS!$D:$D,C$223,FLOWS!$H:$H,"&lt;"&amp;$C$221)+SUM(SUMIFS(DEALS!$J:$J,DEALS!$A:$A,{"*REFUND*","*EXECUTED*"},DEALS!$G:$G,$B$219,DEALS!$E:$E,"&lt;"&amp;$C$221,DEALS!$K:$K,C$223,DEALS!$M:$M,$B228,DEALS!$N:$N,"&lt;&gt;*RECEIVED*",DEALS!$N:$N,"&lt;&gt;*EXECUTED*"))+SUM(SUMIFS(DEALS!$R:$R,DEALS!$A:$A,{"*REFUND*","*EXECUTED*"},DEALS!$O:$O,$B$219,DEALS!$E:$E,"&lt;"&amp;$C$221,DEALS!$S:$S,C$223,DEALS!$U:$U,$B228,DEALS!$V:$V,"&lt;&gt;*RECEIVED*",DEALS!$V:$V,"&lt;&gt;*EXECUTED*"))</f>
        <v>0</v>
      </c>
      <c r="D228" s="29" cm="1">
        <f t="array" ref="D228">SUMIFS(BALANCES!$C:$C,BALANCES!$A:$A,$B$219,BALANCES!$B:$B,$B228,BALANCES!$D:$D,D$223)+SUMIFS(FLOWS!$C:$C,FLOWS!$A:$A,$B$219,FLOWS!$E:$E,$B228,FLOWS!$D:$D,D$223,FLOWS!$H:$H,"&lt;"&amp;$C$221)+SUM(SUMIFS(DEALS!$J:$J,DEALS!$A:$A,{"*REFUND*","*EXECUTED*"},DEALS!$G:$G,$B$219,DEALS!$E:$E,"&lt;"&amp;$C$221,DEALS!$K:$K,D$223,DEALS!$M:$M,$B228,DEALS!$N:$N,"&lt;&gt;*RECEIVED*",DEALS!$N:$N,"&lt;&gt;*EXECUTED*"))+SUM(SUMIFS(DEALS!$R:$R,DEALS!$A:$A,{"*REFUND*","*EXECUTED*"},DEALS!$O:$O,$B$219,DEALS!$E:$E,"&lt;"&amp;$C$221,DEALS!$S:$S,D$223,DEALS!$U:$U,$B228,DEALS!$V:$V,"&lt;&gt;*RECEIVED*",DEALS!$V:$V,"&lt;&gt;*EXECUTED*"))</f>
        <v>0</v>
      </c>
      <c r="E228" s="29" cm="1">
        <f t="array" ref="E228">SUMIFS(BALANCES!$C:$C,BALANCES!$A:$A,$B$219,BALANCES!$B:$B,$B228,BALANCES!$D:$D,E$223)+SUMIFS(FLOWS!$C:$C,FLOWS!$A:$A,$B$219,FLOWS!$E:$E,$B228,FLOWS!$D:$D,E$223,FLOWS!$H:$H,"&lt;"&amp;$C$221)+SUM(SUMIFS(DEALS!$J:$J,DEALS!$A:$A,{"*REFUND*","*EXECUTED*"},DEALS!$G:$G,$B$219,DEALS!$E:$E,"&lt;"&amp;$C$221,DEALS!$K:$K,E$223,DEALS!$M:$M,$B228,DEALS!$N:$N,"&lt;&gt;*RECEIVED*",DEALS!$N:$N,"&lt;&gt;*EXECUTED*"))+SUM(SUMIFS(DEALS!$R:$R,DEALS!$A:$A,{"*REFUND*","*EXECUTED*"},DEALS!$O:$O,$B$219,DEALS!$E:$E,"&lt;"&amp;$C$221,DEALS!$S:$S,E$223,DEALS!$U:$U,$B228,DEALS!$V:$V,"&lt;&gt;*RECEIVED*",DEALS!$V:$V,"&lt;&gt;*EXECUTED*"))</f>
        <v>0</v>
      </c>
      <c r="F228" s="29" cm="1">
        <f t="array" ref="F228">SUMIFS(BALANCES!$C:$C,BALANCES!$A:$A,$B$219,BALANCES!$B:$B,$B228,BALANCES!$D:$D,F$223)+SUMIFS(FLOWS!$C:$C,FLOWS!$A:$A,$B$219,FLOWS!$E:$E,$B228,FLOWS!$D:$D,F$223,FLOWS!$H:$H,"&lt;"&amp;$C$221)+SUM(SUMIFS(DEALS!$J:$J,DEALS!$A:$A,{"*REFUND*","*EXECUTED*"},DEALS!$G:$G,$B$219,DEALS!$E:$E,"&lt;"&amp;$C$221,DEALS!$K:$K,F$223,DEALS!$M:$M,$B228,DEALS!$N:$N,"&lt;&gt;*RECEIVED*",DEALS!$N:$N,"&lt;&gt;*EXECUTED*"))+SUM(SUMIFS(DEALS!$R:$R,DEALS!$A:$A,{"*REFUND*","*EXECUTED*"},DEALS!$O:$O,$B$219,DEALS!$E:$E,"&lt;"&amp;$C$221,DEALS!$S:$S,F$223,DEALS!$U:$U,$B228,DEALS!$V:$V,"&lt;&gt;*RECEIVED*",DEALS!$V:$V,"&lt;&gt;*EXECUTED*"))</f>
        <v>0</v>
      </c>
      <c r="G228" s="29" cm="1">
        <f t="array" ref="G228">SUMIFS(BALANCES!$C:$C,BALANCES!$A:$A,$B$219,BALANCES!$B:$B,$B228,BALANCES!$D:$D,G$223)+SUMIFS(FLOWS!$C:$C,FLOWS!$A:$A,$B$219,FLOWS!$E:$E,$B228,FLOWS!$D:$D,G$223,FLOWS!$H:$H,"&lt;"&amp;$C$221)+SUM(SUMIFS(DEALS!$J:$J,DEALS!$A:$A,{"*REFUND*","*EXECUTED*"},DEALS!$G:$G,$B$219,DEALS!$E:$E,"&lt;"&amp;$C$221,DEALS!$K:$K,G$223,DEALS!$M:$M,$B228,DEALS!$N:$N,"&lt;&gt;*RECEIVED*",DEALS!$N:$N,"&lt;&gt;*EXECUTED*"))+SUM(SUMIFS(DEALS!$R:$R,DEALS!$A:$A,{"*REFUND*","*EXECUTED*"},DEALS!$O:$O,$B$219,DEALS!$E:$E,"&lt;"&amp;$C$221,DEALS!$S:$S,G$223,DEALS!$U:$U,$B228,DEALS!$V:$V,"&lt;&gt;*RECEIVED*",DEALS!$V:$V,"&lt;&gt;*EXECUTED*"))</f>
        <v>0</v>
      </c>
      <c r="H228" s="29" cm="1">
        <f t="array" ref="H228">SUMIFS(BALANCES!$C:$C,BALANCES!$A:$A,$B$219,BALANCES!$B:$B,$B228,BALANCES!$D:$D,H$223)+SUMIFS(FLOWS!$C:$C,FLOWS!$A:$A,$B$219,FLOWS!$E:$E,$B228,FLOWS!$D:$D,H$223,FLOWS!$H:$H,"&lt;"&amp;$C$221)+SUM(SUMIFS(DEALS!$J:$J,DEALS!$A:$A,{"*REFUND*","*EXECUTED*"},DEALS!$G:$G,$B$219,DEALS!$E:$E,"&lt;"&amp;$C$221,DEALS!$K:$K,H$223,DEALS!$M:$M,$B228,DEALS!$N:$N,"&lt;&gt;*RECEIVED*",DEALS!$N:$N,"&lt;&gt;*EXECUTED*"))+SUM(SUMIFS(DEALS!$R:$R,DEALS!$A:$A,{"*REFUND*","*EXECUTED*"},DEALS!$O:$O,$B$219,DEALS!$E:$E,"&lt;"&amp;$C$221,DEALS!$S:$S,H$223,DEALS!$U:$U,$B228,DEALS!$V:$V,"&lt;&gt;*RECEIVED*",DEALS!$V:$V,"&lt;&gt;*EXECUTED*"))</f>
        <v>0</v>
      </c>
      <c r="I228" s="30">
        <f ca="1">C228*VLOOKUP(C$223,'FX RATES'!$E$1:$F$50,2,FALSE)+D228*VLOOKUP(D$223,'FX RATES'!$E$1:$F$50,2,FALSE)+E228*VLOOKUP(E$223,'FX RATES'!$E$1:$F$50,2,FALSE)+F228*VLOOKUP(F$223,'FX RATES'!$E$1:$F$50,2,FALSE)+G228*VLOOKUP(G$223,'FX RATES'!$E$1:$F$50,2,FALSE)+H228*VLOOKUP(H$223,'FX RATES'!$E$1:$F$50,2,FALSE)</f>
        <v>0</v>
      </c>
      <c r="K228" s="28">
        <f t="shared" si="85"/>
        <v>0</v>
      </c>
      <c r="L228" s="29" cm="1">
        <f t="array" ref="L228">SUMIFS(FLOWS!$C:$C,FLOWS!$A:$A,$B$219,FLOWS!$E:$E,$K228,FLOWS!$D:$D,L$223,FLOWS!$H:$H,"&gt;="&amp;$C$221,FLOWS!$H:$H,"&lt;="&amp;$U$221)+SUM(SUMIFS(DEALS!$J:$J,DEALS!$A:$A,{"*REFUND*","*EXECUTED*"},DEALS!$G:$G,$B$219,DEALS!$E:$E,"&gt;="&amp;$C$221,DEALS!$E:$E,"&lt;="&amp;$U$221,DEALS!$K:$K,L$223,DEALS!$M:$M,$K228,DEALS!$N:$N,"&lt;&gt;*RECEIVED*",DEALS!$N:$N,"&lt;&gt;*EXECUTED*"))+SUM(SUMIFS(DEALS!$R:$R,DEALS!$A:$A,{"*REFUND*","*EXECUTED*"},DEALS!$O:$O,$B$219,DEALS!$E:$E,"&gt;="&amp;$C$221,DEALS!$E:$E,"&lt;="&amp;$U$221,DEALS!$S:$S,L$223,DEALS!$U:$U,$K228,DEALS!$V:$V,"&lt;&gt;*RECEIVED*",DEALS!$V:$V,"&lt;&gt;*EXECUTED*"))</f>
        <v>0</v>
      </c>
      <c r="M228" s="29" cm="1">
        <f t="array" ref="M228">SUMIFS(FLOWS!$C:$C,FLOWS!$A:$A,$B$219,FLOWS!$E:$E,$K228,FLOWS!$D:$D,M$223,FLOWS!$H:$H,"&gt;="&amp;$C$221,FLOWS!$H:$H,"&lt;="&amp;$U$221)+SUM(SUMIFS(DEALS!$J:$J,DEALS!$A:$A,{"*REFUND*","*EXECUTED*"},DEALS!$G:$G,$B$219,DEALS!$E:$E,"&gt;="&amp;$C$221,DEALS!$E:$E,"&lt;="&amp;$U$221,DEALS!$K:$K,M$223,DEALS!$M:$M,$K228,DEALS!$N:$N,"&lt;&gt;*RECEIVED*",DEALS!$N:$N,"&lt;&gt;*EXECUTED*"))+SUM(SUMIFS(DEALS!$R:$R,DEALS!$A:$A,{"*REFUND*","*EXECUTED*"},DEALS!$O:$O,$B$219,DEALS!$E:$E,"&gt;="&amp;$C$221,DEALS!$E:$E,"&lt;="&amp;$U$221,DEALS!$S:$S,M$223,DEALS!$U:$U,$K228,DEALS!$V:$V,"&lt;&gt;*RECEIVED*",DEALS!$V:$V,"&lt;&gt;*EXECUTED*"))</f>
        <v>0</v>
      </c>
      <c r="N228" s="29" cm="1">
        <f t="array" ref="N228">SUMIFS(FLOWS!$C:$C,FLOWS!$A:$A,$B$219,FLOWS!$E:$E,$K228,FLOWS!$D:$D,N$223,FLOWS!$H:$H,"&gt;="&amp;$C$221,FLOWS!$H:$H,"&lt;="&amp;$U$221)+SUM(SUMIFS(DEALS!$J:$J,DEALS!$A:$A,{"*REFUND*","*EXECUTED*"},DEALS!$G:$G,$B$219,DEALS!$E:$E,"&gt;="&amp;$C$221,DEALS!$E:$E,"&lt;="&amp;$U$221,DEALS!$K:$K,N$223,DEALS!$M:$M,$K228,DEALS!$N:$N,"&lt;&gt;*RECEIVED*",DEALS!$N:$N,"&lt;&gt;*EXECUTED*"))+SUM(SUMIFS(DEALS!$R:$R,DEALS!$A:$A,{"*REFUND*","*EXECUTED*"},DEALS!$O:$O,$B$219,DEALS!$E:$E,"&gt;="&amp;$C$221,DEALS!$E:$E,"&lt;="&amp;$U$221,DEALS!$S:$S,N$223,DEALS!$U:$U,$K228,DEALS!$V:$V,"&lt;&gt;*RECEIVED*",DEALS!$V:$V,"&lt;&gt;*EXECUTED*"))</f>
        <v>0</v>
      </c>
      <c r="O228" s="29" cm="1">
        <f t="array" ref="O228">SUMIFS(FLOWS!$C:$C,FLOWS!$A:$A,$B$219,FLOWS!$E:$E,$K228,FLOWS!$D:$D,O$223,FLOWS!$H:$H,"&gt;="&amp;$C$221,FLOWS!$H:$H,"&lt;="&amp;$U$221)+SUM(SUMIFS(DEALS!$J:$J,DEALS!$A:$A,{"*REFUND*","*EXECUTED*"},DEALS!$G:$G,$B$219,DEALS!$E:$E,"&gt;="&amp;$C$221,DEALS!$E:$E,"&lt;="&amp;$U$221,DEALS!$K:$K,O$223,DEALS!$M:$M,$K228,DEALS!$N:$N,"&lt;&gt;*RECEIVED*",DEALS!$N:$N,"&lt;&gt;*EXECUTED*"))+SUM(SUMIFS(DEALS!$R:$R,DEALS!$A:$A,{"*REFUND*","*EXECUTED*"},DEALS!$O:$O,$B$219,DEALS!$E:$E,"&gt;="&amp;$C$221,DEALS!$E:$E,"&lt;="&amp;$U$221,DEALS!$S:$S,O$223,DEALS!$U:$U,$K228,DEALS!$V:$V,"&lt;&gt;*RECEIVED*",DEALS!$V:$V,"&lt;&gt;*EXECUTED*"))</f>
        <v>0</v>
      </c>
      <c r="P228" s="29" cm="1">
        <f t="array" ref="P228">SUMIFS(FLOWS!$C:$C,FLOWS!$A:$A,$B$219,FLOWS!$E:$E,$K228,FLOWS!$D:$D,P$223,FLOWS!$H:$H,"&gt;="&amp;$C$221,FLOWS!$H:$H,"&lt;="&amp;$U$221)+SUM(SUMIFS(DEALS!$J:$J,DEALS!$A:$A,{"*REFUND*","*EXECUTED*"},DEALS!$G:$G,$B$219,DEALS!$E:$E,"&gt;="&amp;$C$221,DEALS!$E:$E,"&lt;="&amp;$U$221,DEALS!$K:$K,P$223,DEALS!$M:$M,$K228,DEALS!$N:$N,"&lt;&gt;*RECEIVED*",DEALS!$N:$N,"&lt;&gt;*EXECUTED*"))+SUM(SUMIFS(DEALS!$R:$R,DEALS!$A:$A,{"*REFUND*","*EXECUTED*"},DEALS!$O:$O,$B$219,DEALS!$E:$E,"&gt;="&amp;$C$221,DEALS!$E:$E,"&lt;="&amp;$U$221,DEALS!$S:$S,P$223,DEALS!$U:$U,$K228,DEALS!$V:$V,"&lt;&gt;*RECEIVED*",DEALS!$V:$V,"&lt;&gt;*EXECUTED*"))</f>
        <v>0</v>
      </c>
      <c r="Q228" s="29" cm="1">
        <f t="array" ref="Q228">SUMIFS(FLOWS!$C:$C,FLOWS!$A:$A,$B$219,FLOWS!$E:$E,$K228,FLOWS!$D:$D,Q$223,FLOWS!$H:$H,"&gt;="&amp;$C$221,FLOWS!$H:$H,"&lt;="&amp;$U$221)+SUM(SUMIFS(DEALS!$J:$J,DEALS!$A:$A,{"*REFUND*","*EXECUTED*"},DEALS!$G:$G,$B$219,DEALS!$E:$E,"&gt;="&amp;$C$221,DEALS!$E:$E,"&lt;="&amp;$U$221,DEALS!$K:$K,Q$223,DEALS!$M:$M,$K228,DEALS!$N:$N,"&lt;&gt;*RECEIVED*",DEALS!$N:$N,"&lt;&gt;*EXECUTED*"))+SUM(SUMIFS(DEALS!$R:$R,DEALS!$A:$A,{"*REFUND*","*EXECUTED*"},DEALS!$O:$O,$B$219,DEALS!$E:$E,"&gt;="&amp;$C$221,DEALS!$E:$E,"&lt;="&amp;$U$221,DEALS!$S:$S,Q$223,DEALS!$U:$U,$K228,DEALS!$V:$V,"&lt;&gt;*RECEIVED*",DEALS!$V:$V,"&lt;&gt;*EXECUTED*"))</f>
        <v>0</v>
      </c>
      <c r="R228" s="30">
        <f ca="1">L228*VLOOKUP(L$223,'FX RATES'!$E$1:$F$50,2,FALSE)+M228*VLOOKUP(M$223,'FX RATES'!$E$1:$F$50,2,FALSE)+N228*VLOOKUP(N$223,'FX RATES'!$E$1:$F$50,2,FALSE)+O228*VLOOKUP(O$223,'FX RATES'!$E$1:$F$50,2,FALSE)+P228*VLOOKUP(P$223,'FX RATES'!$E$1:$F$50,2,FALSE)+Q228*VLOOKUP(Q$223,'FX RATES'!$E$1:$F$50,2,FALSE)</f>
        <v>0</v>
      </c>
      <c r="T228" s="28">
        <f t="shared" si="86"/>
        <v>0</v>
      </c>
      <c r="U228" s="29" cm="1">
        <f t="array" ref="U228">SUMIFS(BALANCES!$C:$C,BALANCES!$A:$A,$B$219,BALANCES!$B:$B,$T228,BALANCES!$D:$D,U$223)+SUMIFS(FLOWS!$C:$C,FLOWS!$A:$A,$B$219,FLOWS!$E:$E,$T228,FLOWS!$D:$D,U$223,FLOWS!$H:$H,"&lt;="&amp;$U$221)+SUM(SUMIFS(DEALS!$J:$J,DEALS!$A:$A,{"*REFUND*","*EXECUTED*"},DEALS!$G:$G,$B$219,DEALS!$E:$E,"&lt;="&amp;$U$221,DEALS!$K:$K,U$223,DEALS!$M:$M,$T228,DEALS!$N:$N,"&lt;&gt;*RECEIVED*",DEALS!$N:$N,"&lt;&gt;*EXECUTED*"))+SUM(SUMIFS(DEALS!$R:$R,DEALS!$A:$A,{"*REFUND*","*EXECUTED*"},DEALS!$O:$O,$B$219,DEALS!$E:$E,"&lt;="&amp;$U$221,DEALS!$S:$S,U$223,DEALS!$U:$U,$T228,DEALS!$V:$V,"&lt;&gt;*RECEIVED*",DEALS!$V:$V,"&lt;&gt;*EXECUTED*"))</f>
        <v>0</v>
      </c>
      <c r="V228" s="29" cm="1">
        <f t="array" ref="V228">SUMIFS(BALANCES!$C:$C,BALANCES!$A:$A,$B$219,BALANCES!$B:$B,$T228,BALANCES!$D:$D,V$223)+SUMIFS(FLOWS!$C:$C,FLOWS!$A:$A,$B$219,FLOWS!$E:$E,$T228,FLOWS!$D:$D,V$223,FLOWS!$H:$H,"&lt;="&amp;$U$221)+SUM(SUMIFS(DEALS!$J:$J,DEALS!$A:$A,{"*REFUND*","*EXECUTED*"},DEALS!$G:$G,$B$219,DEALS!$E:$E,"&lt;="&amp;$U$221,DEALS!$K:$K,V$223,DEALS!$M:$M,$T228,DEALS!$N:$N,"&lt;&gt;*RECEIVED*",DEALS!$N:$N,"&lt;&gt;*EXECUTED*"))+SUM(SUMIFS(DEALS!$R:$R,DEALS!$A:$A,{"*REFUND*","*EXECUTED*"},DEALS!$O:$O,$B$219,DEALS!$E:$E,"&lt;="&amp;$U$221,DEALS!$S:$S,V$223,DEALS!$U:$U,$T228,DEALS!$V:$V,"&lt;&gt;*RECEIVED*",DEALS!$V:$V,"&lt;&gt;*EXECUTED*"))</f>
        <v>0</v>
      </c>
      <c r="W228" s="29" cm="1">
        <f t="array" ref="W228">SUMIFS(BALANCES!$C:$C,BALANCES!$A:$A,$B$219,BALANCES!$B:$B,$T228,BALANCES!$D:$D,W$223)+SUMIFS(FLOWS!$C:$C,FLOWS!$A:$A,$B$219,FLOWS!$E:$E,$T228,FLOWS!$D:$D,W$223,FLOWS!$H:$H,"&lt;="&amp;$U$221)+SUM(SUMIFS(DEALS!$J:$J,DEALS!$A:$A,{"*REFUND*","*EXECUTED*"},DEALS!$G:$G,$B$219,DEALS!$E:$E,"&lt;="&amp;$U$221,DEALS!$K:$K,W$223,DEALS!$M:$M,$T228,DEALS!$N:$N,"&lt;&gt;*RECEIVED*",DEALS!$N:$N,"&lt;&gt;*EXECUTED*"))+SUM(SUMIFS(DEALS!$R:$R,DEALS!$A:$A,{"*REFUND*","*EXECUTED*"},DEALS!$O:$O,$B$219,DEALS!$E:$E,"&lt;="&amp;$U$221,DEALS!$S:$S,W$223,DEALS!$U:$U,$T228,DEALS!$V:$V,"&lt;&gt;*RECEIVED*",DEALS!$V:$V,"&lt;&gt;*EXECUTED*"))</f>
        <v>0</v>
      </c>
      <c r="X228" s="29" cm="1">
        <f t="array" ref="X228">SUMIFS(BALANCES!$C:$C,BALANCES!$A:$A,$B$219,BALANCES!$B:$B,$T228,BALANCES!$D:$D,X$223)+SUMIFS(FLOWS!$C:$C,FLOWS!$A:$A,$B$219,FLOWS!$E:$E,$T228,FLOWS!$D:$D,X$223,FLOWS!$H:$H,"&lt;="&amp;$U$221)+SUM(SUMIFS(DEALS!$J:$J,DEALS!$A:$A,{"*REFUND*","*EXECUTED*"},DEALS!$G:$G,$B$219,DEALS!$E:$E,"&lt;="&amp;$U$221,DEALS!$K:$K,X$223,DEALS!$M:$M,$T228,DEALS!$N:$N,"&lt;&gt;*RECEIVED*",DEALS!$N:$N,"&lt;&gt;*EXECUTED*"))+SUM(SUMIFS(DEALS!$R:$R,DEALS!$A:$A,{"*REFUND*","*EXECUTED*"},DEALS!$O:$O,$B$219,DEALS!$E:$E,"&lt;="&amp;$U$221,DEALS!$S:$S,X$223,DEALS!$U:$U,$T228,DEALS!$V:$V,"&lt;&gt;*RECEIVED*",DEALS!$V:$V,"&lt;&gt;*EXECUTED*"))</f>
        <v>0</v>
      </c>
      <c r="Y228" s="29" cm="1">
        <f t="array" ref="Y228">SUMIFS(BALANCES!$C:$C,BALANCES!$A:$A,$B$219,BALANCES!$B:$B,$T228,BALANCES!$D:$D,Y$223)+SUMIFS(FLOWS!$C:$C,FLOWS!$A:$A,$B$219,FLOWS!$E:$E,$T228,FLOWS!$D:$D,Y$223,FLOWS!$H:$H,"&lt;="&amp;$U$221)+SUM(SUMIFS(DEALS!$J:$J,DEALS!$A:$A,{"*REFUND*","*EXECUTED*"},DEALS!$G:$G,$B$219,DEALS!$E:$E,"&lt;="&amp;$U$221,DEALS!$K:$K,Y$223,DEALS!$M:$M,$T228,DEALS!$N:$N,"&lt;&gt;*RECEIVED*",DEALS!$N:$N,"&lt;&gt;*EXECUTED*"))+SUM(SUMIFS(DEALS!$R:$R,DEALS!$A:$A,{"*REFUND*","*EXECUTED*"},DEALS!$O:$O,$B$219,DEALS!$E:$E,"&lt;="&amp;$U$221,DEALS!$S:$S,Y$223,DEALS!$U:$U,$T228,DEALS!$V:$V,"&lt;&gt;*RECEIVED*",DEALS!$V:$V,"&lt;&gt;*EXECUTED*"))</f>
        <v>0</v>
      </c>
      <c r="Z228" s="29" cm="1">
        <f t="array" ref="Z228">SUMIFS(BALANCES!$C:$C,BALANCES!$A:$A,$B$219,BALANCES!$B:$B,$T228,BALANCES!$D:$D,Z$223)+SUMIFS(FLOWS!$C:$C,FLOWS!$A:$A,$B$219,FLOWS!$E:$E,$T228,FLOWS!$D:$D,Z$223,FLOWS!$H:$H,"&lt;="&amp;$U$221)+SUM(SUMIFS(DEALS!$J:$J,DEALS!$A:$A,{"*REFUND*","*EXECUTED*"},DEALS!$G:$G,$B$219,DEALS!$E:$E,"&lt;="&amp;$U$221,DEALS!$K:$K,Z$223,DEALS!$M:$M,$T228,DEALS!$N:$N,"&lt;&gt;*RECEIVED*",DEALS!$N:$N,"&lt;&gt;*EXECUTED*"))+SUM(SUMIFS(DEALS!$R:$R,DEALS!$A:$A,{"*REFUND*","*EXECUTED*"},DEALS!$O:$O,$B$219,DEALS!$E:$E,"&lt;="&amp;$U$221,DEALS!$S:$S,Z$223,DEALS!$U:$U,$T228,DEALS!$V:$V,"&lt;&gt;*RECEIVED*",DEALS!$V:$V,"&lt;&gt;*EXECUTED*"))</f>
        <v>0</v>
      </c>
      <c r="AA228" s="30">
        <f ca="1">U228*VLOOKUP(U$223,'FX RATES'!$E$1:$F$50,2,FALSE)+V228*VLOOKUP(V$223,'FX RATES'!$E$1:$F$50,2,FALSE)+W228*VLOOKUP(W$223,'FX RATES'!$E$1:$F$50,2,FALSE)+X228*VLOOKUP(X$223,'FX RATES'!$E$1:$F$50,2,FALSE)+Y228*VLOOKUP(Y$223,'FX RATES'!$E$1:$F$50,2,FALSE)+Z228*VLOOKUP(Z$223,'FX RATES'!$E$1:$F$50,2,FALSE)</f>
        <v>0</v>
      </c>
      <c r="AC228" s="139">
        <f t="shared" ca="1" si="87"/>
        <v>0</v>
      </c>
    </row>
    <row r="229" spans="2:29" ht="18.75" hidden="1" customHeight="1">
      <c r="B229" s="31"/>
      <c r="C229" s="32" cm="1">
        <f t="array" ref="C229">SUMIFS(BALANCES!$C:$C,BALANCES!$A:$A,$B$219,BALANCES!$B:$B,$B229,BALANCES!$D:$D,C$223)+SUMIFS(FLOWS!$C:$C,FLOWS!$A:$A,$B$219,FLOWS!$E:$E,$B229,FLOWS!$D:$D,C$223,FLOWS!$H:$H,"&lt;"&amp;$C$221)+SUM(SUMIFS(DEALS!$J:$J,DEALS!$A:$A,{"*REFUND*","*EXECUTED*"},DEALS!$G:$G,$B$219,DEALS!$E:$E,"&lt;"&amp;$C$221,DEALS!$K:$K,C$223,DEALS!$M:$M,$B229,DEALS!$N:$N,"&lt;&gt;*RECEIVED*",DEALS!$N:$N,"&lt;&gt;*EXECUTED*"))+SUM(SUMIFS(DEALS!$R:$R,DEALS!$A:$A,{"*REFUND*","*EXECUTED*"},DEALS!$O:$O,$B$219,DEALS!$E:$E,"&lt;"&amp;$C$221,DEALS!$S:$S,C$223,DEALS!$U:$U,$B229,DEALS!$V:$V,"&lt;&gt;*RECEIVED*",DEALS!$V:$V,"&lt;&gt;*EXECUTED*"))</f>
        <v>0</v>
      </c>
      <c r="D229" s="32" cm="1">
        <f t="array" ref="D229">SUMIFS(BALANCES!$C:$C,BALANCES!$A:$A,$B$219,BALANCES!$B:$B,$B229,BALANCES!$D:$D,D$223)+SUMIFS(FLOWS!$C:$C,FLOWS!$A:$A,$B$219,FLOWS!$E:$E,$B229,FLOWS!$D:$D,D$223,FLOWS!$H:$H,"&lt;"&amp;$C$221)+SUM(SUMIFS(DEALS!$J:$J,DEALS!$A:$A,{"*REFUND*","*EXECUTED*"},DEALS!$G:$G,$B$219,DEALS!$E:$E,"&lt;"&amp;$C$221,DEALS!$K:$K,D$223,DEALS!$M:$M,$B229,DEALS!$N:$N,"&lt;&gt;*RECEIVED*",DEALS!$N:$N,"&lt;&gt;*EXECUTED*"))+SUM(SUMIFS(DEALS!$R:$R,DEALS!$A:$A,{"*REFUND*","*EXECUTED*"},DEALS!$O:$O,$B$219,DEALS!$E:$E,"&lt;"&amp;$C$221,DEALS!$S:$S,D$223,DEALS!$U:$U,$B229,DEALS!$V:$V,"&lt;&gt;*RECEIVED*",DEALS!$V:$V,"&lt;&gt;*EXECUTED*"))</f>
        <v>0</v>
      </c>
      <c r="E229" s="32" cm="1">
        <f t="array" ref="E229">SUMIFS(BALANCES!$C:$C,BALANCES!$A:$A,$B$219,BALANCES!$B:$B,$B229,BALANCES!$D:$D,E$223)+SUMIFS(FLOWS!$C:$C,FLOWS!$A:$A,$B$219,FLOWS!$E:$E,$B229,FLOWS!$D:$D,E$223,FLOWS!$H:$H,"&lt;"&amp;$C$221)+SUM(SUMIFS(DEALS!$J:$J,DEALS!$A:$A,{"*REFUND*","*EXECUTED*"},DEALS!$G:$G,$B$219,DEALS!$E:$E,"&lt;"&amp;$C$221,DEALS!$K:$K,E$223,DEALS!$M:$M,$B229,DEALS!$N:$N,"&lt;&gt;*RECEIVED*",DEALS!$N:$N,"&lt;&gt;*EXECUTED*"))+SUM(SUMIFS(DEALS!$R:$R,DEALS!$A:$A,{"*REFUND*","*EXECUTED*"},DEALS!$O:$O,$B$219,DEALS!$E:$E,"&lt;"&amp;$C$221,DEALS!$S:$S,E$223,DEALS!$U:$U,$B229,DEALS!$V:$V,"&lt;&gt;*RECEIVED*",DEALS!$V:$V,"&lt;&gt;*EXECUTED*"))</f>
        <v>0</v>
      </c>
      <c r="F229" s="32" cm="1">
        <f t="array" ref="F229">SUMIFS(BALANCES!$C:$C,BALANCES!$A:$A,$B$219,BALANCES!$B:$B,$B229,BALANCES!$D:$D,F$223)+SUMIFS(FLOWS!$C:$C,FLOWS!$A:$A,$B$219,FLOWS!$E:$E,$B229,FLOWS!$D:$D,F$223,FLOWS!$H:$H,"&lt;"&amp;$C$221)+SUM(SUMIFS(DEALS!$J:$J,DEALS!$A:$A,{"*REFUND*","*EXECUTED*"},DEALS!$G:$G,$B$219,DEALS!$E:$E,"&lt;"&amp;$C$221,DEALS!$K:$K,F$223,DEALS!$M:$M,$B229,DEALS!$N:$N,"&lt;&gt;*RECEIVED*",DEALS!$N:$N,"&lt;&gt;*EXECUTED*"))+SUM(SUMIFS(DEALS!$R:$R,DEALS!$A:$A,{"*REFUND*","*EXECUTED*"},DEALS!$O:$O,$B$219,DEALS!$E:$E,"&lt;"&amp;$C$221,DEALS!$S:$S,F$223,DEALS!$U:$U,$B229,DEALS!$V:$V,"&lt;&gt;*RECEIVED*",DEALS!$V:$V,"&lt;&gt;*EXECUTED*"))</f>
        <v>0</v>
      </c>
      <c r="G229" s="32" cm="1">
        <f t="array" ref="G229">SUMIFS(BALANCES!$C:$C,BALANCES!$A:$A,$B$219,BALANCES!$B:$B,$B229,BALANCES!$D:$D,G$223)+SUMIFS(FLOWS!$C:$C,FLOWS!$A:$A,$B$219,FLOWS!$E:$E,$B229,FLOWS!$D:$D,G$223,FLOWS!$H:$H,"&lt;"&amp;$C$221)+SUM(SUMIFS(DEALS!$J:$J,DEALS!$A:$A,{"*REFUND*","*EXECUTED*"},DEALS!$G:$G,$B$219,DEALS!$E:$E,"&lt;"&amp;$C$221,DEALS!$K:$K,G$223,DEALS!$M:$M,$B229,DEALS!$N:$N,"&lt;&gt;*RECEIVED*",DEALS!$N:$N,"&lt;&gt;*EXECUTED*"))+SUM(SUMIFS(DEALS!$R:$R,DEALS!$A:$A,{"*REFUND*","*EXECUTED*"},DEALS!$O:$O,$B$219,DEALS!$E:$E,"&lt;"&amp;$C$221,DEALS!$S:$S,G$223,DEALS!$U:$U,$B229,DEALS!$V:$V,"&lt;&gt;*RECEIVED*",DEALS!$V:$V,"&lt;&gt;*EXECUTED*"))</f>
        <v>0</v>
      </c>
      <c r="H229" s="32" cm="1">
        <f t="array" ref="H229">SUMIFS(BALANCES!$C:$C,BALANCES!$A:$A,$B$219,BALANCES!$B:$B,$B229,BALANCES!$D:$D,H$223)+SUMIFS(FLOWS!$C:$C,FLOWS!$A:$A,$B$219,FLOWS!$E:$E,$B229,FLOWS!$D:$D,H$223,FLOWS!$H:$H,"&lt;"&amp;$C$221)+SUM(SUMIFS(DEALS!$J:$J,DEALS!$A:$A,{"*REFUND*","*EXECUTED*"},DEALS!$G:$G,$B$219,DEALS!$E:$E,"&lt;"&amp;$C$221,DEALS!$K:$K,H$223,DEALS!$M:$M,$B229,DEALS!$N:$N,"&lt;&gt;*RECEIVED*",DEALS!$N:$N,"&lt;&gt;*EXECUTED*"))+SUM(SUMIFS(DEALS!$R:$R,DEALS!$A:$A,{"*REFUND*","*EXECUTED*"},DEALS!$O:$O,$B$219,DEALS!$E:$E,"&lt;"&amp;$C$221,DEALS!$S:$S,H$223,DEALS!$U:$U,$B229,DEALS!$V:$V,"&lt;&gt;*RECEIVED*",DEALS!$V:$V,"&lt;&gt;*EXECUTED*"))</f>
        <v>0</v>
      </c>
      <c r="I229" s="33">
        <f ca="1">C229*VLOOKUP(C$223,'FX RATES'!$E$1:$F$50,2,FALSE)+D229*VLOOKUP(D$223,'FX RATES'!$E$1:$F$50,2,FALSE)+E229*VLOOKUP(E$223,'FX RATES'!$E$1:$F$50,2,FALSE)+F229*VLOOKUP(F$223,'FX RATES'!$E$1:$F$50,2,FALSE)+G229*VLOOKUP(G$223,'FX RATES'!$E$1:$F$50,2,FALSE)+H229*VLOOKUP(H$223,'FX RATES'!$E$1:$F$50,2,FALSE)</f>
        <v>0</v>
      </c>
      <c r="K229" s="31">
        <f t="shared" si="85"/>
        <v>0</v>
      </c>
      <c r="L229" s="32" cm="1">
        <f t="array" ref="L229">SUMIFS(FLOWS!$C:$C,FLOWS!$A:$A,$B$219,FLOWS!$E:$E,$K229,FLOWS!$D:$D,L$223,FLOWS!$H:$H,"&gt;="&amp;$C$221,FLOWS!$H:$H,"&lt;="&amp;$U$221)+SUM(SUMIFS(DEALS!$J:$J,DEALS!$A:$A,{"*REFUND*","*EXECUTED*"},DEALS!$G:$G,$B$219,DEALS!$E:$E,"&gt;="&amp;$C$221,DEALS!$E:$E,"&lt;="&amp;$U$221,DEALS!$K:$K,L$223,DEALS!$M:$M,$K229,DEALS!$N:$N,"&lt;&gt;*RECEIVED*",DEALS!$N:$N,"&lt;&gt;*EXECUTED*"))+SUM(SUMIFS(DEALS!$R:$R,DEALS!$A:$A,{"*REFUND*","*EXECUTED*"},DEALS!$O:$O,$B$219,DEALS!$E:$E,"&gt;="&amp;$C$221,DEALS!$E:$E,"&lt;="&amp;$U$221,DEALS!$S:$S,L$223,DEALS!$U:$U,$K229,DEALS!$V:$V,"&lt;&gt;*RECEIVED*",DEALS!$V:$V,"&lt;&gt;*EXECUTED*"))</f>
        <v>0</v>
      </c>
      <c r="M229" s="32" cm="1">
        <f t="array" ref="M229">SUMIFS(FLOWS!$C:$C,FLOWS!$A:$A,$B$219,FLOWS!$E:$E,$K229,FLOWS!$D:$D,M$223,FLOWS!$H:$H,"&gt;="&amp;$C$221,FLOWS!$H:$H,"&lt;="&amp;$U$221)+SUM(SUMIFS(DEALS!$J:$J,DEALS!$A:$A,{"*REFUND*","*EXECUTED*"},DEALS!$G:$G,$B$219,DEALS!$E:$E,"&gt;="&amp;$C$221,DEALS!$E:$E,"&lt;="&amp;$U$221,DEALS!$K:$K,M$223,DEALS!$M:$M,$K229,DEALS!$N:$N,"&lt;&gt;*RECEIVED*",DEALS!$N:$N,"&lt;&gt;*EXECUTED*"))+SUM(SUMIFS(DEALS!$R:$R,DEALS!$A:$A,{"*REFUND*","*EXECUTED*"},DEALS!$O:$O,$B$219,DEALS!$E:$E,"&gt;="&amp;$C$221,DEALS!$E:$E,"&lt;="&amp;$U$221,DEALS!$S:$S,M$223,DEALS!$U:$U,$K229,DEALS!$V:$V,"&lt;&gt;*RECEIVED*",DEALS!$V:$V,"&lt;&gt;*EXECUTED*"))</f>
        <v>0</v>
      </c>
      <c r="N229" s="32" cm="1">
        <f t="array" ref="N229">SUMIFS(FLOWS!$C:$C,FLOWS!$A:$A,$B$219,FLOWS!$E:$E,$K229,FLOWS!$D:$D,N$223,FLOWS!$H:$H,"&gt;="&amp;$C$221,FLOWS!$H:$H,"&lt;="&amp;$U$221)+SUM(SUMIFS(DEALS!$J:$J,DEALS!$A:$A,{"*REFUND*","*EXECUTED*"},DEALS!$G:$G,$B$219,DEALS!$E:$E,"&gt;="&amp;$C$221,DEALS!$E:$E,"&lt;="&amp;$U$221,DEALS!$K:$K,N$223,DEALS!$M:$M,$K229,DEALS!$N:$N,"&lt;&gt;*RECEIVED*",DEALS!$N:$N,"&lt;&gt;*EXECUTED*"))+SUM(SUMIFS(DEALS!$R:$R,DEALS!$A:$A,{"*REFUND*","*EXECUTED*"},DEALS!$O:$O,$B$219,DEALS!$E:$E,"&gt;="&amp;$C$221,DEALS!$E:$E,"&lt;="&amp;$U$221,DEALS!$S:$S,N$223,DEALS!$U:$U,$K229,DEALS!$V:$V,"&lt;&gt;*RECEIVED*",DEALS!$V:$V,"&lt;&gt;*EXECUTED*"))</f>
        <v>0</v>
      </c>
      <c r="O229" s="32" cm="1">
        <f t="array" ref="O229">SUMIFS(FLOWS!$C:$C,FLOWS!$A:$A,$B$219,FLOWS!$E:$E,$K229,FLOWS!$D:$D,O$223,FLOWS!$H:$H,"&gt;="&amp;$C$221,FLOWS!$H:$H,"&lt;="&amp;$U$221)+SUM(SUMIFS(DEALS!$J:$J,DEALS!$A:$A,{"*REFUND*","*EXECUTED*"},DEALS!$G:$G,$B$219,DEALS!$E:$E,"&gt;="&amp;$C$221,DEALS!$E:$E,"&lt;="&amp;$U$221,DEALS!$K:$K,O$223,DEALS!$M:$M,$K229,DEALS!$N:$N,"&lt;&gt;*RECEIVED*",DEALS!$N:$N,"&lt;&gt;*EXECUTED*"))+SUM(SUMIFS(DEALS!$R:$R,DEALS!$A:$A,{"*REFUND*","*EXECUTED*"},DEALS!$O:$O,$B$219,DEALS!$E:$E,"&gt;="&amp;$C$221,DEALS!$E:$E,"&lt;="&amp;$U$221,DEALS!$S:$S,O$223,DEALS!$U:$U,$K229,DEALS!$V:$V,"&lt;&gt;*RECEIVED*",DEALS!$V:$V,"&lt;&gt;*EXECUTED*"))</f>
        <v>0</v>
      </c>
      <c r="P229" s="32" cm="1">
        <f t="array" ref="P229">SUMIFS(FLOWS!$C:$C,FLOWS!$A:$A,$B$219,FLOWS!$E:$E,$K229,FLOWS!$D:$D,P$223,FLOWS!$H:$H,"&gt;="&amp;$C$221,FLOWS!$H:$H,"&lt;="&amp;$U$221)+SUM(SUMIFS(DEALS!$J:$J,DEALS!$A:$A,{"*REFUND*","*EXECUTED*"},DEALS!$G:$G,$B$219,DEALS!$E:$E,"&gt;="&amp;$C$221,DEALS!$E:$E,"&lt;="&amp;$U$221,DEALS!$K:$K,P$223,DEALS!$M:$M,$K229,DEALS!$N:$N,"&lt;&gt;*RECEIVED*",DEALS!$N:$N,"&lt;&gt;*EXECUTED*"))+SUM(SUMIFS(DEALS!$R:$R,DEALS!$A:$A,{"*REFUND*","*EXECUTED*"},DEALS!$O:$O,$B$219,DEALS!$E:$E,"&gt;="&amp;$C$221,DEALS!$E:$E,"&lt;="&amp;$U$221,DEALS!$S:$S,P$223,DEALS!$U:$U,$K229,DEALS!$V:$V,"&lt;&gt;*RECEIVED*",DEALS!$V:$V,"&lt;&gt;*EXECUTED*"))</f>
        <v>0</v>
      </c>
      <c r="Q229" s="32" cm="1">
        <f t="array" ref="Q229">SUMIFS(FLOWS!$C:$C,FLOWS!$A:$A,$B$219,FLOWS!$E:$E,$K229,FLOWS!$D:$D,Q$223,FLOWS!$H:$H,"&gt;="&amp;$C$221,FLOWS!$H:$H,"&lt;="&amp;$U$221)+SUM(SUMIFS(DEALS!$J:$J,DEALS!$A:$A,{"*REFUND*","*EXECUTED*"},DEALS!$G:$G,$B$219,DEALS!$E:$E,"&gt;="&amp;$C$221,DEALS!$E:$E,"&lt;="&amp;$U$221,DEALS!$K:$K,Q$223,DEALS!$M:$M,$K229,DEALS!$N:$N,"&lt;&gt;*RECEIVED*",DEALS!$N:$N,"&lt;&gt;*EXECUTED*"))+SUM(SUMIFS(DEALS!$R:$R,DEALS!$A:$A,{"*REFUND*","*EXECUTED*"},DEALS!$O:$O,$B$219,DEALS!$E:$E,"&gt;="&amp;$C$221,DEALS!$E:$E,"&lt;="&amp;$U$221,DEALS!$S:$S,Q$223,DEALS!$U:$U,$K229,DEALS!$V:$V,"&lt;&gt;*RECEIVED*",DEALS!$V:$V,"&lt;&gt;*EXECUTED*"))</f>
        <v>0</v>
      </c>
      <c r="R229" s="33">
        <f ca="1">L229*VLOOKUP(L$223,'FX RATES'!$E$1:$F$50,2,FALSE)+M229*VLOOKUP(M$223,'FX RATES'!$E$1:$F$50,2,FALSE)+N229*VLOOKUP(N$223,'FX RATES'!$E$1:$F$50,2,FALSE)+O229*VLOOKUP(O$223,'FX RATES'!$E$1:$F$50,2,FALSE)+P229*VLOOKUP(P$223,'FX RATES'!$E$1:$F$50,2,FALSE)+Q229*VLOOKUP(Q$223,'FX RATES'!$E$1:$F$50,2,FALSE)</f>
        <v>0</v>
      </c>
      <c r="T229" s="31">
        <f t="shared" si="86"/>
        <v>0</v>
      </c>
      <c r="U229" s="32" cm="1">
        <f t="array" ref="U229">SUMIFS(BALANCES!$C:$C,BALANCES!$A:$A,$B$219,BALANCES!$B:$B,$T229,BALANCES!$D:$D,U$223)+SUMIFS(FLOWS!$C:$C,FLOWS!$A:$A,$B$219,FLOWS!$E:$E,$T229,FLOWS!$D:$D,U$223,FLOWS!$H:$H,"&lt;="&amp;$U$221)+SUM(SUMIFS(DEALS!$J:$J,DEALS!$A:$A,{"*REFUND*","*EXECUTED*"},DEALS!$G:$G,$B$219,DEALS!$E:$E,"&lt;="&amp;$U$221,DEALS!$K:$K,U$223,DEALS!$M:$M,$T229,DEALS!$N:$N,"&lt;&gt;*RECEIVED*",DEALS!$N:$N,"&lt;&gt;*EXECUTED*"))+SUM(SUMIFS(DEALS!$R:$R,DEALS!$A:$A,{"*REFUND*","*EXECUTED*"},DEALS!$O:$O,$B$219,DEALS!$E:$E,"&lt;="&amp;$U$221,DEALS!$S:$S,U$223,DEALS!$U:$U,$T229,DEALS!$V:$V,"&lt;&gt;*RECEIVED*",DEALS!$V:$V,"&lt;&gt;*EXECUTED*"))</f>
        <v>0</v>
      </c>
      <c r="V229" s="32" cm="1">
        <f t="array" ref="V229">SUMIFS(BALANCES!$C:$C,BALANCES!$A:$A,$B$219,BALANCES!$B:$B,$T229,BALANCES!$D:$D,V$223)+SUMIFS(FLOWS!$C:$C,FLOWS!$A:$A,$B$219,FLOWS!$E:$E,$T229,FLOWS!$D:$D,V$223,FLOWS!$H:$H,"&lt;="&amp;$U$221)+SUM(SUMIFS(DEALS!$J:$J,DEALS!$A:$A,{"*REFUND*","*EXECUTED*"},DEALS!$G:$G,$B$219,DEALS!$E:$E,"&lt;="&amp;$U$221,DEALS!$K:$K,V$223,DEALS!$M:$M,$T229,DEALS!$N:$N,"&lt;&gt;*RECEIVED*",DEALS!$N:$N,"&lt;&gt;*EXECUTED*"))+SUM(SUMIFS(DEALS!$R:$R,DEALS!$A:$A,{"*REFUND*","*EXECUTED*"},DEALS!$O:$O,$B$219,DEALS!$E:$E,"&lt;="&amp;$U$221,DEALS!$S:$S,V$223,DEALS!$U:$U,$T229,DEALS!$V:$V,"&lt;&gt;*RECEIVED*",DEALS!$V:$V,"&lt;&gt;*EXECUTED*"))</f>
        <v>0</v>
      </c>
      <c r="W229" s="32" cm="1">
        <f t="array" ref="W229">SUMIFS(BALANCES!$C:$C,BALANCES!$A:$A,$B$219,BALANCES!$B:$B,$T229,BALANCES!$D:$D,W$223)+SUMIFS(FLOWS!$C:$C,FLOWS!$A:$A,$B$219,FLOWS!$E:$E,$T229,FLOWS!$D:$D,W$223,FLOWS!$H:$H,"&lt;="&amp;$U$221)+SUM(SUMIFS(DEALS!$J:$J,DEALS!$A:$A,{"*REFUND*","*EXECUTED*"},DEALS!$G:$G,$B$219,DEALS!$E:$E,"&lt;="&amp;$U$221,DEALS!$K:$K,W$223,DEALS!$M:$M,$T229,DEALS!$N:$N,"&lt;&gt;*RECEIVED*",DEALS!$N:$N,"&lt;&gt;*EXECUTED*"))+SUM(SUMIFS(DEALS!$R:$R,DEALS!$A:$A,{"*REFUND*","*EXECUTED*"},DEALS!$O:$O,$B$219,DEALS!$E:$E,"&lt;="&amp;$U$221,DEALS!$S:$S,W$223,DEALS!$U:$U,$T229,DEALS!$V:$V,"&lt;&gt;*RECEIVED*",DEALS!$V:$V,"&lt;&gt;*EXECUTED*"))</f>
        <v>0</v>
      </c>
      <c r="X229" s="32" cm="1">
        <f t="array" ref="X229">SUMIFS(BALANCES!$C:$C,BALANCES!$A:$A,$B$219,BALANCES!$B:$B,$T229,BALANCES!$D:$D,X$223)+SUMIFS(FLOWS!$C:$C,FLOWS!$A:$A,$B$219,FLOWS!$E:$E,$T229,FLOWS!$D:$D,X$223,FLOWS!$H:$H,"&lt;="&amp;$U$221)+SUM(SUMIFS(DEALS!$J:$J,DEALS!$A:$A,{"*REFUND*","*EXECUTED*"},DEALS!$G:$G,$B$219,DEALS!$E:$E,"&lt;="&amp;$U$221,DEALS!$K:$K,X$223,DEALS!$M:$M,$T229,DEALS!$N:$N,"&lt;&gt;*RECEIVED*",DEALS!$N:$N,"&lt;&gt;*EXECUTED*"))+SUM(SUMIFS(DEALS!$R:$R,DEALS!$A:$A,{"*REFUND*","*EXECUTED*"},DEALS!$O:$O,$B$219,DEALS!$E:$E,"&lt;="&amp;$U$221,DEALS!$S:$S,X$223,DEALS!$U:$U,$T229,DEALS!$V:$V,"&lt;&gt;*RECEIVED*",DEALS!$V:$V,"&lt;&gt;*EXECUTED*"))</f>
        <v>0</v>
      </c>
      <c r="Y229" s="32" cm="1">
        <f t="array" ref="Y229">SUMIFS(BALANCES!$C:$C,BALANCES!$A:$A,$B$219,BALANCES!$B:$B,$T229,BALANCES!$D:$D,Y$223)+SUMIFS(FLOWS!$C:$C,FLOWS!$A:$A,$B$219,FLOWS!$E:$E,$T229,FLOWS!$D:$D,Y$223,FLOWS!$H:$H,"&lt;="&amp;$U$221)+SUM(SUMIFS(DEALS!$J:$J,DEALS!$A:$A,{"*REFUND*","*EXECUTED*"},DEALS!$G:$G,$B$219,DEALS!$E:$E,"&lt;="&amp;$U$221,DEALS!$K:$K,Y$223,DEALS!$M:$M,$T229,DEALS!$N:$N,"&lt;&gt;*RECEIVED*",DEALS!$N:$N,"&lt;&gt;*EXECUTED*"))+SUM(SUMIFS(DEALS!$R:$R,DEALS!$A:$A,{"*REFUND*","*EXECUTED*"},DEALS!$O:$O,$B$219,DEALS!$E:$E,"&lt;="&amp;$U$221,DEALS!$S:$S,Y$223,DEALS!$U:$U,$T229,DEALS!$V:$V,"&lt;&gt;*RECEIVED*",DEALS!$V:$V,"&lt;&gt;*EXECUTED*"))</f>
        <v>0</v>
      </c>
      <c r="Z229" s="32" cm="1">
        <f t="array" ref="Z229">SUMIFS(BALANCES!$C:$C,BALANCES!$A:$A,$B$219,BALANCES!$B:$B,$T229,BALANCES!$D:$D,Z$223)+SUMIFS(FLOWS!$C:$C,FLOWS!$A:$A,$B$219,FLOWS!$E:$E,$T229,FLOWS!$D:$D,Z$223,FLOWS!$H:$H,"&lt;="&amp;$U$221)+SUM(SUMIFS(DEALS!$J:$J,DEALS!$A:$A,{"*REFUND*","*EXECUTED*"},DEALS!$G:$G,$B$219,DEALS!$E:$E,"&lt;="&amp;$U$221,DEALS!$K:$K,Z$223,DEALS!$M:$M,$T229,DEALS!$N:$N,"&lt;&gt;*RECEIVED*",DEALS!$N:$N,"&lt;&gt;*EXECUTED*"))+SUM(SUMIFS(DEALS!$R:$R,DEALS!$A:$A,{"*REFUND*","*EXECUTED*"},DEALS!$O:$O,$B$219,DEALS!$E:$E,"&lt;="&amp;$U$221,DEALS!$S:$S,Z$223,DEALS!$U:$U,$T229,DEALS!$V:$V,"&lt;&gt;*RECEIVED*",DEALS!$V:$V,"&lt;&gt;*EXECUTED*"))</f>
        <v>0</v>
      </c>
      <c r="AA229" s="33">
        <f ca="1">U229*VLOOKUP(U$223,'FX RATES'!$E$1:$F$50,2,FALSE)+V229*VLOOKUP(V$223,'FX RATES'!$E$1:$F$50,2,FALSE)+W229*VLOOKUP(W$223,'FX RATES'!$E$1:$F$50,2,FALSE)+X229*VLOOKUP(X$223,'FX RATES'!$E$1:$F$50,2,FALSE)+Y229*VLOOKUP(Y$223,'FX RATES'!$E$1:$F$50,2,FALSE)+Z229*VLOOKUP(Z$223,'FX RATES'!$E$1:$F$50,2,FALSE)</f>
        <v>0</v>
      </c>
      <c r="AC229" s="139">
        <f t="shared" ca="1" si="87"/>
        <v>0</v>
      </c>
    </row>
    <row r="230" spans="2:29" ht="18.75" hidden="1" customHeight="1">
      <c r="B230" s="28"/>
      <c r="C230" s="29" cm="1">
        <f t="array" ref="C230">SUMIFS(BALANCES!$C:$C,BALANCES!$A:$A,$B$219,BALANCES!$B:$B,$B230,BALANCES!$D:$D,C$223)+SUMIFS(FLOWS!$C:$C,FLOWS!$A:$A,$B$219,FLOWS!$E:$E,$B230,FLOWS!$D:$D,C$223,FLOWS!$H:$H,"&lt;"&amp;$C$221)+SUM(SUMIFS(DEALS!$J:$J,DEALS!$A:$A,{"*REFUND*","*EXECUTED*"},DEALS!$G:$G,$B$219,DEALS!$E:$E,"&lt;"&amp;$C$221,DEALS!$K:$K,C$223,DEALS!$M:$M,$B230,DEALS!$N:$N,"&lt;&gt;*RECEIVED*",DEALS!$N:$N,"&lt;&gt;*EXECUTED*"))+SUM(SUMIFS(DEALS!$R:$R,DEALS!$A:$A,{"*REFUND*","*EXECUTED*"},DEALS!$O:$O,$B$219,DEALS!$E:$E,"&lt;"&amp;$C$221,DEALS!$S:$S,C$223,DEALS!$U:$U,$B230,DEALS!$V:$V,"&lt;&gt;*RECEIVED*",DEALS!$V:$V,"&lt;&gt;*EXECUTED*"))</f>
        <v>0</v>
      </c>
      <c r="D230" s="29" cm="1">
        <f t="array" ref="D230">SUMIFS(BALANCES!$C:$C,BALANCES!$A:$A,$B$219,BALANCES!$B:$B,$B230,BALANCES!$D:$D,D$223)+SUMIFS(FLOWS!$C:$C,FLOWS!$A:$A,$B$219,FLOWS!$E:$E,$B230,FLOWS!$D:$D,D$223,FLOWS!$H:$H,"&lt;"&amp;$C$221)+SUM(SUMIFS(DEALS!$J:$J,DEALS!$A:$A,{"*REFUND*","*EXECUTED*"},DEALS!$G:$G,$B$219,DEALS!$E:$E,"&lt;"&amp;$C$221,DEALS!$K:$K,D$223,DEALS!$M:$M,$B230,DEALS!$N:$N,"&lt;&gt;*RECEIVED*",DEALS!$N:$N,"&lt;&gt;*EXECUTED*"))+SUM(SUMIFS(DEALS!$R:$R,DEALS!$A:$A,{"*REFUND*","*EXECUTED*"},DEALS!$O:$O,$B$219,DEALS!$E:$E,"&lt;"&amp;$C$221,DEALS!$S:$S,D$223,DEALS!$U:$U,$B230,DEALS!$V:$V,"&lt;&gt;*RECEIVED*",DEALS!$V:$V,"&lt;&gt;*EXECUTED*"))</f>
        <v>0</v>
      </c>
      <c r="E230" s="29" cm="1">
        <f t="array" ref="E230">SUMIFS(BALANCES!$C:$C,BALANCES!$A:$A,$B$219,BALANCES!$B:$B,$B230,BALANCES!$D:$D,E$223)+SUMIFS(FLOWS!$C:$C,FLOWS!$A:$A,$B$219,FLOWS!$E:$E,$B230,FLOWS!$D:$D,E$223,FLOWS!$H:$H,"&lt;"&amp;$C$221)+SUM(SUMIFS(DEALS!$J:$J,DEALS!$A:$A,{"*REFUND*","*EXECUTED*"},DEALS!$G:$G,$B$219,DEALS!$E:$E,"&lt;"&amp;$C$221,DEALS!$K:$K,E$223,DEALS!$M:$M,$B230,DEALS!$N:$N,"&lt;&gt;*RECEIVED*",DEALS!$N:$N,"&lt;&gt;*EXECUTED*"))+SUM(SUMIFS(DEALS!$R:$R,DEALS!$A:$A,{"*REFUND*","*EXECUTED*"},DEALS!$O:$O,$B$219,DEALS!$E:$E,"&lt;"&amp;$C$221,DEALS!$S:$S,E$223,DEALS!$U:$U,$B230,DEALS!$V:$V,"&lt;&gt;*RECEIVED*",DEALS!$V:$V,"&lt;&gt;*EXECUTED*"))</f>
        <v>0</v>
      </c>
      <c r="F230" s="29" cm="1">
        <f t="array" ref="F230">SUMIFS(BALANCES!$C:$C,BALANCES!$A:$A,$B$219,BALANCES!$B:$B,$B230,BALANCES!$D:$D,F$223)+SUMIFS(FLOWS!$C:$C,FLOWS!$A:$A,$B$219,FLOWS!$E:$E,$B230,FLOWS!$D:$D,F$223,FLOWS!$H:$H,"&lt;"&amp;$C$221)+SUM(SUMIFS(DEALS!$J:$J,DEALS!$A:$A,{"*REFUND*","*EXECUTED*"},DEALS!$G:$G,$B$219,DEALS!$E:$E,"&lt;"&amp;$C$221,DEALS!$K:$K,F$223,DEALS!$M:$M,$B230,DEALS!$N:$N,"&lt;&gt;*RECEIVED*",DEALS!$N:$N,"&lt;&gt;*EXECUTED*"))+SUM(SUMIFS(DEALS!$R:$R,DEALS!$A:$A,{"*REFUND*","*EXECUTED*"},DEALS!$O:$O,$B$219,DEALS!$E:$E,"&lt;"&amp;$C$221,DEALS!$S:$S,F$223,DEALS!$U:$U,$B230,DEALS!$V:$V,"&lt;&gt;*RECEIVED*",DEALS!$V:$V,"&lt;&gt;*EXECUTED*"))</f>
        <v>0</v>
      </c>
      <c r="G230" s="29" cm="1">
        <f t="array" ref="G230">SUMIFS(BALANCES!$C:$C,BALANCES!$A:$A,$B$219,BALANCES!$B:$B,$B230,BALANCES!$D:$D,G$223)+SUMIFS(FLOWS!$C:$C,FLOWS!$A:$A,$B$219,FLOWS!$E:$E,$B230,FLOWS!$D:$D,G$223,FLOWS!$H:$H,"&lt;"&amp;$C$221)+SUM(SUMIFS(DEALS!$J:$J,DEALS!$A:$A,{"*REFUND*","*EXECUTED*"},DEALS!$G:$G,$B$219,DEALS!$E:$E,"&lt;"&amp;$C$221,DEALS!$K:$K,G$223,DEALS!$M:$M,$B230,DEALS!$N:$N,"&lt;&gt;*RECEIVED*",DEALS!$N:$N,"&lt;&gt;*EXECUTED*"))+SUM(SUMIFS(DEALS!$R:$R,DEALS!$A:$A,{"*REFUND*","*EXECUTED*"},DEALS!$O:$O,$B$219,DEALS!$E:$E,"&lt;"&amp;$C$221,DEALS!$S:$S,G$223,DEALS!$U:$U,$B230,DEALS!$V:$V,"&lt;&gt;*RECEIVED*",DEALS!$V:$V,"&lt;&gt;*EXECUTED*"))</f>
        <v>0</v>
      </c>
      <c r="H230" s="29" cm="1">
        <f t="array" ref="H230">SUMIFS(BALANCES!$C:$C,BALANCES!$A:$A,$B$219,BALANCES!$B:$B,$B230,BALANCES!$D:$D,H$223)+SUMIFS(FLOWS!$C:$C,FLOWS!$A:$A,$B$219,FLOWS!$E:$E,$B230,FLOWS!$D:$D,H$223,FLOWS!$H:$H,"&lt;"&amp;$C$221)+SUM(SUMIFS(DEALS!$J:$J,DEALS!$A:$A,{"*REFUND*","*EXECUTED*"},DEALS!$G:$G,$B$219,DEALS!$E:$E,"&lt;"&amp;$C$221,DEALS!$K:$K,H$223,DEALS!$M:$M,$B230,DEALS!$N:$N,"&lt;&gt;*RECEIVED*",DEALS!$N:$N,"&lt;&gt;*EXECUTED*"))+SUM(SUMIFS(DEALS!$R:$R,DEALS!$A:$A,{"*REFUND*","*EXECUTED*"},DEALS!$O:$O,$B$219,DEALS!$E:$E,"&lt;"&amp;$C$221,DEALS!$S:$S,H$223,DEALS!$U:$U,$B230,DEALS!$V:$V,"&lt;&gt;*RECEIVED*",DEALS!$V:$V,"&lt;&gt;*EXECUTED*"))</f>
        <v>0</v>
      </c>
      <c r="I230" s="30">
        <f ca="1">C230*VLOOKUP(C$223,'FX RATES'!$E$1:$F$50,2,FALSE)+D230*VLOOKUP(D$223,'FX RATES'!$E$1:$F$50,2,FALSE)+E230*VLOOKUP(E$223,'FX RATES'!$E$1:$F$50,2,FALSE)+F230*VLOOKUP(F$223,'FX RATES'!$E$1:$F$50,2,FALSE)+G230*VLOOKUP(G$223,'FX RATES'!$E$1:$F$50,2,FALSE)+H230*VLOOKUP(H$223,'FX RATES'!$E$1:$F$50,2,FALSE)</f>
        <v>0</v>
      </c>
      <c r="K230" s="28">
        <f t="shared" si="85"/>
        <v>0</v>
      </c>
      <c r="L230" s="29" cm="1">
        <f t="array" ref="L230">SUMIFS(FLOWS!$C:$C,FLOWS!$A:$A,$B$219,FLOWS!$E:$E,$K230,FLOWS!$D:$D,L$223,FLOWS!$H:$H,"&gt;="&amp;$C$221,FLOWS!$H:$H,"&lt;="&amp;$U$221)+SUM(SUMIFS(DEALS!$J:$J,DEALS!$A:$A,{"*REFUND*","*EXECUTED*"},DEALS!$G:$G,$B$219,DEALS!$E:$E,"&gt;="&amp;$C$221,DEALS!$E:$E,"&lt;="&amp;$U$221,DEALS!$K:$K,L$223,DEALS!$M:$M,$K230,DEALS!$N:$N,"&lt;&gt;*RECEIVED*",DEALS!$N:$N,"&lt;&gt;*EXECUTED*"))+SUM(SUMIFS(DEALS!$R:$R,DEALS!$A:$A,{"*REFUND*","*EXECUTED*"},DEALS!$O:$O,$B$219,DEALS!$E:$E,"&gt;="&amp;$C$221,DEALS!$E:$E,"&lt;="&amp;$U$221,DEALS!$S:$S,L$223,DEALS!$U:$U,$K230,DEALS!$V:$V,"&lt;&gt;*RECEIVED*",DEALS!$V:$V,"&lt;&gt;*EXECUTED*"))</f>
        <v>0</v>
      </c>
      <c r="M230" s="29" cm="1">
        <f t="array" ref="M230">SUMIFS(FLOWS!$C:$C,FLOWS!$A:$A,$B$219,FLOWS!$E:$E,$K230,FLOWS!$D:$D,M$223,FLOWS!$H:$H,"&gt;="&amp;$C$221,FLOWS!$H:$H,"&lt;="&amp;$U$221)+SUM(SUMIFS(DEALS!$J:$J,DEALS!$A:$A,{"*REFUND*","*EXECUTED*"},DEALS!$G:$G,$B$219,DEALS!$E:$E,"&gt;="&amp;$C$221,DEALS!$E:$E,"&lt;="&amp;$U$221,DEALS!$K:$K,M$223,DEALS!$M:$M,$K230,DEALS!$N:$N,"&lt;&gt;*RECEIVED*",DEALS!$N:$N,"&lt;&gt;*EXECUTED*"))+SUM(SUMIFS(DEALS!$R:$R,DEALS!$A:$A,{"*REFUND*","*EXECUTED*"},DEALS!$O:$O,$B$219,DEALS!$E:$E,"&gt;="&amp;$C$221,DEALS!$E:$E,"&lt;="&amp;$U$221,DEALS!$S:$S,M$223,DEALS!$U:$U,$K230,DEALS!$V:$V,"&lt;&gt;*RECEIVED*",DEALS!$V:$V,"&lt;&gt;*EXECUTED*"))</f>
        <v>0</v>
      </c>
      <c r="N230" s="29" cm="1">
        <f t="array" ref="N230">SUMIFS(FLOWS!$C:$C,FLOWS!$A:$A,$B$219,FLOWS!$E:$E,$K230,FLOWS!$D:$D,N$223,FLOWS!$H:$H,"&gt;="&amp;$C$221,FLOWS!$H:$H,"&lt;="&amp;$U$221)+SUM(SUMIFS(DEALS!$J:$J,DEALS!$A:$A,{"*REFUND*","*EXECUTED*"},DEALS!$G:$G,$B$219,DEALS!$E:$E,"&gt;="&amp;$C$221,DEALS!$E:$E,"&lt;="&amp;$U$221,DEALS!$K:$K,N$223,DEALS!$M:$M,$K230,DEALS!$N:$N,"&lt;&gt;*RECEIVED*",DEALS!$N:$N,"&lt;&gt;*EXECUTED*"))+SUM(SUMIFS(DEALS!$R:$R,DEALS!$A:$A,{"*REFUND*","*EXECUTED*"},DEALS!$O:$O,$B$219,DEALS!$E:$E,"&gt;="&amp;$C$221,DEALS!$E:$E,"&lt;="&amp;$U$221,DEALS!$S:$S,N$223,DEALS!$U:$U,$K230,DEALS!$V:$V,"&lt;&gt;*RECEIVED*",DEALS!$V:$V,"&lt;&gt;*EXECUTED*"))</f>
        <v>0</v>
      </c>
      <c r="O230" s="29" cm="1">
        <f t="array" ref="O230">SUMIFS(FLOWS!$C:$C,FLOWS!$A:$A,$B$219,FLOWS!$E:$E,$K230,FLOWS!$D:$D,O$223,FLOWS!$H:$H,"&gt;="&amp;$C$221,FLOWS!$H:$H,"&lt;="&amp;$U$221)+SUM(SUMIFS(DEALS!$J:$J,DEALS!$A:$A,{"*REFUND*","*EXECUTED*"},DEALS!$G:$G,$B$219,DEALS!$E:$E,"&gt;="&amp;$C$221,DEALS!$E:$E,"&lt;="&amp;$U$221,DEALS!$K:$K,O$223,DEALS!$M:$M,$K230,DEALS!$N:$N,"&lt;&gt;*RECEIVED*",DEALS!$N:$N,"&lt;&gt;*EXECUTED*"))+SUM(SUMIFS(DEALS!$R:$R,DEALS!$A:$A,{"*REFUND*","*EXECUTED*"},DEALS!$O:$O,$B$219,DEALS!$E:$E,"&gt;="&amp;$C$221,DEALS!$E:$E,"&lt;="&amp;$U$221,DEALS!$S:$S,O$223,DEALS!$U:$U,$K230,DEALS!$V:$V,"&lt;&gt;*RECEIVED*",DEALS!$V:$V,"&lt;&gt;*EXECUTED*"))</f>
        <v>0</v>
      </c>
      <c r="P230" s="29" cm="1">
        <f t="array" ref="P230">SUMIFS(FLOWS!$C:$C,FLOWS!$A:$A,$B$219,FLOWS!$E:$E,$K230,FLOWS!$D:$D,P$223,FLOWS!$H:$H,"&gt;="&amp;$C$221,FLOWS!$H:$H,"&lt;="&amp;$U$221)+SUM(SUMIFS(DEALS!$J:$J,DEALS!$A:$A,{"*REFUND*","*EXECUTED*"},DEALS!$G:$G,$B$219,DEALS!$E:$E,"&gt;="&amp;$C$221,DEALS!$E:$E,"&lt;="&amp;$U$221,DEALS!$K:$K,P$223,DEALS!$M:$M,$K230,DEALS!$N:$N,"&lt;&gt;*RECEIVED*",DEALS!$N:$N,"&lt;&gt;*EXECUTED*"))+SUM(SUMIFS(DEALS!$R:$R,DEALS!$A:$A,{"*REFUND*","*EXECUTED*"},DEALS!$O:$O,$B$219,DEALS!$E:$E,"&gt;="&amp;$C$221,DEALS!$E:$E,"&lt;="&amp;$U$221,DEALS!$S:$S,P$223,DEALS!$U:$U,$K230,DEALS!$V:$V,"&lt;&gt;*RECEIVED*",DEALS!$V:$V,"&lt;&gt;*EXECUTED*"))</f>
        <v>0</v>
      </c>
      <c r="Q230" s="29" cm="1">
        <f t="array" ref="Q230">SUMIFS(FLOWS!$C:$C,FLOWS!$A:$A,$B$219,FLOWS!$E:$E,$K230,FLOWS!$D:$D,Q$223,FLOWS!$H:$H,"&gt;="&amp;$C$221,FLOWS!$H:$H,"&lt;="&amp;$U$221)+SUM(SUMIFS(DEALS!$J:$J,DEALS!$A:$A,{"*REFUND*","*EXECUTED*"},DEALS!$G:$G,$B$219,DEALS!$E:$E,"&gt;="&amp;$C$221,DEALS!$E:$E,"&lt;="&amp;$U$221,DEALS!$K:$K,Q$223,DEALS!$M:$M,$K230,DEALS!$N:$N,"&lt;&gt;*RECEIVED*",DEALS!$N:$N,"&lt;&gt;*EXECUTED*"))+SUM(SUMIFS(DEALS!$R:$R,DEALS!$A:$A,{"*REFUND*","*EXECUTED*"},DEALS!$O:$O,$B$219,DEALS!$E:$E,"&gt;="&amp;$C$221,DEALS!$E:$E,"&lt;="&amp;$U$221,DEALS!$S:$S,Q$223,DEALS!$U:$U,$K230,DEALS!$V:$V,"&lt;&gt;*RECEIVED*",DEALS!$V:$V,"&lt;&gt;*EXECUTED*"))</f>
        <v>0</v>
      </c>
      <c r="R230" s="30">
        <f ca="1">L230*VLOOKUP(L$223,'FX RATES'!$E$1:$F$50,2,FALSE)+M230*VLOOKUP(M$223,'FX RATES'!$E$1:$F$50,2,FALSE)+N230*VLOOKUP(N$223,'FX RATES'!$E$1:$F$50,2,FALSE)+O230*VLOOKUP(O$223,'FX RATES'!$E$1:$F$50,2,FALSE)+P230*VLOOKUP(P$223,'FX RATES'!$E$1:$F$50,2,FALSE)+Q230*VLOOKUP(Q$223,'FX RATES'!$E$1:$F$50,2,FALSE)</f>
        <v>0</v>
      </c>
      <c r="T230" s="28">
        <f t="shared" si="86"/>
        <v>0</v>
      </c>
      <c r="U230" s="29" cm="1">
        <f t="array" ref="U230">SUMIFS(BALANCES!$C:$C,BALANCES!$A:$A,$B$219,BALANCES!$B:$B,$T230,BALANCES!$D:$D,U$223)+SUMIFS(FLOWS!$C:$C,FLOWS!$A:$A,$B$219,FLOWS!$E:$E,$T230,FLOWS!$D:$D,U$223,FLOWS!$H:$H,"&lt;="&amp;$U$221)+SUM(SUMIFS(DEALS!$J:$J,DEALS!$A:$A,{"*REFUND*","*EXECUTED*"},DEALS!$G:$G,$B$219,DEALS!$E:$E,"&lt;="&amp;$U$221,DEALS!$K:$K,U$223,DEALS!$M:$M,$T230,DEALS!$N:$N,"&lt;&gt;*RECEIVED*",DEALS!$N:$N,"&lt;&gt;*EXECUTED*"))+SUM(SUMIFS(DEALS!$R:$R,DEALS!$A:$A,{"*REFUND*","*EXECUTED*"},DEALS!$O:$O,$B$219,DEALS!$E:$E,"&lt;="&amp;$U$221,DEALS!$S:$S,U$223,DEALS!$U:$U,$T230,DEALS!$V:$V,"&lt;&gt;*RECEIVED*",DEALS!$V:$V,"&lt;&gt;*EXECUTED*"))</f>
        <v>0</v>
      </c>
      <c r="V230" s="29" cm="1">
        <f t="array" ref="V230">SUMIFS(BALANCES!$C:$C,BALANCES!$A:$A,$B$219,BALANCES!$B:$B,$T230,BALANCES!$D:$D,V$223)+SUMIFS(FLOWS!$C:$C,FLOWS!$A:$A,$B$219,FLOWS!$E:$E,$T230,FLOWS!$D:$D,V$223,FLOWS!$H:$H,"&lt;="&amp;$U$221)+SUM(SUMIFS(DEALS!$J:$J,DEALS!$A:$A,{"*REFUND*","*EXECUTED*"},DEALS!$G:$G,$B$219,DEALS!$E:$E,"&lt;="&amp;$U$221,DEALS!$K:$K,V$223,DEALS!$M:$M,$T230,DEALS!$N:$N,"&lt;&gt;*RECEIVED*",DEALS!$N:$N,"&lt;&gt;*EXECUTED*"))+SUM(SUMIFS(DEALS!$R:$R,DEALS!$A:$A,{"*REFUND*","*EXECUTED*"},DEALS!$O:$O,$B$219,DEALS!$E:$E,"&lt;="&amp;$U$221,DEALS!$S:$S,V$223,DEALS!$U:$U,$T230,DEALS!$V:$V,"&lt;&gt;*RECEIVED*",DEALS!$V:$V,"&lt;&gt;*EXECUTED*"))</f>
        <v>0</v>
      </c>
      <c r="W230" s="29" cm="1">
        <f t="array" ref="W230">SUMIFS(BALANCES!$C:$C,BALANCES!$A:$A,$B$219,BALANCES!$B:$B,$T230,BALANCES!$D:$D,W$223)+SUMIFS(FLOWS!$C:$C,FLOWS!$A:$A,$B$219,FLOWS!$E:$E,$T230,FLOWS!$D:$D,W$223,FLOWS!$H:$H,"&lt;="&amp;$U$221)+SUM(SUMIFS(DEALS!$J:$J,DEALS!$A:$A,{"*REFUND*","*EXECUTED*"},DEALS!$G:$G,$B$219,DEALS!$E:$E,"&lt;="&amp;$U$221,DEALS!$K:$K,W$223,DEALS!$M:$M,$T230,DEALS!$N:$N,"&lt;&gt;*RECEIVED*",DEALS!$N:$N,"&lt;&gt;*EXECUTED*"))+SUM(SUMIFS(DEALS!$R:$R,DEALS!$A:$A,{"*REFUND*","*EXECUTED*"},DEALS!$O:$O,$B$219,DEALS!$E:$E,"&lt;="&amp;$U$221,DEALS!$S:$S,W$223,DEALS!$U:$U,$T230,DEALS!$V:$V,"&lt;&gt;*RECEIVED*",DEALS!$V:$V,"&lt;&gt;*EXECUTED*"))</f>
        <v>0</v>
      </c>
      <c r="X230" s="29" cm="1">
        <f t="array" ref="X230">SUMIFS(BALANCES!$C:$C,BALANCES!$A:$A,$B$219,BALANCES!$B:$B,$T230,BALANCES!$D:$D,X$223)+SUMIFS(FLOWS!$C:$C,FLOWS!$A:$A,$B$219,FLOWS!$E:$E,$T230,FLOWS!$D:$D,X$223,FLOWS!$H:$H,"&lt;="&amp;$U$221)+SUM(SUMIFS(DEALS!$J:$J,DEALS!$A:$A,{"*REFUND*","*EXECUTED*"},DEALS!$G:$G,$B$219,DEALS!$E:$E,"&lt;="&amp;$U$221,DEALS!$K:$K,X$223,DEALS!$M:$M,$T230,DEALS!$N:$N,"&lt;&gt;*RECEIVED*",DEALS!$N:$N,"&lt;&gt;*EXECUTED*"))+SUM(SUMIFS(DEALS!$R:$R,DEALS!$A:$A,{"*REFUND*","*EXECUTED*"},DEALS!$O:$O,$B$219,DEALS!$E:$E,"&lt;="&amp;$U$221,DEALS!$S:$S,X$223,DEALS!$U:$U,$T230,DEALS!$V:$V,"&lt;&gt;*RECEIVED*",DEALS!$V:$V,"&lt;&gt;*EXECUTED*"))</f>
        <v>0</v>
      </c>
      <c r="Y230" s="29" cm="1">
        <f t="array" ref="Y230">SUMIFS(BALANCES!$C:$C,BALANCES!$A:$A,$B$219,BALANCES!$B:$B,$T230,BALANCES!$D:$D,Y$223)+SUMIFS(FLOWS!$C:$C,FLOWS!$A:$A,$B$219,FLOWS!$E:$E,$T230,FLOWS!$D:$D,Y$223,FLOWS!$H:$H,"&lt;="&amp;$U$221)+SUM(SUMIFS(DEALS!$J:$J,DEALS!$A:$A,{"*REFUND*","*EXECUTED*"},DEALS!$G:$G,$B$219,DEALS!$E:$E,"&lt;="&amp;$U$221,DEALS!$K:$K,Y$223,DEALS!$M:$M,$T230,DEALS!$N:$N,"&lt;&gt;*RECEIVED*",DEALS!$N:$N,"&lt;&gt;*EXECUTED*"))+SUM(SUMIFS(DEALS!$R:$R,DEALS!$A:$A,{"*REFUND*","*EXECUTED*"},DEALS!$O:$O,$B$219,DEALS!$E:$E,"&lt;="&amp;$U$221,DEALS!$S:$S,Y$223,DEALS!$U:$U,$T230,DEALS!$V:$V,"&lt;&gt;*RECEIVED*",DEALS!$V:$V,"&lt;&gt;*EXECUTED*"))</f>
        <v>0</v>
      </c>
      <c r="Z230" s="29" cm="1">
        <f t="array" ref="Z230">SUMIFS(BALANCES!$C:$C,BALANCES!$A:$A,$B$219,BALANCES!$B:$B,$T230,BALANCES!$D:$D,Z$223)+SUMIFS(FLOWS!$C:$C,FLOWS!$A:$A,$B$219,FLOWS!$E:$E,$T230,FLOWS!$D:$D,Z$223,FLOWS!$H:$H,"&lt;="&amp;$U$221)+SUM(SUMIFS(DEALS!$J:$J,DEALS!$A:$A,{"*REFUND*","*EXECUTED*"},DEALS!$G:$G,$B$219,DEALS!$E:$E,"&lt;="&amp;$U$221,DEALS!$K:$K,Z$223,DEALS!$M:$M,$T230,DEALS!$N:$N,"&lt;&gt;*RECEIVED*",DEALS!$N:$N,"&lt;&gt;*EXECUTED*"))+SUM(SUMIFS(DEALS!$R:$R,DEALS!$A:$A,{"*REFUND*","*EXECUTED*"},DEALS!$O:$O,$B$219,DEALS!$E:$E,"&lt;="&amp;$U$221,DEALS!$S:$S,Z$223,DEALS!$U:$U,$T230,DEALS!$V:$V,"&lt;&gt;*RECEIVED*",DEALS!$V:$V,"&lt;&gt;*EXECUTED*"))</f>
        <v>0</v>
      </c>
      <c r="AA230" s="30">
        <f ca="1">U230*VLOOKUP(U$223,'FX RATES'!$E$1:$F$50,2,FALSE)+V230*VLOOKUP(V$223,'FX RATES'!$E$1:$F$50,2,FALSE)+W230*VLOOKUP(W$223,'FX RATES'!$E$1:$F$50,2,FALSE)+X230*VLOOKUP(X$223,'FX RATES'!$E$1:$F$50,2,FALSE)+Y230*VLOOKUP(Y$223,'FX RATES'!$E$1:$F$50,2,FALSE)+Z230*VLOOKUP(Z$223,'FX RATES'!$E$1:$F$50,2,FALSE)</f>
        <v>0</v>
      </c>
      <c r="AC230" s="139">
        <f t="shared" ca="1" si="87"/>
        <v>0</v>
      </c>
    </row>
    <row r="231" spans="2:29" ht="18.75" hidden="1" customHeight="1">
      <c r="B231" s="31"/>
      <c r="C231" s="32" cm="1">
        <f t="array" ref="C231">SUMIFS(BALANCES!$C:$C,BALANCES!$A:$A,$B$219,BALANCES!$B:$B,$B231,BALANCES!$D:$D,C$223)+SUMIFS(FLOWS!$C:$C,FLOWS!$A:$A,$B$219,FLOWS!$E:$E,$B231,FLOWS!$D:$D,C$223,FLOWS!$H:$H,"&lt;"&amp;$C$221)+SUM(SUMIFS(DEALS!$J:$J,DEALS!$A:$A,{"*REFUND*","*EXECUTED*"},DEALS!$G:$G,$B$219,DEALS!$E:$E,"&lt;"&amp;$C$221,DEALS!$K:$K,C$223,DEALS!$M:$M,$B231,DEALS!$N:$N,"&lt;&gt;*RECEIVED*",DEALS!$N:$N,"&lt;&gt;*EXECUTED*"))+SUM(SUMIFS(DEALS!$R:$R,DEALS!$A:$A,{"*REFUND*","*EXECUTED*"},DEALS!$O:$O,$B$219,DEALS!$E:$E,"&lt;"&amp;$C$221,DEALS!$S:$S,C$223,DEALS!$U:$U,$B231,DEALS!$V:$V,"&lt;&gt;*RECEIVED*",DEALS!$V:$V,"&lt;&gt;*EXECUTED*"))</f>
        <v>0</v>
      </c>
      <c r="D231" s="32" cm="1">
        <f t="array" ref="D231">SUMIFS(BALANCES!$C:$C,BALANCES!$A:$A,$B$219,BALANCES!$B:$B,$B231,BALANCES!$D:$D,D$223)+SUMIFS(FLOWS!$C:$C,FLOWS!$A:$A,$B$219,FLOWS!$E:$E,$B231,FLOWS!$D:$D,D$223,FLOWS!$H:$H,"&lt;"&amp;$C$221)+SUM(SUMIFS(DEALS!$J:$J,DEALS!$A:$A,{"*REFUND*","*EXECUTED*"},DEALS!$G:$G,$B$219,DEALS!$E:$E,"&lt;"&amp;$C$221,DEALS!$K:$K,D$223,DEALS!$M:$M,$B231,DEALS!$N:$N,"&lt;&gt;*RECEIVED*",DEALS!$N:$N,"&lt;&gt;*EXECUTED*"))+SUM(SUMIFS(DEALS!$R:$R,DEALS!$A:$A,{"*REFUND*","*EXECUTED*"},DEALS!$O:$O,$B$219,DEALS!$E:$E,"&lt;"&amp;$C$221,DEALS!$S:$S,D$223,DEALS!$U:$U,$B231,DEALS!$V:$V,"&lt;&gt;*RECEIVED*",DEALS!$V:$V,"&lt;&gt;*EXECUTED*"))</f>
        <v>0</v>
      </c>
      <c r="E231" s="32" cm="1">
        <f t="array" ref="E231">SUMIFS(BALANCES!$C:$C,BALANCES!$A:$A,$B$219,BALANCES!$B:$B,$B231,BALANCES!$D:$D,E$223)+SUMIFS(FLOWS!$C:$C,FLOWS!$A:$A,$B$219,FLOWS!$E:$E,$B231,FLOWS!$D:$D,E$223,FLOWS!$H:$H,"&lt;"&amp;$C$221)+SUM(SUMIFS(DEALS!$J:$J,DEALS!$A:$A,{"*REFUND*","*EXECUTED*"},DEALS!$G:$G,$B$219,DEALS!$E:$E,"&lt;"&amp;$C$221,DEALS!$K:$K,E$223,DEALS!$M:$M,$B231,DEALS!$N:$N,"&lt;&gt;*RECEIVED*",DEALS!$N:$N,"&lt;&gt;*EXECUTED*"))+SUM(SUMIFS(DEALS!$R:$R,DEALS!$A:$A,{"*REFUND*","*EXECUTED*"},DEALS!$O:$O,$B$219,DEALS!$E:$E,"&lt;"&amp;$C$221,DEALS!$S:$S,E$223,DEALS!$U:$U,$B231,DEALS!$V:$V,"&lt;&gt;*RECEIVED*",DEALS!$V:$V,"&lt;&gt;*EXECUTED*"))</f>
        <v>0</v>
      </c>
      <c r="F231" s="32" cm="1">
        <f t="array" ref="F231">SUMIFS(BALANCES!$C:$C,BALANCES!$A:$A,$B$219,BALANCES!$B:$B,$B231,BALANCES!$D:$D,F$223)+SUMIFS(FLOWS!$C:$C,FLOWS!$A:$A,$B$219,FLOWS!$E:$E,$B231,FLOWS!$D:$D,F$223,FLOWS!$H:$H,"&lt;"&amp;$C$221)+SUM(SUMIFS(DEALS!$J:$J,DEALS!$A:$A,{"*REFUND*","*EXECUTED*"},DEALS!$G:$G,$B$219,DEALS!$E:$E,"&lt;"&amp;$C$221,DEALS!$K:$K,F$223,DEALS!$M:$M,$B231,DEALS!$N:$N,"&lt;&gt;*RECEIVED*",DEALS!$N:$N,"&lt;&gt;*EXECUTED*"))+SUM(SUMIFS(DEALS!$R:$R,DEALS!$A:$A,{"*REFUND*","*EXECUTED*"},DEALS!$O:$O,$B$219,DEALS!$E:$E,"&lt;"&amp;$C$221,DEALS!$S:$S,F$223,DEALS!$U:$U,$B231,DEALS!$V:$V,"&lt;&gt;*RECEIVED*",DEALS!$V:$V,"&lt;&gt;*EXECUTED*"))</f>
        <v>0</v>
      </c>
      <c r="G231" s="32" cm="1">
        <f t="array" ref="G231">SUMIFS(BALANCES!$C:$C,BALANCES!$A:$A,$B$219,BALANCES!$B:$B,$B231,BALANCES!$D:$D,G$223)+SUMIFS(FLOWS!$C:$C,FLOWS!$A:$A,$B$219,FLOWS!$E:$E,$B231,FLOWS!$D:$D,G$223,FLOWS!$H:$H,"&lt;"&amp;$C$221)+SUM(SUMIFS(DEALS!$J:$J,DEALS!$A:$A,{"*REFUND*","*EXECUTED*"},DEALS!$G:$G,$B$219,DEALS!$E:$E,"&lt;"&amp;$C$221,DEALS!$K:$K,G$223,DEALS!$M:$M,$B231,DEALS!$N:$N,"&lt;&gt;*RECEIVED*",DEALS!$N:$N,"&lt;&gt;*EXECUTED*"))+SUM(SUMIFS(DEALS!$R:$R,DEALS!$A:$A,{"*REFUND*","*EXECUTED*"},DEALS!$O:$O,$B$219,DEALS!$E:$E,"&lt;"&amp;$C$221,DEALS!$S:$S,G$223,DEALS!$U:$U,$B231,DEALS!$V:$V,"&lt;&gt;*RECEIVED*",DEALS!$V:$V,"&lt;&gt;*EXECUTED*"))</f>
        <v>0</v>
      </c>
      <c r="H231" s="32" cm="1">
        <f t="array" ref="H231">SUMIFS(BALANCES!$C:$C,BALANCES!$A:$A,$B$219,BALANCES!$B:$B,$B231,BALANCES!$D:$D,H$223)+SUMIFS(FLOWS!$C:$C,FLOWS!$A:$A,$B$219,FLOWS!$E:$E,$B231,FLOWS!$D:$D,H$223,FLOWS!$H:$H,"&lt;"&amp;$C$221)+SUM(SUMIFS(DEALS!$J:$J,DEALS!$A:$A,{"*REFUND*","*EXECUTED*"},DEALS!$G:$G,$B$219,DEALS!$E:$E,"&lt;"&amp;$C$221,DEALS!$K:$K,H$223,DEALS!$M:$M,$B231,DEALS!$N:$N,"&lt;&gt;*RECEIVED*",DEALS!$N:$N,"&lt;&gt;*EXECUTED*"))+SUM(SUMIFS(DEALS!$R:$R,DEALS!$A:$A,{"*REFUND*","*EXECUTED*"},DEALS!$O:$O,$B$219,DEALS!$E:$E,"&lt;"&amp;$C$221,DEALS!$S:$S,H$223,DEALS!$U:$U,$B231,DEALS!$V:$V,"&lt;&gt;*RECEIVED*",DEALS!$V:$V,"&lt;&gt;*EXECUTED*"))</f>
        <v>0</v>
      </c>
      <c r="I231" s="33">
        <f ca="1">C231*VLOOKUP(C$223,'FX RATES'!$E$1:$F$50,2,FALSE)+D231*VLOOKUP(D$223,'FX RATES'!$E$1:$F$50,2,FALSE)+E231*VLOOKUP(E$223,'FX RATES'!$E$1:$F$50,2,FALSE)+F231*VLOOKUP(F$223,'FX RATES'!$E$1:$F$50,2,FALSE)+G231*VLOOKUP(G$223,'FX RATES'!$E$1:$F$50,2,FALSE)+H231*VLOOKUP(H$223,'FX RATES'!$E$1:$F$50,2,FALSE)</f>
        <v>0</v>
      </c>
      <c r="K231" s="31">
        <f t="shared" si="85"/>
        <v>0</v>
      </c>
      <c r="L231" s="32" cm="1">
        <f t="array" ref="L231">SUMIFS(FLOWS!$C:$C,FLOWS!$A:$A,$B$219,FLOWS!$E:$E,$K231,FLOWS!$D:$D,L$223,FLOWS!$H:$H,"&gt;="&amp;$C$221,FLOWS!$H:$H,"&lt;="&amp;$U$221)+SUM(SUMIFS(DEALS!$J:$J,DEALS!$A:$A,{"*REFUND*","*EXECUTED*"},DEALS!$G:$G,$B$219,DEALS!$E:$E,"&gt;="&amp;$C$221,DEALS!$E:$E,"&lt;="&amp;$U$221,DEALS!$K:$K,L$223,DEALS!$M:$M,$K231,DEALS!$N:$N,"&lt;&gt;*RECEIVED*",DEALS!$N:$N,"&lt;&gt;*EXECUTED*"))+SUM(SUMIFS(DEALS!$R:$R,DEALS!$A:$A,{"*REFUND*","*EXECUTED*"},DEALS!$O:$O,$B$219,DEALS!$E:$E,"&gt;="&amp;$C$221,DEALS!$E:$E,"&lt;="&amp;$U$221,DEALS!$S:$S,L$223,DEALS!$U:$U,$K231,DEALS!$V:$V,"&lt;&gt;*RECEIVED*",DEALS!$V:$V,"&lt;&gt;*EXECUTED*"))</f>
        <v>0</v>
      </c>
      <c r="M231" s="32" cm="1">
        <f t="array" ref="M231">SUMIFS(FLOWS!$C:$C,FLOWS!$A:$A,$B$219,FLOWS!$E:$E,$K231,FLOWS!$D:$D,M$223,FLOWS!$H:$H,"&gt;="&amp;$C$221,FLOWS!$H:$H,"&lt;="&amp;$U$221)+SUM(SUMIFS(DEALS!$J:$J,DEALS!$A:$A,{"*REFUND*","*EXECUTED*"},DEALS!$G:$G,$B$219,DEALS!$E:$E,"&gt;="&amp;$C$221,DEALS!$E:$E,"&lt;="&amp;$U$221,DEALS!$K:$K,M$223,DEALS!$M:$M,$K231,DEALS!$N:$N,"&lt;&gt;*RECEIVED*",DEALS!$N:$N,"&lt;&gt;*EXECUTED*"))+SUM(SUMIFS(DEALS!$R:$R,DEALS!$A:$A,{"*REFUND*","*EXECUTED*"},DEALS!$O:$O,$B$219,DEALS!$E:$E,"&gt;="&amp;$C$221,DEALS!$E:$E,"&lt;="&amp;$U$221,DEALS!$S:$S,M$223,DEALS!$U:$U,$K231,DEALS!$V:$V,"&lt;&gt;*RECEIVED*",DEALS!$V:$V,"&lt;&gt;*EXECUTED*"))</f>
        <v>0</v>
      </c>
      <c r="N231" s="32" cm="1">
        <f t="array" ref="N231">SUMIFS(FLOWS!$C:$C,FLOWS!$A:$A,$B$219,FLOWS!$E:$E,$K231,FLOWS!$D:$D,N$223,FLOWS!$H:$H,"&gt;="&amp;$C$221,FLOWS!$H:$H,"&lt;="&amp;$U$221)+SUM(SUMIFS(DEALS!$J:$J,DEALS!$A:$A,{"*REFUND*","*EXECUTED*"},DEALS!$G:$G,$B$219,DEALS!$E:$E,"&gt;="&amp;$C$221,DEALS!$E:$E,"&lt;="&amp;$U$221,DEALS!$K:$K,N$223,DEALS!$M:$M,$K231,DEALS!$N:$N,"&lt;&gt;*RECEIVED*",DEALS!$N:$N,"&lt;&gt;*EXECUTED*"))+SUM(SUMIFS(DEALS!$R:$R,DEALS!$A:$A,{"*REFUND*","*EXECUTED*"},DEALS!$O:$O,$B$219,DEALS!$E:$E,"&gt;="&amp;$C$221,DEALS!$E:$E,"&lt;="&amp;$U$221,DEALS!$S:$S,N$223,DEALS!$U:$U,$K231,DEALS!$V:$V,"&lt;&gt;*RECEIVED*",DEALS!$V:$V,"&lt;&gt;*EXECUTED*"))</f>
        <v>0</v>
      </c>
      <c r="O231" s="32" cm="1">
        <f t="array" ref="O231">SUMIFS(FLOWS!$C:$C,FLOWS!$A:$A,$B$219,FLOWS!$E:$E,$K231,FLOWS!$D:$D,O$223,FLOWS!$H:$H,"&gt;="&amp;$C$221,FLOWS!$H:$H,"&lt;="&amp;$U$221)+SUM(SUMIFS(DEALS!$J:$J,DEALS!$A:$A,{"*REFUND*","*EXECUTED*"},DEALS!$G:$G,$B$219,DEALS!$E:$E,"&gt;="&amp;$C$221,DEALS!$E:$E,"&lt;="&amp;$U$221,DEALS!$K:$K,O$223,DEALS!$M:$M,$K231,DEALS!$N:$N,"&lt;&gt;*RECEIVED*",DEALS!$N:$N,"&lt;&gt;*EXECUTED*"))+SUM(SUMIFS(DEALS!$R:$R,DEALS!$A:$A,{"*REFUND*","*EXECUTED*"},DEALS!$O:$O,$B$219,DEALS!$E:$E,"&gt;="&amp;$C$221,DEALS!$E:$E,"&lt;="&amp;$U$221,DEALS!$S:$S,O$223,DEALS!$U:$U,$K231,DEALS!$V:$V,"&lt;&gt;*RECEIVED*",DEALS!$V:$V,"&lt;&gt;*EXECUTED*"))</f>
        <v>0</v>
      </c>
      <c r="P231" s="32" cm="1">
        <f t="array" ref="P231">SUMIFS(FLOWS!$C:$C,FLOWS!$A:$A,$B$219,FLOWS!$E:$E,$K231,FLOWS!$D:$D,P$223,FLOWS!$H:$H,"&gt;="&amp;$C$221,FLOWS!$H:$H,"&lt;="&amp;$U$221)+SUM(SUMIFS(DEALS!$J:$J,DEALS!$A:$A,{"*REFUND*","*EXECUTED*"},DEALS!$G:$G,$B$219,DEALS!$E:$E,"&gt;="&amp;$C$221,DEALS!$E:$E,"&lt;="&amp;$U$221,DEALS!$K:$K,P$223,DEALS!$M:$M,$K231,DEALS!$N:$N,"&lt;&gt;*RECEIVED*",DEALS!$N:$N,"&lt;&gt;*EXECUTED*"))+SUM(SUMIFS(DEALS!$R:$R,DEALS!$A:$A,{"*REFUND*","*EXECUTED*"},DEALS!$O:$O,$B$219,DEALS!$E:$E,"&gt;="&amp;$C$221,DEALS!$E:$E,"&lt;="&amp;$U$221,DEALS!$S:$S,P$223,DEALS!$U:$U,$K231,DEALS!$V:$V,"&lt;&gt;*RECEIVED*",DEALS!$V:$V,"&lt;&gt;*EXECUTED*"))</f>
        <v>0</v>
      </c>
      <c r="Q231" s="32" cm="1">
        <f t="array" ref="Q231">SUMIFS(FLOWS!$C:$C,FLOWS!$A:$A,$B$219,FLOWS!$E:$E,$K231,FLOWS!$D:$D,Q$223,FLOWS!$H:$H,"&gt;="&amp;$C$221,FLOWS!$H:$H,"&lt;="&amp;$U$221)+SUM(SUMIFS(DEALS!$J:$J,DEALS!$A:$A,{"*REFUND*","*EXECUTED*"},DEALS!$G:$G,$B$219,DEALS!$E:$E,"&gt;="&amp;$C$221,DEALS!$E:$E,"&lt;="&amp;$U$221,DEALS!$K:$K,Q$223,DEALS!$M:$M,$K231,DEALS!$N:$N,"&lt;&gt;*RECEIVED*",DEALS!$N:$N,"&lt;&gt;*EXECUTED*"))+SUM(SUMIFS(DEALS!$R:$R,DEALS!$A:$A,{"*REFUND*","*EXECUTED*"},DEALS!$O:$O,$B$219,DEALS!$E:$E,"&gt;="&amp;$C$221,DEALS!$E:$E,"&lt;="&amp;$U$221,DEALS!$S:$S,Q$223,DEALS!$U:$U,$K231,DEALS!$V:$V,"&lt;&gt;*RECEIVED*",DEALS!$V:$V,"&lt;&gt;*EXECUTED*"))</f>
        <v>0</v>
      </c>
      <c r="R231" s="33">
        <f ca="1">L231*VLOOKUP(L$223,'FX RATES'!$E$1:$F$50,2,FALSE)+M231*VLOOKUP(M$223,'FX RATES'!$E$1:$F$50,2,FALSE)+N231*VLOOKUP(N$223,'FX RATES'!$E$1:$F$50,2,FALSE)+O231*VLOOKUP(O$223,'FX RATES'!$E$1:$F$50,2,FALSE)+P231*VLOOKUP(P$223,'FX RATES'!$E$1:$F$50,2,FALSE)+Q231*VLOOKUP(Q$223,'FX RATES'!$E$1:$F$50,2,FALSE)</f>
        <v>0</v>
      </c>
      <c r="T231" s="31">
        <f t="shared" si="86"/>
        <v>0</v>
      </c>
      <c r="U231" s="32" cm="1">
        <f t="array" ref="U231">SUMIFS(BALANCES!$C:$C,BALANCES!$A:$A,$B$219,BALANCES!$B:$B,$T231,BALANCES!$D:$D,U$223)+SUMIFS(FLOWS!$C:$C,FLOWS!$A:$A,$B$219,FLOWS!$E:$E,$T231,FLOWS!$D:$D,U$223,FLOWS!$H:$H,"&lt;="&amp;$U$221)+SUM(SUMIFS(DEALS!$J:$J,DEALS!$A:$A,{"*REFUND*","*EXECUTED*"},DEALS!$G:$G,$B$219,DEALS!$E:$E,"&lt;="&amp;$U$221,DEALS!$K:$K,U$223,DEALS!$M:$M,$T231,DEALS!$N:$N,"&lt;&gt;*RECEIVED*",DEALS!$N:$N,"&lt;&gt;*EXECUTED*"))+SUM(SUMIFS(DEALS!$R:$R,DEALS!$A:$A,{"*REFUND*","*EXECUTED*"},DEALS!$O:$O,$B$219,DEALS!$E:$E,"&lt;="&amp;$U$221,DEALS!$S:$S,U$223,DEALS!$U:$U,$T231,DEALS!$V:$V,"&lt;&gt;*RECEIVED*",DEALS!$V:$V,"&lt;&gt;*EXECUTED*"))</f>
        <v>0</v>
      </c>
      <c r="V231" s="32" cm="1">
        <f t="array" ref="V231">SUMIFS(BALANCES!$C:$C,BALANCES!$A:$A,$B$219,BALANCES!$B:$B,$T231,BALANCES!$D:$D,V$223)+SUMIFS(FLOWS!$C:$C,FLOWS!$A:$A,$B$219,FLOWS!$E:$E,$T231,FLOWS!$D:$D,V$223,FLOWS!$H:$H,"&lt;="&amp;$U$221)+SUM(SUMIFS(DEALS!$J:$J,DEALS!$A:$A,{"*REFUND*","*EXECUTED*"},DEALS!$G:$G,$B$219,DEALS!$E:$E,"&lt;="&amp;$U$221,DEALS!$K:$K,V$223,DEALS!$M:$M,$T231,DEALS!$N:$N,"&lt;&gt;*RECEIVED*",DEALS!$N:$N,"&lt;&gt;*EXECUTED*"))+SUM(SUMIFS(DEALS!$R:$R,DEALS!$A:$A,{"*REFUND*","*EXECUTED*"},DEALS!$O:$O,$B$219,DEALS!$E:$E,"&lt;="&amp;$U$221,DEALS!$S:$S,V$223,DEALS!$U:$U,$T231,DEALS!$V:$V,"&lt;&gt;*RECEIVED*",DEALS!$V:$V,"&lt;&gt;*EXECUTED*"))</f>
        <v>0</v>
      </c>
      <c r="W231" s="32" cm="1">
        <f t="array" ref="W231">SUMIFS(BALANCES!$C:$C,BALANCES!$A:$A,$B$219,BALANCES!$B:$B,$T231,BALANCES!$D:$D,W$223)+SUMIFS(FLOWS!$C:$C,FLOWS!$A:$A,$B$219,FLOWS!$E:$E,$T231,FLOWS!$D:$D,W$223,FLOWS!$H:$H,"&lt;="&amp;$U$221)+SUM(SUMIFS(DEALS!$J:$J,DEALS!$A:$A,{"*REFUND*","*EXECUTED*"},DEALS!$G:$G,$B$219,DEALS!$E:$E,"&lt;="&amp;$U$221,DEALS!$K:$K,W$223,DEALS!$M:$M,$T231,DEALS!$N:$N,"&lt;&gt;*RECEIVED*",DEALS!$N:$N,"&lt;&gt;*EXECUTED*"))+SUM(SUMIFS(DEALS!$R:$R,DEALS!$A:$A,{"*REFUND*","*EXECUTED*"},DEALS!$O:$O,$B$219,DEALS!$E:$E,"&lt;="&amp;$U$221,DEALS!$S:$S,W$223,DEALS!$U:$U,$T231,DEALS!$V:$V,"&lt;&gt;*RECEIVED*",DEALS!$V:$V,"&lt;&gt;*EXECUTED*"))</f>
        <v>0</v>
      </c>
      <c r="X231" s="32" cm="1">
        <f t="array" ref="X231">SUMIFS(BALANCES!$C:$C,BALANCES!$A:$A,$B$219,BALANCES!$B:$B,$T231,BALANCES!$D:$D,X$223)+SUMIFS(FLOWS!$C:$C,FLOWS!$A:$A,$B$219,FLOWS!$E:$E,$T231,FLOWS!$D:$D,X$223,FLOWS!$H:$H,"&lt;="&amp;$U$221)+SUM(SUMIFS(DEALS!$J:$J,DEALS!$A:$A,{"*REFUND*","*EXECUTED*"},DEALS!$G:$G,$B$219,DEALS!$E:$E,"&lt;="&amp;$U$221,DEALS!$K:$K,X$223,DEALS!$M:$M,$T231,DEALS!$N:$N,"&lt;&gt;*RECEIVED*",DEALS!$N:$N,"&lt;&gt;*EXECUTED*"))+SUM(SUMIFS(DEALS!$R:$R,DEALS!$A:$A,{"*REFUND*","*EXECUTED*"},DEALS!$O:$O,$B$219,DEALS!$E:$E,"&lt;="&amp;$U$221,DEALS!$S:$S,X$223,DEALS!$U:$U,$T231,DEALS!$V:$V,"&lt;&gt;*RECEIVED*",DEALS!$V:$V,"&lt;&gt;*EXECUTED*"))</f>
        <v>0</v>
      </c>
      <c r="Y231" s="32" cm="1">
        <f t="array" ref="Y231">SUMIFS(BALANCES!$C:$C,BALANCES!$A:$A,$B$219,BALANCES!$B:$B,$T231,BALANCES!$D:$D,Y$223)+SUMIFS(FLOWS!$C:$C,FLOWS!$A:$A,$B$219,FLOWS!$E:$E,$T231,FLOWS!$D:$D,Y$223,FLOWS!$H:$H,"&lt;="&amp;$U$221)+SUM(SUMIFS(DEALS!$J:$J,DEALS!$A:$A,{"*REFUND*","*EXECUTED*"},DEALS!$G:$G,$B$219,DEALS!$E:$E,"&lt;="&amp;$U$221,DEALS!$K:$K,Y$223,DEALS!$M:$M,$T231,DEALS!$N:$N,"&lt;&gt;*RECEIVED*",DEALS!$N:$N,"&lt;&gt;*EXECUTED*"))+SUM(SUMIFS(DEALS!$R:$R,DEALS!$A:$A,{"*REFUND*","*EXECUTED*"},DEALS!$O:$O,$B$219,DEALS!$E:$E,"&lt;="&amp;$U$221,DEALS!$S:$S,Y$223,DEALS!$U:$U,$T231,DEALS!$V:$V,"&lt;&gt;*RECEIVED*",DEALS!$V:$V,"&lt;&gt;*EXECUTED*"))</f>
        <v>0</v>
      </c>
      <c r="Z231" s="32" cm="1">
        <f t="array" ref="Z231">SUMIFS(BALANCES!$C:$C,BALANCES!$A:$A,$B$219,BALANCES!$B:$B,$T231,BALANCES!$D:$D,Z$223)+SUMIFS(FLOWS!$C:$C,FLOWS!$A:$A,$B$219,FLOWS!$E:$E,$T231,FLOWS!$D:$D,Z$223,FLOWS!$H:$H,"&lt;="&amp;$U$221)+SUM(SUMIFS(DEALS!$J:$J,DEALS!$A:$A,{"*REFUND*","*EXECUTED*"},DEALS!$G:$G,$B$219,DEALS!$E:$E,"&lt;="&amp;$U$221,DEALS!$K:$K,Z$223,DEALS!$M:$M,$T231,DEALS!$N:$N,"&lt;&gt;*RECEIVED*",DEALS!$N:$N,"&lt;&gt;*EXECUTED*"))+SUM(SUMIFS(DEALS!$R:$R,DEALS!$A:$A,{"*REFUND*","*EXECUTED*"},DEALS!$O:$O,$B$219,DEALS!$E:$E,"&lt;="&amp;$U$221,DEALS!$S:$S,Z$223,DEALS!$U:$U,$T231,DEALS!$V:$V,"&lt;&gt;*RECEIVED*",DEALS!$V:$V,"&lt;&gt;*EXECUTED*"))</f>
        <v>0</v>
      </c>
      <c r="AA231" s="33">
        <f ca="1">U231*VLOOKUP(U$223,'FX RATES'!$E$1:$F$50,2,FALSE)+V231*VLOOKUP(V$223,'FX RATES'!$E$1:$F$50,2,FALSE)+W231*VLOOKUP(W$223,'FX RATES'!$E$1:$F$50,2,FALSE)+X231*VLOOKUP(X$223,'FX RATES'!$E$1:$F$50,2,FALSE)+Y231*VLOOKUP(Y$223,'FX RATES'!$E$1:$F$50,2,FALSE)+Z231*VLOOKUP(Z$223,'FX RATES'!$E$1:$F$50,2,FALSE)</f>
        <v>0</v>
      </c>
      <c r="AC231" s="139">
        <f t="shared" ca="1" si="87"/>
        <v>0</v>
      </c>
    </row>
    <row r="232" spans="2:29" ht="18.75" hidden="1" customHeight="1">
      <c r="B232" s="28"/>
      <c r="C232" s="29" cm="1">
        <f t="array" ref="C232">SUMIFS(BALANCES!$C:$C,BALANCES!$A:$A,$B$219,BALANCES!$B:$B,$B232,BALANCES!$D:$D,C$223)+SUMIFS(FLOWS!$C:$C,FLOWS!$A:$A,$B$219,FLOWS!$E:$E,$B232,FLOWS!$D:$D,C$223,FLOWS!$H:$H,"&lt;"&amp;$C$221)+SUM(SUMIFS(DEALS!$J:$J,DEALS!$A:$A,{"*REFUND*","*EXECUTED*"},DEALS!$G:$G,$B$219,DEALS!$E:$E,"&lt;"&amp;$C$221,DEALS!$K:$K,C$223,DEALS!$M:$M,$B232,DEALS!$N:$N,"&lt;&gt;*RECEIVED*",DEALS!$N:$N,"&lt;&gt;*EXECUTED*"))+SUM(SUMIFS(DEALS!$R:$R,DEALS!$A:$A,{"*REFUND*","*EXECUTED*"},DEALS!$O:$O,$B$219,DEALS!$E:$E,"&lt;"&amp;$C$221,DEALS!$S:$S,C$223,DEALS!$U:$U,$B232,DEALS!$V:$V,"&lt;&gt;*RECEIVED*",DEALS!$V:$V,"&lt;&gt;*EXECUTED*"))</f>
        <v>0</v>
      </c>
      <c r="D232" s="29" cm="1">
        <f t="array" ref="D232">SUMIFS(BALANCES!$C:$C,BALANCES!$A:$A,$B$219,BALANCES!$B:$B,$B232,BALANCES!$D:$D,D$223)+SUMIFS(FLOWS!$C:$C,FLOWS!$A:$A,$B$219,FLOWS!$E:$E,$B232,FLOWS!$D:$D,D$223,FLOWS!$H:$H,"&lt;"&amp;$C$221)+SUM(SUMIFS(DEALS!$J:$J,DEALS!$A:$A,{"*REFUND*","*EXECUTED*"},DEALS!$G:$G,$B$219,DEALS!$E:$E,"&lt;"&amp;$C$221,DEALS!$K:$K,D$223,DEALS!$M:$M,$B232,DEALS!$N:$N,"&lt;&gt;*RECEIVED*",DEALS!$N:$N,"&lt;&gt;*EXECUTED*"))+SUM(SUMIFS(DEALS!$R:$R,DEALS!$A:$A,{"*REFUND*","*EXECUTED*"},DEALS!$O:$O,$B$219,DEALS!$E:$E,"&lt;"&amp;$C$221,DEALS!$S:$S,D$223,DEALS!$U:$U,$B232,DEALS!$V:$V,"&lt;&gt;*RECEIVED*",DEALS!$V:$V,"&lt;&gt;*EXECUTED*"))</f>
        <v>0</v>
      </c>
      <c r="E232" s="29" cm="1">
        <f t="array" ref="E232">SUMIFS(BALANCES!$C:$C,BALANCES!$A:$A,$B$219,BALANCES!$B:$B,$B232,BALANCES!$D:$D,E$223)+SUMIFS(FLOWS!$C:$C,FLOWS!$A:$A,$B$219,FLOWS!$E:$E,$B232,FLOWS!$D:$D,E$223,FLOWS!$H:$H,"&lt;"&amp;$C$221)+SUM(SUMIFS(DEALS!$J:$J,DEALS!$A:$A,{"*REFUND*","*EXECUTED*"},DEALS!$G:$G,$B$219,DEALS!$E:$E,"&lt;"&amp;$C$221,DEALS!$K:$K,E$223,DEALS!$M:$M,$B232,DEALS!$N:$N,"&lt;&gt;*RECEIVED*",DEALS!$N:$N,"&lt;&gt;*EXECUTED*"))+SUM(SUMIFS(DEALS!$R:$R,DEALS!$A:$A,{"*REFUND*","*EXECUTED*"},DEALS!$O:$O,$B$219,DEALS!$E:$E,"&lt;"&amp;$C$221,DEALS!$S:$S,E$223,DEALS!$U:$U,$B232,DEALS!$V:$V,"&lt;&gt;*RECEIVED*",DEALS!$V:$V,"&lt;&gt;*EXECUTED*"))</f>
        <v>0</v>
      </c>
      <c r="F232" s="29" cm="1">
        <f t="array" ref="F232">SUMIFS(BALANCES!$C:$C,BALANCES!$A:$A,$B$219,BALANCES!$B:$B,$B232,BALANCES!$D:$D,F$223)+SUMIFS(FLOWS!$C:$C,FLOWS!$A:$A,$B$219,FLOWS!$E:$E,$B232,FLOWS!$D:$D,F$223,FLOWS!$H:$H,"&lt;"&amp;$C$221)+SUM(SUMIFS(DEALS!$J:$J,DEALS!$A:$A,{"*REFUND*","*EXECUTED*"},DEALS!$G:$G,$B$219,DEALS!$E:$E,"&lt;"&amp;$C$221,DEALS!$K:$K,F$223,DEALS!$M:$M,$B232,DEALS!$N:$N,"&lt;&gt;*RECEIVED*",DEALS!$N:$N,"&lt;&gt;*EXECUTED*"))+SUM(SUMIFS(DEALS!$R:$R,DEALS!$A:$A,{"*REFUND*","*EXECUTED*"},DEALS!$O:$O,$B$219,DEALS!$E:$E,"&lt;"&amp;$C$221,DEALS!$S:$S,F$223,DEALS!$U:$U,$B232,DEALS!$V:$V,"&lt;&gt;*RECEIVED*",DEALS!$V:$V,"&lt;&gt;*EXECUTED*"))</f>
        <v>0</v>
      </c>
      <c r="G232" s="29" cm="1">
        <f t="array" ref="G232">SUMIFS(BALANCES!$C:$C,BALANCES!$A:$A,$B$219,BALANCES!$B:$B,$B232,BALANCES!$D:$D,G$223)+SUMIFS(FLOWS!$C:$C,FLOWS!$A:$A,$B$219,FLOWS!$E:$E,$B232,FLOWS!$D:$D,G$223,FLOWS!$H:$H,"&lt;"&amp;$C$221)+SUM(SUMIFS(DEALS!$J:$J,DEALS!$A:$A,{"*REFUND*","*EXECUTED*"},DEALS!$G:$G,$B$219,DEALS!$E:$E,"&lt;"&amp;$C$221,DEALS!$K:$K,G$223,DEALS!$M:$M,$B232,DEALS!$N:$N,"&lt;&gt;*RECEIVED*",DEALS!$N:$N,"&lt;&gt;*EXECUTED*"))+SUM(SUMIFS(DEALS!$R:$R,DEALS!$A:$A,{"*REFUND*","*EXECUTED*"},DEALS!$O:$O,$B$219,DEALS!$E:$E,"&lt;"&amp;$C$221,DEALS!$S:$S,G$223,DEALS!$U:$U,$B232,DEALS!$V:$V,"&lt;&gt;*RECEIVED*",DEALS!$V:$V,"&lt;&gt;*EXECUTED*"))</f>
        <v>0</v>
      </c>
      <c r="H232" s="29" cm="1">
        <f t="array" ref="H232">SUMIFS(BALANCES!$C:$C,BALANCES!$A:$A,$B$219,BALANCES!$B:$B,$B232,BALANCES!$D:$D,H$223)+SUMIFS(FLOWS!$C:$C,FLOWS!$A:$A,$B$219,FLOWS!$E:$E,$B232,FLOWS!$D:$D,H$223,FLOWS!$H:$H,"&lt;"&amp;$C$221)+SUM(SUMIFS(DEALS!$J:$J,DEALS!$A:$A,{"*REFUND*","*EXECUTED*"},DEALS!$G:$G,$B$219,DEALS!$E:$E,"&lt;"&amp;$C$221,DEALS!$K:$K,H$223,DEALS!$M:$M,$B232,DEALS!$N:$N,"&lt;&gt;*RECEIVED*",DEALS!$N:$N,"&lt;&gt;*EXECUTED*"))+SUM(SUMIFS(DEALS!$R:$R,DEALS!$A:$A,{"*REFUND*","*EXECUTED*"},DEALS!$O:$O,$B$219,DEALS!$E:$E,"&lt;"&amp;$C$221,DEALS!$S:$S,H$223,DEALS!$U:$U,$B232,DEALS!$V:$V,"&lt;&gt;*RECEIVED*",DEALS!$V:$V,"&lt;&gt;*EXECUTED*"))</f>
        <v>0</v>
      </c>
      <c r="I232" s="30">
        <f ca="1">C232*VLOOKUP(C$223,'FX RATES'!$E$1:$F$50,2,FALSE)+D232*VLOOKUP(D$223,'FX RATES'!$E$1:$F$50,2,FALSE)+E232*VLOOKUP(E$223,'FX RATES'!$E$1:$F$50,2,FALSE)+F232*VLOOKUP(F$223,'FX RATES'!$E$1:$F$50,2,FALSE)+G232*VLOOKUP(G$223,'FX RATES'!$E$1:$F$50,2,FALSE)+H232*VLOOKUP(H$223,'FX RATES'!$E$1:$F$50,2,FALSE)</f>
        <v>0</v>
      </c>
      <c r="K232" s="28">
        <f t="shared" si="85"/>
        <v>0</v>
      </c>
      <c r="L232" s="29" cm="1">
        <f t="array" ref="L232">SUMIFS(FLOWS!$C:$C,FLOWS!$A:$A,$B$219,FLOWS!$E:$E,$K232,FLOWS!$D:$D,L$223,FLOWS!$H:$H,"&gt;="&amp;$C$221,FLOWS!$H:$H,"&lt;="&amp;$U$221)+SUM(SUMIFS(DEALS!$J:$J,DEALS!$A:$A,{"*REFUND*","*EXECUTED*"},DEALS!$G:$G,$B$219,DEALS!$E:$E,"&gt;="&amp;$C$221,DEALS!$E:$E,"&lt;="&amp;$U$221,DEALS!$K:$K,L$223,DEALS!$M:$M,$K232,DEALS!$N:$N,"&lt;&gt;*RECEIVED*",DEALS!$N:$N,"&lt;&gt;*EXECUTED*"))+SUM(SUMIFS(DEALS!$R:$R,DEALS!$A:$A,{"*REFUND*","*EXECUTED*"},DEALS!$O:$O,$B$219,DEALS!$E:$E,"&gt;="&amp;$C$221,DEALS!$E:$E,"&lt;="&amp;$U$221,DEALS!$S:$S,L$223,DEALS!$U:$U,$K232,DEALS!$V:$V,"&lt;&gt;*RECEIVED*",DEALS!$V:$V,"&lt;&gt;*EXECUTED*"))</f>
        <v>0</v>
      </c>
      <c r="M232" s="29" cm="1">
        <f t="array" ref="M232">SUMIFS(FLOWS!$C:$C,FLOWS!$A:$A,$B$219,FLOWS!$E:$E,$K232,FLOWS!$D:$D,M$223,FLOWS!$H:$H,"&gt;="&amp;$C$221,FLOWS!$H:$H,"&lt;="&amp;$U$221)+SUM(SUMIFS(DEALS!$J:$J,DEALS!$A:$A,{"*REFUND*","*EXECUTED*"},DEALS!$G:$G,$B$219,DEALS!$E:$E,"&gt;="&amp;$C$221,DEALS!$E:$E,"&lt;="&amp;$U$221,DEALS!$K:$K,M$223,DEALS!$M:$M,$K232,DEALS!$N:$N,"&lt;&gt;*RECEIVED*",DEALS!$N:$N,"&lt;&gt;*EXECUTED*"))+SUM(SUMIFS(DEALS!$R:$R,DEALS!$A:$A,{"*REFUND*","*EXECUTED*"},DEALS!$O:$O,$B$219,DEALS!$E:$E,"&gt;="&amp;$C$221,DEALS!$E:$E,"&lt;="&amp;$U$221,DEALS!$S:$S,M$223,DEALS!$U:$U,$K232,DEALS!$V:$V,"&lt;&gt;*RECEIVED*",DEALS!$V:$V,"&lt;&gt;*EXECUTED*"))</f>
        <v>0</v>
      </c>
      <c r="N232" s="29" cm="1">
        <f t="array" ref="N232">SUMIFS(FLOWS!$C:$C,FLOWS!$A:$A,$B$219,FLOWS!$E:$E,$K232,FLOWS!$D:$D,N$223,FLOWS!$H:$H,"&gt;="&amp;$C$221,FLOWS!$H:$H,"&lt;="&amp;$U$221)+SUM(SUMIFS(DEALS!$J:$J,DEALS!$A:$A,{"*REFUND*","*EXECUTED*"},DEALS!$G:$G,$B$219,DEALS!$E:$E,"&gt;="&amp;$C$221,DEALS!$E:$E,"&lt;="&amp;$U$221,DEALS!$K:$K,N$223,DEALS!$M:$M,$K232,DEALS!$N:$N,"&lt;&gt;*RECEIVED*",DEALS!$N:$N,"&lt;&gt;*EXECUTED*"))+SUM(SUMIFS(DEALS!$R:$R,DEALS!$A:$A,{"*REFUND*","*EXECUTED*"},DEALS!$O:$O,$B$219,DEALS!$E:$E,"&gt;="&amp;$C$221,DEALS!$E:$E,"&lt;="&amp;$U$221,DEALS!$S:$S,N$223,DEALS!$U:$U,$K232,DEALS!$V:$V,"&lt;&gt;*RECEIVED*",DEALS!$V:$V,"&lt;&gt;*EXECUTED*"))</f>
        <v>0</v>
      </c>
      <c r="O232" s="29" cm="1">
        <f t="array" ref="O232">SUMIFS(FLOWS!$C:$C,FLOWS!$A:$A,$B$219,FLOWS!$E:$E,$K232,FLOWS!$D:$D,O$223,FLOWS!$H:$H,"&gt;="&amp;$C$221,FLOWS!$H:$H,"&lt;="&amp;$U$221)+SUM(SUMIFS(DEALS!$J:$J,DEALS!$A:$A,{"*REFUND*","*EXECUTED*"},DEALS!$G:$G,$B$219,DEALS!$E:$E,"&gt;="&amp;$C$221,DEALS!$E:$E,"&lt;="&amp;$U$221,DEALS!$K:$K,O$223,DEALS!$M:$M,$K232,DEALS!$N:$N,"&lt;&gt;*RECEIVED*",DEALS!$N:$N,"&lt;&gt;*EXECUTED*"))+SUM(SUMIFS(DEALS!$R:$R,DEALS!$A:$A,{"*REFUND*","*EXECUTED*"},DEALS!$O:$O,$B$219,DEALS!$E:$E,"&gt;="&amp;$C$221,DEALS!$E:$E,"&lt;="&amp;$U$221,DEALS!$S:$S,O$223,DEALS!$U:$U,$K232,DEALS!$V:$V,"&lt;&gt;*RECEIVED*",DEALS!$V:$V,"&lt;&gt;*EXECUTED*"))</f>
        <v>0</v>
      </c>
      <c r="P232" s="29" cm="1">
        <f t="array" ref="P232">SUMIFS(FLOWS!$C:$C,FLOWS!$A:$A,$B$219,FLOWS!$E:$E,$K232,FLOWS!$D:$D,P$223,FLOWS!$H:$H,"&gt;="&amp;$C$221,FLOWS!$H:$H,"&lt;="&amp;$U$221)+SUM(SUMIFS(DEALS!$J:$J,DEALS!$A:$A,{"*REFUND*","*EXECUTED*"},DEALS!$G:$G,$B$219,DEALS!$E:$E,"&gt;="&amp;$C$221,DEALS!$E:$E,"&lt;="&amp;$U$221,DEALS!$K:$K,P$223,DEALS!$M:$M,$K232,DEALS!$N:$N,"&lt;&gt;*RECEIVED*",DEALS!$N:$N,"&lt;&gt;*EXECUTED*"))+SUM(SUMIFS(DEALS!$R:$R,DEALS!$A:$A,{"*REFUND*","*EXECUTED*"},DEALS!$O:$O,$B$219,DEALS!$E:$E,"&gt;="&amp;$C$221,DEALS!$E:$E,"&lt;="&amp;$U$221,DEALS!$S:$S,P$223,DEALS!$U:$U,$K232,DEALS!$V:$V,"&lt;&gt;*RECEIVED*",DEALS!$V:$V,"&lt;&gt;*EXECUTED*"))</f>
        <v>0</v>
      </c>
      <c r="Q232" s="29" cm="1">
        <f t="array" ref="Q232">SUMIFS(FLOWS!$C:$C,FLOWS!$A:$A,$B$219,FLOWS!$E:$E,$K232,FLOWS!$D:$D,Q$223,FLOWS!$H:$H,"&gt;="&amp;$C$221,FLOWS!$H:$H,"&lt;="&amp;$U$221)+SUM(SUMIFS(DEALS!$J:$J,DEALS!$A:$A,{"*REFUND*","*EXECUTED*"},DEALS!$G:$G,$B$219,DEALS!$E:$E,"&gt;="&amp;$C$221,DEALS!$E:$E,"&lt;="&amp;$U$221,DEALS!$K:$K,Q$223,DEALS!$M:$M,$K232,DEALS!$N:$N,"&lt;&gt;*RECEIVED*",DEALS!$N:$N,"&lt;&gt;*EXECUTED*"))+SUM(SUMIFS(DEALS!$R:$R,DEALS!$A:$A,{"*REFUND*","*EXECUTED*"},DEALS!$O:$O,$B$219,DEALS!$E:$E,"&gt;="&amp;$C$221,DEALS!$E:$E,"&lt;="&amp;$U$221,DEALS!$S:$S,Q$223,DEALS!$U:$U,$K232,DEALS!$V:$V,"&lt;&gt;*RECEIVED*",DEALS!$V:$V,"&lt;&gt;*EXECUTED*"))</f>
        <v>0</v>
      </c>
      <c r="R232" s="30">
        <f ca="1">L232*VLOOKUP(L$223,'FX RATES'!$E$1:$F$50,2,FALSE)+M232*VLOOKUP(M$223,'FX RATES'!$E$1:$F$50,2,FALSE)+N232*VLOOKUP(N$223,'FX RATES'!$E$1:$F$50,2,FALSE)+O232*VLOOKUP(O$223,'FX RATES'!$E$1:$F$50,2,FALSE)+P232*VLOOKUP(P$223,'FX RATES'!$E$1:$F$50,2,FALSE)+Q232*VLOOKUP(Q$223,'FX RATES'!$E$1:$F$50,2,FALSE)</f>
        <v>0</v>
      </c>
      <c r="T232" s="28">
        <f t="shared" si="86"/>
        <v>0</v>
      </c>
      <c r="U232" s="29" cm="1">
        <f t="array" ref="U232">SUMIFS(BALANCES!$C:$C,BALANCES!$A:$A,$B$219,BALANCES!$B:$B,$T232,BALANCES!$D:$D,U$223)+SUMIFS(FLOWS!$C:$C,FLOWS!$A:$A,$B$219,FLOWS!$E:$E,$T232,FLOWS!$D:$D,U$223,FLOWS!$H:$H,"&lt;="&amp;$U$221)+SUM(SUMIFS(DEALS!$J:$J,DEALS!$A:$A,{"*REFUND*","*EXECUTED*"},DEALS!$G:$G,$B$219,DEALS!$E:$E,"&lt;="&amp;$U$221,DEALS!$K:$K,U$223,DEALS!$M:$M,$T232,DEALS!$N:$N,"&lt;&gt;*RECEIVED*",DEALS!$N:$N,"&lt;&gt;*EXECUTED*"))+SUM(SUMIFS(DEALS!$R:$R,DEALS!$A:$A,{"*REFUND*","*EXECUTED*"},DEALS!$O:$O,$B$219,DEALS!$E:$E,"&lt;="&amp;$U$221,DEALS!$S:$S,U$223,DEALS!$U:$U,$T232,DEALS!$V:$V,"&lt;&gt;*RECEIVED*",DEALS!$V:$V,"&lt;&gt;*EXECUTED*"))</f>
        <v>0</v>
      </c>
      <c r="V232" s="29" cm="1">
        <f t="array" ref="V232">SUMIFS(BALANCES!$C:$C,BALANCES!$A:$A,$B$219,BALANCES!$B:$B,$T232,BALANCES!$D:$D,V$223)+SUMIFS(FLOWS!$C:$C,FLOWS!$A:$A,$B$219,FLOWS!$E:$E,$T232,FLOWS!$D:$D,V$223,FLOWS!$H:$H,"&lt;="&amp;$U$221)+SUM(SUMIFS(DEALS!$J:$J,DEALS!$A:$A,{"*REFUND*","*EXECUTED*"},DEALS!$G:$G,$B$219,DEALS!$E:$E,"&lt;="&amp;$U$221,DEALS!$K:$K,V$223,DEALS!$M:$M,$T232,DEALS!$N:$N,"&lt;&gt;*RECEIVED*",DEALS!$N:$N,"&lt;&gt;*EXECUTED*"))+SUM(SUMIFS(DEALS!$R:$R,DEALS!$A:$A,{"*REFUND*","*EXECUTED*"},DEALS!$O:$O,$B$219,DEALS!$E:$E,"&lt;="&amp;$U$221,DEALS!$S:$S,V$223,DEALS!$U:$U,$T232,DEALS!$V:$V,"&lt;&gt;*RECEIVED*",DEALS!$V:$V,"&lt;&gt;*EXECUTED*"))</f>
        <v>0</v>
      </c>
      <c r="W232" s="29" cm="1">
        <f t="array" ref="W232">SUMIFS(BALANCES!$C:$C,BALANCES!$A:$A,$B$219,BALANCES!$B:$B,$T232,BALANCES!$D:$D,W$223)+SUMIFS(FLOWS!$C:$C,FLOWS!$A:$A,$B$219,FLOWS!$E:$E,$T232,FLOWS!$D:$D,W$223,FLOWS!$H:$H,"&lt;="&amp;$U$221)+SUM(SUMIFS(DEALS!$J:$J,DEALS!$A:$A,{"*REFUND*","*EXECUTED*"},DEALS!$G:$G,$B$219,DEALS!$E:$E,"&lt;="&amp;$U$221,DEALS!$K:$K,W$223,DEALS!$M:$M,$T232,DEALS!$N:$N,"&lt;&gt;*RECEIVED*",DEALS!$N:$N,"&lt;&gt;*EXECUTED*"))+SUM(SUMIFS(DEALS!$R:$R,DEALS!$A:$A,{"*REFUND*","*EXECUTED*"},DEALS!$O:$O,$B$219,DEALS!$E:$E,"&lt;="&amp;$U$221,DEALS!$S:$S,W$223,DEALS!$U:$U,$T232,DEALS!$V:$V,"&lt;&gt;*RECEIVED*",DEALS!$V:$V,"&lt;&gt;*EXECUTED*"))</f>
        <v>0</v>
      </c>
      <c r="X232" s="29" cm="1">
        <f t="array" ref="X232">SUMIFS(BALANCES!$C:$C,BALANCES!$A:$A,$B$219,BALANCES!$B:$B,$T232,BALANCES!$D:$D,X$223)+SUMIFS(FLOWS!$C:$C,FLOWS!$A:$A,$B$219,FLOWS!$E:$E,$T232,FLOWS!$D:$D,X$223,FLOWS!$H:$H,"&lt;="&amp;$U$221)+SUM(SUMIFS(DEALS!$J:$J,DEALS!$A:$A,{"*REFUND*","*EXECUTED*"},DEALS!$G:$G,$B$219,DEALS!$E:$E,"&lt;="&amp;$U$221,DEALS!$K:$K,X$223,DEALS!$M:$M,$T232,DEALS!$N:$N,"&lt;&gt;*RECEIVED*",DEALS!$N:$N,"&lt;&gt;*EXECUTED*"))+SUM(SUMIFS(DEALS!$R:$R,DEALS!$A:$A,{"*REFUND*","*EXECUTED*"},DEALS!$O:$O,$B$219,DEALS!$E:$E,"&lt;="&amp;$U$221,DEALS!$S:$S,X$223,DEALS!$U:$U,$T232,DEALS!$V:$V,"&lt;&gt;*RECEIVED*",DEALS!$V:$V,"&lt;&gt;*EXECUTED*"))</f>
        <v>0</v>
      </c>
      <c r="Y232" s="29" cm="1">
        <f t="array" ref="Y232">SUMIFS(BALANCES!$C:$C,BALANCES!$A:$A,$B$219,BALANCES!$B:$B,$T232,BALANCES!$D:$D,Y$223)+SUMIFS(FLOWS!$C:$C,FLOWS!$A:$A,$B$219,FLOWS!$E:$E,$T232,FLOWS!$D:$D,Y$223,FLOWS!$H:$H,"&lt;="&amp;$U$221)+SUM(SUMIFS(DEALS!$J:$J,DEALS!$A:$A,{"*REFUND*","*EXECUTED*"},DEALS!$G:$G,$B$219,DEALS!$E:$E,"&lt;="&amp;$U$221,DEALS!$K:$K,Y$223,DEALS!$M:$M,$T232,DEALS!$N:$N,"&lt;&gt;*RECEIVED*",DEALS!$N:$N,"&lt;&gt;*EXECUTED*"))+SUM(SUMIFS(DEALS!$R:$R,DEALS!$A:$A,{"*REFUND*","*EXECUTED*"},DEALS!$O:$O,$B$219,DEALS!$E:$E,"&lt;="&amp;$U$221,DEALS!$S:$S,Y$223,DEALS!$U:$U,$T232,DEALS!$V:$V,"&lt;&gt;*RECEIVED*",DEALS!$V:$V,"&lt;&gt;*EXECUTED*"))</f>
        <v>0</v>
      </c>
      <c r="Z232" s="29" cm="1">
        <f t="array" ref="Z232">SUMIFS(BALANCES!$C:$C,BALANCES!$A:$A,$B$219,BALANCES!$B:$B,$T232,BALANCES!$D:$D,Z$223)+SUMIFS(FLOWS!$C:$C,FLOWS!$A:$A,$B$219,FLOWS!$E:$E,$T232,FLOWS!$D:$D,Z$223,FLOWS!$H:$H,"&lt;="&amp;$U$221)+SUM(SUMIFS(DEALS!$J:$J,DEALS!$A:$A,{"*REFUND*","*EXECUTED*"},DEALS!$G:$G,$B$219,DEALS!$E:$E,"&lt;="&amp;$U$221,DEALS!$K:$K,Z$223,DEALS!$M:$M,$T232,DEALS!$N:$N,"&lt;&gt;*RECEIVED*",DEALS!$N:$N,"&lt;&gt;*EXECUTED*"))+SUM(SUMIFS(DEALS!$R:$R,DEALS!$A:$A,{"*REFUND*","*EXECUTED*"},DEALS!$O:$O,$B$219,DEALS!$E:$E,"&lt;="&amp;$U$221,DEALS!$S:$S,Z$223,DEALS!$U:$U,$T232,DEALS!$V:$V,"&lt;&gt;*RECEIVED*",DEALS!$V:$V,"&lt;&gt;*EXECUTED*"))</f>
        <v>0</v>
      </c>
      <c r="AA232" s="30">
        <f ca="1">U232*VLOOKUP(U$223,'FX RATES'!$E$1:$F$50,2,FALSE)+V232*VLOOKUP(V$223,'FX RATES'!$E$1:$F$50,2,FALSE)+W232*VLOOKUP(W$223,'FX RATES'!$E$1:$F$50,2,FALSE)+X232*VLOOKUP(X$223,'FX RATES'!$E$1:$F$50,2,FALSE)+Y232*VLOOKUP(Y$223,'FX RATES'!$E$1:$F$50,2,FALSE)+Z232*VLOOKUP(Z$223,'FX RATES'!$E$1:$F$50,2,FALSE)</f>
        <v>0</v>
      </c>
      <c r="AC232" s="139">
        <f t="shared" ca="1" si="87"/>
        <v>0</v>
      </c>
    </row>
    <row r="233" spans="2:29" ht="18.75" hidden="1" customHeight="1">
      <c r="B233" s="31"/>
      <c r="C233" s="32" cm="1">
        <f t="array" ref="C233">SUMIFS(BALANCES!$C:$C,BALANCES!$A:$A,$B$219,BALANCES!$B:$B,$B233,BALANCES!$D:$D,C$223)+SUMIFS(FLOWS!$C:$C,FLOWS!$A:$A,$B$219,FLOWS!$E:$E,$B233,FLOWS!$D:$D,C$223,FLOWS!$H:$H,"&lt;"&amp;$C$221)+SUM(SUMIFS(DEALS!$J:$J,DEALS!$A:$A,{"*REFUND*","*EXECUTED*"},DEALS!$G:$G,$B$219,DEALS!$E:$E,"&lt;"&amp;$C$221,DEALS!$K:$K,C$223,DEALS!$M:$M,$B233,DEALS!$N:$N,"&lt;&gt;*RECEIVED*",DEALS!$N:$N,"&lt;&gt;*EXECUTED*"))+SUM(SUMIFS(DEALS!$R:$R,DEALS!$A:$A,{"*REFUND*","*EXECUTED*"},DEALS!$O:$O,$B$219,DEALS!$E:$E,"&lt;"&amp;$C$221,DEALS!$S:$S,C$223,DEALS!$U:$U,$B233,DEALS!$V:$V,"&lt;&gt;*RECEIVED*",DEALS!$V:$V,"&lt;&gt;*EXECUTED*"))</f>
        <v>0</v>
      </c>
      <c r="D233" s="32" cm="1">
        <f t="array" ref="D233">SUMIFS(BALANCES!$C:$C,BALANCES!$A:$A,$B$219,BALANCES!$B:$B,$B233,BALANCES!$D:$D,D$223)+SUMIFS(FLOWS!$C:$C,FLOWS!$A:$A,$B$219,FLOWS!$E:$E,$B233,FLOWS!$D:$D,D$223,FLOWS!$H:$H,"&lt;"&amp;$C$221)+SUM(SUMIFS(DEALS!$J:$J,DEALS!$A:$A,{"*REFUND*","*EXECUTED*"},DEALS!$G:$G,$B$219,DEALS!$E:$E,"&lt;"&amp;$C$221,DEALS!$K:$K,D$223,DEALS!$M:$M,$B233,DEALS!$N:$N,"&lt;&gt;*RECEIVED*",DEALS!$N:$N,"&lt;&gt;*EXECUTED*"))+SUM(SUMIFS(DEALS!$R:$R,DEALS!$A:$A,{"*REFUND*","*EXECUTED*"},DEALS!$O:$O,$B$219,DEALS!$E:$E,"&lt;"&amp;$C$221,DEALS!$S:$S,D$223,DEALS!$U:$U,$B233,DEALS!$V:$V,"&lt;&gt;*RECEIVED*",DEALS!$V:$V,"&lt;&gt;*EXECUTED*"))</f>
        <v>0</v>
      </c>
      <c r="E233" s="32" cm="1">
        <f t="array" ref="E233">SUMIFS(BALANCES!$C:$C,BALANCES!$A:$A,$B$219,BALANCES!$B:$B,$B233,BALANCES!$D:$D,E$223)+SUMIFS(FLOWS!$C:$C,FLOWS!$A:$A,$B$219,FLOWS!$E:$E,$B233,FLOWS!$D:$D,E$223,FLOWS!$H:$H,"&lt;"&amp;$C$221)+SUM(SUMIFS(DEALS!$J:$J,DEALS!$A:$A,{"*REFUND*","*EXECUTED*"},DEALS!$G:$G,$B$219,DEALS!$E:$E,"&lt;"&amp;$C$221,DEALS!$K:$K,E$223,DEALS!$M:$M,$B233,DEALS!$N:$N,"&lt;&gt;*RECEIVED*",DEALS!$N:$N,"&lt;&gt;*EXECUTED*"))+SUM(SUMIFS(DEALS!$R:$R,DEALS!$A:$A,{"*REFUND*","*EXECUTED*"},DEALS!$O:$O,$B$219,DEALS!$E:$E,"&lt;"&amp;$C$221,DEALS!$S:$S,E$223,DEALS!$U:$U,$B233,DEALS!$V:$V,"&lt;&gt;*RECEIVED*",DEALS!$V:$V,"&lt;&gt;*EXECUTED*"))</f>
        <v>0</v>
      </c>
      <c r="F233" s="32" cm="1">
        <f t="array" ref="F233">SUMIFS(BALANCES!$C:$C,BALANCES!$A:$A,$B$219,BALANCES!$B:$B,$B233,BALANCES!$D:$D,F$223)+SUMIFS(FLOWS!$C:$C,FLOWS!$A:$A,$B$219,FLOWS!$E:$E,$B233,FLOWS!$D:$D,F$223,FLOWS!$H:$H,"&lt;"&amp;$C$221)+SUM(SUMIFS(DEALS!$J:$J,DEALS!$A:$A,{"*REFUND*","*EXECUTED*"},DEALS!$G:$G,$B$219,DEALS!$E:$E,"&lt;"&amp;$C$221,DEALS!$K:$K,F$223,DEALS!$M:$M,$B233,DEALS!$N:$N,"&lt;&gt;*RECEIVED*",DEALS!$N:$N,"&lt;&gt;*EXECUTED*"))+SUM(SUMIFS(DEALS!$R:$R,DEALS!$A:$A,{"*REFUND*","*EXECUTED*"},DEALS!$O:$O,$B$219,DEALS!$E:$E,"&lt;"&amp;$C$221,DEALS!$S:$S,F$223,DEALS!$U:$U,$B233,DEALS!$V:$V,"&lt;&gt;*RECEIVED*",DEALS!$V:$V,"&lt;&gt;*EXECUTED*"))</f>
        <v>0</v>
      </c>
      <c r="G233" s="32" cm="1">
        <f t="array" ref="G233">SUMIFS(BALANCES!$C:$C,BALANCES!$A:$A,$B$219,BALANCES!$B:$B,$B233,BALANCES!$D:$D,G$223)+SUMIFS(FLOWS!$C:$C,FLOWS!$A:$A,$B$219,FLOWS!$E:$E,$B233,FLOWS!$D:$D,G$223,FLOWS!$H:$H,"&lt;"&amp;$C$221)+SUM(SUMIFS(DEALS!$J:$J,DEALS!$A:$A,{"*REFUND*","*EXECUTED*"},DEALS!$G:$G,$B$219,DEALS!$E:$E,"&lt;"&amp;$C$221,DEALS!$K:$K,G$223,DEALS!$M:$M,$B233,DEALS!$N:$N,"&lt;&gt;*RECEIVED*",DEALS!$N:$N,"&lt;&gt;*EXECUTED*"))+SUM(SUMIFS(DEALS!$R:$R,DEALS!$A:$A,{"*REFUND*","*EXECUTED*"},DEALS!$O:$O,$B$219,DEALS!$E:$E,"&lt;"&amp;$C$221,DEALS!$S:$S,G$223,DEALS!$U:$U,$B233,DEALS!$V:$V,"&lt;&gt;*RECEIVED*",DEALS!$V:$V,"&lt;&gt;*EXECUTED*"))</f>
        <v>0</v>
      </c>
      <c r="H233" s="32" cm="1">
        <f t="array" ref="H233">SUMIFS(BALANCES!$C:$C,BALANCES!$A:$A,$B$219,BALANCES!$B:$B,$B233,BALANCES!$D:$D,H$223)+SUMIFS(FLOWS!$C:$C,FLOWS!$A:$A,$B$219,FLOWS!$E:$E,$B233,FLOWS!$D:$D,H$223,FLOWS!$H:$H,"&lt;"&amp;$C$221)+SUM(SUMIFS(DEALS!$J:$J,DEALS!$A:$A,{"*REFUND*","*EXECUTED*"},DEALS!$G:$G,$B$219,DEALS!$E:$E,"&lt;"&amp;$C$221,DEALS!$K:$K,H$223,DEALS!$M:$M,$B233,DEALS!$N:$N,"&lt;&gt;*RECEIVED*",DEALS!$N:$N,"&lt;&gt;*EXECUTED*"))+SUM(SUMIFS(DEALS!$R:$R,DEALS!$A:$A,{"*REFUND*","*EXECUTED*"},DEALS!$O:$O,$B$219,DEALS!$E:$E,"&lt;"&amp;$C$221,DEALS!$S:$S,H$223,DEALS!$U:$U,$B233,DEALS!$V:$V,"&lt;&gt;*RECEIVED*",DEALS!$V:$V,"&lt;&gt;*EXECUTED*"))</f>
        <v>0</v>
      </c>
      <c r="I233" s="33">
        <f ca="1">C233*VLOOKUP(C$223,'FX RATES'!$E$1:$F$50,2,FALSE)+D233*VLOOKUP(D$223,'FX RATES'!$E$1:$F$50,2,FALSE)+E233*VLOOKUP(E$223,'FX RATES'!$E$1:$F$50,2,FALSE)+F233*VLOOKUP(F$223,'FX RATES'!$E$1:$F$50,2,FALSE)+G233*VLOOKUP(G$223,'FX RATES'!$E$1:$F$50,2,FALSE)+H233*VLOOKUP(H$223,'FX RATES'!$E$1:$F$50,2,FALSE)</f>
        <v>0</v>
      </c>
      <c r="K233" s="31">
        <f t="shared" si="85"/>
        <v>0</v>
      </c>
      <c r="L233" s="32" cm="1">
        <f t="array" ref="L233">SUMIFS(FLOWS!$C:$C,FLOWS!$A:$A,$B$219,FLOWS!$E:$E,$K233,FLOWS!$D:$D,L$223,FLOWS!$H:$H,"&gt;="&amp;$C$221,FLOWS!$H:$H,"&lt;="&amp;$U$221)+SUM(SUMIFS(DEALS!$J:$J,DEALS!$A:$A,{"*REFUND*","*EXECUTED*"},DEALS!$G:$G,$B$219,DEALS!$E:$E,"&gt;="&amp;$C$221,DEALS!$E:$E,"&lt;="&amp;$U$221,DEALS!$K:$K,L$223,DEALS!$M:$M,$K233,DEALS!$N:$N,"&lt;&gt;*RECEIVED*",DEALS!$N:$N,"&lt;&gt;*EXECUTED*"))+SUM(SUMIFS(DEALS!$R:$R,DEALS!$A:$A,{"*REFUND*","*EXECUTED*"},DEALS!$O:$O,$B$219,DEALS!$E:$E,"&gt;="&amp;$C$221,DEALS!$E:$E,"&lt;="&amp;$U$221,DEALS!$S:$S,L$223,DEALS!$U:$U,$K233,DEALS!$V:$V,"&lt;&gt;*RECEIVED*",DEALS!$V:$V,"&lt;&gt;*EXECUTED*"))</f>
        <v>0</v>
      </c>
      <c r="M233" s="32" cm="1">
        <f t="array" ref="M233">SUMIFS(FLOWS!$C:$C,FLOWS!$A:$A,$B$219,FLOWS!$E:$E,$K233,FLOWS!$D:$D,M$223,FLOWS!$H:$H,"&gt;="&amp;$C$221,FLOWS!$H:$H,"&lt;="&amp;$U$221)+SUM(SUMIFS(DEALS!$J:$J,DEALS!$A:$A,{"*REFUND*","*EXECUTED*"},DEALS!$G:$G,$B$219,DEALS!$E:$E,"&gt;="&amp;$C$221,DEALS!$E:$E,"&lt;="&amp;$U$221,DEALS!$K:$K,M$223,DEALS!$M:$M,$K233,DEALS!$N:$N,"&lt;&gt;*RECEIVED*",DEALS!$N:$N,"&lt;&gt;*EXECUTED*"))+SUM(SUMIFS(DEALS!$R:$R,DEALS!$A:$A,{"*REFUND*","*EXECUTED*"},DEALS!$O:$O,$B$219,DEALS!$E:$E,"&gt;="&amp;$C$221,DEALS!$E:$E,"&lt;="&amp;$U$221,DEALS!$S:$S,M$223,DEALS!$U:$U,$K233,DEALS!$V:$V,"&lt;&gt;*RECEIVED*",DEALS!$V:$V,"&lt;&gt;*EXECUTED*"))</f>
        <v>0</v>
      </c>
      <c r="N233" s="32" cm="1">
        <f t="array" ref="N233">SUMIFS(FLOWS!$C:$C,FLOWS!$A:$A,$B$219,FLOWS!$E:$E,$K233,FLOWS!$D:$D,N$223,FLOWS!$H:$H,"&gt;="&amp;$C$221,FLOWS!$H:$H,"&lt;="&amp;$U$221)+SUM(SUMIFS(DEALS!$J:$J,DEALS!$A:$A,{"*REFUND*","*EXECUTED*"},DEALS!$G:$G,$B$219,DEALS!$E:$E,"&gt;="&amp;$C$221,DEALS!$E:$E,"&lt;="&amp;$U$221,DEALS!$K:$K,N$223,DEALS!$M:$M,$K233,DEALS!$N:$N,"&lt;&gt;*RECEIVED*",DEALS!$N:$N,"&lt;&gt;*EXECUTED*"))+SUM(SUMIFS(DEALS!$R:$R,DEALS!$A:$A,{"*REFUND*","*EXECUTED*"},DEALS!$O:$O,$B$219,DEALS!$E:$E,"&gt;="&amp;$C$221,DEALS!$E:$E,"&lt;="&amp;$U$221,DEALS!$S:$S,N$223,DEALS!$U:$U,$K233,DEALS!$V:$V,"&lt;&gt;*RECEIVED*",DEALS!$V:$V,"&lt;&gt;*EXECUTED*"))</f>
        <v>0</v>
      </c>
      <c r="O233" s="32" cm="1">
        <f t="array" ref="O233">SUMIFS(FLOWS!$C:$C,FLOWS!$A:$A,$B$219,FLOWS!$E:$E,$K233,FLOWS!$D:$D,O$223,FLOWS!$H:$H,"&gt;="&amp;$C$221,FLOWS!$H:$H,"&lt;="&amp;$U$221)+SUM(SUMIFS(DEALS!$J:$J,DEALS!$A:$A,{"*REFUND*","*EXECUTED*"},DEALS!$G:$G,$B$219,DEALS!$E:$E,"&gt;="&amp;$C$221,DEALS!$E:$E,"&lt;="&amp;$U$221,DEALS!$K:$K,O$223,DEALS!$M:$M,$K233,DEALS!$N:$N,"&lt;&gt;*RECEIVED*",DEALS!$N:$N,"&lt;&gt;*EXECUTED*"))+SUM(SUMIFS(DEALS!$R:$R,DEALS!$A:$A,{"*REFUND*","*EXECUTED*"},DEALS!$O:$O,$B$219,DEALS!$E:$E,"&gt;="&amp;$C$221,DEALS!$E:$E,"&lt;="&amp;$U$221,DEALS!$S:$S,O$223,DEALS!$U:$U,$K233,DEALS!$V:$V,"&lt;&gt;*RECEIVED*",DEALS!$V:$V,"&lt;&gt;*EXECUTED*"))</f>
        <v>0</v>
      </c>
      <c r="P233" s="32" cm="1">
        <f t="array" ref="P233">SUMIFS(FLOWS!$C:$C,FLOWS!$A:$A,$B$219,FLOWS!$E:$E,$K233,FLOWS!$D:$D,P$223,FLOWS!$H:$H,"&gt;="&amp;$C$221,FLOWS!$H:$H,"&lt;="&amp;$U$221)+SUM(SUMIFS(DEALS!$J:$J,DEALS!$A:$A,{"*REFUND*","*EXECUTED*"},DEALS!$G:$G,$B$219,DEALS!$E:$E,"&gt;="&amp;$C$221,DEALS!$E:$E,"&lt;="&amp;$U$221,DEALS!$K:$K,P$223,DEALS!$M:$M,$K233,DEALS!$N:$N,"&lt;&gt;*RECEIVED*",DEALS!$N:$N,"&lt;&gt;*EXECUTED*"))+SUM(SUMIFS(DEALS!$R:$R,DEALS!$A:$A,{"*REFUND*","*EXECUTED*"},DEALS!$O:$O,$B$219,DEALS!$E:$E,"&gt;="&amp;$C$221,DEALS!$E:$E,"&lt;="&amp;$U$221,DEALS!$S:$S,P$223,DEALS!$U:$U,$K233,DEALS!$V:$V,"&lt;&gt;*RECEIVED*",DEALS!$V:$V,"&lt;&gt;*EXECUTED*"))</f>
        <v>0</v>
      </c>
      <c r="Q233" s="32" cm="1">
        <f t="array" ref="Q233">SUMIFS(FLOWS!$C:$C,FLOWS!$A:$A,$B$219,FLOWS!$E:$E,$K233,FLOWS!$D:$D,Q$223,FLOWS!$H:$H,"&gt;="&amp;$C$221,FLOWS!$H:$H,"&lt;="&amp;$U$221)+SUM(SUMIFS(DEALS!$J:$J,DEALS!$A:$A,{"*REFUND*","*EXECUTED*"},DEALS!$G:$G,$B$219,DEALS!$E:$E,"&gt;="&amp;$C$221,DEALS!$E:$E,"&lt;="&amp;$U$221,DEALS!$K:$K,Q$223,DEALS!$M:$M,$K233,DEALS!$N:$N,"&lt;&gt;*RECEIVED*",DEALS!$N:$N,"&lt;&gt;*EXECUTED*"))+SUM(SUMIFS(DEALS!$R:$R,DEALS!$A:$A,{"*REFUND*","*EXECUTED*"},DEALS!$O:$O,$B$219,DEALS!$E:$E,"&gt;="&amp;$C$221,DEALS!$E:$E,"&lt;="&amp;$U$221,DEALS!$S:$S,Q$223,DEALS!$U:$U,$K233,DEALS!$V:$V,"&lt;&gt;*RECEIVED*",DEALS!$V:$V,"&lt;&gt;*EXECUTED*"))</f>
        <v>0</v>
      </c>
      <c r="R233" s="33">
        <f ca="1">L233*VLOOKUP(L$223,'FX RATES'!$E$1:$F$50,2,FALSE)+M233*VLOOKUP(M$223,'FX RATES'!$E$1:$F$50,2,FALSE)+N233*VLOOKUP(N$223,'FX RATES'!$E$1:$F$50,2,FALSE)+O233*VLOOKUP(O$223,'FX RATES'!$E$1:$F$50,2,FALSE)+P233*VLOOKUP(P$223,'FX RATES'!$E$1:$F$50,2,FALSE)+Q233*VLOOKUP(Q$223,'FX RATES'!$E$1:$F$50,2,FALSE)</f>
        <v>0</v>
      </c>
      <c r="T233" s="31">
        <f t="shared" si="86"/>
        <v>0</v>
      </c>
      <c r="U233" s="32" cm="1">
        <f t="array" ref="U233">SUMIFS(BALANCES!$C:$C,BALANCES!$A:$A,$B$219,BALANCES!$B:$B,$T233,BALANCES!$D:$D,U$223)+SUMIFS(FLOWS!$C:$C,FLOWS!$A:$A,$B$219,FLOWS!$E:$E,$T233,FLOWS!$D:$D,U$223,FLOWS!$H:$H,"&lt;="&amp;$U$221)+SUM(SUMIFS(DEALS!$J:$J,DEALS!$A:$A,{"*REFUND*","*EXECUTED*"},DEALS!$G:$G,$B$219,DEALS!$E:$E,"&lt;="&amp;$U$221,DEALS!$K:$K,U$223,DEALS!$M:$M,$T233,DEALS!$N:$N,"&lt;&gt;*RECEIVED*",DEALS!$N:$N,"&lt;&gt;*EXECUTED*"))+SUM(SUMIFS(DEALS!$R:$R,DEALS!$A:$A,{"*REFUND*","*EXECUTED*"},DEALS!$O:$O,$B$219,DEALS!$E:$E,"&lt;="&amp;$U$221,DEALS!$S:$S,U$223,DEALS!$U:$U,$T233,DEALS!$V:$V,"&lt;&gt;*RECEIVED*",DEALS!$V:$V,"&lt;&gt;*EXECUTED*"))</f>
        <v>0</v>
      </c>
      <c r="V233" s="32" cm="1">
        <f t="array" ref="V233">SUMIFS(BALANCES!$C:$C,BALANCES!$A:$A,$B$219,BALANCES!$B:$B,$T233,BALANCES!$D:$D,V$223)+SUMIFS(FLOWS!$C:$C,FLOWS!$A:$A,$B$219,FLOWS!$E:$E,$T233,FLOWS!$D:$D,V$223,FLOWS!$H:$H,"&lt;="&amp;$U$221)+SUM(SUMIFS(DEALS!$J:$J,DEALS!$A:$A,{"*REFUND*","*EXECUTED*"},DEALS!$G:$G,$B$219,DEALS!$E:$E,"&lt;="&amp;$U$221,DEALS!$K:$K,V$223,DEALS!$M:$M,$T233,DEALS!$N:$N,"&lt;&gt;*RECEIVED*",DEALS!$N:$N,"&lt;&gt;*EXECUTED*"))+SUM(SUMIFS(DEALS!$R:$R,DEALS!$A:$A,{"*REFUND*","*EXECUTED*"},DEALS!$O:$O,$B$219,DEALS!$E:$E,"&lt;="&amp;$U$221,DEALS!$S:$S,V$223,DEALS!$U:$U,$T233,DEALS!$V:$V,"&lt;&gt;*RECEIVED*",DEALS!$V:$V,"&lt;&gt;*EXECUTED*"))</f>
        <v>0</v>
      </c>
      <c r="W233" s="32" cm="1">
        <f t="array" ref="W233">SUMIFS(BALANCES!$C:$C,BALANCES!$A:$A,$B$219,BALANCES!$B:$B,$T233,BALANCES!$D:$D,W$223)+SUMIFS(FLOWS!$C:$C,FLOWS!$A:$A,$B$219,FLOWS!$E:$E,$T233,FLOWS!$D:$D,W$223,FLOWS!$H:$H,"&lt;="&amp;$U$221)+SUM(SUMIFS(DEALS!$J:$J,DEALS!$A:$A,{"*REFUND*","*EXECUTED*"},DEALS!$G:$G,$B$219,DEALS!$E:$E,"&lt;="&amp;$U$221,DEALS!$K:$K,W$223,DEALS!$M:$M,$T233,DEALS!$N:$N,"&lt;&gt;*RECEIVED*",DEALS!$N:$N,"&lt;&gt;*EXECUTED*"))+SUM(SUMIFS(DEALS!$R:$R,DEALS!$A:$A,{"*REFUND*","*EXECUTED*"},DEALS!$O:$O,$B$219,DEALS!$E:$E,"&lt;="&amp;$U$221,DEALS!$S:$S,W$223,DEALS!$U:$U,$T233,DEALS!$V:$V,"&lt;&gt;*RECEIVED*",DEALS!$V:$V,"&lt;&gt;*EXECUTED*"))</f>
        <v>0</v>
      </c>
      <c r="X233" s="32" cm="1">
        <f t="array" ref="X233">SUMIFS(BALANCES!$C:$C,BALANCES!$A:$A,$B$219,BALANCES!$B:$B,$T233,BALANCES!$D:$D,X$223)+SUMIFS(FLOWS!$C:$C,FLOWS!$A:$A,$B$219,FLOWS!$E:$E,$T233,FLOWS!$D:$D,X$223,FLOWS!$H:$H,"&lt;="&amp;$U$221)+SUM(SUMIFS(DEALS!$J:$J,DEALS!$A:$A,{"*REFUND*","*EXECUTED*"},DEALS!$G:$G,$B$219,DEALS!$E:$E,"&lt;="&amp;$U$221,DEALS!$K:$K,X$223,DEALS!$M:$M,$T233,DEALS!$N:$N,"&lt;&gt;*RECEIVED*",DEALS!$N:$N,"&lt;&gt;*EXECUTED*"))+SUM(SUMIFS(DEALS!$R:$R,DEALS!$A:$A,{"*REFUND*","*EXECUTED*"},DEALS!$O:$O,$B$219,DEALS!$E:$E,"&lt;="&amp;$U$221,DEALS!$S:$S,X$223,DEALS!$U:$U,$T233,DEALS!$V:$V,"&lt;&gt;*RECEIVED*",DEALS!$V:$V,"&lt;&gt;*EXECUTED*"))</f>
        <v>0</v>
      </c>
      <c r="Y233" s="32" cm="1">
        <f t="array" ref="Y233">SUMIFS(BALANCES!$C:$C,BALANCES!$A:$A,$B$219,BALANCES!$B:$B,$T233,BALANCES!$D:$D,Y$223)+SUMIFS(FLOWS!$C:$C,FLOWS!$A:$A,$B$219,FLOWS!$E:$E,$T233,FLOWS!$D:$D,Y$223,FLOWS!$H:$H,"&lt;="&amp;$U$221)+SUM(SUMIFS(DEALS!$J:$J,DEALS!$A:$A,{"*REFUND*","*EXECUTED*"},DEALS!$G:$G,$B$219,DEALS!$E:$E,"&lt;="&amp;$U$221,DEALS!$K:$K,Y$223,DEALS!$M:$M,$T233,DEALS!$N:$N,"&lt;&gt;*RECEIVED*",DEALS!$N:$N,"&lt;&gt;*EXECUTED*"))+SUM(SUMIFS(DEALS!$R:$R,DEALS!$A:$A,{"*REFUND*","*EXECUTED*"},DEALS!$O:$O,$B$219,DEALS!$E:$E,"&lt;="&amp;$U$221,DEALS!$S:$S,Y$223,DEALS!$U:$U,$T233,DEALS!$V:$V,"&lt;&gt;*RECEIVED*",DEALS!$V:$V,"&lt;&gt;*EXECUTED*"))</f>
        <v>0</v>
      </c>
      <c r="Z233" s="32" cm="1">
        <f t="array" ref="Z233">SUMIFS(BALANCES!$C:$C,BALANCES!$A:$A,$B$219,BALANCES!$B:$B,$T233,BALANCES!$D:$D,Z$223)+SUMIFS(FLOWS!$C:$C,FLOWS!$A:$A,$B$219,FLOWS!$E:$E,$T233,FLOWS!$D:$D,Z$223,FLOWS!$H:$H,"&lt;="&amp;$U$221)+SUM(SUMIFS(DEALS!$J:$J,DEALS!$A:$A,{"*REFUND*","*EXECUTED*"},DEALS!$G:$G,$B$219,DEALS!$E:$E,"&lt;="&amp;$U$221,DEALS!$K:$K,Z$223,DEALS!$M:$M,$T233,DEALS!$N:$N,"&lt;&gt;*RECEIVED*",DEALS!$N:$N,"&lt;&gt;*EXECUTED*"))+SUM(SUMIFS(DEALS!$R:$R,DEALS!$A:$A,{"*REFUND*","*EXECUTED*"},DEALS!$O:$O,$B$219,DEALS!$E:$E,"&lt;="&amp;$U$221,DEALS!$S:$S,Z$223,DEALS!$U:$U,$T233,DEALS!$V:$V,"&lt;&gt;*RECEIVED*",DEALS!$V:$V,"&lt;&gt;*EXECUTED*"))</f>
        <v>0</v>
      </c>
      <c r="AA233" s="33">
        <f ca="1">U233*VLOOKUP(U$223,'FX RATES'!$E$1:$F$50,2,FALSE)+V233*VLOOKUP(V$223,'FX RATES'!$E$1:$F$50,2,FALSE)+W233*VLOOKUP(W$223,'FX RATES'!$E$1:$F$50,2,FALSE)+X233*VLOOKUP(X$223,'FX RATES'!$E$1:$F$50,2,FALSE)+Y233*VLOOKUP(Y$223,'FX RATES'!$E$1:$F$50,2,FALSE)+Z233*VLOOKUP(Z$223,'FX RATES'!$E$1:$F$50,2,FALSE)</f>
        <v>0</v>
      </c>
      <c r="AC233" s="139">
        <f t="shared" ca="1" si="87"/>
        <v>0</v>
      </c>
    </row>
    <row r="234" spans="2:29" ht="18.75" hidden="1" customHeight="1">
      <c r="B234" s="28"/>
      <c r="C234" s="29" cm="1">
        <f t="array" ref="C234">SUMIFS(BALANCES!$C:$C,BALANCES!$A:$A,$B$219,BALANCES!$B:$B,$B234,BALANCES!$D:$D,C$223)+SUMIFS(FLOWS!$C:$C,FLOWS!$A:$A,$B$219,FLOWS!$E:$E,$B234,FLOWS!$D:$D,C$223,FLOWS!$H:$H,"&lt;"&amp;$C$221)+SUM(SUMIFS(DEALS!$J:$J,DEALS!$A:$A,{"*REFUND*","*EXECUTED*"},DEALS!$G:$G,$B$219,DEALS!$E:$E,"&lt;"&amp;$C$221,DEALS!$K:$K,C$223,DEALS!$M:$M,$B234,DEALS!$N:$N,"&lt;&gt;*RECEIVED*",DEALS!$N:$N,"&lt;&gt;*EXECUTED*"))+SUM(SUMIFS(DEALS!$R:$R,DEALS!$A:$A,{"*REFUND*","*EXECUTED*"},DEALS!$O:$O,$B$219,DEALS!$E:$E,"&lt;"&amp;$C$221,DEALS!$S:$S,C$223,DEALS!$U:$U,$B234,DEALS!$V:$V,"&lt;&gt;*RECEIVED*",DEALS!$V:$V,"&lt;&gt;*EXECUTED*"))</f>
        <v>0</v>
      </c>
      <c r="D234" s="29" cm="1">
        <f t="array" ref="D234">SUMIFS(BALANCES!$C:$C,BALANCES!$A:$A,$B$219,BALANCES!$B:$B,$B234,BALANCES!$D:$D,D$223)+SUMIFS(FLOWS!$C:$C,FLOWS!$A:$A,$B$219,FLOWS!$E:$E,$B234,FLOWS!$D:$D,D$223,FLOWS!$H:$H,"&lt;"&amp;$C$221)+SUM(SUMIFS(DEALS!$J:$J,DEALS!$A:$A,{"*REFUND*","*EXECUTED*"},DEALS!$G:$G,$B$219,DEALS!$E:$E,"&lt;"&amp;$C$221,DEALS!$K:$K,D$223,DEALS!$M:$M,$B234,DEALS!$N:$N,"&lt;&gt;*RECEIVED*",DEALS!$N:$N,"&lt;&gt;*EXECUTED*"))+SUM(SUMIFS(DEALS!$R:$R,DEALS!$A:$A,{"*REFUND*","*EXECUTED*"},DEALS!$O:$O,$B$219,DEALS!$E:$E,"&lt;"&amp;$C$221,DEALS!$S:$S,D$223,DEALS!$U:$U,$B234,DEALS!$V:$V,"&lt;&gt;*RECEIVED*",DEALS!$V:$V,"&lt;&gt;*EXECUTED*"))</f>
        <v>0</v>
      </c>
      <c r="E234" s="29" cm="1">
        <f t="array" ref="E234">SUMIFS(BALANCES!$C:$C,BALANCES!$A:$A,$B$219,BALANCES!$B:$B,$B234,BALANCES!$D:$D,E$223)+SUMIFS(FLOWS!$C:$C,FLOWS!$A:$A,$B$219,FLOWS!$E:$E,$B234,FLOWS!$D:$D,E$223,FLOWS!$H:$H,"&lt;"&amp;$C$221)+SUM(SUMIFS(DEALS!$J:$J,DEALS!$A:$A,{"*REFUND*","*EXECUTED*"},DEALS!$G:$G,$B$219,DEALS!$E:$E,"&lt;"&amp;$C$221,DEALS!$K:$K,E$223,DEALS!$M:$M,$B234,DEALS!$N:$N,"&lt;&gt;*RECEIVED*",DEALS!$N:$N,"&lt;&gt;*EXECUTED*"))+SUM(SUMIFS(DEALS!$R:$R,DEALS!$A:$A,{"*REFUND*","*EXECUTED*"},DEALS!$O:$O,$B$219,DEALS!$E:$E,"&lt;"&amp;$C$221,DEALS!$S:$S,E$223,DEALS!$U:$U,$B234,DEALS!$V:$V,"&lt;&gt;*RECEIVED*",DEALS!$V:$V,"&lt;&gt;*EXECUTED*"))</f>
        <v>0</v>
      </c>
      <c r="F234" s="29" cm="1">
        <f t="array" ref="F234">SUMIFS(BALANCES!$C:$C,BALANCES!$A:$A,$B$219,BALANCES!$B:$B,$B234,BALANCES!$D:$D,F$223)+SUMIFS(FLOWS!$C:$C,FLOWS!$A:$A,$B$219,FLOWS!$E:$E,$B234,FLOWS!$D:$D,F$223,FLOWS!$H:$H,"&lt;"&amp;$C$221)+SUM(SUMIFS(DEALS!$J:$J,DEALS!$A:$A,{"*REFUND*","*EXECUTED*"},DEALS!$G:$G,$B$219,DEALS!$E:$E,"&lt;"&amp;$C$221,DEALS!$K:$K,F$223,DEALS!$M:$M,$B234,DEALS!$N:$N,"&lt;&gt;*RECEIVED*",DEALS!$N:$N,"&lt;&gt;*EXECUTED*"))+SUM(SUMIFS(DEALS!$R:$R,DEALS!$A:$A,{"*REFUND*","*EXECUTED*"},DEALS!$O:$O,$B$219,DEALS!$E:$E,"&lt;"&amp;$C$221,DEALS!$S:$S,F$223,DEALS!$U:$U,$B234,DEALS!$V:$V,"&lt;&gt;*RECEIVED*",DEALS!$V:$V,"&lt;&gt;*EXECUTED*"))</f>
        <v>0</v>
      </c>
      <c r="G234" s="29" cm="1">
        <f t="array" ref="G234">SUMIFS(BALANCES!$C:$C,BALANCES!$A:$A,$B$219,BALANCES!$B:$B,$B234,BALANCES!$D:$D,G$223)+SUMIFS(FLOWS!$C:$C,FLOWS!$A:$A,$B$219,FLOWS!$E:$E,$B234,FLOWS!$D:$D,G$223,FLOWS!$H:$H,"&lt;"&amp;$C$221)+SUM(SUMIFS(DEALS!$J:$J,DEALS!$A:$A,{"*REFUND*","*EXECUTED*"},DEALS!$G:$G,$B$219,DEALS!$E:$E,"&lt;"&amp;$C$221,DEALS!$K:$K,G$223,DEALS!$M:$M,$B234,DEALS!$N:$N,"&lt;&gt;*RECEIVED*",DEALS!$N:$N,"&lt;&gt;*EXECUTED*"))+SUM(SUMIFS(DEALS!$R:$R,DEALS!$A:$A,{"*REFUND*","*EXECUTED*"},DEALS!$O:$O,$B$219,DEALS!$E:$E,"&lt;"&amp;$C$221,DEALS!$S:$S,G$223,DEALS!$U:$U,$B234,DEALS!$V:$V,"&lt;&gt;*RECEIVED*",DEALS!$V:$V,"&lt;&gt;*EXECUTED*"))</f>
        <v>0</v>
      </c>
      <c r="H234" s="29" cm="1">
        <f t="array" ref="H234">SUMIFS(BALANCES!$C:$C,BALANCES!$A:$A,$B$219,BALANCES!$B:$B,$B234,BALANCES!$D:$D,H$223)+SUMIFS(FLOWS!$C:$C,FLOWS!$A:$A,$B$219,FLOWS!$E:$E,$B234,FLOWS!$D:$D,H$223,FLOWS!$H:$H,"&lt;"&amp;$C$221)+SUM(SUMIFS(DEALS!$J:$J,DEALS!$A:$A,{"*REFUND*","*EXECUTED*"},DEALS!$G:$G,$B$219,DEALS!$E:$E,"&lt;"&amp;$C$221,DEALS!$K:$K,H$223,DEALS!$M:$M,$B234,DEALS!$N:$N,"&lt;&gt;*RECEIVED*",DEALS!$N:$N,"&lt;&gt;*EXECUTED*"))+SUM(SUMIFS(DEALS!$R:$R,DEALS!$A:$A,{"*REFUND*","*EXECUTED*"},DEALS!$O:$O,$B$219,DEALS!$E:$E,"&lt;"&amp;$C$221,DEALS!$S:$S,H$223,DEALS!$U:$U,$B234,DEALS!$V:$V,"&lt;&gt;*RECEIVED*",DEALS!$V:$V,"&lt;&gt;*EXECUTED*"))</f>
        <v>0</v>
      </c>
      <c r="I234" s="30">
        <f ca="1">C234*VLOOKUP(C$223,'FX RATES'!$E$1:$F$50,2,FALSE)+D234*VLOOKUP(D$223,'FX RATES'!$E$1:$F$50,2,FALSE)+E234*VLOOKUP(E$223,'FX RATES'!$E$1:$F$50,2,FALSE)+F234*VLOOKUP(F$223,'FX RATES'!$E$1:$F$50,2,FALSE)+G234*VLOOKUP(G$223,'FX RATES'!$E$1:$F$50,2,FALSE)+H234*VLOOKUP(H$223,'FX RATES'!$E$1:$F$50,2,FALSE)</f>
        <v>0</v>
      </c>
      <c r="K234" s="28">
        <f>B234</f>
        <v>0</v>
      </c>
      <c r="L234" s="29" cm="1">
        <f t="array" ref="L234">SUMIFS(FLOWS!$C:$C,FLOWS!$A:$A,$B$219,FLOWS!$E:$E,$K234,FLOWS!$D:$D,L$223,FLOWS!$H:$H,"&gt;="&amp;$C$221,FLOWS!$H:$H,"&lt;="&amp;$U$221)+SUM(SUMIFS(DEALS!$J:$J,DEALS!$A:$A,{"*REFUND*","*EXECUTED*"},DEALS!$G:$G,$B$219,DEALS!$E:$E,"&gt;="&amp;$C$221,DEALS!$E:$E,"&lt;="&amp;$U$221,DEALS!$K:$K,L$223,DEALS!$M:$M,$K234,DEALS!$N:$N,"&lt;&gt;*RECEIVED*",DEALS!$N:$N,"&lt;&gt;*EXECUTED*"))+SUM(SUMIFS(DEALS!$R:$R,DEALS!$A:$A,{"*REFUND*","*EXECUTED*"},DEALS!$O:$O,$B$219,DEALS!$E:$E,"&gt;="&amp;$C$221,DEALS!$E:$E,"&lt;="&amp;$U$221,DEALS!$S:$S,L$223,DEALS!$U:$U,$K234,DEALS!$V:$V,"&lt;&gt;*RECEIVED*",DEALS!$V:$V,"&lt;&gt;*EXECUTED*"))</f>
        <v>0</v>
      </c>
      <c r="M234" s="29" cm="1">
        <f t="array" ref="M234">SUMIFS(FLOWS!$C:$C,FLOWS!$A:$A,$B$219,FLOWS!$E:$E,$K234,FLOWS!$D:$D,M$223,FLOWS!$H:$H,"&gt;="&amp;$C$221,FLOWS!$H:$H,"&lt;="&amp;$U$221)+SUM(SUMIFS(DEALS!$J:$J,DEALS!$A:$A,{"*REFUND*","*EXECUTED*"},DEALS!$G:$G,$B$219,DEALS!$E:$E,"&gt;="&amp;$C$221,DEALS!$E:$E,"&lt;="&amp;$U$221,DEALS!$K:$K,M$223,DEALS!$M:$M,$K234,DEALS!$N:$N,"&lt;&gt;*RECEIVED*",DEALS!$N:$N,"&lt;&gt;*EXECUTED*"))+SUM(SUMIFS(DEALS!$R:$R,DEALS!$A:$A,{"*REFUND*","*EXECUTED*"},DEALS!$O:$O,$B$219,DEALS!$E:$E,"&gt;="&amp;$C$221,DEALS!$E:$E,"&lt;="&amp;$U$221,DEALS!$S:$S,M$223,DEALS!$U:$U,$K234,DEALS!$V:$V,"&lt;&gt;*RECEIVED*",DEALS!$V:$V,"&lt;&gt;*EXECUTED*"))</f>
        <v>0</v>
      </c>
      <c r="N234" s="29" cm="1">
        <f t="array" ref="N234">SUMIFS(FLOWS!$C:$C,FLOWS!$A:$A,$B$219,FLOWS!$E:$E,$K234,FLOWS!$D:$D,N$223,FLOWS!$H:$H,"&gt;="&amp;$C$221,FLOWS!$H:$H,"&lt;="&amp;$U$221)+SUM(SUMIFS(DEALS!$J:$J,DEALS!$A:$A,{"*REFUND*","*EXECUTED*"},DEALS!$G:$G,$B$219,DEALS!$E:$E,"&gt;="&amp;$C$221,DEALS!$E:$E,"&lt;="&amp;$U$221,DEALS!$K:$K,N$223,DEALS!$M:$M,$K234,DEALS!$N:$N,"&lt;&gt;*RECEIVED*",DEALS!$N:$N,"&lt;&gt;*EXECUTED*"))+SUM(SUMIFS(DEALS!$R:$R,DEALS!$A:$A,{"*REFUND*","*EXECUTED*"},DEALS!$O:$O,$B$219,DEALS!$E:$E,"&gt;="&amp;$C$221,DEALS!$E:$E,"&lt;="&amp;$U$221,DEALS!$S:$S,N$223,DEALS!$U:$U,$K234,DEALS!$V:$V,"&lt;&gt;*RECEIVED*",DEALS!$V:$V,"&lt;&gt;*EXECUTED*"))</f>
        <v>0</v>
      </c>
      <c r="O234" s="29" cm="1">
        <f t="array" ref="O234">SUMIFS(FLOWS!$C:$C,FLOWS!$A:$A,$B$219,FLOWS!$E:$E,$K234,FLOWS!$D:$D,O$223,FLOWS!$H:$H,"&gt;="&amp;$C$221,FLOWS!$H:$H,"&lt;="&amp;$U$221)+SUM(SUMIFS(DEALS!$J:$J,DEALS!$A:$A,{"*REFUND*","*EXECUTED*"},DEALS!$G:$G,$B$219,DEALS!$E:$E,"&gt;="&amp;$C$221,DEALS!$E:$E,"&lt;="&amp;$U$221,DEALS!$K:$K,O$223,DEALS!$M:$M,$K234,DEALS!$N:$N,"&lt;&gt;*RECEIVED*",DEALS!$N:$N,"&lt;&gt;*EXECUTED*"))+SUM(SUMIFS(DEALS!$R:$R,DEALS!$A:$A,{"*REFUND*","*EXECUTED*"},DEALS!$O:$O,$B$219,DEALS!$E:$E,"&gt;="&amp;$C$221,DEALS!$E:$E,"&lt;="&amp;$U$221,DEALS!$S:$S,O$223,DEALS!$U:$U,$K234,DEALS!$V:$V,"&lt;&gt;*RECEIVED*",DEALS!$V:$V,"&lt;&gt;*EXECUTED*"))</f>
        <v>0</v>
      </c>
      <c r="P234" s="29" cm="1">
        <f t="array" ref="P234">SUMIFS(FLOWS!$C:$C,FLOWS!$A:$A,$B$219,FLOWS!$E:$E,$K234,FLOWS!$D:$D,P$223,FLOWS!$H:$H,"&gt;="&amp;$C$221,FLOWS!$H:$H,"&lt;="&amp;$U$221)+SUM(SUMIFS(DEALS!$J:$J,DEALS!$A:$A,{"*REFUND*","*EXECUTED*"},DEALS!$G:$G,$B$219,DEALS!$E:$E,"&gt;="&amp;$C$221,DEALS!$E:$E,"&lt;="&amp;$U$221,DEALS!$K:$K,P$223,DEALS!$M:$M,$K234,DEALS!$N:$N,"&lt;&gt;*RECEIVED*",DEALS!$N:$N,"&lt;&gt;*EXECUTED*"))+SUM(SUMIFS(DEALS!$R:$R,DEALS!$A:$A,{"*REFUND*","*EXECUTED*"},DEALS!$O:$O,$B$219,DEALS!$E:$E,"&gt;="&amp;$C$221,DEALS!$E:$E,"&lt;="&amp;$U$221,DEALS!$S:$S,P$223,DEALS!$U:$U,$K234,DEALS!$V:$V,"&lt;&gt;*RECEIVED*",DEALS!$V:$V,"&lt;&gt;*EXECUTED*"))</f>
        <v>0</v>
      </c>
      <c r="Q234" s="29" cm="1">
        <f t="array" ref="Q234">SUMIFS(FLOWS!$C:$C,FLOWS!$A:$A,$B$219,FLOWS!$E:$E,$K234,FLOWS!$D:$D,Q$223,FLOWS!$H:$H,"&gt;="&amp;$C$221,FLOWS!$H:$H,"&lt;="&amp;$U$221)+SUM(SUMIFS(DEALS!$J:$J,DEALS!$A:$A,{"*REFUND*","*EXECUTED*"},DEALS!$G:$G,$B$219,DEALS!$E:$E,"&gt;="&amp;$C$221,DEALS!$E:$E,"&lt;="&amp;$U$221,DEALS!$K:$K,Q$223,DEALS!$M:$M,$K234,DEALS!$N:$N,"&lt;&gt;*RECEIVED*",DEALS!$N:$N,"&lt;&gt;*EXECUTED*"))+SUM(SUMIFS(DEALS!$R:$R,DEALS!$A:$A,{"*REFUND*","*EXECUTED*"},DEALS!$O:$O,$B$219,DEALS!$E:$E,"&gt;="&amp;$C$221,DEALS!$E:$E,"&lt;="&amp;$U$221,DEALS!$S:$S,Q$223,DEALS!$U:$U,$K234,DEALS!$V:$V,"&lt;&gt;*RECEIVED*",DEALS!$V:$V,"&lt;&gt;*EXECUTED*"))</f>
        <v>0</v>
      </c>
      <c r="R234" s="30">
        <f ca="1">L234*VLOOKUP(L$223,'FX RATES'!$E$1:$F$50,2,FALSE)+M234*VLOOKUP(M$223,'FX RATES'!$E$1:$F$50,2,FALSE)+N234*VLOOKUP(N$223,'FX RATES'!$E$1:$F$50,2,FALSE)+O234*VLOOKUP(O$223,'FX RATES'!$E$1:$F$50,2,FALSE)+P234*VLOOKUP(P$223,'FX RATES'!$E$1:$F$50,2,FALSE)+Q234*VLOOKUP(Q$223,'FX RATES'!$E$1:$F$50,2,FALSE)</f>
        <v>0</v>
      </c>
      <c r="T234" s="28">
        <f>B234</f>
        <v>0</v>
      </c>
      <c r="U234" s="29" cm="1">
        <f t="array" ref="U234">SUMIFS(BALANCES!$C:$C,BALANCES!$A:$A,$B$219,BALANCES!$B:$B,$T234,BALANCES!$D:$D,U$223)+SUMIFS(FLOWS!$C:$C,FLOWS!$A:$A,$B$219,FLOWS!$E:$E,$T234,FLOWS!$D:$D,U$223,FLOWS!$H:$H,"&lt;="&amp;$U$221)+SUM(SUMIFS(DEALS!$J:$J,DEALS!$A:$A,{"*REFUND*","*EXECUTED*"},DEALS!$G:$G,$B$219,DEALS!$E:$E,"&lt;="&amp;$U$221,DEALS!$K:$K,U$223,DEALS!$M:$M,$T234,DEALS!$N:$N,"&lt;&gt;*RECEIVED*",DEALS!$N:$N,"&lt;&gt;*EXECUTED*"))+SUM(SUMIFS(DEALS!$R:$R,DEALS!$A:$A,{"*REFUND*","*EXECUTED*"},DEALS!$O:$O,$B$219,DEALS!$E:$E,"&lt;="&amp;$U$221,DEALS!$S:$S,U$223,DEALS!$U:$U,$T234,DEALS!$V:$V,"&lt;&gt;*RECEIVED*",DEALS!$V:$V,"&lt;&gt;*EXECUTED*"))</f>
        <v>0</v>
      </c>
      <c r="V234" s="29" cm="1">
        <f t="array" ref="V234">SUMIFS(BALANCES!$C:$C,BALANCES!$A:$A,$B$219,BALANCES!$B:$B,$T234,BALANCES!$D:$D,V$223)+SUMIFS(FLOWS!$C:$C,FLOWS!$A:$A,$B$219,FLOWS!$E:$E,$T234,FLOWS!$D:$D,V$223,FLOWS!$H:$H,"&lt;="&amp;$U$221)+SUM(SUMIFS(DEALS!$J:$J,DEALS!$A:$A,{"*REFUND*","*EXECUTED*"},DEALS!$G:$G,$B$219,DEALS!$E:$E,"&lt;="&amp;$U$221,DEALS!$K:$K,V$223,DEALS!$M:$M,$T234,DEALS!$N:$N,"&lt;&gt;*RECEIVED*",DEALS!$N:$N,"&lt;&gt;*EXECUTED*"))+SUM(SUMIFS(DEALS!$R:$R,DEALS!$A:$A,{"*REFUND*","*EXECUTED*"},DEALS!$O:$O,$B$219,DEALS!$E:$E,"&lt;="&amp;$U$221,DEALS!$S:$S,V$223,DEALS!$U:$U,$T234,DEALS!$V:$V,"&lt;&gt;*RECEIVED*",DEALS!$V:$V,"&lt;&gt;*EXECUTED*"))</f>
        <v>0</v>
      </c>
      <c r="W234" s="29" cm="1">
        <f t="array" ref="W234">SUMIFS(BALANCES!$C:$C,BALANCES!$A:$A,$B$219,BALANCES!$B:$B,$T234,BALANCES!$D:$D,W$223)+SUMIFS(FLOWS!$C:$C,FLOWS!$A:$A,$B$219,FLOWS!$E:$E,$T234,FLOWS!$D:$D,W$223,FLOWS!$H:$H,"&lt;="&amp;$U$221)+SUM(SUMIFS(DEALS!$J:$J,DEALS!$A:$A,{"*REFUND*","*EXECUTED*"},DEALS!$G:$G,$B$219,DEALS!$E:$E,"&lt;="&amp;$U$221,DEALS!$K:$K,W$223,DEALS!$M:$M,$T234,DEALS!$N:$N,"&lt;&gt;*RECEIVED*",DEALS!$N:$N,"&lt;&gt;*EXECUTED*"))+SUM(SUMIFS(DEALS!$R:$R,DEALS!$A:$A,{"*REFUND*","*EXECUTED*"},DEALS!$O:$O,$B$219,DEALS!$E:$E,"&lt;="&amp;$U$221,DEALS!$S:$S,W$223,DEALS!$U:$U,$T234,DEALS!$V:$V,"&lt;&gt;*RECEIVED*",DEALS!$V:$V,"&lt;&gt;*EXECUTED*"))</f>
        <v>0</v>
      </c>
      <c r="X234" s="29" cm="1">
        <f t="array" ref="X234">SUMIFS(BALANCES!$C:$C,BALANCES!$A:$A,$B$219,BALANCES!$B:$B,$T234,BALANCES!$D:$D,X$223)+SUMIFS(FLOWS!$C:$C,FLOWS!$A:$A,$B$219,FLOWS!$E:$E,$T234,FLOWS!$D:$D,X$223,FLOWS!$H:$H,"&lt;="&amp;$U$221)+SUM(SUMIFS(DEALS!$J:$J,DEALS!$A:$A,{"*REFUND*","*EXECUTED*"},DEALS!$G:$G,$B$219,DEALS!$E:$E,"&lt;="&amp;$U$221,DEALS!$K:$K,X$223,DEALS!$M:$M,$T234,DEALS!$N:$N,"&lt;&gt;*RECEIVED*",DEALS!$N:$N,"&lt;&gt;*EXECUTED*"))+SUM(SUMIFS(DEALS!$R:$R,DEALS!$A:$A,{"*REFUND*","*EXECUTED*"},DEALS!$O:$O,$B$219,DEALS!$E:$E,"&lt;="&amp;$U$221,DEALS!$S:$S,X$223,DEALS!$U:$U,$T234,DEALS!$V:$V,"&lt;&gt;*RECEIVED*",DEALS!$V:$V,"&lt;&gt;*EXECUTED*"))</f>
        <v>0</v>
      </c>
      <c r="Y234" s="29" cm="1">
        <f t="array" ref="Y234">SUMIFS(BALANCES!$C:$C,BALANCES!$A:$A,$B$219,BALANCES!$B:$B,$T234,BALANCES!$D:$D,Y$223)+SUMIFS(FLOWS!$C:$C,FLOWS!$A:$A,$B$219,FLOWS!$E:$E,$T234,FLOWS!$D:$D,Y$223,FLOWS!$H:$H,"&lt;="&amp;$U$221)+SUM(SUMIFS(DEALS!$J:$J,DEALS!$A:$A,{"*REFUND*","*EXECUTED*"},DEALS!$G:$G,$B$219,DEALS!$E:$E,"&lt;="&amp;$U$221,DEALS!$K:$K,Y$223,DEALS!$M:$M,$T234,DEALS!$N:$N,"&lt;&gt;*RECEIVED*",DEALS!$N:$N,"&lt;&gt;*EXECUTED*"))+SUM(SUMIFS(DEALS!$R:$R,DEALS!$A:$A,{"*REFUND*","*EXECUTED*"},DEALS!$O:$O,$B$219,DEALS!$E:$E,"&lt;="&amp;$U$221,DEALS!$S:$S,Y$223,DEALS!$U:$U,$T234,DEALS!$V:$V,"&lt;&gt;*RECEIVED*",DEALS!$V:$V,"&lt;&gt;*EXECUTED*"))</f>
        <v>0</v>
      </c>
      <c r="Z234" s="29" cm="1">
        <f t="array" ref="Z234">SUMIFS(BALANCES!$C:$C,BALANCES!$A:$A,$B$219,BALANCES!$B:$B,$T234,BALANCES!$D:$D,Z$223)+SUMIFS(FLOWS!$C:$C,FLOWS!$A:$A,$B$219,FLOWS!$E:$E,$T234,FLOWS!$D:$D,Z$223,FLOWS!$H:$H,"&lt;="&amp;$U$221)+SUM(SUMIFS(DEALS!$J:$J,DEALS!$A:$A,{"*REFUND*","*EXECUTED*"},DEALS!$G:$G,$B$219,DEALS!$E:$E,"&lt;="&amp;$U$221,DEALS!$K:$K,Z$223,DEALS!$M:$M,$T234,DEALS!$N:$N,"&lt;&gt;*RECEIVED*",DEALS!$N:$N,"&lt;&gt;*EXECUTED*"))+SUM(SUMIFS(DEALS!$R:$R,DEALS!$A:$A,{"*REFUND*","*EXECUTED*"},DEALS!$O:$O,$B$219,DEALS!$E:$E,"&lt;="&amp;$U$221,DEALS!$S:$S,Z$223,DEALS!$U:$U,$T234,DEALS!$V:$V,"&lt;&gt;*RECEIVED*",DEALS!$V:$V,"&lt;&gt;*EXECUTED*"))</f>
        <v>0</v>
      </c>
      <c r="AA234" s="30">
        <f ca="1">U234*VLOOKUP(U$223,'FX RATES'!$E$1:$F$50,2,FALSE)+V234*VLOOKUP(V$223,'FX RATES'!$E$1:$F$50,2,FALSE)+W234*VLOOKUP(W$223,'FX RATES'!$E$1:$F$50,2,FALSE)+X234*VLOOKUP(X$223,'FX RATES'!$E$1:$F$50,2,FALSE)+Y234*VLOOKUP(Y$223,'FX RATES'!$E$1:$F$50,2,FALSE)+Z234*VLOOKUP(Z$223,'FX RATES'!$E$1:$F$50,2,FALSE)</f>
        <v>0</v>
      </c>
      <c r="AC234" s="139">
        <f ca="1">I234+R234-AA234</f>
        <v>0</v>
      </c>
    </row>
    <row r="235" spans="2:29" ht="18.75" hidden="1" customHeight="1">
      <c r="B235" s="31"/>
      <c r="C235" s="32" cm="1">
        <f t="array" ref="C235">SUMIFS(BALANCES!$C:$C,BALANCES!$A:$A,$B$219,BALANCES!$B:$B,$B235,BALANCES!$D:$D,C$223)+SUMIFS(FLOWS!$C:$C,FLOWS!$A:$A,$B$219,FLOWS!$E:$E,$B235,FLOWS!$D:$D,C$223,FLOWS!$H:$H,"&lt;"&amp;$C$221)+SUM(SUMIFS(DEALS!$J:$J,DEALS!$A:$A,{"*REFUND*","*EXECUTED*"},DEALS!$G:$G,$B$219,DEALS!$E:$E,"&lt;"&amp;$C$221,DEALS!$K:$K,C$223,DEALS!$M:$M,$B235,DEALS!$N:$N,"&lt;&gt;*RECEIVED*",DEALS!$N:$N,"&lt;&gt;*EXECUTED*"))+SUM(SUMIFS(DEALS!$R:$R,DEALS!$A:$A,{"*REFUND*","*EXECUTED*"},DEALS!$O:$O,$B$219,DEALS!$E:$E,"&lt;"&amp;$C$221,DEALS!$S:$S,C$223,DEALS!$U:$U,$B235,DEALS!$V:$V,"&lt;&gt;*RECEIVED*",DEALS!$V:$V,"&lt;&gt;*EXECUTED*"))</f>
        <v>0</v>
      </c>
      <c r="D235" s="32" cm="1">
        <f t="array" ref="D235">SUMIFS(BALANCES!$C:$C,BALANCES!$A:$A,$B$219,BALANCES!$B:$B,$B235,BALANCES!$D:$D,D$223)+SUMIFS(FLOWS!$C:$C,FLOWS!$A:$A,$B$219,FLOWS!$E:$E,$B235,FLOWS!$D:$D,D$223,FLOWS!$H:$H,"&lt;"&amp;$C$221)+SUM(SUMIFS(DEALS!$J:$J,DEALS!$A:$A,{"*REFUND*","*EXECUTED*"},DEALS!$G:$G,$B$219,DEALS!$E:$E,"&lt;"&amp;$C$221,DEALS!$K:$K,D$223,DEALS!$M:$M,$B235,DEALS!$N:$N,"&lt;&gt;*RECEIVED*",DEALS!$N:$N,"&lt;&gt;*EXECUTED*"))+SUM(SUMIFS(DEALS!$R:$R,DEALS!$A:$A,{"*REFUND*","*EXECUTED*"},DEALS!$O:$O,$B$219,DEALS!$E:$E,"&lt;"&amp;$C$221,DEALS!$S:$S,D$223,DEALS!$U:$U,$B235,DEALS!$V:$V,"&lt;&gt;*RECEIVED*",DEALS!$V:$V,"&lt;&gt;*EXECUTED*"))</f>
        <v>0</v>
      </c>
      <c r="E235" s="32" cm="1">
        <f t="array" ref="E235">SUMIFS(BALANCES!$C:$C,BALANCES!$A:$A,$B$219,BALANCES!$B:$B,$B235,BALANCES!$D:$D,E$223)+SUMIFS(FLOWS!$C:$C,FLOWS!$A:$A,$B$219,FLOWS!$E:$E,$B235,FLOWS!$D:$D,E$223,FLOWS!$H:$H,"&lt;"&amp;$C$221)+SUM(SUMIFS(DEALS!$J:$J,DEALS!$A:$A,{"*REFUND*","*EXECUTED*"},DEALS!$G:$G,$B$219,DEALS!$E:$E,"&lt;"&amp;$C$221,DEALS!$K:$K,E$223,DEALS!$M:$M,$B235,DEALS!$N:$N,"&lt;&gt;*RECEIVED*",DEALS!$N:$N,"&lt;&gt;*EXECUTED*"))+SUM(SUMIFS(DEALS!$R:$R,DEALS!$A:$A,{"*REFUND*","*EXECUTED*"},DEALS!$O:$O,$B$219,DEALS!$E:$E,"&lt;"&amp;$C$221,DEALS!$S:$S,E$223,DEALS!$U:$U,$B235,DEALS!$V:$V,"&lt;&gt;*RECEIVED*",DEALS!$V:$V,"&lt;&gt;*EXECUTED*"))</f>
        <v>0</v>
      </c>
      <c r="F235" s="32" cm="1">
        <f t="array" ref="F235">SUMIFS(BALANCES!$C:$C,BALANCES!$A:$A,$B$219,BALANCES!$B:$B,$B235,BALANCES!$D:$D,F$223)+SUMIFS(FLOWS!$C:$C,FLOWS!$A:$A,$B$219,FLOWS!$E:$E,$B235,FLOWS!$D:$D,F$223,FLOWS!$H:$H,"&lt;"&amp;$C$221)+SUM(SUMIFS(DEALS!$J:$J,DEALS!$A:$A,{"*REFUND*","*EXECUTED*"},DEALS!$G:$G,$B$219,DEALS!$E:$E,"&lt;"&amp;$C$221,DEALS!$K:$K,F$223,DEALS!$M:$M,$B235,DEALS!$N:$N,"&lt;&gt;*RECEIVED*",DEALS!$N:$N,"&lt;&gt;*EXECUTED*"))+SUM(SUMIFS(DEALS!$R:$R,DEALS!$A:$A,{"*REFUND*","*EXECUTED*"},DEALS!$O:$O,$B$219,DEALS!$E:$E,"&lt;"&amp;$C$221,DEALS!$S:$S,F$223,DEALS!$U:$U,$B235,DEALS!$V:$V,"&lt;&gt;*RECEIVED*",DEALS!$V:$V,"&lt;&gt;*EXECUTED*"))</f>
        <v>0</v>
      </c>
      <c r="G235" s="32" cm="1">
        <f t="array" ref="G235">SUMIFS(BALANCES!$C:$C,BALANCES!$A:$A,$B$219,BALANCES!$B:$B,$B235,BALANCES!$D:$D,G$223)+SUMIFS(FLOWS!$C:$C,FLOWS!$A:$A,$B$219,FLOWS!$E:$E,$B235,FLOWS!$D:$D,G$223,FLOWS!$H:$H,"&lt;"&amp;$C$221)+SUM(SUMIFS(DEALS!$J:$J,DEALS!$A:$A,{"*REFUND*","*EXECUTED*"},DEALS!$G:$G,$B$219,DEALS!$E:$E,"&lt;"&amp;$C$221,DEALS!$K:$K,G$223,DEALS!$M:$M,$B235,DEALS!$N:$N,"&lt;&gt;*RECEIVED*",DEALS!$N:$N,"&lt;&gt;*EXECUTED*"))+SUM(SUMIFS(DEALS!$R:$R,DEALS!$A:$A,{"*REFUND*","*EXECUTED*"},DEALS!$O:$O,$B$219,DEALS!$E:$E,"&lt;"&amp;$C$221,DEALS!$S:$S,G$223,DEALS!$U:$U,$B235,DEALS!$V:$V,"&lt;&gt;*RECEIVED*",DEALS!$V:$V,"&lt;&gt;*EXECUTED*"))</f>
        <v>0</v>
      </c>
      <c r="H235" s="32" cm="1">
        <f t="array" ref="H235">SUMIFS(BALANCES!$C:$C,BALANCES!$A:$A,$B$219,BALANCES!$B:$B,$B235,BALANCES!$D:$D,H$223)+SUMIFS(FLOWS!$C:$C,FLOWS!$A:$A,$B$219,FLOWS!$E:$E,$B235,FLOWS!$D:$D,H$223,FLOWS!$H:$H,"&lt;"&amp;$C$221)+SUM(SUMIFS(DEALS!$J:$J,DEALS!$A:$A,{"*REFUND*","*EXECUTED*"},DEALS!$G:$G,$B$219,DEALS!$E:$E,"&lt;"&amp;$C$221,DEALS!$K:$K,H$223,DEALS!$M:$M,$B235,DEALS!$N:$N,"&lt;&gt;*RECEIVED*",DEALS!$N:$N,"&lt;&gt;*EXECUTED*"))+SUM(SUMIFS(DEALS!$R:$R,DEALS!$A:$A,{"*REFUND*","*EXECUTED*"},DEALS!$O:$O,$B$219,DEALS!$E:$E,"&lt;"&amp;$C$221,DEALS!$S:$S,H$223,DEALS!$U:$U,$B235,DEALS!$V:$V,"&lt;&gt;*RECEIVED*",DEALS!$V:$V,"&lt;&gt;*EXECUTED*"))</f>
        <v>0</v>
      </c>
      <c r="I235" s="33">
        <f ca="1">C235*VLOOKUP(C$223,'FX RATES'!$E$1:$F$50,2,FALSE)+D235*VLOOKUP(D$223,'FX RATES'!$E$1:$F$50,2,FALSE)+E235*VLOOKUP(E$223,'FX RATES'!$E$1:$F$50,2,FALSE)+F235*VLOOKUP(F$223,'FX RATES'!$E$1:$F$50,2,FALSE)+G235*VLOOKUP(G$223,'FX RATES'!$E$1:$F$50,2,FALSE)+H235*VLOOKUP(H$223,'FX RATES'!$E$1:$F$50,2,FALSE)</f>
        <v>0</v>
      </c>
      <c r="K235" s="31">
        <f>B235</f>
        <v>0</v>
      </c>
      <c r="L235" s="32" cm="1">
        <f t="array" ref="L235">SUMIFS(FLOWS!$C:$C,FLOWS!$A:$A,$B$219,FLOWS!$E:$E,$K235,FLOWS!$D:$D,L$223,FLOWS!$H:$H,"&gt;="&amp;$C$221,FLOWS!$H:$H,"&lt;="&amp;$U$221)+SUM(SUMIFS(DEALS!$J:$J,DEALS!$A:$A,{"*REFUND*","*EXECUTED*"},DEALS!$G:$G,$B$219,DEALS!$E:$E,"&gt;="&amp;$C$221,DEALS!$E:$E,"&lt;="&amp;$U$221,DEALS!$K:$K,L$223,DEALS!$M:$M,$K235,DEALS!$N:$N,"&lt;&gt;*RECEIVED*",DEALS!$N:$N,"&lt;&gt;*EXECUTED*"))+SUM(SUMIFS(DEALS!$R:$R,DEALS!$A:$A,{"*REFUND*","*EXECUTED*"},DEALS!$O:$O,$B$219,DEALS!$E:$E,"&gt;="&amp;$C$221,DEALS!$E:$E,"&lt;="&amp;$U$221,DEALS!$S:$S,L$223,DEALS!$U:$U,$K235,DEALS!$V:$V,"&lt;&gt;*RECEIVED*",DEALS!$V:$V,"&lt;&gt;*EXECUTED*"))</f>
        <v>0</v>
      </c>
      <c r="M235" s="32" cm="1">
        <f t="array" ref="M235">SUMIFS(FLOWS!$C:$C,FLOWS!$A:$A,$B$219,FLOWS!$E:$E,$K235,FLOWS!$D:$D,M$223,FLOWS!$H:$H,"&gt;="&amp;$C$221,FLOWS!$H:$H,"&lt;="&amp;$U$221)+SUM(SUMIFS(DEALS!$J:$J,DEALS!$A:$A,{"*REFUND*","*EXECUTED*"},DEALS!$G:$G,$B$219,DEALS!$E:$E,"&gt;="&amp;$C$221,DEALS!$E:$E,"&lt;="&amp;$U$221,DEALS!$K:$K,M$223,DEALS!$M:$M,$K235,DEALS!$N:$N,"&lt;&gt;*RECEIVED*",DEALS!$N:$N,"&lt;&gt;*EXECUTED*"))+SUM(SUMIFS(DEALS!$R:$R,DEALS!$A:$A,{"*REFUND*","*EXECUTED*"},DEALS!$O:$O,$B$219,DEALS!$E:$E,"&gt;="&amp;$C$221,DEALS!$E:$E,"&lt;="&amp;$U$221,DEALS!$S:$S,M$223,DEALS!$U:$U,$K235,DEALS!$V:$V,"&lt;&gt;*RECEIVED*",DEALS!$V:$V,"&lt;&gt;*EXECUTED*"))</f>
        <v>0</v>
      </c>
      <c r="N235" s="32" cm="1">
        <f t="array" ref="N235">SUMIFS(FLOWS!$C:$C,FLOWS!$A:$A,$B$219,FLOWS!$E:$E,$K235,FLOWS!$D:$D,N$223,FLOWS!$H:$H,"&gt;="&amp;$C$221,FLOWS!$H:$H,"&lt;="&amp;$U$221)+SUM(SUMIFS(DEALS!$J:$J,DEALS!$A:$A,{"*REFUND*","*EXECUTED*"},DEALS!$G:$G,$B$219,DEALS!$E:$E,"&gt;="&amp;$C$221,DEALS!$E:$E,"&lt;="&amp;$U$221,DEALS!$K:$K,N$223,DEALS!$M:$M,$K235,DEALS!$N:$N,"&lt;&gt;*RECEIVED*",DEALS!$N:$N,"&lt;&gt;*EXECUTED*"))+SUM(SUMIFS(DEALS!$R:$R,DEALS!$A:$A,{"*REFUND*","*EXECUTED*"},DEALS!$O:$O,$B$219,DEALS!$E:$E,"&gt;="&amp;$C$221,DEALS!$E:$E,"&lt;="&amp;$U$221,DEALS!$S:$S,N$223,DEALS!$U:$U,$K235,DEALS!$V:$V,"&lt;&gt;*RECEIVED*",DEALS!$V:$V,"&lt;&gt;*EXECUTED*"))</f>
        <v>0</v>
      </c>
      <c r="O235" s="32" cm="1">
        <f t="array" ref="O235">SUMIFS(FLOWS!$C:$C,FLOWS!$A:$A,$B$219,FLOWS!$E:$E,$K235,FLOWS!$D:$D,O$223,FLOWS!$H:$H,"&gt;="&amp;$C$221,FLOWS!$H:$H,"&lt;="&amp;$U$221)+SUM(SUMIFS(DEALS!$J:$J,DEALS!$A:$A,{"*REFUND*","*EXECUTED*"},DEALS!$G:$G,$B$219,DEALS!$E:$E,"&gt;="&amp;$C$221,DEALS!$E:$E,"&lt;="&amp;$U$221,DEALS!$K:$K,O$223,DEALS!$M:$M,$K235,DEALS!$N:$N,"&lt;&gt;*RECEIVED*",DEALS!$N:$N,"&lt;&gt;*EXECUTED*"))+SUM(SUMIFS(DEALS!$R:$R,DEALS!$A:$A,{"*REFUND*","*EXECUTED*"},DEALS!$O:$O,$B$219,DEALS!$E:$E,"&gt;="&amp;$C$221,DEALS!$E:$E,"&lt;="&amp;$U$221,DEALS!$S:$S,O$223,DEALS!$U:$U,$K235,DEALS!$V:$V,"&lt;&gt;*RECEIVED*",DEALS!$V:$V,"&lt;&gt;*EXECUTED*"))</f>
        <v>0</v>
      </c>
      <c r="P235" s="32" cm="1">
        <f t="array" ref="P235">SUMIFS(FLOWS!$C:$C,FLOWS!$A:$A,$B$219,FLOWS!$E:$E,$K235,FLOWS!$D:$D,P$223,FLOWS!$H:$H,"&gt;="&amp;$C$221,FLOWS!$H:$H,"&lt;="&amp;$U$221)+SUM(SUMIFS(DEALS!$J:$J,DEALS!$A:$A,{"*REFUND*","*EXECUTED*"},DEALS!$G:$G,$B$219,DEALS!$E:$E,"&gt;="&amp;$C$221,DEALS!$E:$E,"&lt;="&amp;$U$221,DEALS!$K:$K,P$223,DEALS!$M:$M,$K235,DEALS!$N:$N,"&lt;&gt;*RECEIVED*",DEALS!$N:$N,"&lt;&gt;*EXECUTED*"))+SUM(SUMIFS(DEALS!$R:$R,DEALS!$A:$A,{"*REFUND*","*EXECUTED*"},DEALS!$O:$O,$B$219,DEALS!$E:$E,"&gt;="&amp;$C$221,DEALS!$E:$E,"&lt;="&amp;$U$221,DEALS!$S:$S,P$223,DEALS!$U:$U,$K235,DEALS!$V:$V,"&lt;&gt;*RECEIVED*",DEALS!$V:$V,"&lt;&gt;*EXECUTED*"))</f>
        <v>0</v>
      </c>
      <c r="Q235" s="32" cm="1">
        <f t="array" ref="Q235">SUMIFS(FLOWS!$C:$C,FLOWS!$A:$A,$B$219,FLOWS!$E:$E,$K235,FLOWS!$D:$D,Q$223,FLOWS!$H:$H,"&gt;="&amp;$C$221,FLOWS!$H:$H,"&lt;="&amp;$U$221)+SUM(SUMIFS(DEALS!$J:$J,DEALS!$A:$A,{"*REFUND*","*EXECUTED*"},DEALS!$G:$G,$B$219,DEALS!$E:$E,"&gt;="&amp;$C$221,DEALS!$E:$E,"&lt;="&amp;$U$221,DEALS!$K:$K,Q$223,DEALS!$M:$M,$K235,DEALS!$N:$N,"&lt;&gt;*RECEIVED*",DEALS!$N:$N,"&lt;&gt;*EXECUTED*"))+SUM(SUMIFS(DEALS!$R:$R,DEALS!$A:$A,{"*REFUND*","*EXECUTED*"},DEALS!$O:$O,$B$219,DEALS!$E:$E,"&gt;="&amp;$C$221,DEALS!$E:$E,"&lt;="&amp;$U$221,DEALS!$S:$S,Q$223,DEALS!$U:$U,$K235,DEALS!$V:$V,"&lt;&gt;*RECEIVED*",DEALS!$V:$V,"&lt;&gt;*EXECUTED*"))</f>
        <v>0</v>
      </c>
      <c r="R235" s="33">
        <f ca="1">L235*VLOOKUP(L$223,'FX RATES'!$E$1:$F$50,2,FALSE)+M235*VLOOKUP(M$223,'FX RATES'!$E$1:$F$50,2,FALSE)+N235*VLOOKUP(N$223,'FX RATES'!$E$1:$F$50,2,FALSE)+O235*VLOOKUP(O$223,'FX RATES'!$E$1:$F$50,2,FALSE)+P235*VLOOKUP(P$223,'FX RATES'!$E$1:$F$50,2,FALSE)+Q235*VLOOKUP(Q$223,'FX RATES'!$E$1:$F$50,2,FALSE)</f>
        <v>0</v>
      </c>
      <c r="T235" s="31">
        <f>B235</f>
        <v>0</v>
      </c>
      <c r="U235" s="32" cm="1">
        <f t="array" ref="U235">SUMIFS(BALANCES!$C:$C,BALANCES!$A:$A,$B$219,BALANCES!$B:$B,$T235,BALANCES!$D:$D,U$223)+SUMIFS(FLOWS!$C:$C,FLOWS!$A:$A,$B$219,FLOWS!$E:$E,$T235,FLOWS!$D:$D,U$223,FLOWS!$H:$H,"&lt;="&amp;$U$221)+SUM(SUMIFS(DEALS!$J:$J,DEALS!$A:$A,{"*REFUND*","*EXECUTED*"},DEALS!$G:$G,$B$219,DEALS!$E:$E,"&lt;="&amp;$U$221,DEALS!$K:$K,U$223,DEALS!$M:$M,$T235,DEALS!$N:$N,"&lt;&gt;*RECEIVED*",DEALS!$N:$N,"&lt;&gt;*EXECUTED*"))+SUM(SUMIFS(DEALS!$R:$R,DEALS!$A:$A,{"*REFUND*","*EXECUTED*"},DEALS!$O:$O,$B$219,DEALS!$E:$E,"&lt;="&amp;$U$221,DEALS!$S:$S,U$223,DEALS!$U:$U,$T235,DEALS!$V:$V,"&lt;&gt;*RECEIVED*",DEALS!$V:$V,"&lt;&gt;*EXECUTED*"))</f>
        <v>0</v>
      </c>
      <c r="V235" s="32" cm="1">
        <f t="array" ref="V235">SUMIFS(BALANCES!$C:$C,BALANCES!$A:$A,$B$219,BALANCES!$B:$B,$T235,BALANCES!$D:$D,V$223)+SUMIFS(FLOWS!$C:$C,FLOWS!$A:$A,$B$219,FLOWS!$E:$E,$T235,FLOWS!$D:$D,V$223,FLOWS!$H:$H,"&lt;="&amp;$U$221)+SUM(SUMIFS(DEALS!$J:$J,DEALS!$A:$A,{"*REFUND*","*EXECUTED*"},DEALS!$G:$G,$B$219,DEALS!$E:$E,"&lt;="&amp;$U$221,DEALS!$K:$K,V$223,DEALS!$M:$M,$T235,DEALS!$N:$N,"&lt;&gt;*RECEIVED*",DEALS!$N:$N,"&lt;&gt;*EXECUTED*"))+SUM(SUMIFS(DEALS!$R:$R,DEALS!$A:$A,{"*REFUND*","*EXECUTED*"},DEALS!$O:$O,$B$219,DEALS!$E:$E,"&lt;="&amp;$U$221,DEALS!$S:$S,V$223,DEALS!$U:$U,$T235,DEALS!$V:$V,"&lt;&gt;*RECEIVED*",DEALS!$V:$V,"&lt;&gt;*EXECUTED*"))</f>
        <v>0</v>
      </c>
      <c r="W235" s="32" cm="1">
        <f t="array" ref="W235">SUMIFS(BALANCES!$C:$C,BALANCES!$A:$A,$B$219,BALANCES!$B:$B,$T235,BALANCES!$D:$D,W$223)+SUMIFS(FLOWS!$C:$C,FLOWS!$A:$A,$B$219,FLOWS!$E:$E,$T235,FLOWS!$D:$D,W$223,FLOWS!$H:$H,"&lt;="&amp;$U$221)+SUM(SUMIFS(DEALS!$J:$J,DEALS!$A:$A,{"*REFUND*","*EXECUTED*"},DEALS!$G:$G,$B$219,DEALS!$E:$E,"&lt;="&amp;$U$221,DEALS!$K:$K,W$223,DEALS!$M:$M,$T235,DEALS!$N:$N,"&lt;&gt;*RECEIVED*",DEALS!$N:$N,"&lt;&gt;*EXECUTED*"))+SUM(SUMIFS(DEALS!$R:$R,DEALS!$A:$A,{"*REFUND*","*EXECUTED*"},DEALS!$O:$O,$B$219,DEALS!$E:$E,"&lt;="&amp;$U$221,DEALS!$S:$S,W$223,DEALS!$U:$U,$T235,DEALS!$V:$V,"&lt;&gt;*RECEIVED*",DEALS!$V:$V,"&lt;&gt;*EXECUTED*"))</f>
        <v>0</v>
      </c>
      <c r="X235" s="32" cm="1">
        <f t="array" ref="X235">SUMIFS(BALANCES!$C:$C,BALANCES!$A:$A,$B$219,BALANCES!$B:$B,$T235,BALANCES!$D:$D,X$223)+SUMIFS(FLOWS!$C:$C,FLOWS!$A:$A,$B$219,FLOWS!$E:$E,$T235,FLOWS!$D:$D,X$223,FLOWS!$H:$H,"&lt;="&amp;$U$221)+SUM(SUMIFS(DEALS!$J:$J,DEALS!$A:$A,{"*REFUND*","*EXECUTED*"},DEALS!$G:$G,$B$219,DEALS!$E:$E,"&lt;="&amp;$U$221,DEALS!$K:$K,X$223,DEALS!$M:$M,$T235,DEALS!$N:$N,"&lt;&gt;*RECEIVED*",DEALS!$N:$N,"&lt;&gt;*EXECUTED*"))+SUM(SUMIFS(DEALS!$R:$R,DEALS!$A:$A,{"*REFUND*","*EXECUTED*"},DEALS!$O:$O,$B$219,DEALS!$E:$E,"&lt;="&amp;$U$221,DEALS!$S:$S,X$223,DEALS!$U:$U,$T235,DEALS!$V:$V,"&lt;&gt;*RECEIVED*",DEALS!$V:$V,"&lt;&gt;*EXECUTED*"))</f>
        <v>0</v>
      </c>
      <c r="Y235" s="32" cm="1">
        <f t="array" ref="Y235">SUMIFS(BALANCES!$C:$C,BALANCES!$A:$A,$B$219,BALANCES!$B:$B,$T235,BALANCES!$D:$D,Y$223)+SUMIFS(FLOWS!$C:$C,FLOWS!$A:$A,$B$219,FLOWS!$E:$E,$T235,FLOWS!$D:$D,Y$223,FLOWS!$H:$H,"&lt;="&amp;$U$221)+SUM(SUMIFS(DEALS!$J:$J,DEALS!$A:$A,{"*REFUND*","*EXECUTED*"},DEALS!$G:$G,$B$219,DEALS!$E:$E,"&lt;="&amp;$U$221,DEALS!$K:$K,Y$223,DEALS!$M:$M,$T235,DEALS!$N:$N,"&lt;&gt;*RECEIVED*",DEALS!$N:$N,"&lt;&gt;*EXECUTED*"))+SUM(SUMIFS(DEALS!$R:$R,DEALS!$A:$A,{"*REFUND*","*EXECUTED*"},DEALS!$O:$O,$B$219,DEALS!$E:$E,"&lt;="&amp;$U$221,DEALS!$S:$S,Y$223,DEALS!$U:$U,$T235,DEALS!$V:$V,"&lt;&gt;*RECEIVED*",DEALS!$V:$V,"&lt;&gt;*EXECUTED*"))</f>
        <v>0</v>
      </c>
      <c r="Z235" s="32" cm="1">
        <f t="array" ref="Z235">SUMIFS(BALANCES!$C:$C,BALANCES!$A:$A,$B$219,BALANCES!$B:$B,$T235,BALANCES!$D:$D,Z$223)+SUMIFS(FLOWS!$C:$C,FLOWS!$A:$A,$B$219,FLOWS!$E:$E,$T235,FLOWS!$D:$D,Z$223,FLOWS!$H:$H,"&lt;="&amp;$U$221)+SUM(SUMIFS(DEALS!$J:$J,DEALS!$A:$A,{"*REFUND*","*EXECUTED*"},DEALS!$G:$G,$B$219,DEALS!$E:$E,"&lt;="&amp;$U$221,DEALS!$K:$K,Z$223,DEALS!$M:$M,$T235,DEALS!$N:$N,"&lt;&gt;*RECEIVED*",DEALS!$N:$N,"&lt;&gt;*EXECUTED*"))+SUM(SUMIFS(DEALS!$R:$R,DEALS!$A:$A,{"*REFUND*","*EXECUTED*"},DEALS!$O:$O,$B$219,DEALS!$E:$E,"&lt;="&amp;$U$221,DEALS!$S:$S,Z$223,DEALS!$U:$U,$T235,DEALS!$V:$V,"&lt;&gt;*RECEIVED*",DEALS!$V:$V,"&lt;&gt;*EXECUTED*"))</f>
        <v>0</v>
      </c>
      <c r="AA235" s="33">
        <f ca="1">U235*VLOOKUP(U$223,'FX RATES'!$E$1:$F$50,2,FALSE)+V235*VLOOKUP(V$223,'FX RATES'!$E$1:$F$50,2,FALSE)+W235*VLOOKUP(W$223,'FX RATES'!$E$1:$F$50,2,FALSE)+X235*VLOOKUP(X$223,'FX RATES'!$E$1:$F$50,2,FALSE)+Y235*VLOOKUP(Y$223,'FX RATES'!$E$1:$F$50,2,FALSE)+Z235*VLOOKUP(Z$223,'FX RATES'!$E$1:$F$50,2,FALSE)</f>
        <v>0</v>
      </c>
      <c r="AC235" s="139">
        <f ca="1">I235+R235-AA235</f>
        <v>0</v>
      </c>
    </row>
    <row r="236" spans="2:29" ht="18.75" hidden="1" customHeight="1">
      <c r="B236" s="28"/>
      <c r="C236" s="29" cm="1">
        <f t="array" ref="C236">SUMIFS(BALANCES!$C:$C,BALANCES!$A:$A,$B$219,BALANCES!$B:$B,$B236,BALANCES!$D:$D,C$223)+SUMIFS(FLOWS!$C:$C,FLOWS!$A:$A,$B$219,FLOWS!$E:$E,$B236,FLOWS!$D:$D,C$223,FLOWS!$H:$H,"&lt;"&amp;$C$221)+SUM(SUMIFS(DEALS!$J:$J,DEALS!$A:$A,{"*REFUND*","*EXECUTED*"},DEALS!$G:$G,$B$219,DEALS!$E:$E,"&lt;"&amp;$C$221,DEALS!$K:$K,C$223,DEALS!$M:$M,$B236,DEALS!$N:$N,"&lt;&gt;*RECEIVED*",DEALS!$N:$N,"&lt;&gt;*EXECUTED*"))+SUM(SUMIFS(DEALS!$R:$R,DEALS!$A:$A,{"*REFUND*","*EXECUTED*"},DEALS!$O:$O,$B$219,DEALS!$E:$E,"&lt;"&amp;$C$221,DEALS!$S:$S,C$223,DEALS!$U:$U,$B236,DEALS!$V:$V,"&lt;&gt;*RECEIVED*",DEALS!$V:$V,"&lt;&gt;*EXECUTED*"))</f>
        <v>0</v>
      </c>
      <c r="D236" s="29" cm="1">
        <f t="array" ref="D236">SUMIFS(BALANCES!$C:$C,BALANCES!$A:$A,$B$219,BALANCES!$B:$B,$B236,BALANCES!$D:$D,D$223)+SUMIFS(FLOWS!$C:$C,FLOWS!$A:$A,$B$219,FLOWS!$E:$E,$B236,FLOWS!$D:$D,D$223,FLOWS!$H:$H,"&lt;"&amp;$C$221)+SUM(SUMIFS(DEALS!$J:$J,DEALS!$A:$A,{"*REFUND*","*EXECUTED*"},DEALS!$G:$G,$B$219,DEALS!$E:$E,"&lt;"&amp;$C$221,DEALS!$K:$K,D$223,DEALS!$M:$M,$B236,DEALS!$N:$N,"&lt;&gt;*RECEIVED*",DEALS!$N:$N,"&lt;&gt;*EXECUTED*"))+SUM(SUMIFS(DEALS!$R:$R,DEALS!$A:$A,{"*REFUND*","*EXECUTED*"},DEALS!$O:$O,$B$219,DEALS!$E:$E,"&lt;"&amp;$C$221,DEALS!$S:$S,D$223,DEALS!$U:$U,$B236,DEALS!$V:$V,"&lt;&gt;*RECEIVED*",DEALS!$V:$V,"&lt;&gt;*EXECUTED*"))</f>
        <v>0</v>
      </c>
      <c r="E236" s="29" cm="1">
        <f t="array" ref="E236">SUMIFS(BALANCES!$C:$C,BALANCES!$A:$A,$B$219,BALANCES!$B:$B,$B236,BALANCES!$D:$D,E$223)+SUMIFS(FLOWS!$C:$C,FLOWS!$A:$A,$B$219,FLOWS!$E:$E,$B236,FLOWS!$D:$D,E$223,FLOWS!$H:$H,"&lt;"&amp;$C$221)+SUM(SUMIFS(DEALS!$J:$J,DEALS!$A:$A,{"*REFUND*","*EXECUTED*"},DEALS!$G:$G,$B$219,DEALS!$E:$E,"&lt;"&amp;$C$221,DEALS!$K:$K,E$223,DEALS!$M:$M,$B236,DEALS!$N:$N,"&lt;&gt;*RECEIVED*",DEALS!$N:$N,"&lt;&gt;*EXECUTED*"))+SUM(SUMIFS(DEALS!$R:$R,DEALS!$A:$A,{"*REFUND*","*EXECUTED*"},DEALS!$O:$O,$B$219,DEALS!$E:$E,"&lt;"&amp;$C$221,DEALS!$S:$S,E$223,DEALS!$U:$U,$B236,DEALS!$V:$V,"&lt;&gt;*RECEIVED*",DEALS!$V:$V,"&lt;&gt;*EXECUTED*"))</f>
        <v>0</v>
      </c>
      <c r="F236" s="29" cm="1">
        <f t="array" ref="F236">SUMIFS(BALANCES!$C:$C,BALANCES!$A:$A,$B$219,BALANCES!$B:$B,$B236,BALANCES!$D:$D,F$223)+SUMIFS(FLOWS!$C:$C,FLOWS!$A:$A,$B$219,FLOWS!$E:$E,$B236,FLOWS!$D:$D,F$223,FLOWS!$H:$H,"&lt;"&amp;$C$221)+SUM(SUMIFS(DEALS!$J:$J,DEALS!$A:$A,{"*REFUND*","*EXECUTED*"},DEALS!$G:$G,$B$219,DEALS!$E:$E,"&lt;"&amp;$C$221,DEALS!$K:$K,F$223,DEALS!$M:$M,$B236,DEALS!$N:$N,"&lt;&gt;*RECEIVED*",DEALS!$N:$N,"&lt;&gt;*EXECUTED*"))+SUM(SUMIFS(DEALS!$R:$R,DEALS!$A:$A,{"*REFUND*","*EXECUTED*"},DEALS!$O:$O,$B$219,DEALS!$E:$E,"&lt;"&amp;$C$221,DEALS!$S:$S,F$223,DEALS!$U:$U,$B236,DEALS!$V:$V,"&lt;&gt;*RECEIVED*",DEALS!$V:$V,"&lt;&gt;*EXECUTED*"))</f>
        <v>0</v>
      </c>
      <c r="G236" s="29" cm="1">
        <f t="array" ref="G236">SUMIFS(BALANCES!$C:$C,BALANCES!$A:$A,$B$219,BALANCES!$B:$B,$B236,BALANCES!$D:$D,G$223)+SUMIFS(FLOWS!$C:$C,FLOWS!$A:$A,$B$219,FLOWS!$E:$E,$B236,FLOWS!$D:$D,G$223,FLOWS!$H:$H,"&lt;"&amp;$C$221)+SUM(SUMIFS(DEALS!$J:$J,DEALS!$A:$A,{"*REFUND*","*EXECUTED*"},DEALS!$G:$G,$B$219,DEALS!$E:$E,"&lt;"&amp;$C$221,DEALS!$K:$K,G$223,DEALS!$M:$M,$B236,DEALS!$N:$N,"&lt;&gt;*RECEIVED*",DEALS!$N:$N,"&lt;&gt;*EXECUTED*"))+SUM(SUMIFS(DEALS!$R:$R,DEALS!$A:$A,{"*REFUND*","*EXECUTED*"},DEALS!$O:$O,$B$219,DEALS!$E:$E,"&lt;"&amp;$C$221,DEALS!$S:$S,G$223,DEALS!$U:$U,$B236,DEALS!$V:$V,"&lt;&gt;*RECEIVED*",DEALS!$V:$V,"&lt;&gt;*EXECUTED*"))</f>
        <v>0</v>
      </c>
      <c r="H236" s="29" cm="1">
        <f t="array" ref="H236">SUMIFS(BALANCES!$C:$C,BALANCES!$A:$A,$B$219,BALANCES!$B:$B,$B236,BALANCES!$D:$D,H$223)+SUMIFS(FLOWS!$C:$C,FLOWS!$A:$A,$B$219,FLOWS!$E:$E,$B236,FLOWS!$D:$D,H$223,FLOWS!$H:$H,"&lt;"&amp;$C$221)+SUM(SUMIFS(DEALS!$J:$J,DEALS!$A:$A,{"*REFUND*","*EXECUTED*"},DEALS!$G:$G,$B$219,DEALS!$E:$E,"&lt;"&amp;$C$221,DEALS!$K:$K,H$223,DEALS!$M:$M,$B236,DEALS!$N:$N,"&lt;&gt;*RECEIVED*",DEALS!$N:$N,"&lt;&gt;*EXECUTED*"))+SUM(SUMIFS(DEALS!$R:$R,DEALS!$A:$A,{"*REFUND*","*EXECUTED*"},DEALS!$O:$O,$B$219,DEALS!$E:$E,"&lt;"&amp;$C$221,DEALS!$S:$S,H$223,DEALS!$U:$U,$B236,DEALS!$V:$V,"&lt;&gt;*RECEIVED*",DEALS!$V:$V,"&lt;&gt;*EXECUTED*"))</f>
        <v>0</v>
      </c>
      <c r="I236" s="30">
        <f ca="1">C236*VLOOKUP(C$223,'FX RATES'!$E$1:$F$50,2,FALSE)+D236*VLOOKUP(D$223,'FX RATES'!$E$1:$F$50,2,FALSE)+E236*VLOOKUP(E$223,'FX RATES'!$E$1:$F$50,2,FALSE)+F236*VLOOKUP(F$223,'FX RATES'!$E$1:$F$50,2,FALSE)+G236*VLOOKUP(G$223,'FX RATES'!$E$1:$F$50,2,FALSE)+H236*VLOOKUP(H$223,'FX RATES'!$E$1:$F$50,2,FALSE)</f>
        <v>0</v>
      </c>
      <c r="J236" s="18"/>
      <c r="K236" s="28">
        <f t="shared" si="85"/>
        <v>0</v>
      </c>
      <c r="L236" s="29" cm="1">
        <f t="array" ref="L236">SUMIFS(FLOWS!$C:$C,FLOWS!$A:$A,$B$219,FLOWS!$E:$E,$K236,FLOWS!$D:$D,L$223,FLOWS!$H:$H,"&gt;="&amp;$C$221,FLOWS!$H:$H,"&lt;="&amp;$U$221)+SUM(SUMIFS(DEALS!$J:$J,DEALS!$A:$A,{"*REFUND*","*EXECUTED*"},DEALS!$G:$G,$B$219,DEALS!$E:$E,"&gt;="&amp;$C$221,DEALS!$E:$E,"&lt;="&amp;$U$221,DEALS!$K:$K,L$223,DEALS!$M:$M,$K236,DEALS!$N:$N,"&lt;&gt;*RECEIVED*",DEALS!$N:$N,"&lt;&gt;*EXECUTED*"))+SUM(SUMIFS(DEALS!$R:$R,DEALS!$A:$A,{"*REFUND*","*EXECUTED*"},DEALS!$O:$O,$B$219,DEALS!$E:$E,"&gt;="&amp;$C$221,DEALS!$E:$E,"&lt;="&amp;$U$221,DEALS!$S:$S,L$223,DEALS!$U:$U,$K236,DEALS!$V:$V,"&lt;&gt;*RECEIVED*",DEALS!$V:$V,"&lt;&gt;*EXECUTED*"))</f>
        <v>0</v>
      </c>
      <c r="M236" s="29" cm="1">
        <f t="array" ref="M236">SUMIFS(FLOWS!$C:$C,FLOWS!$A:$A,$B$219,FLOWS!$E:$E,$K236,FLOWS!$D:$D,M$223,FLOWS!$H:$H,"&gt;="&amp;$C$221,FLOWS!$H:$H,"&lt;="&amp;$U$221)+SUM(SUMIFS(DEALS!$J:$J,DEALS!$A:$A,{"*REFUND*","*EXECUTED*"},DEALS!$G:$G,$B$219,DEALS!$E:$E,"&gt;="&amp;$C$221,DEALS!$E:$E,"&lt;="&amp;$U$221,DEALS!$K:$K,M$223,DEALS!$M:$M,$K236,DEALS!$N:$N,"&lt;&gt;*RECEIVED*",DEALS!$N:$N,"&lt;&gt;*EXECUTED*"))+SUM(SUMIFS(DEALS!$R:$R,DEALS!$A:$A,{"*REFUND*","*EXECUTED*"},DEALS!$O:$O,$B$219,DEALS!$E:$E,"&gt;="&amp;$C$221,DEALS!$E:$E,"&lt;="&amp;$U$221,DEALS!$S:$S,M$223,DEALS!$U:$U,$K236,DEALS!$V:$V,"&lt;&gt;*RECEIVED*",DEALS!$V:$V,"&lt;&gt;*EXECUTED*"))</f>
        <v>0</v>
      </c>
      <c r="N236" s="29" cm="1">
        <f t="array" ref="N236">SUMIFS(FLOWS!$C:$C,FLOWS!$A:$A,$B$219,FLOWS!$E:$E,$K236,FLOWS!$D:$D,N$223,FLOWS!$H:$H,"&gt;="&amp;$C$221,FLOWS!$H:$H,"&lt;="&amp;$U$221)+SUM(SUMIFS(DEALS!$J:$J,DEALS!$A:$A,{"*REFUND*","*EXECUTED*"},DEALS!$G:$G,$B$219,DEALS!$E:$E,"&gt;="&amp;$C$221,DEALS!$E:$E,"&lt;="&amp;$U$221,DEALS!$K:$K,N$223,DEALS!$M:$M,$K236,DEALS!$N:$N,"&lt;&gt;*RECEIVED*",DEALS!$N:$N,"&lt;&gt;*EXECUTED*"))+SUM(SUMIFS(DEALS!$R:$R,DEALS!$A:$A,{"*REFUND*","*EXECUTED*"},DEALS!$O:$O,$B$219,DEALS!$E:$E,"&gt;="&amp;$C$221,DEALS!$E:$E,"&lt;="&amp;$U$221,DEALS!$S:$S,N$223,DEALS!$U:$U,$K236,DEALS!$V:$V,"&lt;&gt;*RECEIVED*",DEALS!$V:$V,"&lt;&gt;*EXECUTED*"))</f>
        <v>0</v>
      </c>
      <c r="O236" s="29" cm="1">
        <f t="array" ref="O236">SUMIFS(FLOWS!$C:$C,FLOWS!$A:$A,$B$219,FLOWS!$E:$E,$K236,FLOWS!$D:$D,O$223,FLOWS!$H:$H,"&gt;="&amp;$C$221,FLOWS!$H:$H,"&lt;="&amp;$U$221)+SUM(SUMIFS(DEALS!$J:$J,DEALS!$A:$A,{"*REFUND*","*EXECUTED*"},DEALS!$G:$G,$B$219,DEALS!$E:$E,"&gt;="&amp;$C$221,DEALS!$E:$E,"&lt;="&amp;$U$221,DEALS!$K:$K,O$223,DEALS!$M:$M,$K236,DEALS!$N:$N,"&lt;&gt;*RECEIVED*",DEALS!$N:$N,"&lt;&gt;*EXECUTED*"))+SUM(SUMIFS(DEALS!$R:$R,DEALS!$A:$A,{"*REFUND*","*EXECUTED*"},DEALS!$O:$O,$B$219,DEALS!$E:$E,"&gt;="&amp;$C$221,DEALS!$E:$E,"&lt;="&amp;$U$221,DEALS!$S:$S,O$223,DEALS!$U:$U,$K236,DEALS!$V:$V,"&lt;&gt;*RECEIVED*",DEALS!$V:$V,"&lt;&gt;*EXECUTED*"))</f>
        <v>0</v>
      </c>
      <c r="P236" s="29" cm="1">
        <f t="array" ref="P236">SUMIFS(FLOWS!$C:$C,FLOWS!$A:$A,$B$219,FLOWS!$E:$E,$K236,FLOWS!$D:$D,P$223,FLOWS!$H:$H,"&gt;="&amp;$C$221,FLOWS!$H:$H,"&lt;="&amp;$U$221)+SUM(SUMIFS(DEALS!$J:$J,DEALS!$A:$A,{"*REFUND*","*EXECUTED*"},DEALS!$G:$G,$B$219,DEALS!$E:$E,"&gt;="&amp;$C$221,DEALS!$E:$E,"&lt;="&amp;$U$221,DEALS!$K:$K,P$223,DEALS!$M:$M,$K236,DEALS!$N:$N,"&lt;&gt;*RECEIVED*",DEALS!$N:$N,"&lt;&gt;*EXECUTED*"))+SUM(SUMIFS(DEALS!$R:$R,DEALS!$A:$A,{"*REFUND*","*EXECUTED*"},DEALS!$O:$O,$B$219,DEALS!$E:$E,"&gt;="&amp;$C$221,DEALS!$E:$E,"&lt;="&amp;$U$221,DEALS!$S:$S,P$223,DEALS!$U:$U,$K236,DEALS!$V:$V,"&lt;&gt;*RECEIVED*",DEALS!$V:$V,"&lt;&gt;*EXECUTED*"))</f>
        <v>0</v>
      </c>
      <c r="Q236" s="29" cm="1">
        <f t="array" ref="Q236">SUMIFS(FLOWS!$C:$C,FLOWS!$A:$A,$B$219,FLOWS!$E:$E,$K236,FLOWS!$D:$D,Q$223,FLOWS!$H:$H,"&gt;="&amp;$C$221,FLOWS!$H:$H,"&lt;="&amp;$U$221)+SUM(SUMIFS(DEALS!$J:$J,DEALS!$A:$A,{"*REFUND*","*EXECUTED*"},DEALS!$G:$G,$B$219,DEALS!$E:$E,"&gt;="&amp;$C$221,DEALS!$E:$E,"&lt;="&amp;$U$221,DEALS!$K:$K,Q$223,DEALS!$M:$M,$K236,DEALS!$N:$N,"&lt;&gt;*RECEIVED*",DEALS!$N:$N,"&lt;&gt;*EXECUTED*"))+SUM(SUMIFS(DEALS!$R:$R,DEALS!$A:$A,{"*REFUND*","*EXECUTED*"},DEALS!$O:$O,$B$219,DEALS!$E:$E,"&gt;="&amp;$C$221,DEALS!$E:$E,"&lt;="&amp;$U$221,DEALS!$S:$S,Q$223,DEALS!$U:$U,$K236,DEALS!$V:$V,"&lt;&gt;*RECEIVED*",DEALS!$V:$V,"&lt;&gt;*EXECUTED*"))</f>
        <v>0</v>
      </c>
      <c r="R236" s="30">
        <f ca="1">L236*VLOOKUP(L$223,'FX RATES'!$E$1:$F$50,2,FALSE)+M236*VLOOKUP(M$223,'FX RATES'!$E$1:$F$50,2,FALSE)+N236*VLOOKUP(N$223,'FX RATES'!$E$1:$F$50,2,FALSE)+O236*VLOOKUP(O$223,'FX RATES'!$E$1:$F$50,2,FALSE)+P236*VLOOKUP(P$223,'FX RATES'!$E$1:$F$50,2,FALSE)+Q236*VLOOKUP(Q$223,'FX RATES'!$E$1:$F$50,2,FALSE)</f>
        <v>0</v>
      </c>
      <c r="T236" s="28">
        <f t="shared" si="86"/>
        <v>0</v>
      </c>
      <c r="U236" s="29" cm="1">
        <f t="array" ref="U236">SUMIFS(BALANCES!$C:$C,BALANCES!$A:$A,$B$219,BALANCES!$B:$B,$T236,BALANCES!$D:$D,U$223)+SUMIFS(FLOWS!$C:$C,FLOWS!$A:$A,$B$219,FLOWS!$E:$E,$T236,FLOWS!$D:$D,U$223,FLOWS!$H:$H,"&lt;="&amp;$U$221)+SUM(SUMIFS(DEALS!$J:$J,DEALS!$A:$A,{"*REFUND*","*EXECUTED*"},DEALS!$G:$G,$B$219,DEALS!$E:$E,"&lt;="&amp;$U$221,DEALS!$K:$K,U$223,DEALS!$M:$M,$T236,DEALS!$N:$N,"&lt;&gt;*RECEIVED*",DEALS!$N:$N,"&lt;&gt;*EXECUTED*"))+SUM(SUMIFS(DEALS!$R:$R,DEALS!$A:$A,{"*REFUND*","*EXECUTED*"},DEALS!$O:$O,$B$219,DEALS!$E:$E,"&lt;="&amp;$U$221,DEALS!$S:$S,U$223,DEALS!$U:$U,$T236,DEALS!$V:$V,"&lt;&gt;*RECEIVED*",DEALS!$V:$V,"&lt;&gt;*EXECUTED*"))</f>
        <v>0</v>
      </c>
      <c r="V236" s="29" cm="1">
        <f t="array" ref="V236">SUMIFS(BALANCES!$C:$C,BALANCES!$A:$A,$B$219,BALANCES!$B:$B,$T236,BALANCES!$D:$D,V$223)+SUMIFS(FLOWS!$C:$C,FLOWS!$A:$A,$B$219,FLOWS!$E:$E,$T236,FLOWS!$D:$D,V$223,FLOWS!$H:$H,"&lt;="&amp;$U$221)+SUM(SUMIFS(DEALS!$J:$J,DEALS!$A:$A,{"*REFUND*","*EXECUTED*"},DEALS!$G:$G,$B$219,DEALS!$E:$E,"&lt;="&amp;$U$221,DEALS!$K:$K,V$223,DEALS!$M:$M,$T236,DEALS!$N:$N,"&lt;&gt;*RECEIVED*",DEALS!$N:$N,"&lt;&gt;*EXECUTED*"))+SUM(SUMIFS(DEALS!$R:$R,DEALS!$A:$A,{"*REFUND*","*EXECUTED*"},DEALS!$O:$O,$B$219,DEALS!$E:$E,"&lt;="&amp;$U$221,DEALS!$S:$S,V$223,DEALS!$U:$U,$T236,DEALS!$V:$V,"&lt;&gt;*RECEIVED*",DEALS!$V:$V,"&lt;&gt;*EXECUTED*"))</f>
        <v>0</v>
      </c>
      <c r="W236" s="29" cm="1">
        <f t="array" ref="W236">SUMIFS(BALANCES!$C:$C,BALANCES!$A:$A,$B$219,BALANCES!$B:$B,$T236,BALANCES!$D:$D,W$223)+SUMIFS(FLOWS!$C:$C,FLOWS!$A:$A,$B$219,FLOWS!$E:$E,$T236,FLOWS!$D:$D,W$223,FLOWS!$H:$H,"&lt;="&amp;$U$221)+SUM(SUMIFS(DEALS!$J:$J,DEALS!$A:$A,{"*REFUND*","*EXECUTED*"},DEALS!$G:$G,$B$219,DEALS!$E:$E,"&lt;="&amp;$U$221,DEALS!$K:$K,W$223,DEALS!$M:$M,$T236,DEALS!$N:$N,"&lt;&gt;*RECEIVED*",DEALS!$N:$N,"&lt;&gt;*EXECUTED*"))+SUM(SUMIFS(DEALS!$R:$R,DEALS!$A:$A,{"*REFUND*","*EXECUTED*"},DEALS!$O:$O,$B$219,DEALS!$E:$E,"&lt;="&amp;$U$221,DEALS!$S:$S,W$223,DEALS!$U:$U,$T236,DEALS!$V:$V,"&lt;&gt;*RECEIVED*",DEALS!$V:$V,"&lt;&gt;*EXECUTED*"))</f>
        <v>0</v>
      </c>
      <c r="X236" s="29" cm="1">
        <f t="array" ref="X236">SUMIFS(BALANCES!$C:$C,BALANCES!$A:$A,$B$219,BALANCES!$B:$B,$T236,BALANCES!$D:$D,X$223)+SUMIFS(FLOWS!$C:$C,FLOWS!$A:$A,$B$219,FLOWS!$E:$E,$T236,FLOWS!$D:$D,X$223,FLOWS!$H:$H,"&lt;="&amp;$U$221)+SUM(SUMIFS(DEALS!$J:$J,DEALS!$A:$A,{"*REFUND*","*EXECUTED*"},DEALS!$G:$G,$B$219,DEALS!$E:$E,"&lt;="&amp;$U$221,DEALS!$K:$K,X$223,DEALS!$M:$M,$T236,DEALS!$N:$N,"&lt;&gt;*RECEIVED*",DEALS!$N:$N,"&lt;&gt;*EXECUTED*"))+SUM(SUMIFS(DEALS!$R:$R,DEALS!$A:$A,{"*REFUND*","*EXECUTED*"},DEALS!$O:$O,$B$219,DEALS!$E:$E,"&lt;="&amp;$U$221,DEALS!$S:$S,X$223,DEALS!$U:$U,$T236,DEALS!$V:$V,"&lt;&gt;*RECEIVED*",DEALS!$V:$V,"&lt;&gt;*EXECUTED*"))</f>
        <v>0</v>
      </c>
      <c r="Y236" s="29" cm="1">
        <f t="array" ref="Y236">SUMIFS(BALANCES!$C:$C,BALANCES!$A:$A,$B$219,BALANCES!$B:$B,$T236,BALANCES!$D:$D,Y$223)+SUMIFS(FLOWS!$C:$C,FLOWS!$A:$A,$B$219,FLOWS!$E:$E,$T236,FLOWS!$D:$D,Y$223,FLOWS!$H:$H,"&lt;="&amp;$U$221)+SUM(SUMIFS(DEALS!$J:$J,DEALS!$A:$A,{"*REFUND*","*EXECUTED*"},DEALS!$G:$G,$B$219,DEALS!$E:$E,"&lt;="&amp;$U$221,DEALS!$K:$K,Y$223,DEALS!$M:$M,$T236,DEALS!$N:$N,"&lt;&gt;*RECEIVED*",DEALS!$N:$N,"&lt;&gt;*EXECUTED*"))+SUM(SUMIFS(DEALS!$R:$R,DEALS!$A:$A,{"*REFUND*","*EXECUTED*"},DEALS!$O:$O,$B$219,DEALS!$E:$E,"&lt;="&amp;$U$221,DEALS!$S:$S,Y$223,DEALS!$U:$U,$T236,DEALS!$V:$V,"&lt;&gt;*RECEIVED*",DEALS!$V:$V,"&lt;&gt;*EXECUTED*"))</f>
        <v>0</v>
      </c>
      <c r="Z236" s="29" cm="1">
        <f t="array" ref="Z236">SUMIFS(BALANCES!$C:$C,BALANCES!$A:$A,$B$219,BALANCES!$B:$B,$T236,BALANCES!$D:$D,Z$223)+SUMIFS(FLOWS!$C:$C,FLOWS!$A:$A,$B$219,FLOWS!$E:$E,$T236,FLOWS!$D:$D,Z$223,FLOWS!$H:$H,"&lt;="&amp;$U$221)+SUM(SUMIFS(DEALS!$J:$J,DEALS!$A:$A,{"*REFUND*","*EXECUTED*"},DEALS!$G:$G,$B$219,DEALS!$E:$E,"&lt;="&amp;$U$221,DEALS!$K:$K,Z$223,DEALS!$M:$M,$T236,DEALS!$N:$N,"&lt;&gt;*RECEIVED*",DEALS!$N:$N,"&lt;&gt;*EXECUTED*"))+SUM(SUMIFS(DEALS!$R:$R,DEALS!$A:$A,{"*REFUND*","*EXECUTED*"},DEALS!$O:$O,$B$219,DEALS!$E:$E,"&lt;="&amp;$U$221,DEALS!$S:$S,Z$223,DEALS!$U:$U,$T236,DEALS!$V:$V,"&lt;&gt;*RECEIVED*",DEALS!$V:$V,"&lt;&gt;*EXECUTED*"))</f>
        <v>0</v>
      </c>
      <c r="AA236" s="30">
        <f ca="1">U236*VLOOKUP(U$223,'FX RATES'!$E$1:$F$50,2,FALSE)+V236*VLOOKUP(V$223,'FX RATES'!$E$1:$F$50,2,FALSE)+W236*VLOOKUP(W$223,'FX RATES'!$E$1:$F$50,2,FALSE)+X236*VLOOKUP(X$223,'FX RATES'!$E$1:$F$50,2,FALSE)+Y236*VLOOKUP(Y$223,'FX RATES'!$E$1:$F$50,2,FALSE)+Z236*VLOOKUP(Z$223,'FX RATES'!$E$1:$F$50,2,FALSE)</f>
        <v>0</v>
      </c>
      <c r="AC236" s="139">
        <f t="shared" ca="1" si="87"/>
        <v>0</v>
      </c>
    </row>
    <row r="237" spans="2:29" ht="18.75" hidden="1" customHeight="1">
      <c r="B237" s="31"/>
      <c r="C237" s="32" cm="1">
        <f t="array" ref="C237">SUMIFS(BALANCES!$C:$C,BALANCES!$A:$A,$B$219,BALANCES!$B:$B,$B237,BALANCES!$D:$D,C$223)+SUMIFS(FLOWS!$C:$C,FLOWS!$A:$A,$B$219,FLOWS!$E:$E,$B237,FLOWS!$D:$D,C$223,FLOWS!$H:$H,"&lt;"&amp;$C$221)+SUM(SUMIFS(DEALS!$J:$J,DEALS!$A:$A,{"*REFUND*","*EXECUTED*"},DEALS!$G:$G,$B$219,DEALS!$E:$E,"&lt;"&amp;$C$221,DEALS!$K:$K,C$223,DEALS!$M:$M,$B237,DEALS!$N:$N,"&lt;&gt;*RECEIVED*",DEALS!$N:$N,"&lt;&gt;*EXECUTED*"))+SUM(SUMIFS(DEALS!$R:$R,DEALS!$A:$A,{"*REFUND*","*EXECUTED*"},DEALS!$O:$O,$B$219,DEALS!$E:$E,"&lt;"&amp;$C$221,DEALS!$S:$S,C$223,DEALS!$U:$U,$B237,DEALS!$V:$V,"&lt;&gt;*RECEIVED*",DEALS!$V:$V,"&lt;&gt;*EXECUTED*"))</f>
        <v>0</v>
      </c>
      <c r="D237" s="32" cm="1">
        <f t="array" ref="D237">SUMIFS(BALANCES!$C:$C,BALANCES!$A:$A,$B$219,BALANCES!$B:$B,$B237,BALANCES!$D:$D,D$223)+SUMIFS(FLOWS!$C:$C,FLOWS!$A:$A,$B$219,FLOWS!$E:$E,$B237,FLOWS!$D:$D,D$223,FLOWS!$H:$H,"&lt;"&amp;$C$221)+SUM(SUMIFS(DEALS!$J:$J,DEALS!$A:$A,{"*REFUND*","*EXECUTED*"},DEALS!$G:$G,$B$219,DEALS!$E:$E,"&lt;"&amp;$C$221,DEALS!$K:$K,D$223,DEALS!$M:$M,$B237,DEALS!$N:$N,"&lt;&gt;*RECEIVED*",DEALS!$N:$N,"&lt;&gt;*EXECUTED*"))+SUM(SUMIFS(DEALS!$R:$R,DEALS!$A:$A,{"*REFUND*","*EXECUTED*"},DEALS!$O:$O,$B$219,DEALS!$E:$E,"&lt;"&amp;$C$221,DEALS!$S:$S,D$223,DEALS!$U:$U,$B237,DEALS!$V:$V,"&lt;&gt;*RECEIVED*",DEALS!$V:$V,"&lt;&gt;*EXECUTED*"))</f>
        <v>0</v>
      </c>
      <c r="E237" s="32" cm="1">
        <f t="array" ref="E237">SUMIFS(BALANCES!$C:$C,BALANCES!$A:$A,$B$219,BALANCES!$B:$B,$B237,BALANCES!$D:$D,E$223)+SUMIFS(FLOWS!$C:$C,FLOWS!$A:$A,$B$219,FLOWS!$E:$E,$B237,FLOWS!$D:$D,E$223,FLOWS!$H:$H,"&lt;"&amp;$C$221)+SUM(SUMIFS(DEALS!$J:$J,DEALS!$A:$A,{"*REFUND*","*EXECUTED*"},DEALS!$G:$G,$B$219,DEALS!$E:$E,"&lt;"&amp;$C$221,DEALS!$K:$K,E$223,DEALS!$M:$M,$B237,DEALS!$N:$N,"&lt;&gt;*RECEIVED*",DEALS!$N:$N,"&lt;&gt;*EXECUTED*"))+SUM(SUMIFS(DEALS!$R:$R,DEALS!$A:$A,{"*REFUND*","*EXECUTED*"},DEALS!$O:$O,$B$219,DEALS!$E:$E,"&lt;"&amp;$C$221,DEALS!$S:$S,E$223,DEALS!$U:$U,$B237,DEALS!$V:$V,"&lt;&gt;*RECEIVED*",DEALS!$V:$V,"&lt;&gt;*EXECUTED*"))</f>
        <v>0</v>
      </c>
      <c r="F237" s="32" cm="1">
        <f t="array" ref="F237">SUMIFS(BALANCES!$C:$C,BALANCES!$A:$A,$B$219,BALANCES!$B:$B,$B237,BALANCES!$D:$D,F$223)+SUMIFS(FLOWS!$C:$C,FLOWS!$A:$A,$B$219,FLOWS!$E:$E,$B237,FLOWS!$D:$D,F$223,FLOWS!$H:$H,"&lt;"&amp;$C$221)+SUM(SUMIFS(DEALS!$J:$J,DEALS!$A:$A,{"*REFUND*","*EXECUTED*"},DEALS!$G:$G,$B$219,DEALS!$E:$E,"&lt;"&amp;$C$221,DEALS!$K:$K,F$223,DEALS!$M:$M,$B237,DEALS!$N:$N,"&lt;&gt;*RECEIVED*",DEALS!$N:$N,"&lt;&gt;*EXECUTED*"))+SUM(SUMIFS(DEALS!$R:$R,DEALS!$A:$A,{"*REFUND*","*EXECUTED*"},DEALS!$O:$O,$B$219,DEALS!$E:$E,"&lt;"&amp;$C$221,DEALS!$S:$S,F$223,DEALS!$U:$U,$B237,DEALS!$V:$V,"&lt;&gt;*RECEIVED*",DEALS!$V:$V,"&lt;&gt;*EXECUTED*"))</f>
        <v>0</v>
      </c>
      <c r="G237" s="32" cm="1">
        <f t="array" ref="G237">SUMIFS(BALANCES!$C:$C,BALANCES!$A:$A,$B$219,BALANCES!$B:$B,$B237,BALANCES!$D:$D,G$223)+SUMIFS(FLOWS!$C:$C,FLOWS!$A:$A,$B$219,FLOWS!$E:$E,$B237,FLOWS!$D:$D,G$223,FLOWS!$H:$H,"&lt;"&amp;$C$221)+SUM(SUMIFS(DEALS!$J:$J,DEALS!$A:$A,{"*REFUND*","*EXECUTED*"},DEALS!$G:$G,$B$219,DEALS!$E:$E,"&lt;"&amp;$C$221,DEALS!$K:$K,G$223,DEALS!$M:$M,$B237,DEALS!$N:$N,"&lt;&gt;*RECEIVED*",DEALS!$N:$N,"&lt;&gt;*EXECUTED*"))+SUM(SUMIFS(DEALS!$R:$R,DEALS!$A:$A,{"*REFUND*","*EXECUTED*"},DEALS!$O:$O,$B$219,DEALS!$E:$E,"&lt;"&amp;$C$221,DEALS!$S:$S,G$223,DEALS!$U:$U,$B237,DEALS!$V:$V,"&lt;&gt;*RECEIVED*",DEALS!$V:$V,"&lt;&gt;*EXECUTED*"))</f>
        <v>0</v>
      </c>
      <c r="H237" s="32" cm="1">
        <f t="array" ref="H237">SUMIFS(BALANCES!$C:$C,BALANCES!$A:$A,$B$219,BALANCES!$B:$B,$B237,BALANCES!$D:$D,H$223)+SUMIFS(FLOWS!$C:$C,FLOWS!$A:$A,$B$219,FLOWS!$E:$E,$B237,FLOWS!$D:$D,H$223,FLOWS!$H:$H,"&lt;"&amp;$C$221)+SUM(SUMIFS(DEALS!$J:$J,DEALS!$A:$A,{"*REFUND*","*EXECUTED*"},DEALS!$G:$G,$B$219,DEALS!$E:$E,"&lt;"&amp;$C$221,DEALS!$K:$K,H$223,DEALS!$M:$M,$B237,DEALS!$N:$N,"&lt;&gt;*RECEIVED*",DEALS!$N:$N,"&lt;&gt;*EXECUTED*"))+SUM(SUMIFS(DEALS!$R:$R,DEALS!$A:$A,{"*REFUND*","*EXECUTED*"},DEALS!$O:$O,$B$219,DEALS!$E:$E,"&lt;"&amp;$C$221,DEALS!$S:$S,H$223,DEALS!$U:$U,$B237,DEALS!$V:$V,"&lt;&gt;*RECEIVED*",DEALS!$V:$V,"&lt;&gt;*EXECUTED*"))</f>
        <v>0</v>
      </c>
      <c r="I237" s="33">
        <f ca="1">C237*VLOOKUP(C$223,'FX RATES'!$E$1:$F$50,2,FALSE)+D237*VLOOKUP(D$223,'FX RATES'!$E$1:$F$50,2,FALSE)+E237*VLOOKUP(E$223,'FX RATES'!$E$1:$F$50,2,FALSE)+F237*VLOOKUP(F$223,'FX RATES'!$E$1:$F$50,2,FALSE)+G237*VLOOKUP(G$223,'FX RATES'!$E$1:$F$50,2,FALSE)+H237*VLOOKUP(H$223,'FX RATES'!$E$1:$F$50,2,FALSE)</f>
        <v>0</v>
      </c>
      <c r="J237" s="18"/>
      <c r="K237" s="31">
        <f t="shared" si="85"/>
        <v>0</v>
      </c>
      <c r="L237" s="32" cm="1">
        <f t="array" ref="L237">SUMIFS(FLOWS!$C:$C,FLOWS!$A:$A,$B$219,FLOWS!$E:$E,$K237,FLOWS!$D:$D,L$223,FLOWS!$H:$H,"&gt;="&amp;$C$221,FLOWS!$H:$H,"&lt;="&amp;$U$221)+SUM(SUMIFS(DEALS!$J:$J,DEALS!$A:$A,{"*REFUND*","*EXECUTED*"},DEALS!$G:$G,$B$219,DEALS!$E:$E,"&gt;="&amp;$C$221,DEALS!$E:$E,"&lt;="&amp;$U$221,DEALS!$K:$K,L$223,DEALS!$M:$M,$K237,DEALS!$N:$N,"&lt;&gt;*RECEIVED*",DEALS!$N:$N,"&lt;&gt;*EXECUTED*"))+SUM(SUMIFS(DEALS!$R:$R,DEALS!$A:$A,{"*REFUND*","*EXECUTED*"},DEALS!$O:$O,$B$219,DEALS!$E:$E,"&gt;="&amp;$C$221,DEALS!$E:$E,"&lt;="&amp;$U$221,DEALS!$S:$S,L$223,DEALS!$U:$U,$K237,DEALS!$V:$V,"&lt;&gt;*RECEIVED*",DEALS!$V:$V,"&lt;&gt;*EXECUTED*"))</f>
        <v>0</v>
      </c>
      <c r="M237" s="32" cm="1">
        <f t="array" ref="M237">SUMIFS(FLOWS!$C:$C,FLOWS!$A:$A,$B$219,FLOWS!$E:$E,$K237,FLOWS!$D:$D,M$223,FLOWS!$H:$H,"&gt;="&amp;$C$221,FLOWS!$H:$H,"&lt;="&amp;$U$221)+SUM(SUMIFS(DEALS!$J:$J,DEALS!$A:$A,{"*REFUND*","*EXECUTED*"},DEALS!$G:$G,$B$219,DEALS!$E:$E,"&gt;="&amp;$C$221,DEALS!$E:$E,"&lt;="&amp;$U$221,DEALS!$K:$K,M$223,DEALS!$M:$M,$K237,DEALS!$N:$N,"&lt;&gt;*RECEIVED*",DEALS!$N:$N,"&lt;&gt;*EXECUTED*"))+SUM(SUMIFS(DEALS!$R:$R,DEALS!$A:$A,{"*REFUND*","*EXECUTED*"},DEALS!$O:$O,$B$219,DEALS!$E:$E,"&gt;="&amp;$C$221,DEALS!$E:$E,"&lt;="&amp;$U$221,DEALS!$S:$S,M$223,DEALS!$U:$U,$K237,DEALS!$V:$V,"&lt;&gt;*RECEIVED*",DEALS!$V:$V,"&lt;&gt;*EXECUTED*"))</f>
        <v>0</v>
      </c>
      <c r="N237" s="32" cm="1">
        <f t="array" ref="N237">SUMIFS(FLOWS!$C:$C,FLOWS!$A:$A,$B$219,FLOWS!$E:$E,$K237,FLOWS!$D:$D,N$223,FLOWS!$H:$H,"&gt;="&amp;$C$221,FLOWS!$H:$H,"&lt;="&amp;$U$221)+SUM(SUMIFS(DEALS!$J:$J,DEALS!$A:$A,{"*REFUND*","*EXECUTED*"},DEALS!$G:$G,$B$219,DEALS!$E:$E,"&gt;="&amp;$C$221,DEALS!$E:$E,"&lt;="&amp;$U$221,DEALS!$K:$K,N$223,DEALS!$M:$M,$K237,DEALS!$N:$N,"&lt;&gt;*RECEIVED*",DEALS!$N:$N,"&lt;&gt;*EXECUTED*"))+SUM(SUMIFS(DEALS!$R:$R,DEALS!$A:$A,{"*REFUND*","*EXECUTED*"},DEALS!$O:$O,$B$219,DEALS!$E:$E,"&gt;="&amp;$C$221,DEALS!$E:$E,"&lt;="&amp;$U$221,DEALS!$S:$S,N$223,DEALS!$U:$U,$K237,DEALS!$V:$V,"&lt;&gt;*RECEIVED*",DEALS!$V:$V,"&lt;&gt;*EXECUTED*"))</f>
        <v>0</v>
      </c>
      <c r="O237" s="32" cm="1">
        <f t="array" ref="O237">SUMIFS(FLOWS!$C:$C,FLOWS!$A:$A,$B$219,FLOWS!$E:$E,$K237,FLOWS!$D:$D,O$223,FLOWS!$H:$H,"&gt;="&amp;$C$221,FLOWS!$H:$H,"&lt;="&amp;$U$221)+SUM(SUMIFS(DEALS!$J:$J,DEALS!$A:$A,{"*REFUND*","*EXECUTED*"},DEALS!$G:$G,$B$219,DEALS!$E:$E,"&gt;="&amp;$C$221,DEALS!$E:$E,"&lt;="&amp;$U$221,DEALS!$K:$K,O$223,DEALS!$M:$M,$K237,DEALS!$N:$N,"&lt;&gt;*RECEIVED*",DEALS!$N:$N,"&lt;&gt;*EXECUTED*"))+SUM(SUMIFS(DEALS!$R:$R,DEALS!$A:$A,{"*REFUND*","*EXECUTED*"},DEALS!$O:$O,$B$219,DEALS!$E:$E,"&gt;="&amp;$C$221,DEALS!$E:$E,"&lt;="&amp;$U$221,DEALS!$S:$S,O$223,DEALS!$U:$U,$K237,DEALS!$V:$V,"&lt;&gt;*RECEIVED*",DEALS!$V:$V,"&lt;&gt;*EXECUTED*"))</f>
        <v>0</v>
      </c>
      <c r="P237" s="32" cm="1">
        <f t="array" ref="P237">SUMIFS(FLOWS!$C:$C,FLOWS!$A:$A,$B$219,FLOWS!$E:$E,$K237,FLOWS!$D:$D,P$223,FLOWS!$H:$H,"&gt;="&amp;$C$221,FLOWS!$H:$H,"&lt;="&amp;$U$221)+SUM(SUMIFS(DEALS!$J:$J,DEALS!$A:$A,{"*REFUND*","*EXECUTED*"},DEALS!$G:$G,$B$219,DEALS!$E:$E,"&gt;="&amp;$C$221,DEALS!$E:$E,"&lt;="&amp;$U$221,DEALS!$K:$K,P$223,DEALS!$M:$M,$K237,DEALS!$N:$N,"&lt;&gt;*RECEIVED*",DEALS!$N:$N,"&lt;&gt;*EXECUTED*"))+SUM(SUMIFS(DEALS!$R:$R,DEALS!$A:$A,{"*REFUND*","*EXECUTED*"},DEALS!$O:$O,$B$219,DEALS!$E:$E,"&gt;="&amp;$C$221,DEALS!$E:$E,"&lt;="&amp;$U$221,DEALS!$S:$S,P$223,DEALS!$U:$U,$K237,DEALS!$V:$V,"&lt;&gt;*RECEIVED*",DEALS!$V:$V,"&lt;&gt;*EXECUTED*"))</f>
        <v>0</v>
      </c>
      <c r="Q237" s="32" cm="1">
        <f t="array" ref="Q237">SUMIFS(FLOWS!$C:$C,FLOWS!$A:$A,$B$219,FLOWS!$E:$E,$K237,FLOWS!$D:$D,Q$223,FLOWS!$H:$H,"&gt;="&amp;$C$221,FLOWS!$H:$H,"&lt;="&amp;$U$221)+SUM(SUMIFS(DEALS!$J:$J,DEALS!$A:$A,{"*REFUND*","*EXECUTED*"},DEALS!$G:$G,$B$219,DEALS!$E:$E,"&gt;="&amp;$C$221,DEALS!$E:$E,"&lt;="&amp;$U$221,DEALS!$K:$K,Q$223,DEALS!$M:$M,$K237,DEALS!$N:$N,"&lt;&gt;*RECEIVED*",DEALS!$N:$N,"&lt;&gt;*EXECUTED*"))+SUM(SUMIFS(DEALS!$R:$R,DEALS!$A:$A,{"*REFUND*","*EXECUTED*"},DEALS!$O:$O,$B$219,DEALS!$E:$E,"&gt;="&amp;$C$221,DEALS!$E:$E,"&lt;="&amp;$U$221,DEALS!$S:$S,Q$223,DEALS!$U:$U,$K237,DEALS!$V:$V,"&lt;&gt;*RECEIVED*",DEALS!$V:$V,"&lt;&gt;*EXECUTED*"))</f>
        <v>0</v>
      </c>
      <c r="R237" s="33">
        <f ca="1">L237*VLOOKUP(L$223,'FX RATES'!$E$1:$F$50,2,FALSE)+M237*VLOOKUP(M$223,'FX RATES'!$E$1:$F$50,2,FALSE)+N237*VLOOKUP(N$223,'FX RATES'!$E$1:$F$50,2,FALSE)+O237*VLOOKUP(O$223,'FX RATES'!$E$1:$F$50,2,FALSE)+P237*VLOOKUP(P$223,'FX RATES'!$E$1:$F$50,2,FALSE)+Q237*VLOOKUP(Q$223,'FX RATES'!$E$1:$F$50,2,FALSE)</f>
        <v>0</v>
      </c>
      <c r="T237" s="31">
        <f t="shared" si="86"/>
        <v>0</v>
      </c>
      <c r="U237" s="32" cm="1">
        <f t="array" ref="U237">SUMIFS(BALANCES!$C:$C,BALANCES!$A:$A,$B$219,BALANCES!$B:$B,$T237,BALANCES!$D:$D,U$223)+SUMIFS(FLOWS!$C:$C,FLOWS!$A:$A,$B$219,FLOWS!$E:$E,$T237,FLOWS!$D:$D,U$223,FLOWS!$H:$H,"&lt;="&amp;$U$221)+SUM(SUMIFS(DEALS!$J:$J,DEALS!$A:$A,{"*REFUND*","*EXECUTED*"},DEALS!$G:$G,$B$219,DEALS!$E:$E,"&lt;="&amp;$U$221,DEALS!$K:$K,U$223,DEALS!$M:$M,$T237,DEALS!$N:$N,"&lt;&gt;*RECEIVED*",DEALS!$N:$N,"&lt;&gt;*EXECUTED*"))+SUM(SUMIFS(DEALS!$R:$R,DEALS!$A:$A,{"*REFUND*","*EXECUTED*"},DEALS!$O:$O,$B$219,DEALS!$E:$E,"&lt;="&amp;$U$221,DEALS!$S:$S,U$223,DEALS!$U:$U,$T237,DEALS!$V:$V,"&lt;&gt;*RECEIVED*",DEALS!$V:$V,"&lt;&gt;*EXECUTED*"))</f>
        <v>0</v>
      </c>
      <c r="V237" s="32" cm="1">
        <f t="array" ref="V237">SUMIFS(BALANCES!$C:$C,BALANCES!$A:$A,$B$219,BALANCES!$B:$B,$T237,BALANCES!$D:$D,V$223)+SUMIFS(FLOWS!$C:$C,FLOWS!$A:$A,$B$219,FLOWS!$E:$E,$T237,FLOWS!$D:$D,V$223,FLOWS!$H:$H,"&lt;="&amp;$U$221)+SUM(SUMIFS(DEALS!$J:$J,DEALS!$A:$A,{"*REFUND*","*EXECUTED*"},DEALS!$G:$G,$B$219,DEALS!$E:$E,"&lt;="&amp;$U$221,DEALS!$K:$K,V$223,DEALS!$M:$M,$T237,DEALS!$N:$N,"&lt;&gt;*RECEIVED*",DEALS!$N:$N,"&lt;&gt;*EXECUTED*"))+SUM(SUMIFS(DEALS!$R:$R,DEALS!$A:$A,{"*REFUND*","*EXECUTED*"},DEALS!$O:$O,$B$219,DEALS!$E:$E,"&lt;="&amp;$U$221,DEALS!$S:$S,V$223,DEALS!$U:$U,$T237,DEALS!$V:$V,"&lt;&gt;*RECEIVED*",DEALS!$V:$V,"&lt;&gt;*EXECUTED*"))</f>
        <v>0</v>
      </c>
      <c r="W237" s="32" cm="1">
        <f t="array" ref="W237">SUMIFS(BALANCES!$C:$C,BALANCES!$A:$A,$B$219,BALANCES!$B:$B,$T237,BALANCES!$D:$D,W$223)+SUMIFS(FLOWS!$C:$C,FLOWS!$A:$A,$B$219,FLOWS!$E:$E,$T237,FLOWS!$D:$D,W$223,FLOWS!$H:$H,"&lt;="&amp;$U$221)+SUM(SUMIFS(DEALS!$J:$J,DEALS!$A:$A,{"*REFUND*","*EXECUTED*"},DEALS!$G:$G,$B$219,DEALS!$E:$E,"&lt;="&amp;$U$221,DEALS!$K:$K,W$223,DEALS!$M:$M,$T237,DEALS!$N:$N,"&lt;&gt;*RECEIVED*",DEALS!$N:$N,"&lt;&gt;*EXECUTED*"))+SUM(SUMIFS(DEALS!$R:$R,DEALS!$A:$A,{"*REFUND*","*EXECUTED*"},DEALS!$O:$O,$B$219,DEALS!$E:$E,"&lt;="&amp;$U$221,DEALS!$S:$S,W$223,DEALS!$U:$U,$T237,DEALS!$V:$V,"&lt;&gt;*RECEIVED*",DEALS!$V:$V,"&lt;&gt;*EXECUTED*"))</f>
        <v>0</v>
      </c>
      <c r="X237" s="32" cm="1">
        <f t="array" ref="X237">SUMIFS(BALANCES!$C:$C,BALANCES!$A:$A,$B$219,BALANCES!$B:$B,$T237,BALANCES!$D:$D,X$223)+SUMIFS(FLOWS!$C:$C,FLOWS!$A:$A,$B$219,FLOWS!$E:$E,$T237,FLOWS!$D:$D,X$223,FLOWS!$H:$H,"&lt;="&amp;$U$221)+SUM(SUMIFS(DEALS!$J:$J,DEALS!$A:$A,{"*REFUND*","*EXECUTED*"},DEALS!$G:$G,$B$219,DEALS!$E:$E,"&lt;="&amp;$U$221,DEALS!$K:$K,X$223,DEALS!$M:$M,$T237,DEALS!$N:$N,"&lt;&gt;*RECEIVED*",DEALS!$N:$N,"&lt;&gt;*EXECUTED*"))+SUM(SUMIFS(DEALS!$R:$R,DEALS!$A:$A,{"*REFUND*","*EXECUTED*"},DEALS!$O:$O,$B$219,DEALS!$E:$E,"&lt;="&amp;$U$221,DEALS!$S:$S,X$223,DEALS!$U:$U,$T237,DEALS!$V:$V,"&lt;&gt;*RECEIVED*",DEALS!$V:$V,"&lt;&gt;*EXECUTED*"))</f>
        <v>0</v>
      </c>
      <c r="Y237" s="32" cm="1">
        <f t="array" ref="Y237">SUMIFS(BALANCES!$C:$C,BALANCES!$A:$A,$B$219,BALANCES!$B:$B,$T237,BALANCES!$D:$D,Y$223)+SUMIFS(FLOWS!$C:$C,FLOWS!$A:$A,$B$219,FLOWS!$E:$E,$T237,FLOWS!$D:$D,Y$223,FLOWS!$H:$H,"&lt;="&amp;$U$221)+SUM(SUMIFS(DEALS!$J:$J,DEALS!$A:$A,{"*REFUND*","*EXECUTED*"},DEALS!$G:$G,$B$219,DEALS!$E:$E,"&lt;="&amp;$U$221,DEALS!$K:$K,Y$223,DEALS!$M:$M,$T237,DEALS!$N:$N,"&lt;&gt;*RECEIVED*",DEALS!$N:$N,"&lt;&gt;*EXECUTED*"))+SUM(SUMIFS(DEALS!$R:$R,DEALS!$A:$A,{"*REFUND*","*EXECUTED*"},DEALS!$O:$O,$B$219,DEALS!$E:$E,"&lt;="&amp;$U$221,DEALS!$S:$S,Y$223,DEALS!$U:$U,$T237,DEALS!$V:$V,"&lt;&gt;*RECEIVED*",DEALS!$V:$V,"&lt;&gt;*EXECUTED*"))</f>
        <v>0</v>
      </c>
      <c r="Z237" s="32" cm="1">
        <f t="array" ref="Z237">SUMIFS(BALANCES!$C:$C,BALANCES!$A:$A,$B$219,BALANCES!$B:$B,$T237,BALANCES!$D:$D,Z$223)+SUMIFS(FLOWS!$C:$C,FLOWS!$A:$A,$B$219,FLOWS!$E:$E,$T237,FLOWS!$D:$D,Z$223,FLOWS!$H:$H,"&lt;="&amp;$U$221)+SUM(SUMIFS(DEALS!$J:$J,DEALS!$A:$A,{"*REFUND*","*EXECUTED*"},DEALS!$G:$G,$B$219,DEALS!$E:$E,"&lt;="&amp;$U$221,DEALS!$K:$K,Z$223,DEALS!$M:$M,$T237,DEALS!$N:$N,"&lt;&gt;*RECEIVED*",DEALS!$N:$N,"&lt;&gt;*EXECUTED*"))+SUM(SUMIFS(DEALS!$R:$R,DEALS!$A:$A,{"*REFUND*","*EXECUTED*"},DEALS!$O:$O,$B$219,DEALS!$E:$E,"&lt;="&amp;$U$221,DEALS!$S:$S,Z$223,DEALS!$U:$U,$T237,DEALS!$V:$V,"&lt;&gt;*RECEIVED*",DEALS!$V:$V,"&lt;&gt;*EXECUTED*"))</f>
        <v>0</v>
      </c>
      <c r="AA237" s="33">
        <f ca="1">U237*VLOOKUP(U$223,'FX RATES'!$E$1:$F$50,2,FALSE)+V237*VLOOKUP(V$223,'FX RATES'!$E$1:$F$50,2,FALSE)+W237*VLOOKUP(W$223,'FX RATES'!$E$1:$F$50,2,FALSE)+X237*VLOOKUP(X$223,'FX RATES'!$E$1:$F$50,2,FALSE)+Y237*VLOOKUP(Y$223,'FX RATES'!$E$1:$F$50,2,FALSE)+Z237*VLOOKUP(Z$223,'FX RATES'!$E$1:$F$50,2,FALSE)</f>
        <v>0</v>
      </c>
      <c r="AC237" s="139">
        <f t="shared" ca="1" si="87"/>
        <v>0</v>
      </c>
    </row>
    <row r="238" spans="2:29" ht="18.75" hidden="1" customHeight="1">
      <c r="B238" s="28"/>
      <c r="C238" s="29" cm="1">
        <f t="array" ref="C238">SUMIFS(BALANCES!$C:$C,BALANCES!$A:$A,$B$219,BALANCES!$B:$B,$B238,BALANCES!$D:$D,C$223)+SUMIFS(FLOWS!$C:$C,FLOWS!$A:$A,$B$219,FLOWS!$E:$E,$B238,FLOWS!$D:$D,C$223,FLOWS!$H:$H,"&lt;"&amp;$C$221)+SUM(SUMIFS(DEALS!$J:$J,DEALS!$A:$A,{"*REFUND*","*EXECUTED*"},DEALS!$G:$G,$B$219,DEALS!$E:$E,"&lt;"&amp;$C$221,DEALS!$K:$K,C$223,DEALS!$M:$M,$B238,DEALS!$N:$N,"&lt;&gt;*RECEIVED*",DEALS!$N:$N,"&lt;&gt;*EXECUTED*"))+SUM(SUMIFS(DEALS!$R:$R,DEALS!$A:$A,{"*REFUND*","*EXECUTED*"},DEALS!$O:$O,$B$219,DEALS!$E:$E,"&lt;"&amp;$C$221,DEALS!$S:$S,C$223,DEALS!$U:$U,$B238,DEALS!$V:$V,"&lt;&gt;*RECEIVED*",DEALS!$V:$V,"&lt;&gt;*EXECUTED*"))</f>
        <v>0</v>
      </c>
      <c r="D238" s="29" cm="1">
        <f t="array" ref="D238">SUMIFS(BALANCES!$C:$C,BALANCES!$A:$A,$B$219,BALANCES!$B:$B,$B238,BALANCES!$D:$D,D$223)+SUMIFS(FLOWS!$C:$C,FLOWS!$A:$A,$B$219,FLOWS!$E:$E,$B238,FLOWS!$D:$D,D$223,FLOWS!$H:$H,"&lt;"&amp;$C$221)+SUM(SUMIFS(DEALS!$J:$J,DEALS!$A:$A,{"*REFUND*","*EXECUTED*"},DEALS!$G:$G,$B$219,DEALS!$E:$E,"&lt;"&amp;$C$221,DEALS!$K:$K,D$223,DEALS!$M:$M,$B238,DEALS!$N:$N,"&lt;&gt;*RECEIVED*",DEALS!$N:$N,"&lt;&gt;*EXECUTED*"))+SUM(SUMIFS(DEALS!$R:$R,DEALS!$A:$A,{"*REFUND*","*EXECUTED*"},DEALS!$O:$O,$B$219,DEALS!$E:$E,"&lt;"&amp;$C$221,DEALS!$S:$S,D$223,DEALS!$U:$U,$B238,DEALS!$V:$V,"&lt;&gt;*RECEIVED*",DEALS!$V:$V,"&lt;&gt;*EXECUTED*"))</f>
        <v>0</v>
      </c>
      <c r="E238" s="29" cm="1">
        <f t="array" ref="E238">SUMIFS(BALANCES!$C:$C,BALANCES!$A:$A,$B$219,BALANCES!$B:$B,$B238,BALANCES!$D:$D,E$223)+SUMIFS(FLOWS!$C:$C,FLOWS!$A:$A,$B$219,FLOWS!$E:$E,$B238,FLOWS!$D:$D,E$223,FLOWS!$H:$H,"&lt;"&amp;$C$221)+SUM(SUMIFS(DEALS!$J:$J,DEALS!$A:$A,{"*REFUND*","*EXECUTED*"},DEALS!$G:$G,$B$219,DEALS!$E:$E,"&lt;"&amp;$C$221,DEALS!$K:$K,E$223,DEALS!$M:$M,$B238,DEALS!$N:$N,"&lt;&gt;*RECEIVED*",DEALS!$N:$N,"&lt;&gt;*EXECUTED*"))+SUM(SUMIFS(DEALS!$R:$R,DEALS!$A:$A,{"*REFUND*","*EXECUTED*"},DEALS!$O:$O,$B$219,DEALS!$E:$E,"&lt;"&amp;$C$221,DEALS!$S:$S,E$223,DEALS!$U:$U,$B238,DEALS!$V:$V,"&lt;&gt;*RECEIVED*",DEALS!$V:$V,"&lt;&gt;*EXECUTED*"))</f>
        <v>0</v>
      </c>
      <c r="F238" s="29" cm="1">
        <f t="array" ref="F238">SUMIFS(BALANCES!$C:$C,BALANCES!$A:$A,$B$219,BALANCES!$B:$B,$B238,BALANCES!$D:$D,F$223)+SUMIFS(FLOWS!$C:$C,FLOWS!$A:$A,$B$219,FLOWS!$E:$E,$B238,FLOWS!$D:$D,F$223,FLOWS!$H:$H,"&lt;"&amp;$C$221)+SUM(SUMIFS(DEALS!$J:$J,DEALS!$A:$A,{"*REFUND*","*EXECUTED*"},DEALS!$G:$G,$B$219,DEALS!$E:$E,"&lt;"&amp;$C$221,DEALS!$K:$K,F$223,DEALS!$M:$M,$B238,DEALS!$N:$N,"&lt;&gt;*RECEIVED*",DEALS!$N:$N,"&lt;&gt;*EXECUTED*"))+SUM(SUMIFS(DEALS!$R:$R,DEALS!$A:$A,{"*REFUND*","*EXECUTED*"},DEALS!$O:$O,$B$219,DEALS!$E:$E,"&lt;"&amp;$C$221,DEALS!$S:$S,F$223,DEALS!$U:$U,$B238,DEALS!$V:$V,"&lt;&gt;*RECEIVED*",DEALS!$V:$V,"&lt;&gt;*EXECUTED*"))</f>
        <v>0</v>
      </c>
      <c r="G238" s="29" cm="1">
        <f t="array" ref="G238">SUMIFS(BALANCES!$C:$C,BALANCES!$A:$A,$B$219,BALANCES!$B:$B,$B238,BALANCES!$D:$D,G$223)+SUMIFS(FLOWS!$C:$C,FLOWS!$A:$A,$B$219,FLOWS!$E:$E,$B238,FLOWS!$D:$D,G$223,FLOWS!$H:$H,"&lt;"&amp;$C$221)+SUM(SUMIFS(DEALS!$J:$J,DEALS!$A:$A,{"*REFUND*","*EXECUTED*"},DEALS!$G:$G,$B$219,DEALS!$E:$E,"&lt;"&amp;$C$221,DEALS!$K:$K,G$223,DEALS!$M:$M,$B238,DEALS!$N:$N,"&lt;&gt;*RECEIVED*",DEALS!$N:$N,"&lt;&gt;*EXECUTED*"))+SUM(SUMIFS(DEALS!$R:$R,DEALS!$A:$A,{"*REFUND*","*EXECUTED*"},DEALS!$O:$O,$B$219,DEALS!$E:$E,"&lt;"&amp;$C$221,DEALS!$S:$S,G$223,DEALS!$U:$U,$B238,DEALS!$V:$V,"&lt;&gt;*RECEIVED*",DEALS!$V:$V,"&lt;&gt;*EXECUTED*"))</f>
        <v>0</v>
      </c>
      <c r="H238" s="29" cm="1">
        <f t="array" ref="H238">SUMIFS(BALANCES!$C:$C,BALANCES!$A:$A,$B$219,BALANCES!$B:$B,$B238,BALANCES!$D:$D,H$223)+SUMIFS(FLOWS!$C:$C,FLOWS!$A:$A,$B$219,FLOWS!$E:$E,$B238,FLOWS!$D:$D,H$223,FLOWS!$H:$H,"&lt;"&amp;$C$221)+SUM(SUMIFS(DEALS!$J:$J,DEALS!$A:$A,{"*REFUND*","*EXECUTED*"},DEALS!$G:$G,$B$219,DEALS!$E:$E,"&lt;"&amp;$C$221,DEALS!$K:$K,H$223,DEALS!$M:$M,$B238,DEALS!$N:$N,"&lt;&gt;*RECEIVED*",DEALS!$N:$N,"&lt;&gt;*EXECUTED*"))+SUM(SUMIFS(DEALS!$R:$R,DEALS!$A:$A,{"*REFUND*","*EXECUTED*"},DEALS!$O:$O,$B$219,DEALS!$E:$E,"&lt;"&amp;$C$221,DEALS!$S:$S,H$223,DEALS!$U:$U,$B238,DEALS!$V:$V,"&lt;&gt;*RECEIVED*",DEALS!$V:$V,"&lt;&gt;*EXECUTED*"))</f>
        <v>0</v>
      </c>
      <c r="I238" s="30">
        <f ca="1">C238*VLOOKUP(C$223,'FX RATES'!$E$1:$F$50,2,FALSE)+D238*VLOOKUP(D$223,'FX RATES'!$E$1:$F$50,2,FALSE)+E238*VLOOKUP(E$223,'FX RATES'!$E$1:$F$50,2,FALSE)+F238*VLOOKUP(F$223,'FX RATES'!$E$1:$F$50,2,FALSE)+G238*VLOOKUP(G$223,'FX RATES'!$E$1:$F$50,2,FALSE)+H238*VLOOKUP(H$223,'FX RATES'!$E$1:$F$50,2,FALSE)</f>
        <v>0</v>
      </c>
      <c r="K238" s="28">
        <f t="shared" si="85"/>
        <v>0</v>
      </c>
      <c r="L238" s="29" cm="1">
        <f t="array" ref="L238">SUMIFS(FLOWS!$C:$C,FLOWS!$A:$A,$B$219,FLOWS!$E:$E,$K238,FLOWS!$D:$D,L$223,FLOWS!$H:$H,"&gt;="&amp;$C$221,FLOWS!$H:$H,"&lt;="&amp;$U$221)+SUM(SUMIFS(DEALS!$J:$J,DEALS!$A:$A,{"*REFUND*","*EXECUTED*"},DEALS!$G:$G,$B$219,DEALS!$E:$E,"&gt;="&amp;$C$221,DEALS!$E:$E,"&lt;="&amp;$U$221,DEALS!$K:$K,L$223,DEALS!$M:$M,$K238,DEALS!$N:$N,"&lt;&gt;*RECEIVED*",DEALS!$N:$N,"&lt;&gt;*EXECUTED*"))+SUM(SUMIFS(DEALS!$R:$R,DEALS!$A:$A,{"*REFUND*","*EXECUTED*"},DEALS!$O:$O,$B$219,DEALS!$E:$E,"&gt;="&amp;$C$221,DEALS!$E:$E,"&lt;="&amp;$U$221,DEALS!$S:$S,L$223,DEALS!$U:$U,$K238,DEALS!$V:$V,"&lt;&gt;*RECEIVED*",DEALS!$V:$V,"&lt;&gt;*EXECUTED*"))</f>
        <v>0</v>
      </c>
      <c r="M238" s="29" cm="1">
        <f t="array" ref="M238">SUMIFS(FLOWS!$C:$C,FLOWS!$A:$A,$B$219,FLOWS!$E:$E,$K238,FLOWS!$D:$D,M$223,FLOWS!$H:$H,"&gt;="&amp;$C$221,FLOWS!$H:$H,"&lt;="&amp;$U$221)+SUM(SUMIFS(DEALS!$J:$J,DEALS!$A:$A,{"*REFUND*","*EXECUTED*"},DEALS!$G:$G,$B$219,DEALS!$E:$E,"&gt;="&amp;$C$221,DEALS!$E:$E,"&lt;="&amp;$U$221,DEALS!$K:$K,M$223,DEALS!$M:$M,$K238,DEALS!$N:$N,"&lt;&gt;*RECEIVED*",DEALS!$N:$N,"&lt;&gt;*EXECUTED*"))+SUM(SUMIFS(DEALS!$R:$R,DEALS!$A:$A,{"*REFUND*","*EXECUTED*"},DEALS!$O:$O,$B$219,DEALS!$E:$E,"&gt;="&amp;$C$221,DEALS!$E:$E,"&lt;="&amp;$U$221,DEALS!$S:$S,M$223,DEALS!$U:$U,$K238,DEALS!$V:$V,"&lt;&gt;*RECEIVED*",DEALS!$V:$V,"&lt;&gt;*EXECUTED*"))</f>
        <v>0</v>
      </c>
      <c r="N238" s="29" cm="1">
        <f t="array" ref="N238">SUMIFS(FLOWS!$C:$C,FLOWS!$A:$A,$B$219,FLOWS!$E:$E,$K238,FLOWS!$D:$D,N$223,FLOWS!$H:$H,"&gt;="&amp;$C$221,FLOWS!$H:$H,"&lt;="&amp;$U$221)+SUM(SUMIFS(DEALS!$J:$J,DEALS!$A:$A,{"*REFUND*","*EXECUTED*"},DEALS!$G:$G,$B$219,DEALS!$E:$E,"&gt;="&amp;$C$221,DEALS!$E:$E,"&lt;="&amp;$U$221,DEALS!$K:$K,N$223,DEALS!$M:$M,$K238,DEALS!$N:$N,"&lt;&gt;*RECEIVED*",DEALS!$N:$N,"&lt;&gt;*EXECUTED*"))+SUM(SUMIFS(DEALS!$R:$R,DEALS!$A:$A,{"*REFUND*","*EXECUTED*"},DEALS!$O:$O,$B$219,DEALS!$E:$E,"&gt;="&amp;$C$221,DEALS!$E:$E,"&lt;="&amp;$U$221,DEALS!$S:$S,N$223,DEALS!$U:$U,$K238,DEALS!$V:$V,"&lt;&gt;*RECEIVED*",DEALS!$V:$V,"&lt;&gt;*EXECUTED*"))</f>
        <v>0</v>
      </c>
      <c r="O238" s="29" cm="1">
        <f t="array" ref="O238">SUMIFS(FLOWS!$C:$C,FLOWS!$A:$A,$B$219,FLOWS!$E:$E,$K238,FLOWS!$D:$D,O$223,FLOWS!$H:$H,"&gt;="&amp;$C$221,FLOWS!$H:$H,"&lt;="&amp;$U$221)+SUM(SUMIFS(DEALS!$J:$J,DEALS!$A:$A,{"*REFUND*","*EXECUTED*"},DEALS!$G:$G,$B$219,DEALS!$E:$E,"&gt;="&amp;$C$221,DEALS!$E:$E,"&lt;="&amp;$U$221,DEALS!$K:$K,O$223,DEALS!$M:$M,$K238,DEALS!$N:$N,"&lt;&gt;*RECEIVED*",DEALS!$N:$N,"&lt;&gt;*EXECUTED*"))+SUM(SUMIFS(DEALS!$R:$R,DEALS!$A:$A,{"*REFUND*","*EXECUTED*"},DEALS!$O:$O,$B$219,DEALS!$E:$E,"&gt;="&amp;$C$221,DEALS!$E:$E,"&lt;="&amp;$U$221,DEALS!$S:$S,O$223,DEALS!$U:$U,$K238,DEALS!$V:$V,"&lt;&gt;*RECEIVED*",DEALS!$V:$V,"&lt;&gt;*EXECUTED*"))</f>
        <v>0</v>
      </c>
      <c r="P238" s="29" cm="1">
        <f t="array" ref="P238">SUMIFS(FLOWS!$C:$C,FLOWS!$A:$A,$B$219,FLOWS!$E:$E,$K238,FLOWS!$D:$D,P$223,FLOWS!$H:$H,"&gt;="&amp;$C$221,FLOWS!$H:$H,"&lt;="&amp;$U$221)+SUM(SUMIFS(DEALS!$J:$J,DEALS!$A:$A,{"*REFUND*","*EXECUTED*"},DEALS!$G:$G,$B$219,DEALS!$E:$E,"&gt;="&amp;$C$221,DEALS!$E:$E,"&lt;="&amp;$U$221,DEALS!$K:$K,P$223,DEALS!$M:$M,$K238,DEALS!$N:$N,"&lt;&gt;*RECEIVED*",DEALS!$N:$N,"&lt;&gt;*EXECUTED*"))+SUM(SUMIFS(DEALS!$R:$R,DEALS!$A:$A,{"*REFUND*","*EXECUTED*"},DEALS!$O:$O,$B$219,DEALS!$E:$E,"&gt;="&amp;$C$221,DEALS!$E:$E,"&lt;="&amp;$U$221,DEALS!$S:$S,P$223,DEALS!$U:$U,$K238,DEALS!$V:$V,"&lt;&gt;*RECEIVED*",DEALS!$V:$V,"&lt;&gt;*EXECUTED*"))</f>
        <v>0</v>
      </c>
      <c r="Q238" s="29" cm="1">
        <f t="array" ref="Q238">SUMIFS(FLOWS!$C:$C,FLOWS!$A:$A,$B$219,FLOWS!$E:$E,$K238,FLOWS!$D:$D,Q$223,FLOWS!$H:$H,"&gt;="&amp;$C$221,FLOWS!$H:$H,"&lt;="&amp;$U$221)+SUM(SUMIFS(DEALS!$J:$J,DEALS!$A:$A,{"*REFUND*","*EXECUTED*"},DEALS!$G:$G,$B$219,DEALS!$E:$E,"&gt;="&amp;$C$221,DEALS!$E:$E,"&lt;="&amp;$U$221,DEALS!$K:$K,Q$223,DEALS!$M:$M,$K238,DEALS!$N:$N,"&lt;&gt;*RECEIVED*",DEALS!$N:$N,"&lt;&gt;*EXECUTED*"))+SUM(SUMIFS(DEALS!$R:$R,DEALS!$A:$A,{"*REFUND*","*EXECUTED*"},DEALS!$O:$O,$B$219,DEALS!$E:$E,"&gt;="&amp;$C$221,DEALS!$E:$E,"&lt;="&amp;$U$221,DEALS!$S:$S,Q$223,DEALS!$U:$U,$K238,DEALS!$V:$V,"&lt;&gt;*RECEIVED*",DEALS!$V:$V,"&lt;&gt;*EXECUTED*"))</f>
        <v>0</v>
      </c>
      <c r="R238" s="30">
        <f ca="1">L238*VLOOKUP(L$223,'FX RATES'!$E$1:$F$50,2,FALSE)+M238*VLOOKUP(M$223,'FX RATES'!$E$1:$F$50,2,FALSE)+N238*VLOOKUP(N$223,'FX RATES'!$E$1:$F$50,2,FALSE)+O238*VLOOKUP(O$223,'FX RATES'!$E$1:$F$50,2,FALSE)+P238*VLOOKUP(P$223,'FX RATES'!$E$1:$F$50,2,FALSE)+Q238*VLOOKUP(Q$223,'FX RATES'!$E$1:$F$50,2,FALSE)</f>
        <v>0</v>
      </c>
      <c r="T238" s="28">
        <f t="shared" si="86"/>
        <v>0</v>
      </c>
      <c r="U238" s="29" cm="1">
        <f t="array" ref="U238">SUMIFS(BALANCES!$C:$C,BALANCES!$A:$A,$B$219,BALANCES!$B:$B,$T238,BALANCES!$D:$D,U$223)+SUMIFS(FLOWS!$C:$C,FLOWS!$A:$A,$B$219,FLOWS!$E:$E,$T238,FLOWS!$D:$D,U$223,FLOWS!$H:$H,"&lt;="&amp;$U$221)+SUM(SUMIFS(DEALS!$J:$J,DEALS!$A:$A,{"*REFUND*","*EXECUTED*"},DEALS!$G:$G,$B$219,DEALS!$E:$E,"&lt;="&amp;$U$221,DEALS!$K:$K,U$223,DEALS!$M:$M,$T238,DEALS!$N:$N,"&lt;&gt;*RECEIVED*",DEALS!$N:$N,"&lt;&gt;*EXECUTED*"))+SUM(SUMIFS(DEALS!$R:$R,DEALS!$A:$A,{"*REFUND*","*EXECUTED*"},DEALS!$O:$O,$B$219,DEALS!$E:$E,"&lt;="&amp;$U$221,DEALS!$S:$S,U$223,DEALS!$U:$U,$T238,DEALS!$V:$V,"&lt;&gt;*RECEIVED*",DEALS!$V:$V,"&lt;&gt;*EXECUTED*"))</f>
        <v>0</v>
      </c>
      <c r="V238" s="29" cm="1">
        <f t="array" ref="V238">SUMIFS(BALANCES!$C:$C,BALANCES!$A:$A,$B$219,BALANCES!$B:$B,$T238,BALANCES!$D:$D,V$223)+SUMIFS(FLOWS!$C:$C,FLOWS!$A:$A,$B$219,FLOWS!$E:$E,$T238,FLOWS!$D:$D,V$223,FLOWS!$H:$H,"&lt;="&amp;$U$221)+SUM(SUMIFS(DEALS!$J:$J,DEALS!$A:$A,{"*REFUND*","*EXECUTED*"},DEALS!$G:$G,$B$219,DEALS!$E:$E,"&lt;="&amp;$U$221,DEALS!$K:$K,V$223,DEALS!$M:$M,$T238,DEALS!$N:$N,"&lt;&gt;*RECEIVED*",DEALS!$N:$N,"&lt;&gt;*EXECUTED*"))+SUM(SUMIFS(DEALS!$R:$R,DEALS!$A:$A,{"*REFUND*","*EXECUTED*"},DEALS!$O:$O,$B$219,DEALS!$E:$E,"&lt;="&amp;$U$221,DEALS!$S:$S,V$223,DEALS!$U:$U,$T238,DEALS!$V:$V,"&lt;&gt;*RECEIVED*",DEALS!$V:$V,"&lt;&gt;*EXECUTED*"))</f>
        <v>0</v>
      </c>
      <c r="W238" s="29" cm="1">
        <f t="array" ref="W238">SUMIFS(BALANCES!$C:$C,BALANCES!$A:$A,$B$219,BALANCES!$B:$B,$T238,BALANCES!$D:$D,W$223)+SUMIFS(FLOWS!$C:$C,FLOWS!$A:$A,$B$219,FLOWS!$E:$E,$T238,FLOWS!$D:$D,W$223,FLOWS!$H:$H,"&lt;="&amp;$U$221)+SUM(SUMIFS(DEALS!$J:$J,DEALS!$A:$A,{"*REFUND*","*EXECUTED*"},DEALS!$G:$G,$B$219,DEALS!$E:$E,"&lt;="&amp;$U$221,DEALS!$K:$K,W$223,DEALS!$M:$M,$T238,DEALS!$N:$N,"&lt;&gt;*RECEIVED*",DEALS!$N:$N,"&lt;&gt;*EXECUTED*"))+SUM(SUMIFS(DEALS!$R:$R,DEALS!$A:$A,{"*REFUND*","*EXECUTED*"},DEALS!$O:$O,$B$219,DEALS!$E:$E,"&lt;="&amp;$U$221,DEALS!$S:$S,W$223,DEALS!$U:$U,$T238,DEALS!$V:$V,"&lt;&gt;*RECEIVED*",DEALS!$V:$V,"&lt;&gt;*EXECUTED*"))</f>
        <v>0</v>
      </c>
      <c r="X238" s="29" cm="1">
        <f t="array" ref="X238">SUMIFS(BALANCES!$C:$C,BALANCES!$A:$A,$B$219,BALANCES!$B:$B,$T238,BALANCES!$D:$D,X$223)+SUMIFS(FLOWS!$C:$C,FLOWS!$A:$A,$B$219,FLOWS!$E:$E,$T238,FLOWS!$D:$D,X$223,FLOWS!$H:$H,"&lt;="&amp;$U$221)+SUM(SUMIFS(DEALS!$J:$J,DEALS!$A:$A,{"*REFUND*","*EXECUTED*"},DEALS!$G:$G,$B$219,DEALS!$E:$E,"&lt;="&amp;$U$221,DEALS!$K:$K,X$223,DEALS!$M:$M,$T238,DEALS!$N:$N,"&lt;&gt;*RECEIVED*",DEALS!$N:$N,"&lt;&gt;*EXECUTED*"))+SUM(SUMIFS(DEALS!$R:$R,DEALS!$A:$A,{"*REFUND*","*EXECUTED*"},DEALS!$O:$O,$B$219,DEALS!$E:$E,"&lt;="&amp;$U$221,DEALS!$S:$S,X$223,DEALS!$U:$U,$T238,DEALS!$V:$V,"&lt;&gt;*RECEIVED*",DEALS!$V:$V,"&lt;&gt;*EXECUTED*"))</f>
        <v>0</v>
      </c>
      <c r="Y238" s="29" cm="1">
        <f t="array" ref="Y238">SUMIFS(BALANCES!$C:$C,BALANCES!$A:$A,$B$219,BALANCES!$B:$B,$T238,BALANCES!$D:$D,Y$223)+SUMIFS(FLOWS!$C:$C,FLOWS!$A:$A,$B$219,FLOWS!$E:$E,$T238,FLOWS!$D:$D,Y$223,FLOWS!$H:$H,"&lt;="&amp;$U$221)+SUM(SUMIFS(DEALS!$J:$J,DEALS!$A:$A,{"*REFUND*","*EXECUTED*"},DEALS!$G:$G,$B$219,DEALS!$E:$E,"&lt;="&amp;$U$221,DEALS!$K:$K,Y$223,DEALS!$M:$M,$T238,DEALS!$N:$N,"&lt;&gt;*RECEIVED*",DEALS!$N:$N,"&lt;&gt;*EXECUTED*"))+SUM(SUMIFS(DEALS!$R:$R,DEALS!$A:$A,{"*REFUND*","*EXECUTED*"},DEALS!$O:$O,$B$219,DEALS!$E:$E,"&lt;="&amp;$U$221,DEALS!$S:$S,Y$223,DEALS!$U:$U,$T238,DEALS!$V:$V,"&lt;&gt;*RECEIVED*",DEALS!$V:$V,"&lt;&gt;*EXECUTED*"))</f>
        <v>0</v>
      </c>
      <c r="Z238" s="29" cm="1">
        <f t="array" ref="Z238">SUMIFS(BALANCES!$C:$C,BALANCES!$A:$A,$B$219,BALANCES!$B:$B,$T238,BALANCES!$D:$D,Z$223)+SUMIFS(FLOWS!$C:$C,FLOWS!$A:$A,$B$219,FLOWS!$E:$E,$T238,FLOWS!$D:$D,Z$223,FLOWS!$H:$H,"&lt;="&amp;$U$221)+SUM(SUMIFS(DEALS!$J:$J,DEALS!$A:$A,{"*REFUND*","*EXECUTED*"},DEALS!$G:$G,$B$219,DEALS!$E:$E,"&lt;="&amp;$U$221,DEALS!$K:$K,Z$223,DEALS!$M:$M,$T238,DEALS!$N:$N,"&lt;&gt;*RECEIVED*",DEALS!$N:$N,"&lt;&gt;*EXECUTED*"))+SUM(SUMIFS(DEALS!$R:$R,DEALS!$A:$A,{"*REFUND*","*EXECUTED*"},DEALS!$O:$O,$B$219,DEALS!$E:$E,"&lt;="&amp;$U$221,DEALS!$S:$S,Z$223,DEALS!$U:$U,$T238,DEALS!$V:$V,"&lt;&gt;*RECEIVED*",DEALS!$V:$V,"&lt;&gt;*EXECUTED*"))</f>
        <v>0</v>
      </c>
      <c r="AA238" s="30">
        <f ca="1">U238*VLOOKUP(U$223,'FX RATES'!$E$1:$F$50,2,FALSE)+V238*VLOOKUP(V$223,'FX RATES'!$E$1:$F$50,2,FALSE)+W238*VLOOKUP(W$223,'FX RATES'!$E$1:$F$50,2,FALSE)+X238*VLOOKUP(X$223,'FX RATES'!$E$1:$F$50,2,FALSE)+Y238*VLOOKUP(Y$223,'FX RATES'!$E$1:$F$50,2,FALSE)+Z238*VLOOKUP(Z$223,'FX RATES'!$E$1:$F$50,2,FALSE)</f>
        <v>0</v>
      </c>
      <c r="AC238" s="139">
        <f t="shared" ca="1" si="87"/>
        <v>0</v>
      </c>
    </row>
    <row r="239" spans="2:29" ht="18.75" hidden="1" customHeight="1">
      <c r="B239" s="31"/>
      <c r="C239" s="32" cm="1">
        <f t="array" ref="C239">SUMIFS(BALANCES!$C:$C,BALANCES!$A:$A,$B$219,BALANCES!$B:$B,$B239,BALANCES!$D:$D,C$223)+SUMIFS(FLOWS!$C:$C,FLOWS!$A:$A,$B$219,FLOWS!$E:$E,$B239,FLOWS!$D:$D,C$223,FLOWS!$H:$H,"&lt;"&amp;$C$221)+SUM(SUMIFS(DEALS!$J:$J,DEALS!$A:$A,{"*REFUND*","*EXECUTED*"},DEALS!$G:$G,$B$219,DEALS!$E:$E,"&lt;"&amp;$C$221,DEALS!$K:$K,C$223,DEALS!$M:$M,$B239,DEALS!$N:$N,"&lt;&gt;*RECEIVED*",DEALS!$N:$N,"&lt;&gt;*EXECUTED*"))+SUM(SUMIFS(DEALS!$R:$R,DEALS!$A:$A,{"*REFUND*","*EXECUTED*"},DEALS!$O:$O,$B$219,DEALS!$E:$E,"&lt;"&amp;$C$221,DEALS!$S:$S,C$223,DEALS!$U:$U,$B239,DEALS!$V:$V,"&lt;&gt;*RECEIVED*",DEALS!$V:$V,"&lt;&gt;*EXECUTED*"))</f>
        <v>0</v>
      </c>
      <c r="D239" s="32" cm="1">
        <f t="array" ref="D239">SUMIFS(BALANCES!$C:$C,BALANCES!$A:$A,$B$219,BALANCES!$B:$B,$B239,BALANCES!$D:$D,D$223)+SUMIFS(FLOWS!$C:$C,FLOWS!$A:$A,$B$219,FLOWS!$E:$E,$B239,FLOWS!$D:$D,D$223,FLOWS!$H:$H,"&lt;"&amp;$C$221)+SUM(SUMIFS(DEALS!$J:$J,DEALS!$A:$A,{"*REFUND*","*EXECUTED*"},DEALS!$G:$G,$B$219,DEALS!$E:$E,"&lt;"&amp;$C$221,DEALS!$K:$K,D$223,DEALS!$M:$M,$B239,DEALS!$N:$N,"&lt;&gt;*RECEIVED*",DEALS!$N:$N,"&lt;&gt;*EXECUTED*"))+SUM(SUMIFS(DEALS!$R:$R,DEALS!$A:$A,{"*REFUND*","*EXECUTED*"},DEALS!$O:$O,$B$219,DEALS!$E:$E,"&lt;"&amp;$C$221,DEALS!$S:$S,D$223,DEALS!$U:$U,$B239,DEALS!$V:$V,"&lt;&gt;*RECEIVED*",DEALS!$V:$V,"&lt;&gt;*EXECUTED*"))</f>
        <v>0</v>
      </c>
      <c r="E239" s="32" cm="1">
        <f t="array" ref="E239">SUMIFS(BALANCES!$C:$C,BALANCES!$A:$A,$B$219,BALANCES!$B:$B,$B239,BALANCES!$D:$D,E$223)+SUMIFS(FLOWS!$C:$C,FLOWS!$A:$A,$B$219,FLOWS!$E:$E,$B239,FLOWS!$D:$D,E$223,FLOWS!$H:$H,"&lt;"&amp;$C$221)+SUM(SUMIFS(DEALS!$J:$J,DEALS!$A:$A,{"*REFUND*","*EXECUTED*"},DEALS!$G:$G,$B$219,DEALS!$E:$E,"&lt;"&amp;$C$221,DEALS!$K:$K,E$223,DEALS!$M:$M,$B239,DEALS!$N:$N,"&lt;&gt;*RECEIVED*",DEALS!$N:$N,"&lt;&gt;*EXECUTED*"))+SUM(SUMIFS(DEALS!$R:$R,DEALS!$A:$A,{"*REFUND*","*EXECUTED*"},DEALS!$O:$O,$B$219,DEALS!$E:$E,"&lt;"&amp;$C$221,DEALS!$S:$S,E$223,DEALS!$U:$U,$B239,DEALS!$V:$V,"&lt;&gt;*RECEIVED*",DEALS!$V:$V,"&lt;&gt;*EXECUTED*"))</f>
        <v>0</v>
      </c>
      <c r="F239" s="32" cm="1">
        <f t="array" ref="F239">SUMIFS(BALANCES!$C:$C,BALANCES!$A:$A,$B$219,BALANCES!$B:$B,$B239,BALANCES!$D:$D,F$223)+SUMIFS(FLOWS!$C:$C,FLOWS!$A:$A,$B$219,FLOWS!$E:$E,$B239,FLOWS!$D:$D,F$223,FLOWS!$H:$H,"&lt;"&amp;$C$221)+SUM(SUMIFS(DEALS!$J:$J,DEALS!$A:$A,{"*REFUND*","*EXECUTED*"},DEALS!$G:$G,$B$219,DEALS!$E:$E,"&lt;"&amp;$C$221,DEALS!$K:$K,F$223,DEALS!$M:$M,$B239,DEALS!$N:$N,"&lt;&gt;*RECEIVED*",DEALS!$N:$N,"&lt;&gt;*EXECUTED*"))+SUM(SUMIFS(DEALS!$R:$R,DEALS!$A:$A,{"*REFUND*","*EXECUTED*"},DEALS!$O:$O,$B$219,DEALS!$E:$E,"&lt;"&amp;$C$221,DEALS!$S:$S,F$223,DEALS!$U:$U,$B239,DEALS!$V:$V,"&lt;&gt;*RECEIVED*",DEALS!$V:$V,"&lt;&gt;*EXECUTED*"))</f>
        <v>0</v>
      </c>
      <c r="G239" s="32" cm="1">
        <f t="array" ref="G239">SUMIFS(BALANCES!$C:$C,BALANCES!$A:$A,$B$219,BALANCES!$B:$B,$B239,BALANCES!$D:$D,G$223)+SUMIFS(FLOWS!$C:$C,FLOWS!$A:$A,$B$219,FLOWS!$E:$E,$B239,FLOWS!$D:$D,G$223,FLOWS!$H:$H,"&lt;"&amp;$C$221)+SUM(SUMIFS(DEALS!$J:$J,DEALS!$A:$A,{"*REFUND*","*EXECUTED*"},DEALS!$G:$G,$B$219,DEALS!$E:$E,"&lt;"&amp;$C$221,DEALS!$K:$K,G$223,DEALS!$M:$M,$B239,DEALS!$N:$N,"&lt;&gt;*RECEIVED*",DEALS!$N:$N,"&lt;&gt;*EXECUTED*"))+SUM(SUMIFS(DEALS!$R:$R,DEALS!$A:$A,{"*REFUND*","*EXECUTED*"},DEALS!$O:$O,$B$219,DEALS!$E:$E,"&lt;"&amp;$C$221,DEALS!$S:$S,G$223,DEALS!$U:$U,$B239,DEALS!$V:$V,"&lt;&gt;*RECEIVED*",DEALS!$V:$V,"&lt;&gt;*EXECUTED*"))</f>
        <v>0</v>
      </c>
      <c r="H239" s="32" cm="1">
        <f t="array" ref="H239">SUMIFS(BALANCES!$C:$C,BALANCES!$A:$A,$B$219,BALANCES!$B:$B,$B239,BALANCES!$D:$D,H$223)+SUMIFS(FLOWS!$C:$C,FLOWS!$A:$A,$B$219,FLOWS!$E:$E,$B239,FLOWS!$D:$D,H$223,FLOWS!$H:$H,"&lt;"&amp;$C$221)+SUM(SUMIFS(DEALS!$J:$J,DEALS!$A:$A,{"*REFUND*","*EXECUTED*"},DEALS!$G:$G,$B$219,DEALS!$E:$E,"&lt;"&amp;$C$221,DEALS!$K:$K,H$223,DEALS!$M:$M,$B239,DEALS!$N:$N,"&lt;&gt;*RECEIVED*",DEALS!$N:$N,"&lt;&gt;*EXECUTED*"))+SUM(SUMIFS(DEALS!$R:$R,DEALS!$A:$A,{"*REFUND*","*EXECUTED*"},DEALS!$O:$O,$B$219,DEALS!$E:$E,"&lt;"&amp;$C$221,DEALS!$S:$S,H$223,DEALS!$U:$U,$B239,DEALS!$V:$V,"&lt;&gt;*RECEIVED*",DEALS!$V:$V,"&lt;&gt;*EXECUTED*"))</f>
        <v>0</v>
      </c>
      <c r="I239" s="33">
        <f ca="1">C239*VLOOKUP(C$223,'FX RATES'!$E$1:$F$50,2,FALSE)+D239*VLOOKUP(D$223,'FX RATES'!$E$1:$F$50,2,FALSE)+E239*VLOOKUP(E$223,'FX RATES'!$E$1:$F$50,2,FALSE)+F239*VLOOKUP(F$223,'FX RATES'!$E$1:$F$50,2,FALSE)+G239*VLOOKUP(G$223,'FX RATES'!$E$1:$F$50,2,FALSE)+H239*VLOOKUP(H$223,'FX RATES'!$E$1:$F$50,2,FALSE)</f>
        <v>0</v>
      </c>
      <c r="K239" s="31">
        <f t="shared" si="85"/>
        <v>0</v>
      </c>
      <c r="L239" s="32" cm="1">
        <f t="array" ref="L239">SUMIFS(FLOWS!$C:$C,FLOWS!$A:$A,$B$219,FLOWS!$E:$E,$K239,FLOWS!$D:$D,L$223,FLOWS!$H:$H,"&gt;="&amp;$C$221,FLOWS!$H:$H,"&lt;="&amp;$U$221)+SUM(SUMIFS(DEALS!$J:$J,DEALS!$A:$A,{"*REFUND*","*EXECUTED*"},DEALS!$G:$G,$B$219,DEALS!$E:$E,"&gt;="&amp;$C$221,DEALS!$E:$E,"&lt;="&amp;$U$221,DEALS!$K:$K,L$223,DEALS!$M:$M,$K239,DEALS!$N:$N,"&lt;&gt;*RECEIVED*",DEALS!$N:$N,"&lt;&gt;*EXECUTED*"))+SUM(SUMIFS(DEALS!$R:$R,DEALS!$A:$A,{"*REFUND*","*EXECUTED*"},DEALS!$O:$O,$B$219,DEALS!$E:$E,"&gt;="&amp;$C$221,DEALS!$E:$E,"&lt;="&amp;$U$221,DEALS!$S:$S,L$223,DEALS!$U:$U,$K239,DEALS!$V:$V,"&lt;&gt;*RECEIVED*",DEALS!$V:$V,"&lt;&gt;*EXECUTED*"))</f>
        <v>0</v>
      </c>
      <c r="M239" s="32" cm="1">
        <f t="array" ref="M239">SUMIFS(FLOWS!$C:$C,FLOWS!$A:$A,$B$219,FLOWS!$E:$E,$K239,FLOWS!$D:$D,M$223,FLOWS!$H:$H,"&gt;="&amp;$C$221,FLOWS!$H:$H,"&lt;="&amp;$U$221)+SUM(SUMIFS(DEALS!$J:$J,DEALS!$A:$A,{"*REFUND*","*EXECUTED*"},DEALS!$G:$G,$B$219,DEALS!$E:$E,"&gt;="&amp;$C$221,DEALS!$E:$E,"&lt;="&amp;$U$221,DEALS!$K:$K,M$223,DEALS!$M:$M,$K239,DEALS!$N:$N,"&lt;&gt;*RECEIVED*",DEALS!$N:$N,"&lt;&gt;*EXECUTED*"))+SUM(SUMIFS(DEALS!$R:$R,DEALS!$A:$A,{"*REFUND*","*EXECUTED*"},DEALS!$O:$O,$B$219,DEALS!$E:$E,"&gt;="&amp;$C$221,DEALS!$E:$E,"&lt;="&amp;$U$221,DEALS!$S:$S,M$223,DEALS!$U:$U,$K239,DEALS!$V:$V,"&lt;&gt;*RECEIVED*",DEALS!$V:$V,"&lt;&gt;*EXECUTED*"))</f>
        <v>0</v>
      </c>
      <c r="N239" s="32" cm="1">
        <f t="array" ref="N239">SUMIFS(FLOWS!$C:$C,FLOWS!$A:$A,$B$219,FLOWS!$E:$E,$K239,FLOWS!$D:$D,N$223,FLOWS!$H:$H,"&gt;="&amp;$C$221,FLOWS!$H:$H,"&lt;="&amp;$U$221)+SUM(SUMIFS(DEALS!$J:$J,DEALS!$A:$A,{"*REFUND*","*EXECUTED*"},DEALS!$G:$G,$B$219,DEALS!$E:$E,"&gt;="&amp;$C$221,DEALS!$E:$E,"&lt;="&amp;$U$221,DEALS!$K:$K,N$223,DEALS!$M:$M,$K239,DEALS!$N:$N,"&lt;&gt;*RECEIVED*",DEALS!$N:$N,"&lt;&gt;*EXECUTED*"))+SUM(SUMIFS(DEALS!$R:$R,DEALS!$A:$A,{"*REFUND*","*EXECUTED*"},DEALS!$O:$O,$B$219,DEALS!$E:$E,"&gt;="&amp;$C$221,DEALS!$E:$E,"&lt;="&amp;$U$221,DEALS!$S:$S,N$223,DEALS!$U:$U,$K239,DEALS!$V:$V,"&lt;&gt;*RECEIVED*",DEALS!$V:$V,"&lt;&gt;*EXECUTED*"))</f>
        <v>0</v>
      </c>
      <c r="O239" s="32" cm="1">
        <f t="array" ref="O239">SUMIFS(FLOWS!$C:$C,FLOWS!$A:$A,$B$219,FLOWS!$E:$E,$K239,FLOWS!$D:$D,O$223,FLOWS!$H:$H,"&gt;="&amp;$C$221,FLOWS!$H:$H,"&lt;="&amp;$U$221)+SUM(SUMIFS(DEALS!$J:$J,DEALS!$A:$A,{"*REFUND*","*EXECUTED*"},DEALS!$G:$G,$B$219,DEALS!$E:$E,"&gt;="&amp;$C$221,DEALS!$E:$E,"&lt;="&amp;$U$221,DEALS!$K:$K,O$223,DEALS!$M:$M,$K239,DEALS!$N:$N,"&lt;&gt;*RECEIVED*",DEALS!$N:$N,"&lt;&gt;*EXECUTED*"))+SUM(SUMIFS(DEALS!$R:$R,DEALS!$A:$A,{"*REFUND*","*EXECUTED*"},DEALS!$O:$O,$B$219,DEALS!$E:$E,"&gt;="&amp;$C$221,DEALS!$E:$E,"&lt;="&amp;$U$221,DEALS!$S:$S,O$223,DEALS!$U:$U,$K239,DEALS!$V:$V,"&lt;&gt;*RECEIVED*",DEALS!$V:$V,"&lt;&gt;*EXECUTED*"))</f>
        <v>0</v>
      </c>
      <c r="P239" s="32" cm="1">
        <f t="array" ref="P239">SUMIFS(FLOWS!$C:$C,FLOWS!$A:$A,$B$219,FLOWS!$E:$E,$K239,FLOWS!$D:$D,P$223,FLOWS!$H:$H,"&gt;="&amp;$C$221,FLOWS!$H:$H,"&lt;="&amp;$U$221)+SUM(SUMIFS(DEALS!$J:$J,DEALS!$A:$A,{"*REFUND*","*EXECUTED*"},DEALS!$G:$G,$B$219,DEALS!$E:$E,"&gt;="&amp;$C$221,DEALS!$E:$E,"&lt;="&amp;$U$221,DEALS!$K:$K,P$223,DEALS!$M:$M,$K239,DEALS!$N:$N,"&lt;&gt;*RECEIVED*",DEALS!$N:$N,"&lt;&gt;*EXECUTED*"))+SUM(SUMIFS(DEALS!$R:$R,DEALS!$A:$A,{"*REFUND*","*EXECUTED*"},DEALS!$O:$O,$B$219,DEALS!$E:$E,"&gt;="&amp;$C$221,DEALS!$E:$E,"&lt;="&amp;$U$221,DEALS!$S:$S,P$223,DEALS!$U:$U,$K239,DEALS!$V:$V,"&lt;&gt;*RECEIVED*",DEALS!$V:$V,"&lt;&gt;*EXECUTED*"))</f>
        <v>0</v>
      </c>
      <c r="Q239" s="32" cm="1">
        <f t="array" ref="Q239">SUMIFS(FLOWS!$C:$C,FLOWS!$A:$A,$B$219,FLOWS!$E:$E,$K239,FLOWS!$D:$D,Q$223,FLOWS!$H:$H,"&gt;="&amp;$C$221,FLOWS!$H:$H,"&lt;="&amp;$U$221)+SUM(SUMIFS(DEALS!$J:$J,DEALS!$A:$A,{"*REFUND*","*EXECUTED*"},DEALS!$G:$G,$B$219,DEALS!$E:$E,"&gt;="&amp;$C$221,DEALS!$E:$E,"&lt;="&amp;$U$221,DEALS!$K:$K,Q$223,DEALS!$M:$M,$K239,DEALS!$N:$N,"&lt;&gt;*RECEIVED*",DEALS!$N:$N,"&lt;&gt;*EXECUTED*"))+SUM(SUMIFS(DEALS!$R:$R,DEALS!$A:$A,{"*REFUND*","*EXECUTED*"},DEALS!$O:$O,$B$219,DEALS!$E:$E,"&gt;="&amp;$C$221,DEALS!$E:$E,"&lt;="&amp;$U$221,DEALS!$S:$S,Q$223,DEALS!$U:$U,$K239,DEALS!$V:$V,"&lt;&gt;*RECEIVED*",DEALS!$V:$V,"&lt;&gt;*EXECUTED*"))</f>
        <v>0</v>
      </c>
      <c r="R239" s="33">
        <f ca="1">L239*VLOOKUP(L$223,'FX RATES'!$E$1:$F$50,2,FALSE)+M239*VLOOKUP(M$223,'FX RATES'!$E$1:$F$50,2,FALSE)+N239*VLOOKUP(N$223,'FX RATES'!$E$1:$F$50,2,FALSE)+O239*VLOOKUP(O$223,'FX RATES'!$E$1:$F$50,2,FALSE)+P239*VLOOKUP(P$223,'FX RATES'!$E$1:$F$50,2,FALSE)+Q239*VLOOKUP(Q$223,'FX RATES'!$E$1:$F$50,2,FALSE)</f>
        <v>0</v>
      </c>
      <c r="T239" s="31">
        <f t="shared" si="86"/>
        <v>0</v>
      </c>
      <c r="U239" s="32" cm="1">
        <f t="array" ref="U239">SUMIFS(BALANCES!$C:$C,BALANCES!$A:$A,$B$219,BALANCES!$B:$B,$T239,BALANCES!$D:$D,U$223)+SUMIFS(FLOWS!$C:$C,FLOWS!$A:$A,$B$219,FLOWS!$E:$E,$T239,FLOWS!$D:$D,U$223,FLOWS!$H:$H,"&lt;="&amp;$U$221)+SUM(SUMIFS(DEALS!$J:$J,DEALS!$A:$A,{"*REFUND*","*EXECUTED*"},DEALS!$G:$G,$B$219,DEALS!$E:$E,"&lt;="&amp;$U$221,DEALS!$K:$K,U$223,DEALS!$M:$M,$T239,DEALS!$N:$N,"&lt;&gt;*RECEIVED*",DEALS!$N:$N,"&lt;&gt;*EXECUTED*"))+SUM(SUMIFS(DEALS!$R:$R,DEALS!$A:$A,{"*REFUND*","*EXECUTED*"},DEALS!$O:$O,$B$219,DEALS!$E:$E,"&lt;="&amp;$U$221,DEALS!$S:$S,U$223,DEALS!$U:$U,$T239,DEALS!$V:$V,"&lt;&gt;*RECEIVED*",DEALS!$V:$V,"&lt;&gt;*EXECUTED*"))</f>
        <v>0</v>
      </c>
      <c r="V239" s="32" cm="1">
        <f t="array" ref="V239">SUMIFS(BALANCES!$C:$C,BALANCES!$A:$A,$B$219,BALANCES!$B:$B,$T239,BALANCES!$D:$D,V$223)+SUMIFS(FLOWS!$C:$C,FLOWS!$A:$A,$B$219,FLOWS!$E:$E,$T239,FLOWS!$D:$D,V$223,FLOWS!$H:$H,"&lt;="&amp;$U$221)+SUM(SUMIFS(DEALS!$J:$J,DEALS!$A:$A,{"*REFUND*","*EXECUTED*"},DEALS!$G:$G,$B$219,DEALS!$E:$E,"&lt;="&amp;$U$221,DEALS!$K:$K,V$223,DEALS!$M:$M,$T239,DEALS!$N:$N,"&lt;&gt;*RECEIVED*",DEALS!$N:$N,"&lt;&gt;*EXECUTED*"))+SUM(SUMIFS(DEALS!$R:$R,DEALS!$A:$A,{"*REFUND*","*EXECUTED*"},DEALS!$O:$O,$B$219,DEALS!$E:$E,"&lt;="&amp;$U$221,DEALS!$S:$S,V$223,DEALS!$U:$U,$T239,DEALS!$V:$V,"&lt;&gt;*RECEIVED*",DEALS!$V:$V,"&lt;&gt;*EXECUTED*"))</f>
        <v>0</v>
      </c>
      <c r="W239" s="32" cm="1">
        <f t="array" ref="W239">SUMIFS(BALANCES!$C:$C,BALANCES!$A:$A,$B$219,BALANCES!$B:$B,$T239,BALANCES!$D:$D,W$223)+SUMIFS(FLOWS!$C:$C,FLOWS!$A:$A,$B$219,FLOWS!$E:$E,$T239,FLOWS!$D:$D,W$223,FLOWS!$H:$H,"&lt;="&amp;$U$221)+SUM(SUMIFS(DEALS!$J:$J,DEALS!$A:$A,{"*REFUND*","*EXECUTED*"},DEALS!$G:$G,$B$219,DEALS!$E:$E,"&lt;="&amp;$U$221,DEALS!$K:$K,W$223,DEALS!$M:$M,$T239,DEALS!$N:$N,"&lt;&gt;*RECEIVED*",DEALS!$N:$N,"&lt;&gt;*EXECUTED*"))+SUM(SUMIFS(DEALS!$R:$R,DEALS!$A:$A,{"*REFUND*","*EXECUTED*"},DEALS!$O:$O,$B$219,DEALS!$E:$E,"&lt;="&amp;$U$221,DEALS!$S:$S,W$223,DEALS!$U:$U,$T239,DEALS!$V:$V,"&lt;&gt;*RECEIVED*",DEALS!$V:$V,"&lt;&gt;*EXECUTED*"))</f>
        <v>0</v>
      </c>
      <c r="X239" s="32" cm="1">
        <f t="array" ref="X239">SUMIFS(BALANCES!$C:$C,BALANCES!$A:$A,$B$219,BALANCES!$B:$B,$T239,BALANCES!$D:$D,X$223)+SUMIFS(FLOWS!$C:$C,FLOWS!$A:$A,$B$219,FLOWS!$E:$E,$T239,FLOWS!$D:$D,X$223,FLOWS!$H:$H,"&lt;="&amp;$U$221)+SUM(SUMIFS(DEALS!$J:$J,DEALS!$A:$A,{"*REFUND*","*EXECUTED*"},DEALS!$G:$G,$B$219,DEALS!$E:$E,"&lt;="&amp;$U$221,DEALS!$K:$K,X$223,DEALS!$M:$M,$T239,DEALS!$N:$N,"&lt;&gt;*RECEIVED*",DEALS!$N:$N,"&lt;&gt;*EXECUTED*"))+SUM(SUMIFS(DEALS!$R:$R,DEALS!$A:$A,{"*REFUND*","*EXECUTED*"},DEALS!$O:$O,$B$219,DEALS!$E:$E,"&lt;="&amp;$U$221,DEALS!$S:$S,X$223,DEALS!$U:$U,$T239,DEALS!$V:$V,"&lt;&gt;*RECEIVED*",DEALS!$V:$V,"&lt;&gt;*EXECUTED*"))</f>
        <v>0</v>
      </c>
      <c r="Y239" s="32" cm="1">
        <f t="array" ref="Y239">SUMIFS(BALANCES!$C:$C,BALANCES!$A:$A,$B$219,BALANCES!$B:$B,$T239,BALANCES!$D:$D,Y$223)+SUMIFS(FLOWS!$C:$C,FLOWS!$A:$A,$B$219,FLOWS!$E:$E,$T239,FLOWS!$D:$D,Y$223,FLOWS!$H:$H,"&lt;="&amp;$U$221)+SUM(SUMIFS(DEALS!$J:$J,DEALS!$A:$A,{"*REFUND*","*EXECUTED*"},DEALS!$G:$G,$B$219,DEALS!$E:$E,"&lt;="&amp;$U$221,DEALS!$K:$K,Y$223,DEALS!$M:$M,$T239,DEALS!$N:$N,"&lt;&gt;*RECEIVED*",DEALS!$N:$N,"&lt;&gt;*EXECUTED*"))+SUM(SUMIFS(DEALS!$R:$R,DEALS!$A:$A,{"*REFUND*","*EXECUTED*"},DEALS!$O:$O,$B$219,DEALS!$E:$E,"&lt;="&amp;$U$221,DEALS!$S:$S,Y$223,DEALS!$U:$U,$T239,DEALS!$V:$V,"&lt;&gt;*RECEIVED*",DEALS!$V:$V,"&lt;&gt;*EXECUTED*"))</f>
        <v>0</v>
      </c>
      <c r="Z239" s="32" cm="1">
        <f t="array" ref="Z239">SUMIFS(BALANCES!$C:$C,BALANCES!$A:$A,$B$219,BALANCES!$B:$B,$T239,BALANCES!$D:$D,Z$223)+SUMIFS(FLOWS!$C:$C,FLOWS!$A:$A,$B$219,FLOWS!$E:$E,$T239,FLOWS!$D:$D,Z$223,FLOWS!$H:$H,"&lt;="&amp;$U$221)+SUM(SUMIFS(DEALS!$J:$J,DEALS!$A:$A,{"*REFUND*","*EXECUTED*"},DEALS!$G:$G,$B$219,DEALS!$E:$E,"&lt;="&amp;$U$221,DEALS!$K:$K,Z$223,DEALS!$M:$M,$T239,DEALS!$N:$N,"&lt;&gt;*RECEIVED*",DEALS!$N:$N,"&lt;&gt;*EXECUTED*"))+SUM(SUMIFS(DEALS!$R:$R,DEALS!$A:$A,{"*REFUND*","*EXECUTED*"},DEALS!$O:$O,$B$219,DEALS!$E:$E,"&lt;="&amp;$U$221,DEALS!$S:$S,Z$223,DEALS!$U:$U,$T239,DEALS!$V:$V,"&lt;&gt;*RECEIVED*",DEALS!$V:$V,"&lt;&gt;*EXECUTED*"))</f>
        <v>0</v>
      </c>
      <c r="AA239" s="33">
        <f ca="1">U239*VLOOKUP(U$223,'FX RATES'!$E$1:$F$50,2,FALSE)+V239*VLOOKUP(V$223,'FX RATES'!$E$1:$F$50,2,FALSE)+W239*VLOOKUP(W$223,'FX RATES'!$E$1:$F$50,2,FALSE)+X239*VLOOKUP(X$223,'FX RATES'!$E$1:$F$50,2,FALSE)+Y239*VLOOKUP(Y$223,'FX RATES'!$E$1:$F$50,2,FALSE)+Z239*VLOOKUP(Z$223,'FX RATES'!$E$1:$F$50,2,FALSE)</f>
        <v>0</v>
      </c>
      <c r="AC239" s="139">
        <f t="shared" ca="1" si="87"/>
        <v>0</v>
      </c>
    </row>
    <row r="240" spans="2:29" ht="18.75" hidden="1" customHeight="1">
      <c r="B240" s="28"/>
      <c r="C240" s="29" cm="1">
        <f t="array" ref="C240">SUMIFS(BALANCES!$C:$C,BALANCES!$A:$A,$B$219,BALANCES!$B:$B,$B240,BALANCES!$D:$D,C$223)+SUMIFS(FLOWS!$C:$C,FLOWS!$A:$A,$B$219,FLOWS!$E:$E,$B240,FLOWS!$D:$D,C$223,FLOWS!$H:$H,"&lt;"&amp;$C$221)+SUM(SUMIFS(DEALS!$J:$J,DEALS!$A:$A,{"*REFUND*","*EXECUTED*"},DEALS!$G:$G,$B$219,DEALS!$E:$E,"&lt;"&amp;$C$221,DEALS!$K:$K,C$223,DEALS!$M:$M,$B240,DEALS!$N:$N,"&lt;&gt;*RECEIVED*",DEALS!$N:$N,"&lt;&gt;*EXECUTED*"))+SUM(SUMIFS(DEALS!$R:$R,DEALS!$A:$A,{"*REFUND*","*EXECUTED*"},DEALS!$O:$O,$B$219,DEALS!$E:$E,"&lt;"&amp;$C$221,DEALS!$S:$S,C$223,DEALS!$U:$U,$B240,DEALS!$V:$V,"&lt;&gt;*RECEIVED*",DEALS!$V:$V,"&lt;&gt;*EXECUTED*"))</f>
        <v>0</v>
      </c>
      <c r="D240" s="29" cm="1">
        <f t="array" ref="D240">SUMIFS(BALANCES!$C:$C,BALANCES!$A:$A,$B$219,BALANCES!$B:$B,$B240,BALANCES!$D:$D,D$223)+SUMIFS(FLOWS!$C:$C,FLOWS!$A:$A,$B$219,FLOWS!$E:$E,$B240,FLOWS!$D:$D,D$223,FLOWS!$H:$H,"&lt;"&amp;$C$221)+SUM(SUMIFS(DEALS!$J:$J,DEALS!$A:$A,{"*REFUND*","*EXECUTED*"},DEALS!$G:$G,$B$219,DEALS!$E:$E,"&lt;"&amp;$C$221,DEALS!$K:$K,D$223,DEALS!$M:$M,$B240,DEALS!$N:$N,"&lt;&gt;*RECEIVED*",DEALS!$N:$N,"&lt;&gt;*EXECUTED*"))+SUM(SUMIFS(DEALS!$R:$R,DEALS!$A:$A,{"*REFUND*","*EXECUTED*"},DEALS!$O:$O,$B$219,DEALS!$E:$E,"&lt;"&amp;$C$221,DEALS!$S:$S,D$223,DEALS!$U:$U,$B240,DEALS!$V:$V,"&lt;&gt;*RECEIVED*",DEALS!$V:$V,"&lt;&gt;*EXECUTED*"))</f>
        <v>0</v>
      </c>
      <c r="E240" s="29" cm="1">
        <f t="array" ref="E240">SUMIFS(BALANCES!$C:$C,BALANCES!$A:$A,$B$219,BALANCES!$B:$B,$B240,BALANCES!$D:$D,E$223)+SUMIFS(FLOWS!$C:$C,FLOWS!$A:$A,$B$219,FLOWS!$E:$E,$B240,FLOWS!$D:$D,E$223,FLOWS!$H:$H,"&lt;"&amp;$C$221)+SUM(SUMIFS(DEALS!$J:$J,DEALS!$A:$A,{"*REFUND*","*EXECUTED*"},DEALS!$G:$G,$B$219,DEALS!$E:$E,"&lt;"&amp;$C$221,DEALS!$K:$K,E$223,DEALS!$M:$M,$B240,DEALS!$N:$N,"&lt;&gt;*RECEIVED*",DEALS!$N:$N,"&lt;&gt;*EXECUTED*"))+SUM(SUMIFS(DEALS!$R:$R,DEALS!$A:$A,{"*REFUND*","*EXECUTED*"},DEALS!$O:$O,$B$219,DEALS!$E:$E,"&lt;"&amp;$C$221,DEALS!$S:$S,E$223,DEALS!$U:$U,$B240,DEALS!$V:$V,"&lt;&gt;*RECEIVED*",DEALS!$V:$V,"&lt;&gt;*EXECUTED*"))</f>
        <v>0</v>
      </c>
      <c r="F240" s="29" cm="1">
        <f t="array" ref="F240">SUMIFS(BALANCES!$C:$C,BALANCES!$A:$A,$B$219,BALANCES!$B:$B,$B240,BALANCES!$D:$D,F$223)+SUMIFS(FLOWS!$C:$C,FLOWS!$A:$A,$B$219,FLOWS!$E:$E,$B240,FLOWS!$D:$D,F$223,FLOWS!$H:$H,"&lt;"&amp;$C$221)+SUM(SUMIFS(DEALS!$J:$J,DEALS!$A:$A,{"*REFUND*","*EXECUTED*"},DEALS!$G:$G,$B$219,DEALS!$E:$E,"&lt;"&amp;$C$221,DEALS!$K:$K,F$223,DEALS!$M:$M,$B240,DEALS!$N:$N,"&lt;&gt;*RECEIVED*",DEALS!$N:$N,"&lt;&gt;*EXECUTED*"))+SUM(SUMIFS(DEALS!$R:$R,DEALS!$A:$A,{"*REFUND*","*EXECUTED*"},DEALS!$O:$O,$B$219,DEALS!$E:$E,"&lt;"&amp;$C$221,DEALS!$S:$S,F$223,DEALS!$U:$U,$B240,DEALS!$V:$V,"&lt;&gt;*RECEIVED*",DEALS!$V:$V,"&lt;&gt;*EXECUTED*"))</f>
        <v>0</v>
      </c>
      <c r="G240" s="29" cm="1">
        <f t="array" ref="G240">SUMIFS(BALANCES!$C:$C,BALANCES!$A:$A,$B$219,BALANCES!$B:$B,$B240,BALANCES!$D:$D,G$223)+SUMIFS(FLOWS!$C:$C,FLOWS!$A:$A,$B$219,FLOWS!$E:$E,$B240,FLOWS!$D:$D,G$223,FLOWS!$H:$H,"&lt;"&amp;$C$221)+SUM(SUMIFS(DEALS!$J:$J,DEALS!$A:$A,{"*REFUND*","*EXECUTED*"},DEALS!$G:$G,$B$219,DEALS!$E:$E,"&lt;"&amp;$C$221,DEALS!$K:$K,G$223,DEALS!$M:$M,$B240,DEALS!$N:$N,"&lt;&gt;*RECEIVED*",DEALS!$N:$N,"&lt;&gt;*EXECUTED*"))+SUM(SUMIFS(DEALS!$R:$R,DEALS!$A:$A,{"*REFUND*","*EXECUTED*"},DEALS!$O:$O,$B$219,DEALS!$E:$E,"&lt;"&amp;$C$221,DEALS!$S:$S,G$223,DEALS!$U:$U,$B240,DEALS!$V:$V,"&lt;&gt;*RECEIVED*",DEALS!$V:$V,"&lt;&gt;*EXECUTED*"))</f>
        <v>0</v>
      </c>
      <c r="H240" s="29" cm="1">
        <f t="array" ref="H240">SUMIFS(BALANCES!$C:$C,BALANCES!$A:$A,$B$219,BALANCES!$B:$B,$B240,BALANCES!$D:$D,H$223)+SUMIFS(FLOWS!$C:$C,FLOWS!$A:$A,$B$219,FLOWS!$E:$E,$B240,FLOWS!$D:$D,H$223,FLOWS!$H:$H,"&lt;"&amp;$C$221)+SUM(SUMIFS(DEALS!$J:$J,DEALS!$A:$A,{"*REFUND*","*EXECUTED*"},DEALS!$G:$G,$B$219,DEALS!$E:$E,"&lt;"&amp;$C$221,DEALS!$K:$K,H$223,DEALS!$M:$M,$B240,DEALS!$N:$N,"&lt;&gt;*RECEIVED*",DEALS!$N:$N,"&lt;&gt;*EXECUTED*"))+SUM(SUMIFS(DEALS!$R:$R,DEALS!$A:$A,{"*REFUND*","*EXECUTED*"},DEALS!$O:$O,$B$219,DEALS!$E:$E,"&lt;"&amp;$C$221,DEALS!$S:$S,H$223,DEALS!$U:$U,$B240,DEALS!$V:$V,"&lt;&gt;*RECEIVED*",DEALS!$V:$V,"&lt;&gt;*EXECUTED*"))</f>
        <v>0</v>
      </c>
      <c r="I240" s="30">
        <f ca="1">C240*VLOOKUP(C$223,'FX RATES'!$E$1:$F$50,2,FALSE)+D240*VLOOKUP(D$223,'FX RATES'!$E$1:$F$50,2,FALSE)+E240*VLOOKUP(E$223,'FX RATES'!$E$1:$F$50,2,FALSE)+F240*VLOOKUP(F$223,'FX RATES'!$E$1:$F$50,2,FALSE)+G240*VLOOKUP(G$223,'FX RATES'!$E$1:$F$50,2,FALSE)+H240*VLOOKUP(H$223,'FX RATES'!$E$1:$F$50,2,FALSE)</f>
        <v>0</v>
      </c>
      <c r="K240" s="28">
        <f t="shared" si="85"/>
        <v>0</v>
      </c>
      <c r="L240" s="29" cm="1">
        <f t="array" ref="L240">SUMIFS(FLOWS!$C:$C,FLOWS!$A:$A,$B$219,FLOWS!$E:$E,$K240,FLOWS!$D:$D,L$223,FLOWS!$H:$H,"&gt;="&amp;$C$221,FLOWS!$H:$H,"&lt;="&amp;$U$221)+SUM(SUMIFS(DEALS!$J:$J,DEALS!$A:$A,{"*REFUND*","*EXECUTED*"},DEALS!$G:$G,$B$219,DEALS!$E:$E,"&gt;="&amp;$C$221,DEALS!$E:$E,"&lt;="&amp;$U$221,DEALS!$K:$K,L$223,DEALS!$M:$M,$K240,DEALS!$N:$N,"&lt;&gt;*RECEIVED*",DEALS!$N:$N,"&lt;&gt;*EXECUTED*"))+SUM(SUMIFS(DEALS!$R:$R,DEALS!$A:$A,{"*REFUND*","*EXECUTED*"},DEALS!$O:$O,$B$219,DEALS!$E:$E,"&gt;="&amp;$C$221,DEALS!$E:$E,"&lt;="&amp;$U$221,DEALS!$S:$S,L$223,DEALS!$U:$U,$K240,DEALS!$V:$V,"&lt;&gt;*RECEIVED*",DEALS!$V:$V,"&lt;&gt;*EXECUTED*"))</f>
        <v>0</v>
      </c>
      <c r="M240" s="29" cm="1">
        <f t="array" ref="M240">SUMIFS(FLOWS!$C:$C,FLOWS!$A:$A,$B$219,FLOWS!$E:$E,$K240,FLOWS!$D:$D,M$223,FLOWS!$H:$H,"&gt;="&amp;$C$221,FLOWS!$H:$H,"&lt;="&amp;$U$221)+SUM(SUMIFS(DEALS!$J:$J,DEALS!$A:$A,{"*REFUND*","*EXECUTED*"},DEALS!$G:$G,$B$219,DEALS!$E:$E,"&gt;="&amp;$C$221,DEALS!$E:$E,"&lt;="&amp;$U$221,DEALS!$K:$K,M$223,DEALS!$M:$M,$K240,DEALS!$N:$N,"&lt;&gt;*RECEIVED*",DEALS!$N:$N,"&lt;&gt;*EXECUTED*"))+SUM(SUMIFS(DEALS!$R:$R,DEALS!$A:$A,{"*REFUND*","*EXECUTED*"},DEALS!$O:$O,$B$219,DEALS!$E:$E,"&gt;="&amp;$C$221,DEALS!$E:$E,"&lt;="&amp;$U$221,DEALS!$S:$S,M$223,DEALS!$U:$U,$K240,DEALS!$V:$V,"&lt;&gt;*RECEIVED*",DEALS!$V:$V,"&lt;&gt;*EXECUTED*"))</f>
        <v>0</v>
      </c>
      <c r="N240" s="29" cm="1">
        <f t="array" ref="N240">SUMIFS(FLOWS!$C:$C,FLOWS!$A:$A,$B$219,FLOWS!$E:$E,$K240,FLOWS!$D:$D,N$223,FLOWS!$H:$H,"&gt;="&amp;$C$221,FLOWS!$H:$H,"&lt;="&amp;$U$221)+SUM(SUMIFS(DEALS!$J:$J,DEALS!$A:$A,{"*REFUND*","*EXECUTED*"},DEALS!$G:$G,$B$219,DEALS!$E:$E,"&gt;="&amp;$C$221,DEALS!$E:$E,"&lt;="&amp;$U$221,DEALS!$K:$K,N$223,DEALS!$M:$M,$K240,DEALS!$N:$N,"&lt;&gt;*RECEIVED*",DEALS!$N:$N,"&lt;&gt;*EXECUTED*"))+SUM(SUMIFS(DEALS!$R:$R,DEALS!$A:$A,{"*REFUND*","*EXECUTED*"},DEALS!$O:$O,$B$219,DEALS!$E:$E,"&gt;="&amp;$C$221,DEALS!$E:$E,"&lt;="&amp;$U$221,DEALS!$S:$S,N$223,DEALS!$U:$U,$K240,DEALS!$V:$V,"&lt;&gt;*RECEIVED*",DEALS!$V:$V,"&lt;&gt;*EXECUTED*"))</f>
        <v>0</v>
      </c>
      <c r="O240" s="29" cm="1">
        <f t="array" ref="O240">SUMIFS(FLOWS!$C:$C,FLOWS!$A:$A,$B$219,FLOWS!$E:$E,$K240,FLOWS!$D:$D,O$223,FLOWS!$H:$H,"&gt;="&amp;$C$221,FLOWS!$H:$H,"&lt;="&amp;$U$221)+SUM(SUMIFS(DEALS!$J:$J,DEALS!$A:$A,{"*REFUND*","*EXECUTED*"},DEALS!$G:$G,$B$219,DEALS!$E:$E,"&gt;="&amp;$C$221,DEALS!$E:$E,"&lt;="&amp;$U$221,DEALS!$K:$K,O$223,DEALS!$M:$M,$K240,DEALS!$N:$N,"&lt;&gt;*RECEIVED*",DEALS!$N:$N,"&lt;&gt;*EXECUTED*"))+SUM(SUMIFS(DEALS!$R:$R,DEALS!$A:$A,{"*REFUND*","*EXECUTED*"},DEALS!$O:$O,$B$219,DEALS!$E:$E,"&gt;="&amp;$C$221,DEALS!$E:$E,"&lt;="&amp;$U$221,DEALS!$S:$S,O$223,DEALS!$U:$U,$K240,DEALS!$V:$V,"&lt;&gt;*RECEIVED*",DEALS!$V:$V,"&lt;&gt;*EXECUTED*"))</f>
        <v>0</v>
      </c>
      <c r="P240" s="29" cm="1">
        <f t="array" ref="P240">SUMIFS(FLOWS!$C:$C,FLOWS!$A:$A,$B$219,FLOWS!$E:$E,$K240,FLOWS!$D:$D,P$223,FLOWS!$H:$H,"&gt;="&amp;$C$221,FLOWS!$H:$H,"&lt;="&amp;$U$221)+SUM(SUMIFS(DEALS!$J:$J,DEALS!$A:$A,{"*REFUND*","*EXECUTED*"},DEALS!$G:$G,$B$219,DEALS!$E:$E,"&gt;="&amp;$C$221,DEALS!$E:$E,"&lt;="&amp;$U$221,DEALS!$K:$K,P$223,DEALS!$M:$M,$K240,DEALS!$N:$N,"&lt;&gt;*RECEIVED*",DEALS!$N:$N,"&lt;&gt;*EXECUTED*"))+SUM(SUMIFS(DEALS!$R:$R,DEALS!$A:$A,{"*REFUND*","*EXECUTED*"},DEALS!$O:$O,$B$219,DEALS!$E:$E,"&gt;="&amp;$C$221,DEALS!$E:$E,"&lt;="&amp;$U$221,DEALS!$S:$S,P$223,DEALS!$U:$U,$K240,DEALS!$V:$V,"&lt;&gt;*RECEIVED*",DEALS!$V:$V,"&lt;&gt;*EXECUTED*"))</f>
        <v>0</v>
      </c>
      <c r="Q240" s="29" cm="1">
        <f t="array" ref="Q240">SUMIFS(FLOWS!$C:$C,FLOWS!$A:$A,$B$219,FLOWS!$E:$E,$K240,FLOWS!$D:$D,Q$223,FLOWS!$H:$H,"&gt;="&amp;$C$221,FLOWS!$H:$H,"&lt;="&amp;$U$221)+SUM(SUMIFS(DEALS!$J:$J,DEALS!$A:$A,{"*REFUND*","*EXECUTED*"},DEALS!$G:$G,$B$219,DEALS!$E:$E,"&gt;="&amp;$C$221,DEALS!$E:$E,"&lt;="&amp;$U$221,DEALS!$K:$K,Q$223,DEALS!$M:$M,$K240,DEALS!$N:$N,"&lt;&gt;*RECEIVED*",DEALS!$N:$N,"&lt;&gt;*EXECUTED*"))+SUM(SUMIFS(DEALS!$R:$R,DEALS!$A:$A,{"*REFUND*","*EXECUTED*"},DEALS!$O:$O,$B$219,DEALS!$E:$E,"&gt;="&amp;$C$221,DEALS!$E:$E,"&lt;="&amp;$U$221,DEALS!$S:$S,Q$223,DEALS!$U:$U,$K240,DEALS!$V:$V,"&lt;&gt;*RECEIVED*",DEALS!$V:$V,"&lt;&gt;*EXECUTED*"))</f>
        <v>0</v>
      </c>
      <c r="R240" s="30">
        <f ca="1">L240*VLOOKUP(L$223,'FX RATES'!$E$1:$F$50,2,FALSE)+M240*VLOOKUP(M$223,'FX RATES'!$E$1:$F$50,2,FALSE)+N240*VLOOKUP(N$223,'FX RATES'!$E$1:$F$50,2,FALSE)+O240*VLOOKUP(O$223,'FX RATES'!$E$1:$F$50,2,FALSE)+P240*VLOOKUP(P$223,'FX RATES'!$E$1:$F$50,2,FALSE)+Q240*VLOOKUP(Q$223,'FX RATES'!$E$1:$F$50,2,FALSE)</f>
        <v>0</v>
      </c>
      <c r="T240" s="28">
        <f t="shared" si="86"/>
        <v>0</v>
      </c>
      <c r="U240" s="29" cm="1">
        <f t="array" ref="U240">SUMIFS(BALANCES!$C:$C,BALANCES!$A:$A,$B$219,BALANCES!$B:$B,$T240,BALANCES!$D:$D,U$223)+SUMIFS(FLOWS!$C:$C,FLOWS!$A:$A,$B$219,FLOWS!$E:$E,$T240,FLOWS!$D:$D,U$223,FLOWS!$H:$H,"&lt;="&amp;$U$221)+SUM(SUMIFS(DEALS!$J:$J,DEALS!$A:$A,{"*REFUND*","*EXECUTED*"},DEALS!$G:$G,$B$219,DEALS!$E:$E,"&lt;="&amp;$U$221,DEALS!$K:$K,U$223,DEALS!$M:$M,$T240,DEALS!$N:$N,"&lt;&gt;*RECEIVED*",DEALS!$N:$N,"&lt;&gt;*EXECUTED*"))+SUM(SUMIFS(DEALS!$R:$R,DEALS!$A:$A,{"*REFUND*","*EXECUTED*"},DEALS!$O:$O,$B$219,DEALS!$E:$E,"&lt;="&amp;$U$221,DEALS!$S:$S,U$223,DEALS!$U:$U,$T240,DEALS!$V:$V,"&lt;&gt;*RECEIVED*",DEALS!$V:$V,"&lt;&gt;*EXECUTED*"))</f>
        <v>0</v>
      </c>
      <c r="V240" s="29" cm="1">
        <f t="array" ref="V240">SUMIFS(BALANCES!$C:$C,BALANCES!$A:$A,$B$219,BALANCES!$B:$B,$T240,BALANCES!$D:$D,V$223)+SUMIFS(FLOWS!$C:$C,FLOWS!$A:$A,$B$219,FLOWS!$E:$E,$T240,FLOWS!$D:$D,V$223,FLOWS!$H:$H,"&lt;="&amp;$U$221)+SUM(SUMIFS(DEALS!$J:$J,DEALS!$A:$A,{"*REFUND*","*EXECUTED*"},DEALS!$G:$G,$B$219,DEALS!$E:$E,"&lt;="&amp;$U$221,DEALS!$K:$K,V$223,DEALS!$M:$M,$T240,DEALS!$N:$N,"&lt;&gt;*RECEIVED*",DEALS!$N:$N,"&lt;&gt;*EXECUTED*"))+SUM(SUMIFS(DEALS!$R:$R,DEALS!$A:$A,{"*REFUND*","*EXECUTED*"},DEALS!$O:$O,$B$219,DEALS!$E:$E,"&lt;="&amp;$U$221,DEALS!$S:$S,V$223,DEALS!$U:$U,$T240,DEALS!$V:$V,"&lt;&gt;*RECEIVED*",DEALS!$V:$V,"&lt;&gt;*EXECUTED*"))</f>
        <v>0</v>
      </c>
      <c r="W240" s="29" cm="1">
        <f t="array" ref="W240">SUMIFS(BALANCES!$C:$C,BALANCES!$A:$A,$B$219,BALANCES!$B:$B,$T240,BALANCES!$D:$D,W$223)+SUMIFS(FLOWS!$C:$C,FLOWS!$A:$A,$B$219,FLOWS!$E:$E,$T240,FLOWS!$D:$D,W$223,FLOWS!$H:$H,"&lt;="&amp;$U$221)+SUM(SUMIFS(DEALS!$J:$J,DEALS!$A:$A,{"*REFUND*","*EXECUTED*"},DEALS!$G:$G,$B$219,DEALS!$E:$E,"&lt;="&amp;$U$221,DEALS!$K:$K,W$223,DEALS!$M:$M,$T240,DEALS!$N:$N,"&lt;&gt;*RECEIVED*",DEALS!$N:$N,"&lt;&gt;*EXECUTED*"))+SUM(SUMIFS(DEALS!$R:$R,DEALS!$A:$A,{"*REFUND*","*EXECUTED*"},DEALS!$O:$O,$B$219,DEALS!$E:$E,"&lt;="&amp;$U$221,DEALS!$S:$S,W$223,DEALS!$U:$U,$T240,DEALS!$V:$V,"&lt;&gt;*RECEIVED*",DEALS!$V:$V,"&lt;&gt;*EXECUTED*"))</f>
        <v>0</v>
      </c>
      <c r="X240" s="29" cm="1">
        <f t="array" ref="X240">SUMIFS(BALANCES!$C:$C,BALANCES!$A:$A,$B$219,BALANCES!$B:$B,$T240,BALANCES!$D:$D,X$223)+SUMIFS(FLOWS!$C:$C,FLOWS!$A:$A,$B$219,FLOWS!$E:$E,$T240,FLOWS!$D:$D,X$223,FLOWS!$H:$H,"&lt;="&amp;$U$221)+SUM(SUMIFS(DEALS!$J:$J,DEALS!$A:$A,{"*REFUND*","*EXECUTED*"},DEALS!$G:$G,$B$219,DEALS!$E:$E,"&lt;="&amp;$U$221,DEALS!$K:$K,X$223,DEALS!$M:$M,$T240,DEALS!$N:$N,"&lt;&gt;*RECEIVED*",DEALS!$N:$N,"&lt;&gt;*EXECUTED*"))+SUM(SUMIFS(DEALS!$R:$R,DEALS!$A:$A,{"*REFUND*","*EXECUTED*"},DEALS!$O:$O,$B$219,DEALS!$E:$E,"&lt;="&amp;$U$221,DEALS!$S:$S,X$223,DEALS!$U:$U,$T240,DEALS!$V:$V,"&lt;&gt;*RECEIVED*",DEALS!$V:$V,"&lt;&gt;*EXECUTED*"))</f>
        <v>0</v>
      </c>
      <c r="Y240" s="29" cm="1">
        <f t="array" ref="Y240">SUMIFS(BALANCES!$C:$C,BALANCES!$A:$A,$B$219,BALANCES!$B:$B,$T240,BALANCES!$D:$D,Y$223)+SUMIFS(FLOWS!$C:$C,FLOWS!$A:$A,$B$219,FLOWS!$E:$E,$T240,FLOWS!$D:$D,Y$223,FLOWS!$H:$H,"&lt;="&amp;$U$221)+SUM(SUMIFS(DEALS!$J:$J,DEALS!$A:$A,{"*REFUND*","*EXECUTED*"},DEALS!$G:$G,$B$219,DEALS!$E:$E,"&lt;="&amp;$U$221,DEALS!$K:$K,Y$223,DEALS!$M:$M,$T240,DEALS!$N:$N,"&lt;&gt;*RECEIVED*",DEALS!$N:$N,"&lt;&gt;*EXECUTED*"))+SUM(SUMIFS(DEALS!$R:$R,DEALS!$A:$A,{"*REFUND*","*EXECUTED*"},DEALS!$O:$O,$B$219,DEALS!$E:$E,"&lt;="&amp;$U$221,DEALS!$S:$S,Y$223,DEALS!$U:$U,$T240,DEALS!$V:$V,"&lt;&gt;*RECEIVED*",DEALS!$V:$V,"&lt;&gt;*EXECUTED*"))</f>
        <v>0</v>
      </c>
      <c r="Z240" s="29" cm="1">
        <f t="array" ref="Z240">SUMIFS(BALANCES!$C:$C,BALANCES!$A:$A,$B$219,BALANCES!$B:$B,$T240,BALANCES!$D:$D,Z$223)+SUMIFS(FLOWS!$C:$C,FLOWS!$A:$A,$B$219,FLOWS!$E:$E,$T240,FLOWS!$D:$D,Z$223,FLOWS!$H:$H,"&lt;="&amp;$U$221)+SUM(SUMIFS(DEALS!$J:$J,DEALS!$A:$A,{"*REFUND*","*EXECUTED*"},DEALS!$G:$G,$B$219,DEALS!$E:$E,"&lt;="&amp;$U$221,DEALS!$K:$K,Z$223,DEALS!$M:$M,$T240,DEALS!$N:$N,"&lt;&gt;*RECEIVED*",DEALS!$N:$N,"&lt;&gt;*EXECUTED*"))+SUM(SUMIFS(DEALS!$R:$R,DEALS!$A:$A,{"*REFUND*","*EXECUTED*"},DEALS!$O:$O,$B$219,DEALS!$E:$E,"&lt;="&amp;$U$221,DEALS!$S:$S,Z$223,DEALS!$U:$U,$T240,DEALS!$V:$V,"&lt;&gt;*RECEIVED*",DEALS!$V:$V,"&lt;&gt;*EXECUTED*"))</f>
        <v>0</v>
      </c>
      <c r="AA240" s="30">
        <f ca="1">U240*VLOOKUP(U$223,'FX RATES'!$E$1:$F$50,2,FALSE)+V240*VLOOKUP(V$223,'FX RATES'!$E$1:$F$50,2,FALSE)+W240*VLOOKUP(W$223,'FX RATES'!$E$1:$F$50,2,FALSE)+X240*VLOOKUP(X$223,'FX RATES'!$E$1:$F$50,2,FALSE)+Y240*VLOOKUP(Y$223,'FX RATES'!$E$1:$F$50,2,FALSE)+Z240*VLOOKUP(Z$223,'FX RATES'!$E$1:$F$50,2,FALSE)</f>
        <v>0</v>
      </c>
      <c r="AC240" s="139">
        <f t="shared" ca="1" si="87"/>
        <v>0</v>
      </c>
    </row>
    <row r="241" spans="2:29" ht="18.75" hidden="1" customHeight="1">
      <c r="B241" s="31"/>
      <c r="C241" s="32" cm="1">
        <f t="array" ref="C241">SUMIFS(BALANCES!$C:$C,BALANCES!$A:$A,$B$219,BALANCES!$B:$B,$B241,BALANCES!$D:$D,C$223)+SUMIFS(FLOWS!$C:$C,FLOWS!$A:$A,$B$219,FLOWS!$E:$E,$B241,FLOWS!$D:$D,C$223,FLOWS!$H:$H,"&lt;"&amp;$C$221)+SUM(SUMIFS(DEALS!$J:$J,DEALS!$A:$A,{"*REFUND*","*EXECUTED*"},DEALS!$G:$G,$B$219,DEALS!$E:$E,"&lt;"&amp;$C$221,DEALS!$K:$K,C$223,DEALS!$M:$M,$B241,DEALS!$N:$N,"&lt;&gt;*RECEIVED*",DEALS!$N:$N,"&lt;&gt;*EXECUTED*"))+SUM(SUMIFS(DEALS!$R:$R,DEALS!$A:$A,{"*REFUND*","*EXECUTED*"},DEALS!$O:$O,$B$219,DEALS!$E:$E,"&lt;"&amp;$C$221,DEALS!$S:$S,C$223,DEALS!$U:$U,$B241,DEALS!$V:$V,"&lt;&gt;*RECEIVED*",DEALS!$V:$V,"&lt;&gt;*EXECUTED*"))</f>
        <v>0</v>
      </c>
      <c r="D241" s="32" cm="1">
        <f t="array" ref="D241">SUMIFS(BALANCES!$C:$C,BALANCES!$A:$A,$B$219,BALANCES!$B:$B,$B241,BALANCES!$D:$D,D$223)+SUMIFS(FLOWS!$C:$C,FLOWS!$A:$A,$B$219,FLOWS!$E:$E,$B241,FLOWS!$D:$D,D$223,FLOWS!$H:$H,"&lt;"&amp;$C$221)+SUM(SUMIFS(DEALS!$J:$J,DEALS!$A:$A,{"*REFUND*","*EXECUTED*"},DEALS!$G:$G,$B$219,DEALS!$E:$E,"&lt;"&amp;$C$221,DEALS!$K:$K,D$223,DEALS!$M:$M,$B241,DEALS!$N:$N,"&lt;&gt;*RECEIVED*",DEALS!$N:$N,"&lt;&gt;*EXECUTED*"))+SUM(SUMIFS(DEALS!$R:$R,DEALS!$A:$A,{"*REFUND*","*EXECUTED*"},DEALS!$O:$O,$B$219,DEALS!$E:$E,"&lt;"&amp;$C$221,DEALS!$S:$S,D$223,DEALS!$U:$U,$B241,DEALS!$V:$V,"&lt;&gt;*RECEIVED*",DEALS!$V:$V,"&lt;&gt;*EXECUTED*"))</f>
        <v>0</v>
      </c>
      <c r="E241" s="32" cm="1">
        <f t="array" ref="E241">SUMIFS(BALANCES!$C:$C,BALANCES!$A:$A,$B$219,BALANCES!$B:$B,$B241,BALANCES!$D:$D,E$223)+SUMIFS(FLOWS!$C:$C,FLOWS!$A:$A,$B$219,FLOWS!$E:$E,$B241,FLOWS!$D:$D,E$223,FLOWS!$H:$H,"&lt;"&amp;$C$221)+SUM(SUMIFS(DEALS!$J:$J,DEALS!$A:$A,{"*REFUND*","*EXECUTED*"},DEALS!$G:$G,$B$219,DEALS!$E:$E,"&lt;"&amp;$C$221,DEALS!$K:$K,E$223,DEALS!$M:$M,$B241,DEALS!$N:$N,"&lt;&gt;*RECEIVED*",DEALS!$N:$N,"&lt;&gt;*EXECUTED*"))+SUM(SUMIFS(DEALS!$R:$R,DEALS!$A:$A,{"*REFUND*","*EXECUTED*"},DEALS!$O:$O,$B$219,DEALS!$E:$E,"&lt;"&amp;$C$221,DEALS!$S:$S,E$223,DEALS!$U:$U,$B241,DEALS!$V:$V,"&lt;&gt;*RECEIVED*",DEALS!$V:$V,"&lt;&gt;*EXECUTED*"))</f>
        <v>0</v>
      </c>
      <c r="F241" s="32" cm="1">
        <f t="array" ref="F241">SUMIFS(BALANCES!$C:$C,BALANCES!$A:$A,$B$219,BALANCES!$B:$B,$B241,BALANCES!$D:$D,F$223)+SUMIFS(FLOWS!$C:$C,FLOWS!$A:$A,$B$219,FLOWS!$E:$E,$B241,FLOWS!$D:$D,F$223,FLOWS!$H:$H,"&lt;"&amp;$C$221)+SUM(SUMIFS(DEALS!$J:$J,DEALS!$A:$A,{"*REFUND*","*EXECUTED*"},DEALS!$G:$G,$B$219,DEALS!$E:$E,"&lt;"&amp;$C$221,DEALS!$K:$K,F$223,DEALS!$M:$M,$B241,DEALS!$N:$N,"&lt;&gt;*RECEIVED*",DEALS!$N:$N,"&lt;&gt;*EXECUTED*"))+SUM(SUMIFS(DEALS!$R:$R,DEALS!$A:$A,{"*REFUND*","*EXECUTED*"},DEALS!$O:$O,$B$219,DEALS!$E:$E,"&lt;"&amp;$C$221,DEALS!$S:$S,F$223,DEALS!$U:$U,$B241,DEALS!$V:$V,"&lt;&gt;*RECEIVED*",DEALS!$V:$V,"&lt;&gt;*EXECUTED*"))</f>
        <v>0</v>
      </c>
      <c r="G241" s="32" cm="1">
        <f t="array" ref="G241">SUMIFS(BALANCES!$C:$C,BALANCES!$A:$A,$B$219,BALANCES!$B:$B,$B241,BALANCES!$D:$D,G$223)+SUMIFS(FLOWS!$C:$C,FLOWS!$A:$A,$B$219,FLOWS!$E:$E,$B241,FLOWS!$D:$D,G$223,FLOWS!$H:$H,"&lt;"&amp;$C$221)+SUM(SUMIFS(DEALS!$J:$J,DEALS!$A:$A,{"*REFUND*","*EXECUTED*"},DEALS!$G:$G,$B$219,DEALS!$E:$E,"&lt;"&amp;$C$221,DEALS!$K:$K,G$223,DEALS!$M:$M,$B241,DEALS!$N:$N,"&lt;&gt;*RECEIVED*",DEALS!$N:$N,"&lt;&gt;*EXECUTED*"))+SUM(SUMIFS(DEALS!$R:$R,DEALS!$A:$A,{"*REFUND*","*EXECUTED*"},DEALS!$O:$O,$B$219,DEALS!$E:$E,"&lt;"&amp;$C$221,DEALS!$S:$S,G$223,DEALS!$U:$U,$B241,DEALS!$V:$V,"&lt;&gt;*RECEIVED*",DEALS!$V:$V,"&lt;&gt;*EXECUTED*"))</f>
        <v>0</v>
      </c>
      <c r="H241" s="32" cm="1">
        <f t="array" ref="H241">SUMIFS(BALANCES!$C:$C,BALANCES!$A:$A,$B$219,BALANCES!$B:$B,$B241,BALANCES!$D:$D,H$223)+SUMIFS(FLOWS!$C:$C,FLOWS!$A:$A,$B$219,FLOWS!$E:$E,$B241,FLOWS!$D:$D,H$223,FLOWS!$H:$H,"&lt;"&amp;$C$221)+SUM(SUMIFS(DEALS!$J:$J,DEALS!$A:$A,{"*REFUND*","*EXECUTED*"},DEALS!$G:$G,$B$219,DEALS!$E:$E,"&lt;"&amp;$C$221,DEALS!$K:$K,H$223,DEALS!$M:$M,$B241,DEALS!$N:$N,"&lt;&gt;*RECEIVED*",DEALS!$N:$N,"&lt;&gt;*EXECUTED*"))+SUM(SUMIFS(DEALS!$R:$R,DEALS!$A:$A,{"*REFUND*","*EXECUTED*"},DEALS!$O:$O,$B$219,DEALS!$E:$E,"&lt;"&amp;$C$221,DEALS!$S:$S,H$223,DEALS!$U:$U,$B241,DEALS!$V:$V,"&lt;&gt;*RECEIVED*",DEALS!$V:$V,"&lt;&gt;*EXECUTED*"))</f>
        <v>0</v>
      </c>
      <c r="I241" s="33">
        <f ca="1">C241*VLOOKUP(C$223,'FX RATES'!$E$1:$F$50,2,FALSE)+D241*VLOOKUP(D$223,'FX RATES'!$E$1:$F$50,2,FALSE)+E241*VLOOKUP(E$223,'FX RATES'!$E$1:$F$50,2,FALSE)+F241*VLOOKUP(F$223,'FX RATES'!$E$1:$F$50,2,FALSE)+G241*VLOOKUP(G$223,'FX RATES'!$E$1:$F$50,2,FALSE)+H241*VLOOKUP(H$223,'FX RATES'!$E$1:$F$50,2,FALSE)</f>
        <v>0</v>
      </c>
      <c r="K241" s="31">
        <f t="shared" si="85"/>
        <v>0</v>
      </c>
      <c r="L241" s="32" cm="1">
        <f t="array" ref="L241">SUMIFS(FLOWS!$C:$C,FLOWS!$A:$A,$B$219,FLOWS!$E:$E,$K241,FLOWS!$D:$D,L$223,FLOWS!$H:$H,"&gt;="&amp;$C$221,FLOWS!$H:$H,"&lt;="&amp;$U$221)+SUM(SUMIFS(DEALS!$J:$J,DEALS!$A:$A,{"*REFUND*","*EXECUTED*"},DEALS!$G:$G,$B$219,DEALS!$E:$E,"&gt;="&amp;$C$221,DEALS!$E:$E,"&lt;="&amp;$U$221,DEALS!$K:$K,L$223,DEALS!$M:$M,$K241,DEALS!$N:$N,"&lt;&gt;*RECEIVED*",DEALS!$N:$N,"&lt;&gt;*EXECUTED*"))+SUM(SUMIFS(DEALS!$R:$R,DEALS!$A:$A,{"*REFUND*","*EXECUTED*"},DEALS!$O:$O,$B$219,DEALS!$E:$E,"&gt;="&amp;$C$221,DEALS!$E:$E,"&lt;="&amp;$U$221,DEALS!$S:$S,L$223,DEALS!$U:$U,$K241,DEALS!$V:$V,"&lt;&gt;*RECEIVED*",DEALS!$V:$V,"&lt;&gt;*EXECUTED*"))</f>
        <v>0</v>
      </c>
      <c r="M241" s="32" cm="1">
        <f t="array" ref="M241">SUMIFS(FLOWS!$C:$C,FLOWS!$A:$A,$B$219,FLOWS!$E:$E,$K241,FLOWS!$D:$D,M$223,FLOWS!$H:$H,"&gt;="&amp;$C$221,FLOWS!$H:$H,"&lt;="&amp;$U$221)+SUM(SUMIFS(DEALS!$J:$J,DEALS!$A:$A,{"*REFUND*","*EXECUTED*"},DEALS!$G:$G,$B$219,DEALS!$E:$E,"&gt;="&amp;$C$221,DEALS!$E:$E,"&lt;="&amp;$U$221,DEALS!$K:$K,M$223,DEALS!$M:$M,$K241,DEALS!$N:$N,"&lt;&gt;*RECEIVED*",DEALS!$N:$N,"&lt;&gt;*EXECUTED*"))+SUM(SUMIFS(DEALS!$R:$R,DEALS!$A:$A,{"*REFUND*","*EXECUTED*"},DEALS!$O:$O,$B$219,DEALS!$E:$E,"&gt;="&amp;$C$221,DEALS!$E:$E,"&lt;="&amp;$U$221,DEALS!$S:$S,M$223,DEALS!$U:$U,$K241,DEALS!$V:$V,"&lt;&gt;*RECEIVED*",DEALS!$V:$V,"&lt;&gt;*EXECUTED*"))</f>
        <v>0</v>
      </c>
      <c r="N241" s="32" cm="1">
        <f t="array" ref="N241">SUMIFS(FLOWS!$C:$C,FLOWS!$A:$A,$B$219,FLOWS!$E:$E,$K241,FLOWS!$D:$D,N$223,FLOWS!$H:$H,"&gt;="&amp;$C$221,FLOWS!$H:$H,"&lt;="&amp;$U$221)+SUM(SUMIFS(DEALS!$J:$J,DEALS!$A:$A,{"*REFUND*","*EXECUTED*"},DEALS!$G:$G,$B$219,DEALS!$E:$E,"&gt;="&amp;$C$221,DEALS!$E:$E,"&lt;="&amp;$U$221,DEALS!$K:$K,N$223,DEALS!$M:$M,$K241,DEALS!$N:$N,"&lt;&gt;*RECEIVED*",DEALS!$N:$N,"&lt;&gt;*EXECUTED*"))+SUM(SUMIFS(DEALS!$R:$R,DEALS!$A:$A,{"*REFUND*","*EXECUTED*"},DEALS!$O:$O,$B$219,DEALS!$E:$E,"&gt;="&amp;$C$221,DEALS!$E:$E,"&lt;="&amp;$U$221,DEALS!$S:$S,N$223,DEALS!$U:$U,$K241,DEALS!$V:$V,"&lt;&gt;*RECEIVED*",DEALS!$V:$V,"&lt;&gt;*EXECUTED*"))</f>
        <v>0</v>
      </c>
      <c r="O241" s="32" cm="1">
        <f t="array" ref="O241">SUMIFS(FLOWS!$C:$C,FLOWS!$A:$A,$B$219,FLOWS!$E:$E,$K241,FLOWS!$D:$D,O$223,FLOWS!$H:$H,"&gt;="&amp;$C$221,FLOWS!$H:$H,"&lt;="&amp;$U$221)+SUM(SUMIFS(DEALS!$J:$J,DEALS!$A:$A,{"*REFUND*","*EXECUTED*"},DEALS!$G:$G,$B$219,DEALS!$E:$E,"&gt;="&amp;$C$221,DEALS!$E:$E,"&lt;="&amp;$U$221,DEALS!$K:$K,O$223,DEALS!$M:$M,$K241,DEALS!$N:$N,"&lt;&gt;*RECEIVED*",DEALS!$N:$N,"&lt;&gt;*EXECUTED*"))+SUM(SUMIFS(DEALS!$R:$R,DEALS!$A:$A,{"*REFUND*","*EXECUTED*"},DEALS!$O:$O,$B$219,DEALS!$E:$E,"&gt;="&amp;$C$221,DEALS!$E:$E,"&lt;="&amp;$U$221,DEALS!$S:$S,O$223,DEALS!$U:$U,$K241,DEALS!$V:$V,"&lt;&gt;*RECEIVED*",DEALS!$V:$V,"&lt;&gt;*EXECUTED*"))</f>
        <v>0</v>
      </c>
      <c r="P241" s="32" cm="1">
        <f t="array" ref="P241">SUMIFS(FLOWS!$C:$C,FLOWS!$A:$A,$B$219,FLOWS!$E:$E,$K241,FLOWS!$D:$D,P$223,FLOWS!$H:$H,"&gt;="&amp;$C$221,FLOWS!$H:$H,"&lt;="&amp;$U$221)+SUM(SUMIFS(DEALS!$J:$J,DEALS!$A:$A,{"*REFUND*","*EXECUTED*"},DEALS!$G:$G,$B$219,DEALS!$E:$E,"&gt;="&amp;$C$221,DEALS!$E:$E,"&lt;="&amp;$U$221,DEALS!$K:$K,P$223,DEALS!$M:$M,$K241,DEALS!$N:$N,"&lt;&gt;*RECEIVED*",DEALS!$N:$N,"&lt;&gt;*EXECUTED*"))+SUM(SUMIFS(DEALS!$R:$R,DEALS!$A:$A,{"*REFUND*","*EXECUTED*"},DEALS!$O:$O,$B$219,DEALS!$E:$E,"&gt;="&amp;$C$221,DEALS!$E:$E,"&lt;="&amp;$U$221,DEALS!$S:$S,P$223,DEALS!$U:$U,$K241,DEALS!$V:$V,"&lt;&gt;*RECEIVED*",DEALS!$V:$V,"&lt;&gt;*EXECUTED*"))</f>
        <v>0</v>
      </c>
      <c r="Q241" s="32" cm="1">
        <f t="array" ref="Q241">SUMIFS(FLOWS!$C:$C,FLOWS!$A:$A,$B$219,FLOWS!$E:$E,$K241,FLOWS!$D:$D,Q$223,FLOWS!$H:$H,"&gt;="&amp;$C$221,FLOWS!$H:$H,"&lt;="&amp;$U$221)+SUM(SUMIFS(DEALS!$J:$J,DEALS!$A:$A,{"*REFUND*","*EXECUTED*"},DEALS!$G:$G,$B$219,DEALS!$E:$E,"&gt;="&amp;$C$221,DEALS!$E:$E,"&lt;="&amp;$U$221,DEALS!$K:$K,Q$223,DEALS!$M:$M,$K241,DEALS!$N:$N,"&lt;&gt;*RECEIVED*",DEALS!$N:$N,"&lt;&gt;*EXECUTED*"))+SUM(SUMIFS(DEALS!$R:$R,DEALS!$A:$A,{"*REFUND*","*EXECUTED*"},DEALS!$O:$O,$B$219,DEALS!$E:$E,"&gt;="&amp;$C$221,DEALS!$E:$E,"&lt;="&amp;$U$221,DEALS!$S:$S,Q$223,DEALS!$U:$U,$K241,DEALS!$V:$V,"&lt;&gt;*RECEIVED*",DEALS!$V:$V,"&lt;&gt;*EXECUTED*"))</f>
        <v>0</v>
      </c>
      <c r="R241" s="33">
        <f ca="1">L241*VLOOKUP(L$223,'FX RATES'!$E$1:$F$50,2,FALSE)+M241*VLOOKUP(M$223,'FX RATES'!$E$1:$F$50,2,FALSE)+N241*VLOOKUP(N$223,'FX RATES'!$E$1:$F$50,2,FALSE)+O241*VLOOKUP(O$223,'FX RATES'!$E$1:$F$50,2,FALSE)+P241*VLOOKUP(P$223,'FX RATES'!$E$1:$F$50,2,FALSE)+Q241*VLOOKUP(Q$223,'FX RATES'!$E$1:$F$50,2,FALSE)</f>
        <v>0</v>
      </c>
      <c r="T241" s="31">
        <f t="shared" si="86"/>
        <v>0</v>
      </c>
      <c r="U241" s="32" cm="1">
        <f t="array" ref="U241">SUMIFS(BALANCES!$C:$C,BALANCES!$A:$A,$B$219,BALANCES!$B:$B,$T241,BALANCES!$D:$D,U$223)+SUMIFS(FLOWS!$C:$C,FLOWS!$A:$A,$B$219,FLOWS!$E:$E,$T241,FLOWS!$D:$D,U$223,FLOWS!$H:$H,"&lt;="&amp;$U$221)+SUM(SUMIFS(DEALS!$J:$J,DEALS!$A:$A,{"*REFUND*","*EXECUTED*"},DEALS!$G:$G,$B$219,DEALS!$E:$E,"&lt;="&amp;$U$221,DEALS!$K:$K,U$223,DEALS!$M:$M,$T241,DEALS!$N:$N,"&lt;&gt;*RECEIVED*",DEALS!$N:$N,"&lt;&gt;*EXECUTED*"))+SUM(SUMIFS(DEALS!$R:$R,DEALS!$A:$A,{"*REFUND*","*EXECUTED*"},DEALS!$O:$O,$B$219,DEALS!$E:$E,"&lt;="&amp;$U$221,DEALS!$S:$S,U$223,DEALS!$U:$U,$T241,DEALS!$V:$V,"&lt;&gt;*RECEIVED*",DEALS!$V:$V,"&lt;&gt;*EXECUTED*"))</f>
        <v>0</v>
      </c>
      <c r="V241" s="32" cm="1">
        <f t="array" ref="V241">SUMIFS(BALANCES!$C:$C,BALANCES!$A:$A,$B$219,BALANCES!$B:$B,$T241,BALANCES!$D:$D,V$223)+SUMIFS(FLOWS!$C:$C,FLOWS!$A:$A,$B$219,FLOWS!$E:$E,$T241,FLOWS!$D:$D,V$223,FLOWS!$H:$H,"&lt;="&amp;$U$221)+SUM(SUMIFS(DEALS!$J:$J,DEALS!$A:$A,{"*REFUND*","*EXECUTED*"},DEALS!$G:$G,$B$219,DEALS!$E:$E,"&lt;="&amp;$U$221,DEALS!$K:$K,V$223,DEALS!$M:$M,$T241,DEALS!$N:$N,"&lt;&gt;*RECEIVED*",DEALS!$N:$N,"&lt;&gt;*EXECUTED*"))+SUM(SUMIFS(DEALS!$R:$R,DEALS!$A:$A,{"*REFUND*","*EXECUTED*"},DEALS!$O:$O,$B$219,DEALS!$E:$E,"&lt;="&amp;$U$221,DEALS!$S:$S,V$223,DEALS!$U:$U,$T241,DEALS!$V:$V,"&lt;&gt;*RECEIVED*",DEALS!$V:$V,"&lt;&gt;*EXECUTED*"))</f>
        <v>0</v>
      </c>
      <c r="W241" s="32" cm="1">
        <f t="array" ref="W241">SUMIFS(BALANCES!$C:$C,BALANCES!$A:$A,$B$219,BALANCES!$B:$B,$T241,BALANCES!$D:$D,W$223)+SUMIFS(FLOWS!$C:$C,FLOWS!$A:$A,$B$219,FLOWS!$E:$E,$T241,FLOWS!$D:$D,W$223,FLOWS!$H:$H,"&lt;="&amp;$U$221)+SUM(SUMIFS(DEALS!$J:$J,DEALS!$A:$A,{"*REFUND*","*EXECUTED*"},DEALS!$G:$G,$B$219,DEALS!$E:$E,"&lt;="&amp;$U$221,DEALS!$K:$K,W$223,DEALS!$M:$M,$T241,DEALS!$N:$N,"&lt;&gt;*RECEIVED*",DEALS!$N:$N,"&lt;&gt;*EXECUTED*"))+SUM(SUMIFS(DEALS!$R:$R,DEALS!$A:$A,{"*REFUND*","*EXECUTED*"},DEALS!$O:$O,$B$219,DEALS!$E:$E,"&lt;="&amp;$U$221,DEALS!$S:$S,W$223,DEALS!$U:$U,$T241,DEALS!$V:$V,"&lt;&gt;*RECEIVED*",DEALS!$V:$V,"&lt;&gt;*EXECUTED*"))</f>
        <v>0</v>
      </c>
      <c r="X241" s="32" cm="1">
        <f t="array" ref="X241">SUMIFS(BALANCES!$C:$C,BALANCES!$A:$A,$B$219,BALANCES!$B:$B,$T241,BALANCES!$D:$D,X$223)+SUMIFS(FLOWS!$C:$C,FLOWS!$A:$A,$B$219,FLOWS!$E:$E,$T241,FLOWS!$D:$D,X$223,FLOWS!$H:$H,"&lt;="&amp;$U$221)+SUM(SUMIFS(DEALS!$J:$J,DEALS!$A:$A,{"*REFUND*","*EXECUTED*"},DEALS!$G:$G,$B$219,DEALS!$E:$E,"&lt;="&amp;$U$221,DEALS!$K:$K,X$223,DEALS!$M:$M,$T241,DEALS!$N:$N,"&lt;&gt;*RECEIVED*",DEALS!$N:$N,"&lt;&gt;*EXECUTED*"))+SUM(SUMIFS(DEALS!$R:$R,DEALS!$A:$A,{"*REFUND*","*EXECUTED*"},DEALS!$O:$O,$B$219,DEALS!$E:$E,"&lt;="&amp;$U$221,DEALS!$S:$S,X$223,DEALS!$U:$U,$T241,DEALS!$V:$V,"&lt;&gt;*RECEIVED*",DEALS!$V:$V,"&lt;&gt;*EXECUTED*"))</f>
        <v>0</v>
      </c>
      <c r="Y241" s="32" cm="1">
        <f t="array" ref="Y241">SUMIFS(BALANCES!$C:$C,BALANCES!$A:$A,$B$219,BALANCES!$B:$B,$T241,BALANCES!$D:$D,Y$223)+SUMIFS(FLOWS!$C:$C,FLOWS!$A:$A,$B$219,FLOWS!$E:$E,$T241,FLOWS!$D:$D,Y$223,FLOWS!$H:$H,"&lt;="&amp;$U$221)+SUM(SUMIFS(DEALS!$J:$J,DEALS!$A:$A,{"*REFUND*","*EXECUTED*"},DEALS!$G:$G,$B$219,DEALS!$E:$E,"&lt;="&amp;$U$221,DEALS!$K:$K,Y$223,DEALS!$M:$M,$T241,DEALS!$N:$N,"&lt;&gt;*RECEIVED*",DEALS!$N:$N,"&lt;&gt;*EXECUTED*"))+SUM(SUMIFS(DEALS!$R:$R,DEALS!$A:$A,{"*REFUND*","*EXECUTED*"},DEALS!$O:$O,$B$219,DEALS!$E:$E,"&lt;="&amp;$U$221,DEALS!$S:$S,Y$223,DEALS!$U:$U,$T241,DEALS!$V:$V,"&lt;&gt;*RECEIVED*",DEALS!$V:$V,"&lt;&gt;*EXECUTED*"))</f>
        <v>0</v>
      </c>
      <c r="Z241" s="32" cm="1">
        <f t="array" ref="Z241">SUMIFS(BALANCES!$C:$C,BALANCES!$A:$A,$B$219,BALANCES!$B:$B,$T241,BALANCES!$D:$D,Z$223)+SUMIFS(FLOWS!$C:$C,FLOWS!$A:$A,$B$219,FLOWS!$E:$E,$T241,FLOWS!$D:$D,Z$223,FLOWS!$H:$H,"&lt;="&amp;$U$221)+SUM(SUMIFS(DEALS!$J:$J,DEALS!$A:$A,{"*REFUND*","*EXECUTED*"},DEALS!$G:$G,$B$219,DEALS!$E:$E,"&lt;="&amp;$U$221,DEALS!$K:$K,Z$223,DEALS!$M:$M,$T241,DEALS!$N:$N,"&lt;&gt;*RECEIVED*",DEALS!$N:$N,"&lt;&gt;*EXECUTED*"))+SUM(SUMIFS(DEALS!$R:$R,DEALS!$A:$A,{"*REFUND*","*EXECUTED*"},DEALS!$O:$O,$B$219,DEALS!$E:$E,"&lt;="&amp;$U$221,DEALS!$S:$S,Z$223,DEALS!$U:$U,$T241,DEALS!$V:$V,"&lt;&gt;*RECEIVED*",DEALS!$V:$V,"&lt;&gt;*EXECUTED*"))</f>
        <v>0</v>
      </c>
      <c r="AA241" s="33">
        <f ca="1">U241*VLOOKUP(U$223,'FX RATES'!$E$1:$F$50,2,FALSE)+V241*VLOOKUP(V$223,'FX RATES'!$E$1:$F$50,2,FALSE)+W241*VLOOKUP(W$223,'FX RATES'!$E$1:$F$50,2,FALSE)+X241*VLOOKUP(X$223,'FX RATES'!$E$1:$F$50,2,FALSE)+Y241*VLOOKUP(Y$223,'FX RATES'!$E$1:$F$50,2,FALSE)+Z241*VLOOKUP(Z$223,'FX RATES'!$E$1:$F$50,2,FALSE)</f>
        <v>0</v>
      </c>
      <c r="AC241" s="139">
        <f t="shared" ca="1" si="87"/>
        <v>0</v>
      </c>
    </row>
    <row r="242" spans="2:29" ht="18.75" customHeight="1" thickBot="1">
      <c r="B242" s="13" t="s">
        <v>26</v>
      </c>
      <c r="C242" s="16">
        <f>SUM(C224:C241)</f>
        <v>816.49</v>
      </c>
      <c r="D242" s="16">
        <f t="shared" ref="D242:E242" si="88">SUM(D224:D241)</f>
        <v>0</v>
      </c>
      <c r="E242" s="16">
        <f t="shared" si="88"/>
        <v>0</v>
      </c>
      <c r="F242" s="16">
        <f>SUM(F224:F241)</f>
        <v>0</v>
      </c>
      <c r="G242" s="16">
        <f t="shared" ref="G242:H242" si="89">SUM(G224:G241)</f>
        <v>0</v>
      </c>
      <c r="H242" s="16">
        <f t="shared" si="89"/>
        <v>0</v>
      </c>
      <c r="I242" s="16">
        <f ca="1">SUM(I224:I241)</f>
        <v>816.49</v>
      </c>
      <c r="K242" s="13" t="s">
        <v>26</v>
      </c>
      <c r="L242" s="16">
        <f t="shared" ref="L242:R242" si="90">SUM(L224:L241)</f>
        <v>0</v>
      </c>
      <c r="M242" s="16">
        <f t="shared" si="90"/>
        <v>0</v>
      </c>
      <c r="N242" s="16">
        <f t="shared" si="90"/>
        <v>0</v>
      </c>
      <c r="O242" s="16">
        <f t="shared" si="90"/>
        <v>0</v>
      </c>
      <c r="P242" s="16">
        <f t="shared" si="90"/>
        <v>0</v>
      </c>
      <c r="Q242" s="16">
        <f t="shared" si="90"/>
        <v>0</v>
      </c>
      <c r="R242" s="16">
        <f t="shared" ca="1" si="90"/>
        <v>0</v>
      </c>
      <c r="T242" s="13" t="s">
        <v>26</v>
      </c>
      <c r="U242" s="16">
        <f t="shared" ref="U242:AA242" si="91">SUM(U224:U241)</f>
        <v>816.49</v>
      </c>
      <c r="V242" s="16">
        <f t="shared" si="91"/>
        <v>0</v>
      </c>
      <c r="W242" s="16">
        <f t="shared" si="91"/>
        <v>0</v>
      </c>
      <c r="X242" s="16">
        <f t="shared" si="91"/>
        <v>0</v>
      </c>
      <c r="Y242" s="16">
        <f t="shared" si="91"/>
        <v>0</v>
      </c>
      <c r="Z242" s="16">
        <f>SUM(Z224:Z241)</f>
        <v>0</v>
      </c>
      <c r="AA242" s="16">
        <f t="shared" ca="1" si="91"/>
        <v>816.49</v>
      </c>
      <c r="AC242" s="139">
        <f t="shared" ca="1" si="87"/>
        <v>0</v>
      </c>
    </row>
    <row r="243" spans="2:29" ht="18.75" customHeight="1" thickBot="1">
      <c r="B243" s="10" t="s">
        <v>11</v>
      </c>
      <c r="C243" s="17">
        <f>VLOOKUP(C223,'FX RATES'!$E$1:$F$50,2,FALSE)*C242</f>
        <v>816.49</v>
      </c>
      <c r="D243" s="17">
        <f ca="1">VLOOKUP(D223,'FX RATES'!$E$1:$F$50,2,FALSE)*D242</f>
        <v>0</v>
      </c>
      <c r="E243" s="17">
        <f ca="1">VLOOKUP(E223,'FX RATES'!$E$1:$F$50,2,FALSE)*E242</f>
        <v>0</v>
      </c>
      <c r="F243" s="17">
        <f ca="1">VLOOKUP(F223,'FX RATES'!$E$1:$F$50,2,FALSE)*F242</f>
        <v>0</v>
      </c>
      <c r="G243" s="17">
        <f ca="1">VLOOKUP(G223,'FX RATES'!$E$1:$F$50,2,FALSE)*G242</f>
        <v>0</v>
      </c>
      <c r="H243" s="17">
        <f ca="1">VLOOKUP(H223,'FX RATES'!$E$1:$F$50,2,FALSE)*H242</f>
        <v>0</v>
      </c>
      <c r="I243" s="16">
        <f ca="1">SUM(C243:H243)</f>
        <v>816.49</v>
      </c>
      <c r="K243" s="10" t="s">
        <v>11</v>
      </c>
      <c r="L243" s="17">
        <f>VLOOKUP(L223,'FX RATES'!$E$1:$F$50,2,FALSE)*L242</f>
        <v>0</v>
      </c>
      <c r="M243" s="17">
        <f ca="1">VLOOKUP(M223,'FX RATES'!$E$1:$F$50,2,FALSE)*M242</f>
        <v>0</v>
      </c>
      <c r="N243" s="17">
        <f ca="1">VLOOKUP(N223,'FX RATES'!$E$1:$F$50,2,FALSE)*N242</f>
        <v>0</v>
      </c>
      <c r="O243" s="17">
        <f ca="1">VLOOKUP(O223,'FX RATES'!$E$1:$F$50,2,FALSE)*O242</f>
        <v>0</v>
      </c>
      <c r="P243" s="17">
        <f ca="1">VLOOKUP(P223,'FX RATES'!$E$1:$F$50,2,FALSE)*P242</f>
        <v>0</v>
      </c>
      <c r="Q243" s="17">
        <f ca="1">VLOOKUP(Q223,'FX RATES'!$E$1:$F$50,2,FALSE)*Q242</f>
        <v>0</v>
      </c>
      <c r="R243" s="16">
        <f ca="1">SUM(L243:Q243)</f>
        <v>0</v>
      </c>
      <c r="T243" s="10" t="s">
        <v>11</v>
      </c>
      <c r="U243" s="17">
        <f>VLOOKUP(U223,'FX RATES'!$E$1:$F$50,2,FALSE)*U242</f>
        <v>816.49</v>
      </c>
      <c r="V243" s="17">
        <f ca="1">VLOOKUP(V223,'FX RATES'!$E$1:$F$50,2,FALSE)*V242</f>
        <v>0</v>
      </c>
      <c r="W243" s="17">
        <f ca="1">VLOOKUP(W223,'FX RATES'!$E$1:$F$50,2,FALSE)*W242</f>
        <v>0</v>
      </c>
      <c r="X243" s="17">
        <f ca="1">VLOOKUP(X223,'FX RATES'!$E$1:$F$50,2,FALSE)*X242</f>
        <v>0</v>
      </c>
      <c r="Y243" s="17">
        <f ca="1">VLOOKUP(Y223,'FX RATES'!$E$1:$F$50,2,FALSE)*Y242</f>
        <v>0</v>
      </c>
      <c r="Z243" s="17">
        <f ca="1">VLOOKUP(Z223,'FX RATES'!$E$1:$F$50,2,FALSE)*Z242</f>
        <v>0</v>
      </c>
      <c r="AA243" s="16">
        <f ca="1">SUM(U243:Z243)</f>
        <v>816.49</v>
      </c>
      <c r="AC243" s="139">
        <f t="shared" ca="1" si="87"/>
        <v>0</v>
      </c>
    </row>
    <row r="247" spans="2:29" ht="18.75" customHeight="1">
      <c r="B247" s="593" t="s">
        <v>45</v>
      </c>
      <c r="C247" s="593"/>
      <c r="D247" s="593"/>
      <c r="E247" s="593"/>
      <c r="F247" s="593"/>
      <c r="G247" s="593"/>
      <c r="H247" s="593"/>
      <c r="I247" s="593"/>
      <c r="J247" s="137"/>
      <c r="K247" s="593" t="str">
        <f>B247</f>
        <v>ALP</v>
      </c>
      <c r="L247" s="593"/>
      <c r="M247" s="593"/>
      <c r="N247" s="593"/>
      <c r="O247" s="593"/>
      <c r="P247" s="593"/>
      <c r="Q247" s="593"/>
      <c r="R247" s="593"/>
      <c r="S247" s="137"/>
      <c r="T247" s="593" t="str">
        <f>B247</f>
        <v>ALP</v>
      </c>
      <c r="U247" s="593"/>
      <c r="V247" s="593"/>
      <c r="W247" s="593"/>
      <c r="X247" s="593"/>
      <c r="Y247" s="593"/>
      <c r="Z247" s="593"/>
      <c r="AA247" s="593"/>
    </row>
    <row r="248" spans="2:29" ht="19"/>
    <row r="249" spans="2:29" ht="18.75" customHeight="1">
      <c r="B249" s="9" t="s">
        <v>1</v>
      </c>
      <c r="C249" s="91">
        <f>BALANCES!B1</f>
        <v>46073</v>
      </c>
      <c r="K249" s="56" t="s">
        <v>2</v>
      </c>
      <c r="L249" s="110">
        <f>C249</f>
        <v>46073</v>
      </c>
      <c r="M249" s="144" t="s">
        <v>3</v>
      </c>
      <c r="N249" s="110">
        <f>U249</f>
        <v>46081</v>
      </c>
      <c r="O249" s="140"/>
      <c r="P249" s="140"/>
      <c r="Q249" s="140"/>
      <c r="R249" s="20"/>
      <c r="T249" s="9" t="s">
        <v>1</v>
      </c>
      <c r="U249" s="90">
        <f>U4</f>
        <v>46081</v>
      </c>
    </row>
    <row r="250" spans="2:29" ht="18.75" customHeight="1">
      <c r="B250" s="14"/>
      <c r="C250" s="15"/>
      <c r="D250" s="15"/>
      <c r="E250" s="15"/>
      <c r="F250" s="15"/>
      <c r="G250" s="15"/>
      <c r="H250" s="15"/>
      <c r="I250" s="15"/>
      <c r="K250" s="23"/>
      <c r="L250" s="24"/>
      <c r="M250" s="24"/>
      <c r="N250" s="24"/>
      <c r="O250" s="24"/>
      <c r="P250" s="24"/>
      <c r="Q250" s="24"/>
      <c r="R250" s="25"/>
      <c r="T250" s="14"/>
      <c r="U250" s="15"/>
      <c r="V250" s="15"/>
      <c r="W250" s="15"/>
      <c r="X250" s="15"/>
      <c r="Y250" s="15"/>
      <c r="Z250" s="15"/>
      <c r="AA250" s="15"/>
    </row>
    <row r="251" spans="2:29" ht="18.75" customHeight="1">
      <c r="B251" s="10" t="s">
        <v>4</v>
      </c>
      <c r="C251" s="11" t="s">
        <v>5</v>
      </c>
      <c r="D251" s="11" t="s">
        <v>6</v>
      </c>
      <c r="E251" s="11" t="s">
        <v>46</v>
      </c>
      <c r="F251" s="11" t="s">
        <v>47</v>
      </c>
      <c r="G251" s="11" t="s">
        <v>48</v>
      </c>
      <c r="H251" s="11" t="s">
        <v>35</v>
      </c>
      <c r="I251" s="12" t="s">
        <v>11</v>
      </c>
      <c r="K251" s="10" t="s">
        <v>4</v>
      </c>
      <c r="L251" s="11" t="str">
        <f t="shared" ref="L251" si="92">C251</f>
        <v>USD</v>
      </c>
      <c r="M251" s="11" t="str">
        <f t="shared" ref="M251" si="93">D251</f>
        <v>EUR</v>
      </c>
      <c r="N251" s="11" t="str">
        <f t="shared" ref="N251" si="94">E251</f>
        <v>JPY</v>
      </c>
      <c r="O251" s="11" t="str">
        <f t="shared" ref="O251" si="95">F251</f>
        <v>IDR</v>
      </c>
      <c r="P251" s="11" t="str">
        <f t="shared" ref="P251" si="96">G251</f>
        <v>THB</v>
      </c>
      <c r="Q251" s="11" t="str">
        <f t="shared" ref="Q251" si="97">H251</f>
        <v>HKD</v>
      </c>
      <c r="R251" s="12" t="s">
        <v>11</v>
      </c>
      <c r="T251" s="10" t="s">
        <v>4</v>
      </c>
      <c r="U251" s="11" t="str">
        <f t="shared" ref="U251" si="98">C251</f>
        <v>USD</v>
      </c>
      <c r="V251" s="11" t="str">
        <f t="shared" ref="V251" si="99">D251</f>
        <v>EUR</v>
      </c>
      <c r="W251" s="11" t="str">
        <f t="shared" ref="W251" si="100">E251</f>
        <v>JPY</v>
      </c>
      <c r="X251" s="11" t="str">
        <f t="shared" ref="X251" si="101">F251</f>
        <v>IDR</v>
      </c>
      <c r="Y251" s="11" t="str">
        <f t="shared" ref="Y251" si="102">G251</f>
        <v>THB</v>
      </c>
      <c r="Z251" s="11" t="str">
        <f t="shared" ref="Z251" si="103">H251</f>
        <v>HKD</v>
      </c>
      <c r="AA251" s="12" t="s">
        <v>11</v>
      </c>
      <c r="AC251" s="40" t="s">
        <v>12</v>
      </c>
    </row>
    <row r="252" spans="2:29" ht="18.75" customHeight="1">
      <c r="B252" s="28" t="s">
        <v>49</v>
      </c>
      <c r="C252" s="29" cm="1">
        <f t="array" ref="C252">SUMIFS(BALANCES!$C:$C,BALANCES!$A:$A,$B$247,BALANCES!$B:$B,$B252,BALANCES!$D:$D,C$251)+SUMIFS(FLOWS!$C:$C,FLOWS!$A:$A,$B$247,FLOWS!$E:$E,$B252,FLOWS!$D:$D,C$251,FLOWS!$H:$H,"&lt;"&amp;$C$249)+SUM(SUMIFS(DEALS!$J:$J,DEALS!$A:$A,{"*REFUND*","*EXECUTED*"},DEALS!$G:$G,$B$247,DEALS!$E:$E,"&lt;"&amp;$C$249,DEALS!$K:$K,C$251,DEALS!$M:$M,$B252,DEALS!$N:$N,"&lt;&gt;*RECEIVED*",DEALS!$N:$N,"&lt;&gt;*EXECUTED*"))+SUM(SUMIFS(DEALS!$R:$R,DEALS!$A:$A,{"*REFUND*","*EXECUTED*"},DEALS!$O:$O,$B$247,DEALS!$E:$E,"&lt;"&amp;$C$249,DEALS!$S:$S,C$251,DEALS!$U:$U,$B252,DEALS!$V:$V,"&lt;&gt;*RECEIVED*",DEALS!$V:$V,"&lt;&gt;*EXECUTED*"))</f>
        <v>1294694.1199999999</v>
      </c>
      <c r="D252" s="29" cm="1">
        <f t="array" ref="D252">SUMIFS(BALANCES!$C:$C,BALANCES!$A:$A,$B$247,BALANCES!$B:$B,$B252,BALANCES!$D:$D,D$251)+SUMIFS(FLOWS!$C:$C,FLOWS!$A:$A,$B$247,FLOWS!$E:$E,$B252,FLOWS!$D:$D,D$251,FLOWS!$H:$H,"&lt;"&amp;$C$249)+SUM(SUMIFS(DEALS!$J:$J,DEALS!$A:$A,{"*REFUND*","*EXECUTED*"},DEALS!$G:$G,$B$247,DEALS!$E:$E,"&lt;"&amp;$C$249,DEALS!$K:$K,D$251,DEALS!$M:$M,$B252,DEALS!$N:$N,"&lt;&gt;*RECEIVED*",DEALS!$N:$N,"&lt;&gt;*EXECUTED*"))+SUM(SUMIFS(DEALS!$R:$R,DEALS!$A:$A,{"*REFUND*","*EXECUTED*"},DEALS!$O:$O,$B$247,DEALS!$E:$E,"&lt;"&amp;$C$249,DEALS!$S:$S,D$251,DEALS!$U:$U,$B252,DEALS!$V:$V,"&lt;&gt;*RECEIVED*",DEALS!$V:$V,"&lt;&gt;*EXECUTED*"))</f>
        <v>18219.060000000001</v>
      </c>
      <c r="E252" s="29" cm="1">
        <f t="array" ref="E252">SUMIFS(BALANCES!$C:$C,BALANCES!$A:$A,$B$247,BALANCES!$B:$B,$B252,BALANCES!$D:$D,E$251)+SUMIFS(FLOWS!$C:$C,FLOWS!$A:$A,$B$247,FLOWS!$E:$E,$B252,FLOWS!$D:$D,E$251,FLOWS!$H:$H,"&lt;"&amp;$C$249)+SUM(SUMIFS(DEALS!$J:$J,DEALS!$A:$A,{"*REFUND*","*EXECUTED*"},DEALS!$G:$G,$B$247,DEALS!$E:$E,"&lt;"&amp;$C$249,DEALS!$K:$K,E$251,DEALS!$M:$M,$B252,DEALS!$N:$N,"&lt;&gt;*RECEIVED*",DEALS!$N:$N,"&lt;&gt;*EXECUTED*"))+SUM(SUMIFS(DEALS!$R:$R,DEALS!$A:$A,{"*REFUND*","*EXECUTED*"},DEALS!$O:$O,$B$247,DEALS!$E:$E,"&lt;"&amp;$C$249,DEALS!$S:$S,E$251,DEALS!$U:$U,$B252,DEALS!$V:$V,"&lt;&gt;*RECEIVED*",DEALS!$V:$V,"&lt;&gt;*EXECUTED*"))</f>
        <v>0</v>
      </c>
      <c r="F252" s="29" cm="1">
        <f t="array" ref="F252">SUMIFS(BALANCES!$C:$C,BALANCES!$A:$A,$B$247,BALANCES!$B:$B,$B252,BALANCES!$D:$D,F$251)+SUMIFS(FLOWS!$C:$C,FLOWS!$A:$A,$B$247,FLOWS!$E:$E,$B252,FLOWS!$D:$D,F$251,FLOWS!$H:$H,"&lt;"&amp;$C$249)+SUM(SUMIFS(DEALS!$J:$J,DEALS!$A:$A,{"*REFUND*","*EXECUTED*"},DEALS!$G:$G,$B$247,DEALS!$E:$E,"&lt;"&amp;$C$249,DEALS!$K:$K,F$251,DEALS!$M:$M,$B252,DEALS!$N:$N,"&lt;&gt;*RECEIVED*",DEALS!$N:$N,"&lt;&gt;*EXECUTED*"))+SUM(SUMIFS(DEALS!$R:$R,DEALS!$A:$A,{"*REFUND*","*EXECUTED*"},DEALS!$O:$O,$B$247,DEALS!$E:$E,"&lt;"&amp;$C$249,DEALS!$S:$S,F$251,DEALS!$U:$U,$B252,DEALS!$V:$V,"&lt;&gt;*RECEIVED*",DEALS!$V:$V,"&lt;&gt;*EXECUTED*"))</f>
        <v>615136.99</v>
      </c>
      <c r="G252" s="29" cm="1">
        <f t="array" ref="G252">SUMIFS(BALANCES!$C:$C,BALANCES!$A:$A,$B$247,BALANCES!$B:$B,$B252,BALANCES!$D:$D,G$251)+SUMIFS(FLOWS!$C:$C,FLOWS!$A:$A,$B$247,FLOWS!$E:$E,$B252,FLOWS!$D:$D,G$251,FLOWS!$H:$H,"&lt;"&amp;$C$249)+SUM(SUMIFS(DEALS!$J:$J,DEALS!$A:$A,{"*REFUND*","*EXECUTED*"},DEALS!$G:$G,$B$247,DEALS!$E:$E,"&lt;"&amp;$C$249,DEALS!$K:$K,G$251,DEALS!$M:$M,$B252,DEALS!$N:$N,"&lt;&gt;*RECEIVED*",DEALS!$N:$N,"&lt;&gt;*EXECUTED*"))+SUM(SUMIFS(DEALS!$R:$R,DEALS!$A:$A,{"*REFUND*","*EXECUTED*"},DEALS!$O:$O,$B$247,DEALS!$E:$E,"&lt;"&amp;$C$249,DEALS!$S:$S,G$251,DEALS!$U:$U,$B252,DEALS!$V:$V,"&lt;&gt;*RECEIVED*",DEALS!$V:$V,"&lt;&gt;*EXECUTED*"))</f>
        <v>0</v>
      </c>
      <c r="H252" s="29" cm="1">
        <f t="array" ref="H252">SUMIFS(BALANCES!$C:$C,BALANCES!$A:$A,$B$247,BALANCES!$B:$B,$B252,BALANCES!$D:$D,H$251)+SUMIFS(FLOWS!$C:$C,FLOWS!$A:$A,$B$247,FLOWS!$E:$E,$B252,FLOWS!$D:$D,H$251,FLOWS!$H:$H,"&lt;"&amp;$C$249)+SUM(SUMIFS(DEALS!$J:$J,DEALS!$A:$A,{"*REFUND*","*EXECUTED*"},DEALS!$G:$G,$B$247,DEALS!$E:$E,"&lt;"&amp;$C$249,DEALS!$K:$K,H$251,DEALS!$M:$M,$B252,DEALS!$N:$N,"&lt;&gt;*RECEIVED*",DEALS!$N:$N,"&lt;&gt;*EXECUTED*"))+SUM(SUMIFS(DEALS!$R:$R,DEALS!$A:$A,{"*REFUND*","*EXECUTED*"},DEALS!$O:$O,$B$247,DEALS!$E:$E,"&lt;"&amp;$C$249,DEALS!$S:$S,H$251,DEALS!$U:$U,$B252,DEALS!$V:$V,"&lt;&gt;*RECEIVED*",DEALS!$V:$V,"&lt;&gt;*EXECUTED*"))</f>
        <v>0</v>
      </c>
      <c r="I252" s="30">
        <f ca="1">C252*VLOOKUP(C$251,'FX RATES'!$E$1:$F$50,2,FALSE)+D252*VLOOKUP(D$251,'FX RATES'!$E$1:$F$50,2,FALSE)+E252*VLOOKUP(E$251,'FX RATES'!$E$1:$F$50,2,FALSE)+F252*VLOOKUP(F$251,'FX RATES'!$E$1:$F$50,2,FALSE)+G252*VLOOKUP(G$251,'FX RATES'!$E$1:$F$50,2,FALSE)+H252*VLOOKUP(H$251,'FX RATES'!$E$1:$F$50,2,FALSE)</f>
        <v>1316192.6576734756</v>
      </c>
      <c r="K252" s="28" t="str">
        <f t="shared" ref="K252:K269" si="104">B252</f>
        <v>MNDR</v>
      </c>
      <c r="L252" s="29" cm="1">
        <f t="array" ref="L252">SUMIFS(FLOWS!$C:$C,FLOWS!$A:$A,$B$247,FLOWS!$E:$E,$K252,FLOWS!$D:$D,L$251,FLOWS!$H:$H,"&gt;="&amp;$C$249,FLOWS!$H:$H,"&lt;="&amp;$U$249)+SUM(SUMIFS(DEALS!$J:$J,DEALS!$A:$A,{"*REFUND*","*EXECUTED*"},DEALS!$G:$G,$B$247,DEALS!$E:$E,"&gt;="&amp;$C$249,DEALS!$E:$E,"&lt;="&amp;$U$249,DEALS!$K:$K,L$251,DEALS!$M:$M,$K252,DEALS!$N:$N,"&lt;&gt;*RECEIVED*",DEALS!$N:$N,"&lt;&gt;*EXECUTED*"))+SUM(SUMIFS(DEALS!$R:$R,DEALS!$A:$A,{"*REFUND*","*EXECUTED*"},DEALS!$O:$O,$B$247,DEALS!$E:$E,"&gt;="&amp;$C$249,DEALS!$E:$E,"&lt;="&amp;$U$249,DEALS!$S:$S,L$251,DEALS!$U:$U,$K252,DEALS!$V:$V,"&lt;&gt;*RECEIVED*",DEALS!$V:$V,"&lt;&gt;*EXECUTED*"))</f>
        <v>-308701.28851533303</v>
      </c>
      <c r="M252" s="29" cm="1">
        <f t="array" ref="M252">SUMIFS(FLOWS!$C:$C,FLOWS!$A:$A,$B$247,FLOWS!$E:$E,$K252,FLOWS!$D:$D,M$251,FLOWS!$H:$H,"&gt;="&amp;$C$249,FLOWS!$H:$H,"&lt;="&amp;$U$249)+SUM(SUMIFS(DEALS!$J:$J,DEALS!$A:$A,{"*REFUND*","*EXECUTED*"},DEALS!$G:$G,$B$247,DEALS!$E:$E,"&gt;="&amp;$C$249,DEALS!$E:$E,"&lt;="&amp;$U$249,DEALS!$K:$K,M$251,DEALS!$M:$M,$K252,DEALS!$N:$N,"&lt;&gt;*RECEIVED*",DEALS!$N:$N,"&lt;&gt;*EXECUTED*"))+SUM(SUMIFS(DEALS!$R:$R,DEALS!$A:$A,{"*REFUND*","*EXECUTED*"},DEALS!$O:$O,$B$247,DEALS!$E:$E,"&gt;="&amp;$C$249,DEALS!$E:$E,"&lt;="&amp;$U$249,DEALS!$S:$S,M$251,DEALS!$U:$U,$K252,DEALS!$V:$V,"&lt;&gt;*RECEIVED*",DEALS!$V:$V,"&lt;&gt;*EXECUTED*"))</f>
        <v>0</v>
      </c>
      <c r="N252" s="29" cm="1">
        <f t="array" ref="N252">SUMIFS(FLOWS!$C:$C,FLOWS!$A:$A,$B$247,FLOWS!$E:$E,$K252,FLOWS!$D:$D,N$251,FLOWS!$H:$H,"&gt;="&amp;$C$249,FLOWS!$H:$H,"&lt;="&amp;$U$249)+SUM(SUMIFS(DEALS!$J:$J,DEALS!$A:$A,{"*REFUND*","*EXECUTED*"},DEALS!$G:$G,$B$247,DEALS!$E:$E,"&gt;="&amp;$C$249,DEALS!$E:$E,"&lt;="&amp;$U$249,DEALS!$K:$K,N$251,DEALS!$M:$M,$K252,DEALS!$N:$N,"&lt;&gt;*RECEIVED*",DEALS!$N:$N,"&lt;&gt;*EXECUTED*"))+SUM(SUMIFS(DEALS!$R:$R,DEALS!$A:$A,{"*REFUND*","*EXECUTED*"},DEALS!$O:$O,$B$247,DEALS!$E:$E,"&gt;="&amp;$C$249,DEALS!$E:$E,"&lt;="&amp;$U$249,DEALS!$S:$S,N$251,DEALS!$U:$U,$K252,DEALS!$V:$V,"&lt;&gt;*RECEIVED*",DEALS!$V:$V,"&lt;&gt;*EXECUTED*"))</f>
        <v>0</v>
      </c>
      <c r="O252" s="29" cm="1">
        <f t="array" ref="O252">SUMIFS(FLOWS!$C:$C,FLOWS!$A:$A,$B$247,FLOWS!$E:$E,$K252,FLOWS!$D:$D,O$251,FLOWS!$H:$H,"&gt;="&amp;$C$249,FLOWS!$H:$H,"&lt;="&amp;$U$249)+SUM(SUMIFS(DEALS!$J:$J,DEALS!$A:$A,{"*REFUND*","*EXECUTED*"},DEALS!$G:$G,$B$247,DEALS!$E:$E,"&gt;="&amp;$C$249,DEALS!$E:$E,"&lt;="&amp;$U$249,DEALS!$K:$K,O$251,DEALS!$M:$M,$K252,DEALS!$N:$N,"&lt;&gt;*RECEIVED*",DEALS!$N:$N,"&lt;&gt;*EXECUTED*"))+SUM(SUMIFS(DEALS!$R:$R,DEALS!$A:$A,{"*REFUND*","*EXECUTED*"},DEALS!$O:$O,$B$247,DEALS!$E:$E,"&gt;="&amp;$C$249,DEALS!$E:$E,"&lt;="&amp;$U$249,DEALS!$S:$S,O$251,DEALS!$U:$U,$K252,DEALS!$V:$V,"&lt;&gt;*RECEIVED*",DEALS!$V:$V,"&lt;&gt;*EXECUTED*"))</f>
        <v>0</v>
      </c>
      <c r="P252" s="29" cm="1">
        <f t="array" ref="P252">SUMIFS(FLOWS!$C:$C,FLOWS!$A:$A,$B$247,FLOWS!$E:$E,$K252,FLOWS!$D:$D,P$251,FLOWS!$H:$H,"&gt;="&amp;$C$249,FLOWS!$H:$H,"&lt;="&amp;$U$249)+SUM(SUMIFS(DEALS!$J:$J,DEALS!$A:$A,{"*REFUND*","*EXECUTED*"},DEALS!$G:$G,$B$247,DEALS!$E:$E,"&gt;="&amp;$C$249,DEALS!$E:$E,"&lt;="&amp;$U$249,DEALS!$K:$K,P$251,DEALS!$M:$M,$K252,DEALS!$N:$N,"&lt;&gt;*RECEIVED*",DEALS!$N:$N,"&lt;&gt;*EXECUTED*"))+SUM(SUMIFS(DEALS!$R:$R,DEALS!$A:$A,{"*REFUND*","*EXECUTED*"},DEALS!$O:$O,$B$247,DEALS!$E:$E,"&gt;="&amp;$C$249,DEALS!$E:$E,"&lt;="&amp;$U$249,DEALS!$S:$S,P$251,DEALS!$U:$U,$K252,DEALS!$V:$V,"&lt;&gt;*RECEIVED*",DEALS!$V:$V,"&lt;&gt;*EXECUTED*"))</f>
        <v>0</v>
      </c>
      <c r="Q252" s="29" cm="1">
        <f t="array" ref="Q252">SUMIFS(FLOWS!$C:$C,FLOWS!$A:$A,$B$247,FLOWS!$E:$E,$K252,FLOWS!$D:$D,Q$251,FLOWS!$H:$H,"&gt;="&amp;$C$249,FLOWS!$H:$H,"&lt;="&amp;$U$249)+SUM(SUMIFS(DEALS!$J:$J,DEALS!$A:$A,{"*REFUND*","*EXECUTED*"},DEALS!$G:$G,$B$247,DEALS!$E:$E,"&gt;="&amp;$C$249,DEALS!$E:$E,"&lt;="&amp;$U$249,DEALS!$K:$K,Q$251,DEALS!$M:$M,$K252,DEALS!$N:$N,"&lt;&gt;*RECEIVED*",DEALS!$N:$N,"&lt;&gt;*EXECUTED*"))+SUM(SUMIFS(DEALS!$R:$R,DEALS!$A:$A,{"*REFUND*","*EXECUTED*"},DEALS!$O:$O,$B$247,DEALS!$E:$E,"&gt;="&amp;$C$249,DEALS!$E:$E,"&lt;="&amp;$U$249,DEALS!$S:$S,Q$251,DEALS!$U:$U,$K252,DEALS!$V:$V,"&lt;&gt;*RECEIVED*",DEALS!$V:$V,"&lt;&gt;*EXECUTED*"))</f>
        <v>0</v>
      </c>
      <c r="R252" s="30">
        <f ca="1">L252*VLOOKUP(L$251,'FX RATES'!$E$1:$F$50,2,FALSE)+M252*VLOOKUP(M$251,'FX RATES'!$E$1:$F$50,2,FALSE)+N252*VLOOKUP(N$251,'FX RATES'!$E$1:$F$50,2,FALSE)+O252*VLOOKUP(O$251,'FX RATES'!$E$1:$F$50,2,FALSE)+P252*VLOOKUP(P$251,'FX RATES'!$E$1:$F$50,2,FALSE)+Q252*VLOOKUP(Q$251,'FX RATES'!$E$1:$F$50,2,FALSE)</f>
        <v>-308701.28851533303</v>
      </c>
      <c r="T252" s="28" t="str">
        <f t="shared" ref="T252:T269" si="105">B252</f>
        <v>MNDR</v>
      </c>
      <c r="U252" s="29" cm="1">
        <f t="array" ref="U252">SUMIFS(BALANCES!$C:$C,BALANCES!$A:$A,$B$247,BALANCES!$B:$B,$T252,BALANCES!$D:$D,U$251)+SUMIFS(FLOWS!$C:$C,FLOWS!$A:$A,$B$247,FLOWS!$E:$E,$T252,FLOWS!$D:$D,U$251,FLOWS!$H:$H,"&lt;="&amp;$U$249)+SUM(SUMIFS(DEALS!$J:$J,DEALS!$A:$A,{"*REFUND*","*EXECUTED*"},DEALS!$G:$G,$B$247,DEALS!$E:$E,"&lt;="&amp;$U$249,DEALS!$K:$K,U$251,DEALS!$M:$M,$T252,DEALS!$N:$N,"&lt;&gt;*RECEIVED*",DEALS!$N:$N,"&lt;&gt;*EXECUTED*"))+SUM(SUMIFS(DEALS!$R:$R,DEALS!$A:$A,{"*REFUND*","*EXECUTED*"},DEALS!$O:$O,$B$247,DEALS!$E:$E,"&lt;="&amp;$U$249,DEALS!$S:$S,U$251,DEALS!$U:$U,$T252,DEALS!$V:$V,"&lt;&gt;*RECEIVED*",DEALS!$V:$V,"&lt;&gt;*EXECUTED*"))</f>
        <v>985992.83148466679</v>
      </c>
      <c r="V252" s="29" cm="1">
        <f t="array" ref="V252">SUMIFS(BALANCES!$C:$C,BALANCES!$A:$A,$B$247,BALANCES!$B:$B,$T252,BALANCES!$D:$D,V$251)+SUMIFS(FLOWS!$C:$C,FLOWS!$A:$A,$B$247,FLOWS!$E:$E,$T252,FLOWS!$D:$D,V$251,FLOWS!$H:$H,"&lt;="&amp;$U$249)+SUM(SUMIFS(DEALS!$J:$J,DEALS!$A:$A,{"*REFUND*","*EXECUTED*"},DEALS!$G:$G,$B$247,DEALS!$E:$E,"&lt;="&amp;$U$249,DEALS!$K:$K,V$251,DEALS!$M:$M,$T252,DEALS!$N:$N,"&lt;&gt;*RECEIVED*",DEALS!$N:$N,"&lt;&gt;*EXECUTED*"))+SUM(SUMIFS(DEALS!$R:$R,DEALS!$A:$A,{"*REFUND*","*EXECUTED*"},DEALS!$O:$O,$B$247,DEALS!$E:$E,"&lt;="&amp;$U$249,DEALS!$S:$S,V$251,DEALS!$U:$U,$T252,DEALS!$V:$V,"&lt;&gt;*RECEIVED*",DEALS!$V:$V,"&lt;&gt;*EXECUTED*"))</f>
        <v>18219.060000000001</v>
      </c>
      <c r="W252" s="29" cm="1">
        <f t="array" ref="W252">SUMIFS(BALANCES!$C:$C,BALANCES!$A:$A,$B$247,BALANCES!$B:$B,$T252,BALANCES!$D:$D,W$251)+SUMIFS(FLOWS!$C:$C,FLOWS!$A:$A,$B$247,FLOWS!$E:$E,$T252,FLOWS!$D:$D,W$251,FLOWS!$H:$H,"&lt;="&amp;$U$249)+SUM(SUMIFS(DEALS!$J:$J,DEALS!$A:$A,{"*REFUND*","*EXECUTED*"},DEALS!$G:$G,$B$247,DEALS!$E:$E,"&lt;="&amp;$U$249,DEALS!$K:$K,W$251,DEALS!$M:$M,$T252,DEALS!$N:$N,"&lt;&gt;*RECEIVED*",DEALS!$N:$N,"&lt;&gt;*EXECUTED*"))+SUM(SUMIFS(DEALS!$R:$R,DEALS!$A:$A,{"*REFUND*","*EXECUTED*"},DEALS!$O:$O,$B$247,DEALS!$E:$E,"&lt;="&amp;$U$249,DEALS!$S:$S,W$251,DEALS!$U:$U,$T252,DEALS!$V:$V,"&lt;&gt;*RECEIVED*",DEALS!$V:$V,"&lt;&gt;*EXECUTED*"))</f>
        <v>0</v>
      </c>
      <c r="X252" s="29" cm="1">
        <f t="array" ref="X252">SUMIFS(BALANCES!$C:$C,BALANCES!$A:$A,$B$247,BALANCES!$B:$B,$T252,BALANCES!$D:$D,X$251)+SUMIFS(FLOWS!$C:$C,FLOWS!$A:$A,$B$247,FLOWS!$E:$E,$T252,FLOWS!$D:$D,X$251,FLOWS!$H:$H,"&lt;="&amp;$U$249)+SUM(SUMIFS(DEALS!$J:$J,DEALS!$A:$A,{"*REFUND*","*EXECUTED*"},DEALS!$G:$G,$B$247,DEALS!$E:$E,"&lt;="&amp;$U$249,DEALS!$K:$K,X$251,DEALS!$M:$M,$T252,DEALS!$N:$N,"&lt;&gt;*RECEIVED*",DEALS!$N:$N,"&lt;&gt;*EXECUTED*"))+SUM(SUMIFS(DEALS!$R:$R,DEALS!$A:$A,{"*REFUND*","*EXECUTED*"},DEALS!$O:$O,$B$247,DEALS!$E:$E,"&lt;="&amp;$U$249,DEALS!$S:$S,X$251,DEALS!$U:$U,$T252,DEALS!$V:$V,"&lt;&gt;*RECEIVED*",DEALS!$V:$V,"&lt;&gt;*EXECUTED*"))</f>
        <v>615136.99</v>
      </c>
      <c r="Y252" s="29" cm="1">
        <f t="array" ref="Y252">SUMIFS(BALANCES!$C:$C,BALANCES!$A:$A,$B$247,BALANCES!$B:$B,$T252,BALANCES!$D:$D,Y$251)+SUMIFS(FLOWS!$C:$C,FLOWS!$A:$A,$B$247,FLOWS!$E:$E,$T252,FLOWS!$D:$D,Y$251,FLOWS!$H:$H,"&lt;="&amp;$U$249)+SUM(SUMIFS(DEALS!$J:$J,DEALS!$A:$A,{"*REFUND*","*EXECUTED*"},DEALS!$G:$G,$B$247,DEALS!$E:$E,"&lt;="&amp;$U$249,DEALS!$K:$K,Y$251,DEALS!$M:$M,$T252,DEALS!$N:$N,"&lt;&gt;*RECEIVED*",DEALS!$N:$N,"&lt;&gt;*EXECUTED*"))+SUM(SUMIFS(DEALS!$R:$R,DEALS!$A:$A,{"*REFUND*","*EXECUTED*"},DEALS!$O:$O,$B$247,DEALS!$E:$E,"&lt;="&amp;$U$249,DEALS!$S:$S,Y$251,DEALS!$U:$U,$T252,DEALS!$V:$V,"&lt;&gt;*RECEIVED*",DEALS!$V:$V,"&lt;&gt;*EXECUTED*"))</f>
        <v>0</v>
      </c>
      <c r="Z252" s="29" cm="1">
        <f t="array" ref="Z252">SUMIFS(BALANCES!$C:$C,BALANCES!$A:$A,$B$247,BALANCES!$B:$B,$T252,BALANCES!$D:$D,Z$251)+SUMIFS(FLOWS!$C:$C,FLOWS!$A:$A,$B$247,FLOWS!$E:$E,$T252,FLOWS!$D:$D,Z$251,FLOWS!$H:$H,"&lt;="&amp;$U$249)+SUM(SUMIFS(DEALS!$J:$J,DEALS!$A:$A,{"*REFUND*","*EXECUTED*"},DEALS!$G:$G,$B$247,DEALS!$E:$E,"&lt;="&amp;$U$249,DEALS!$K:$K,Z$251,DEALS!$M:$M,$T252,DEALS!$N:$N,"&lt;&gt;*RECEIVED*",DEALS!$N:$N,"&lt;&gt;*EXECUTED*"))+SUM(SUMIFS(DEALS!$R:$R,DEALS!$A:$A,{"*REFUND*","*EXECUTED*"},DEALS!$O:$O,$B$247,DEALS!$E:$E,"&lt;="&amp;$U$249,DEALS!$S:$S,Z$251,DEALS!$U:$U,$T252,DEALS!$V:$V,"&lt;&gt;*RECEIVED*",DEALS!$V:$V,"&lt;&gt;*EXECUTED*"))</f>
        <v>0</v>
      </c>
      <c r="AA252" s="30">
        <f ca="1">U252*VLOOKUP(U$251,'FX RATES'!$E$1:$F$50,2,FALSE)+V252*VLOOKUP(V$251,'FX RATES'!$E$1:$F$50,2,FALSE)+W252*VLOOKUP(W$251,'FX RATES'!$E$1:$F$50,2,FALSE)+X252*VLOOKUP(X$251,'FX RATES'!$E$1:$F$50,2,FALSE)+Y252*VLOOKUP(Y$251,'FX RATES'!$E$1:$F$50,2,FALSE)+Z252*VLOOKUP(Z$251,'FX RATES'!$E$1:$F$50,2,FALSE)</f>
        <v>1007491.3691581425</v>
      </c>
      <c r="AC252" s="139">
        <f t="shared" ref="AC252:AC271" ca="1" si="106">I252+R252-AA252</f>
        <v>0</v>
      </c>
    </row>
    <row r="253" spans="2:29" ht="18.75" customHeight="1">
      <c r="B253" s="31" t="s">
        <v>50</v>
      </c>
      <c r="C253" s="32" cm="1">
        <f t="array" ref="C253">SUMIFS(BALANCES!$C:$C,BALANCES!$A:$A,$B$247,BALANCES!$B:$B,$B253,BALANCES!$D:$D,C$251)+SUMIFS(FLOWS!$C:$C,FLOWS!$A:$A,$B$247,FLOWS!$E:$E,$B253,FLOWS!$D:$D,C$251,FLOWS!$H:$H,"&lt;"&amp;$C$249)+SUM(SUMIFS(DEALS!$J:$J,DEALS!$A:$A,{"*REFUND*","*EXECUTED*"},DEALS!$G:$G,$B$247,DEALS!$E:$E,"&lt;"&amp;$C$249,DEALS!$K:$K,C$251,DEALS!$M:$M,$B253,DEALS!$N:$N,"&lt;&gt;*RECEIVED*",DEALS!$N:$N,"&lt;&gt;*EXECUTED*"))+SUM(SUMIFS(DEALS!$R:$R,DEALS!$A:$A,{"*REFUND*","*EXECUTED*"},DEALS!$O:$O,$B$247,DEALS!$E:$E,"&lt;"&amp;$C$249,DEALS!$S:$S,C$251,DEALS!$U:$U,$B253,DEALS!$V:$V,"&lt;&gt;*RECEIVED*",DEALS!$V:$V,"&lt;&gt;*EXECUTED*"))</f>
        <v>2310.9900000000052</v>
      </c>
      <c r="D253" s="32" cm="1">
        <f t="array" ref="D253">SUMIFS(BALANCES!$C:$C,BALANCES!$A:$A,$B$247,BALANCES!$B:$B,$B253,BALANCES!$D:$D,D$251)+SUMIFS(FLOWS!$C:$C,FLOWS!$A:$A,$B$247,FLOWS!$E:$E,$B253,FLOWS!$D:$D,D$251,FLOWS!$H:$H,"&lt;"&amp;$C$249)+SUM(SUMIFS(DEALS!$J:$J,DEALS!$A:$A,{"*REFUND*","*EXECUTED*"},DEALS!$G:$G,$B$247,DEALS!$E:$E,"&lt;"&amp;$C$249,DEALS!$K:$K,D$251,DEALS!$M:$M,$B253,DEALS!$N:$N,"&lt;&gt;*RECEIVED*",DEALS!$N:$N,"&lt;&gt;*EXECUTED*"))+SUM(SUMIFS(DEALS!$R:$R,DEALS!$A:$A,{"*REFUND*","*EXECUTED*"},DEALS!$O:$O,$B$247,DEALS!$E:$E,"&lt;"&amp;$C$249,DEALS!$S:$S,D$251,DEALS!$U:$U,$B253,DEALS!$V:$V,"&lt;&gt;*RECEIVED*",DEALS!$V:$V,"&lt;&gt;*EXECUTED*"))</f>
        <v>0</v>
      </c>
      <c r="E253" s="32" cm="1">
        <f t="array" ref="E253">SUMIFS(BALANCES!$C:$C,BALANCES!$A:$A,$B$247,BALANCES!$B:$B,$B253,BALANCES!$D:$D,E$251)+SUMIFS(FLOWS!$C:$C,FLOWS!$A:$A,$B$247,FLOWS!$E:$E,$B253,FLOWS!$D:$D,E$251,FLOWS!$H:$H,"&lt;"&amp;$C$249)+SUM(SUMIFS(DEALS!$J:$J,DEALS!$A:$A,{"*REFUND*","*EXECUTED*"},DEALS!$G:$G,$B$247,DEALS!$E:$E,"&lt;"&amp;$C$249,DEALS!$K:$K,E$251,DEALS!$M:$M,$B253,DEALS!$N:$N,"&lt;&gt;*RECEIVED*",DEALS!$N:$N,"&lt;&gt;*EXECUTED*"))+SUM(SUMIFS(DEALS!$R:$R,DEALS!$A:$A,{"*REFUND*","*EXECUTED*"},DEALS!$O:$O,$B$247,DEALS!$E:$E,"&lt;"&amp;$C$249,DEALS!$S:$S,E$251,DEALS!$U:$U,$B253,DEALS!$V:$V,"&lt;&gt;*RECEIVED*",DEALS!$V:$V,"&lt;&gt;*EXECUTED*"))</f>
        <v>0</v>
      </c>
      <c r="F253" s="32" cm="1">
        <f t="array" ref="F253">SUMIFS(BALANCES!$C:$C,BALANCES!$A:$A,$B$247,BALANCES!$B:$B,$B253,BALANCES!$D:$D,F$251)+SUMIFS(FLOWS!$C:$C,FLOWS!$A:$A,$B$247,FLOWS!$E:$E,$B253,FLOWS!$D:$D,F$251,FLOWS!$H:$H,"&lt;"&amp;$C$249)+SUM(SUMIFS(DEALS!$J:$J,DEALS!$A:$A,{"*REFUND*","*EXECUTED*"},DEALS!$G:$G,$B$247,DEALS!$E:$E,"&lt;"&amp;$C$249,DEALS!$K:$K,F$251,DEALS!$M:$M,$B253,DEALS!$N:$N,"&lt;&gt;*RECEIVED*",DEALS!$N:$N,"&lt;&gt;*EXECUTED*"))+SUM(SUMIFS(DEALS!$R:$R,DEALS!$A:$A,{"*REFUND*","*EXECUTED*"},DEALS!$O:$O,$B$247,DEALS!$E:$E,"&lt;"&amp;$C$249,DEALS!$S:$S,F$251,DEALS!$U:$U,$B253,DEALS!$V:$V,"&lt;&gt;*RECEIVED*",DEALS!$V:$V,"&lt;&gt;*EXECUTED*"))</f>
        <v>1255000</v>
      </c>
      <c r="G253" s="32" cm="1">
        <f t="array" ref="G253">SUMIFS(BALANCES!$C:$C,BALANCES!$A:$A,$B$247,BALANCES!$B:$B,$B253,BALANCES!$D:$D,G$251)+SUMIFS(FLOWS!$C:$C,FLOWS!$A:$A,$B$247,FLOWS!$E:$E,$B253,FLOWS!$D:$D,G$251,FLOWS!$H:$H,"&lt;"&amp;$C$249)+SUM(SUMIFS(DEALS!$J:$J,DEALS!$A:$A,{"*REFUND*","*EXECUTED*"},DEALS!$G:$G,$B$247,DEALS!$E:$E,"&lt;"&amp;$C$249,DEALS!$K:$K,G$251,DEALS!$M:$M,$B253,DEALS!$N:$N,"&lt;&gt;*RECEIVED*",DEALS!$N:$N,"&lt;&gt;*EXECUTED*"))+SUM(SUMIFS(DEALS!$R:$R,DEALS!$A:$A,{"*REFUND*","*EXECUTED*"},DEALS!$O:$O,$B$247,DEALS!$E:$E,"&lt;"&amp;$C$249,DEALS!$S:$S,G$251,DEALS!$U:$U,$B253,DEALS!$V:$V,"&lt;&gt;*RECEIVED*",DEALS!$V:$V,"&lt;&gt;*EXECUTED*"))</f>
        <v>0</v>
      </c>
      <c r="H253" s="32" cm="1">
        <f t="array" ref="H253">SUMIFS(BALANCES!$C:$C,BALANCES!$A:$A,$B$247,BALANCES!$B:$B,$B253,BALANCES!$D:$D,H$251)+SUMIFS(FLOWS!$C:$C,FLOWS!$A:$A,$B$247,FLOWS!$E:$E,$B253,FLOWS!$D:$D,H$251,FLOWS!$H:$H,"&lt;"&amp;$C$249)+SUM(SUMIFS(DEALS!$J:$J,DEALS!$A:$A,{"*REFUND*","*EXECUTED*"},DEALS!$G:$G,$B$247,DEALS!$E:$E,"&lt;"&amp;$C$249,DEALS!$K:$K,H$251,DEALS!$M:$M,$B253,DEALS!$N:$N,"&lt;&gt;*RECEIVED*",DEALS!$N:$N,"&lt;&gt;*EXECUTED*"))+SUM(SUMIFS(DEALS!$R:$R,DEALS!$A:$A,{"*REFUND*","*EXECUTED*"},DEALS!$O:$O,$B$247,DEALS!$E:$E,"&lt;"&amp;$C$249,DEALS!$S:$S,H$251,DEALS!$U:$U,$B253,DEALS!$V:$V,"&lt;&gt;*RECEIVED*",DEALS!$V:$V,"&lt;&gt;*EXECUTED*"))</f>
        <v>0</v>
      </c>
      <c r="I253" s="33">
        <f ca="1">C253*VLOOKUP(C$251,'FX RATES'!$E$1:$F$50,2,FALSE)+D253*VLOOKUP(D$251,'FX RATES'!$E$1:$F$50,2,FALSE)+E253*VLOOKUP(E$251,'FX RATES'!$E$1:$F$50,2,FALSE)+F253*VLOOKUP(F$251,'FX RATES'!$E$1:$F$50,2,FALSE)+G253*VLOOKUP(G$251,'FX RATES'!$E$1:$F$50,2,FALSE)+H253*VLOOKUP(H$251,'FX RATES'!$E$1:$F$50,2,FALSE)</f>
        <v>2385.4265361803136</v>
      </c>
      <c r="K253" s="31" t="str">
        <f t="shared" si="104"/>
        <v>BCA</v>
      </c>
      <c r="L253" s="32" cm="1">
        <f t="array" ref="L253">SUMIFS(FLOWS!$C:$C,FLOWS!$A:$A,$B$247,FLOWS!$E:$E,$K253,FLOWS!$D:$D,L$251,FLOWS!$H:$H,"&gt;="&amp;$C$249,FLOWS!$H:$H,"&lt;="&amp;$U$249)+SUM(SUMIFS(DEALS!$J:$J,DEALS!$A:$A,{"*REFUND*","*EXECUTED*"},DEALS!$G:$G,$B$247,DEALS!$E:$E,"&gt;="&amp;$C$249,DEALS!$E:$E,"&lt;="&amp;$U$249,DEALS!$K:$K,L$251,DEALS!$M:$M,$K253,DEALS!$N:$N,"&lt;&gt;*RECEIVED*",DEALS!$N:$N,"&lt;&gt;*EXECUTED*"))+SUM(SUMIFS(DEALS!$R:$R,DEALS!$A:$A,{"*REFUND*","*EXECUTED*"},DEALS!$O:$O,$B$247,DEALS!$E:$E,"&gt;="&amp;$C$249,DEALS!$E:$E,"&lt;="&amp;$U$249,DEALS!$S:$S,L$251,DEALS!$U:$U,$K253,DEALS!$V:$V,"&lt;&gt;*RECEIVED*",DEALS!$V:$V,"&lt;&gt;*EXECUTED*"))</f>
        <v>0</v>
      </c>
      <c r="M253" s="32" cm="1">
        <f t="array" ref="M253">SUMIFS(FLOWS!$C:$C,FLOWS!$A:$A,$B$247,FLOWS!$E:$E,$K253,FLOWS!$D:$D,M$251,FLOWS!$H:$H,"&gt;="&amp;$C$249,FLOWS!$H:$H,"&lt;="&amp;$U$249)+SUM(SUMIFS(DEALS!$J:$J,DEALS!$A:$A,{"*REFUND*","*EXECUTED*"},DEALS!$G:$G,$B$247,DEALS!$E:$E,"&gt;="&amp;$C$249,DEALS!$E:$E,"&lt;="&amp;$U$249,DEALS!$K:$K,M$251,DEALS!$M:$M,$K253,DEALS!$N:$N,"&lt;&gt;*RECEIVED*",DEALS!$N:$N,"&lt;&gt;*EXECUTED*"))+SUM(SUMIFS(DEALS!$R:$R,DEALS!$A:$A,{"*REFUND*","*EXECUTED*"},DEALS!$O:$O,$B$247,DEALS!$E:$E,"&gt;="&amp;$C$249,DEALS!$E:$E,"&lt;="&amp;$U$249,DEALS!$S:$S,M$251,DEALS!$U:$U,$K253,DEALS!$V:$V,"&lt;&gt;*RECEIVED*",DEALS!$V:$V,"&lt;&gt;*EXECUTED*"))</f>
        <v>0</v>
      </c>
      <c r="N253" s="32" cm="1">
        <f t="array" ref="N253">SUMIFS(FLOWS!$C:$C,FLOWS!$A:$A,$B$247,FLOWS!$E:$E,$K253,FLOWS!$D:$D,N$251,FLOWS!$H:$H,"&gt;="&amp;$C$249,FLOWS!$H:$H,"&lt;="&amp;$U$249)+SUM(SUMIFS(DEALS!$J:$J,DEALS!$A:$A,{"*REFUND*","*EXECUTED*"},DEALS!$G:$G,$B$247,DEALS!$E:$E,"&gt;="&amp;$C$249,DEALS!$E:$E,"&lt;="&amp;$U$249,DEALS!$K:$K,N$251,DEALS!$M:$M,$K253,DEALS!$N:$N,"&lt;&gt;*RECEIVED*",DEALS!$N:$N,"&lt;&gt;*EXECUTED*"))+SUM(SUMIFS(DEALS!$R:$R,DEALS!$A:$A,{"*REFUND*","*EXECUTED*"},DEALS!$O:$O,$B$247,DEALS!$E:$E,"&gt;="&amp;$C$249,DEALS!$E:$E,"&lt;="&amp;$U$249,DEALS!$S:$S,N$251,DEALS!$U:$U,$K253,DEALS!$V:$V,"&lt;&gt;*RECEIVED*",DEALS!$V:$V,"&lt;&gt;*EXECUTED*"))</f>
        <v>0</v>
      </c>
      <c r="O253" s="32" cm="1">
        <f t="array" ref="O253">SUMIFS(FLOWS!$C:$C,FLOWS!$A:$A,$B$247,FLOWS!$E:$E,$K253,FLOWS!$D:$D,O$251,FLOWS!$H:$H,"&gt;="&amp;$C$249,FLOWS!$H:$H,"&lt;="&amp;$U$249)+SUM(SUMIFS(DEALS!$J:$J,DEALS!$A:$A,{"*REFUND*","*EXECUTED*"},DEALS!$G:$G,$B$247,DEALS!$E:$E,"&gt;="&amp;$C$249,DEALS!$E:$E,"&lt;="&amp;$U$249,DEALS!$K:$K,O$251,DEALS!$M:$M,$K253,DEALS!$N:$N,"&lt;&gt;*RECEIVED*",DEALS!$N:$N,"&lt;&gt;*EXECUTED*"))+SUM(SUMIFS(DEALS!$R:$R,DEALS!$A:$A,{"*REFUND*","*EXECUTED*"},DEALS!$O:$O,$B$247,DEALS!$E:$E,"&gt;="&amp;$C$249,DEALS!$E:$E,"&lt;="&amp;$U$249,DEALS!$S:$S,O$251,DEALS!$U:$U,$K253,DEALS!$V:$V,"&lt;&gt;*RECEIVED*",DEALS!$V:$V,"&lt;&gt;*EXECUTED*"))</f>
        <v>0</v>
      </c>
      <c r="P253" s="32" cm="1">
        <f t="array" ref="P253">SUMIFS(FLOWS!$C:$C,FLOWS!$A:$A,$B$247,FLOWS!$E:$E,$K253,FLOWS!$D:$D,P$251,FLOWS!$H:$H,"&gt;="&amp;$C$249,FLOWS!$H:$H,"&lt;="&amp;$U$249)+SUM(SUMIFS(DEALS!$J:$J,DEALS!$A:$A,{"*REFUND*","*EXECUTED*"},DEALS!$G:$G,$B$247,DEALS!$E:$E,"&gt;="&amp;$C$249,DEALS!$E:$E,"&lt;="&amp;$U$249,DEALS!$K:$K,P$251,DEALS!$M:$M,$K253,DEALS!$N:$N,"&lt;&gt;*RECEIVED*",DEALS!$N:$N,"&lt;&gt;*EXECUTED*"))+SUM(SUMIFS(DEALS!$R:$R,DEALS!$A:$A,{"*REFUND*","*EXECUTED*"},DEALS!$O:$O,$B$247,DEALS!$E:$E,"&gt;="&amp;$C$249,DEALS!$E:$E,"&lt;="&amp;$U$249,DEALS!$S:$S,P$251,DEALS!$U:$U,$K253,DEALS!$V:$V,"&lt;&gt;*RECEIVED*",DEALS!$V:$V,"&lt;&gt;*EXECUTED*"))</f>
        <v>0</v>
      </c>
      <c r="Q253" s="32" cm="1">
        <f t="array" ref="Q253">SUMIFS(FLOWS!$C:$C,FLOWS!$A:$A,$B$247,FLOWS!$E:$E,$K253,FLOWS!$D:$D,Q$251,FLOWS!$H:$H,"&gt;="&amp;$C$249,FLOWS!$H:$H,"&lt;="&amp;$U$249)+SUM(SUMIFS(DEALS!$J:$J,DEALS!$A:$A,{"*REFUND*","*EXECUTED*"},DEALS!$G:$G,$B$247,DEALS!$E:$E,"&gt;="&amp;$C$249,DEALS!$E:$E,"&lt;="&amp;$U$249,DEALS!$K:$K,Q$251,DEALS!$M:$M,$K253,DEALS!$N:$N,"&lt;&gt;*RECEIVED*",DEALS!$N:$N,"&lt;&gt;*EXECUTED*"))+SUM(SUMIFS(DEALS!$R:$R,DEALS!$A:$A,{"*REFUND*","*EXECUTED*"},DEALS!$O:$O,$B$247,DEALS!$E:$E,"&gt;="&amp;$C$249,DEALS!$E:$E,"&lt;="&amp;$U$249,DEALS!$S:$S,Q$251,DEALS!$U:$U,$K253,DEALS!$V:$V,"&lt;&gt;*RECEIVED*",DEALS!$V:$V,"&lt;&gt;*EXECUTED*"))</f>
        <v>0</v>
      </c>
      <c r="R253" s="33">
        <f ca="1">L253*VLOOKUP(L$251,'FX RATES'!$E$1:$F$50,2,FALSE)+M253*VLOOKUP(M$251,'FX RATES'!$E$1:$F$50,2,FALSE)+N253*VLOOKUP(N$251,'FX RATES'!$E$1:$F$50,2,FALSE)+O253*VLOOKUP(O$251,'FX RATES'!$E$1:$F$50,2,FALSE)+P253*VLOOKUP(P$251,'FX RATES'!$E$1:$F$50,2,FALSE)+Q253*VLOOKUP(Q$251,'FX RATES'!$E$1:$F$50,2,FALSE)</f>
        <v>0</v>
      </c>
      <c r="T253" s="31" t="str">
        <f t="shared" si="105"/>
        <v>BCA</v>
      </c>
      <c r="U253" s="32" cm="1">
        <f t="array" ref="U253">SUMIFS(BALANCES!$C:$C,BALANCES!$A:$A,$B$247,BALANCES!$B:$B,$T253,BALANCES!$D:$D,U$251)+SUMIFS(FLOWS!$C:$C,FLOWS!$A:$A,$B$247,FLOWS!$E:$E,$T253,FLOWS!$D:$D,U$251,FLOWS!$H:$H,"&lt;="&amp;$U$249)+SUM(SUMIFS(DEALS!$J:$J,DEALS!$A:$A,{"*REFUND*","*EXECUTED*"},DEALS!$G:$G,$B$247,DEALS!$E:$E,"&lt;="&amp;$U$249,DEALS!$K:$K,U$251,DEALS!$M:$M,$T253,DEALS!$N:$N,"&lt;&gt;*RECEIVED*",DEALS!$N:$N,"&lt;&gt;*EXECUTED*"))+SUM(SUMIFS(DEALS!$R:$R,DEALS!$A:$A,{"*REFUND*","*EXECUTED*"},DEALS!$O:$O,$B$247,DEALS!$E:$E,"&lt;="&amp;$U$249,DEALS!$S:$S,U$251,DEALS!$U:$U,$T253,DEALS!$V:$V,"&lt;&gt;*RECEIVED*",DEALS!$V:$V,"&lt;&gt;*EXECUTED*"))</f>
        <v>2310.9900000000052</v>
      </c>
      <c r="V253" s="32" cm="1">
        <f t="array" ref="V253">SUMIFS(BALANCES!$C:$C,BALANCES!$A:$A,$B$247,BALANCES!$B:$B,$T253,BALANCES!$D:$D,V$251)+SUMIFS(FLOWS!$C:$C,FLOWS!$A:$A,$B$247,FLOWS!$E:$E,$T253,FLOWS!$D:$D,V$251,FLOWS!$H:$H,"&lt;="&amp;$U$249)+SUM(SUMIFS(DEALS!$J:$J,DEALS!$A:$A,{"*REFUND*","*EXECUTED*"},DEALS!$G:$G,$B$247,DEALS!$E:$E,"&lt;="&amp;$U$249,DEALS!$K:$K,V$251,DEALS!$M:$M,$T253,DEALS!$N:$N,"&lt;&gt;*RECEIVED*",DEALS!$N:$N,"&lt;&gt;*EXECUTED*"))+SUM(SUMIFS(DEALS!$R:$R,DEALS!$A:$A,{"*REFUND*","*EXECUTED*"},DEALS!$O:$O,$B$247,DEALS!$E:$E,"&lt;="&amp;$U$249,DEALS!$S:$S,V$251,DEALS!$U:$U,$T253,DEALS!$V:$V,"&lt;&gt;*RECEIVED*",DEALS!$V:$V,"&lt;&gt;*EXECUTED*"))</f>
        <v>0</v>
      </c>
      <c r="W253" s="32" cm="1">
        <f t="array" ref="W253">SUMIFS(BALANCES!$C:$C,BALANCES!$A:$A,$B$247,BALANCES!$B:$B,$T253,BALANCES!$D:$D,W$251)+SUMIFS(FLOWS!$C:$C,FLOWS!$A:$A,$B$247,FLOWS!$E:$E,$T253,FLOWS!$D:$D,W$251,FLOWS!$H:$H,"&lt;="&amp;$U$249)+SUM(SUMIFS(DEALS!$J:$J,DEALS!$A:$A,{"*REFUND*","*EXECUTED*"},DEALS!$G:$G,$B$247,DEALS!$E:$E,"&lt;="&amp;$U$249,DEALS!$K:$K,W$251,DEALS!$M:$M,$T253,DEALS!$N:$N,"&lt;&gt;*RECEIVED*",DEALS!$N:$N,"&lt;&gt;*EXECUTED*"))+SUM(SUMIFS(DEALS!$R:$R,DEALS!$A:$A,{"*REFUND*","*EXECUTED*"},DEALS!$O:$O,$B$247,DEALS!$E:$E,"&lt;="&amp;$U$249,DEALS!$S:$S,W$251,DEALS!$U:$U,$T253,DEALS!$V:$V,"&lt;&gt;*RECEIVED*",DEALS!$V:$V,"&lt;&gt;*EXECUTED*"))</f>
        <v>0</v>
      </c>
      <c r="X253" s="32" cm="1">
        <f t="array" ref="X253">SUMIFS(BALANCES!$C:$C,BALANCES!$A:$A,$B$247,BALANCES!$B:$B,$T253,BALANCES!$D:$D,X$251)+SUMIFS(FLOWS!$C:$C,FLOWS!$A:$A,$B$247,FLOWS!$E:$E,$T253,FLOWS!$D:$D,X$251,FLOWS!$H:$H,"&lt;="&amp;$U$249)+SUM(SUMIFS(DEALS!$J:$J,DEALS!$A:$A,{"*REFUND*","*EXECUTED*"},DEALS!$G:$G,$B$247,DEALS!$E:$E,"&lt;="&amp;$U$249,DEALS!$K:$K,X$251,DEALS!$M:$M,$T253,DEALS!$N:$N,"&lt;&gt;*RECEIVED*",DEALS!$N:$N,"&lt;&gt;*EXECUTED*"))+SUM(SUMIFS(DEALS!$R:$R,DEALS!$A:$A,{"*REFUND*","*EXECUTED*"},DEALS!$O:$O,$B$247,DEALS!$E:$E,"&lt;="&amp;$U$249,DEALS!$S:$S,X$251,DEALS!$U:$U,$T253,DEALS!$V:$V,"&lt;&gt;*RECEIVED*",DEALS!$V:$V,"&lt;&gt;*EXECUTED*"))</f>
        <v>1255000</v>
      </c>
      <c r="Y253" s="32" cm="1">
        <f t="array" ref="Y253">SUMIFS(BALANCES!$C:$C,BALANCES!$A:$A,$B$247,BALANCES!$B:$B,$T253,BALANCES!$D:$D,Y$251)+SUMIFS(FLOWS!$C:$C,FLOWS!$A:$A,$B$247,FLOWS!$E:$E,$T253,FLOWS!$D:$D,Y$251,FLOWS!$H:$H,"&lt;="&amp;$U$249)+SUM(SUMIFS(DEALS!$J:$J,DEALS!$A:$A,{"*REFUND*","*EXECUTED*"},DEALS!$G:$G,$B$247,DEALS!$E:$E,"&lt;="&amp;$U$249,DEALS!$K:$K,Y$251,DEALS!$M:$M,$T253,DEALS!$N:$N,"&lt;&gt;*RECEIVED*",DEALS!$N:$N,"&lt;&gt;*EXECUTED*"))+SUM(SUMIFS(DEALS!$R:$R,DEALS!$A:$A,{"*REFUND*","*EXECUTED*"},DEALS!$O:$O,$B$247,DEALS!$E:$E,"&lt;="&amp;$U$249,DEALS!$S:$S,Y$251,DEALS!$U:$U,$T253,DEALS!$V:$V,"&lt;&gt;*RECEIVED*",DEALS!$V:$V,"&lt;&gt;*EXECUTED*"))</f>
        <v>0</v>
      </c>
      <c r="Z253" s="32" cm="1">
        <f t="array" ref="Z253">SUMIFS(BALANCES!$C:$C,BALANCES!$A:$A,$B$247,BALANCES!$B:$B,$T253,BALANCES!$D:$D,Z$251)+SUMIFS(FLOWS!$C:$C,FLOWS!$A:$A,$B$247,FLOWS!$E:$E,$T253,FLOWS!$D:$D,Z$251,FLOWS!$H:$H,"&lt;="&amp;$U$249)+SUM(SUMIFS(DEALS!$J:$J,DEALS!$A:$A,{"*REFUND*","*EXECUTED*"},DEALS!$G:$G,$B$247,DEALS!$E:$E,"&lt;="&amp;$U$249,DEALS!$K:$K,Z$251,DEALS!$M:$M,$T253,DEALS!$N:$N,"&lt;&gt;*RECEIVED*",DEALS!$N:$N,"&lt;&gt;*EXECUTED*"))+SUM(SUMIFS(DEALS!$R:$R,DEALS!$A:$A,{"*REFUND*","*EXECUTED*"},DEALS!$O:$O,$B$247,DEALS!$E:$E,"&lt;="&amp;$U$249,DEALS!$S:$S,Z$251,DEALS!$U:$U,$T253,DEALS!$V:$V,"&lt;&gt;*RECEIVED*",DEALS!$V:$V,"&lt;&gt;*EXECUTED*"))</f>
        <v>0</v>
      </c>
      <c r="AA253" s="33">
        <f ca="1">U253*VLOOKUP(U$251,'FX RATES'!$E$1:$F$50,2,FALSE)+V253*VLOOKUP(V$251,'FX RATES'!$E$1:$F$50,2,FALSE)+W253*VLOOKUP(W$251,'FX RATES'!$E$1:$F$50,2,FALSE)+X253*VLOOKUP(X$251,'FX RATES'!$E$1:$F$50,2,FALSE)+Y253*VLOOKUP(Y$251,'FX RATES'!$E$1:$F$50,2,FALSE)+Z253*VLOOKUP(Z$251,'FX RATES'!$E$1:$F$50,2,FALSE)</f>
        <v>2385.4265361803136</v>
      </c>
      <c r="AC253" s="139">
        <f t="shared" ca="1" si="106"/>
        <v>0</v>
      </c>
    </row>
    <row r="254" spans="2:29" ht="18.75" customHeight="1" thickBot="1">
      <c r="B254" s="28" t="s">
        <v>51</v>
      </c>
      <c r="C254" s="29" cm="1">
        <f t="array" ref="C254">SUMIFS(BALANCES!$C:$C,BALANCES!$A:$A,$B$247,BALANCES!$B:$B,$B254,BALANCES!$D:$D,C$251)+SUMIFS(FLOWS!$C:$C,FLOWS!$A:$A,$B$247,FLOWS!$E:$E,$B254,FLOWS!$D:$D,C$251,FLOWS!$H:$H,"&lt;"&amp;$C$249)+SUM(SUMIFS(DEALS!$J:$J,DEALS!$A:$A,{"*REFUND*","*EXECUTED*"},DEALS!$G:$G,$B$247,DEALS!$E:$E,"&lt;"&amp;$C$249,DEALS!$K:$K,C$251,DEALS!$M:$M,$B254,DEALS!$N:$N,"&lt;&gt;*RECEIVED*",DEALS!$N:$N,"&lt;&gt;*EXECUTED*"))+SUM(SUMIFS(DEALS!$R:$R,DEALS!$A:$A,{"*REFUND*","*EXECUTED*"},DEALS!$O:$O,$B$247,DEALS!$E:$E,"&lt;"&amp;$C$249,DEALS!$S:$S,C$251,DEALS!$U:$U,$B254,DEALS!$V:$V,"&lt;&gt;*RECEIVED*",DEALS!$V:$V,"&lt;&gt;*EXECUTED*"))</f>
        <v>1014262.14</v>
      </c>
      <c r="D254" s="29" cm="1">
        <f t="array" ref="D254">SUMIFS(BALANCES!$C:$C,BALANCES!$A:$A,$B$247,BALANCES!$B:$B,$B254,BALANCES!$D:$D,D$251)+SUMIFS(FLOWS!$C:$C,FLOWS!$A:$A,$B$247,FLOWS!$E:$E,$B254,FLOWS!$D:$D,D$251,FLOWS!$H:$H,"&lt;"&amp;$C$249)+SUM(SUMIFS(DEALS!$J:$J,DEALS!$A:$A,{"*REFUND*","*EXECUTED*"},DEALS!$G:$G,$B$247,DEALS!$E:$E,"&lt;"&amp;$C$249,DEALS!$K:$K,D$251,DEALS!$M:$M,$B254,DEALS!$N:$N,"&lt;&gt;*RECEIVED*",DEALS!$N:$N,"&lt;&gt;*EXECUTED*"))+SUM(SUMIFS(DEALS!$R:$R,DEALS!$A:$A,{"*REFUND*","*EXECUTED*"},DEALS!$O:$O,$B$247,DEALS!$E:$E,"&lt;"&amp;$C$249,DEALS!$S:$S,D$251,DEALS!$U:$U,$B254,DEALS!$V:$V,"&lt;&gt;*RECEIVED*",DEALS!$V:$V,"&lt;&gt;*EXECUTED*"))</f>
        <v>0</v>
      </c>
      <c r="E254" s="29" cm="1">
        <f t="array" ref="E254">SUMIFS(BALANCES!$C:$C,BALANCES!$A:$A,$B$247,BALANCES!$B:$B,$B254,BALANCES!$D:$D,E$251)+SUMIFS(FLOWS!$C:$C,FLOWS!$A:$A,$B$247,FLOWS!$E:$E,$B254,FLOWS!$D:$D,E$251,FLOWS!$H:$H,"&lt;"&amp;$C$249)+SUM(SUMIFS(DEALS!$J:$J,DEALS!$A:$A,{"*REFUND*","*EXECUTED*"},DEALS!$G:$G,$B$247,DEALS!$E:$E,"&lt;"&amp;$C$249,DEALS!$K:$K,E$251,DEALS!$M:$M,$B254,DEALS!$N:$N,"&lt;&gt;*RECEIVED*",DEALS!$N:$N,"&lt;&gt;*EXECUTED*"))+SUM(SUMIFS(DEALS!$R:$R,DEALS!$A:$A,{"*REFUND*","*EXECUTED*"},DEALS!$O:$O,$B$247,DEALS!$E:$E,"&lt;"&amp;$C$249,DEALS!$S:$S,E$251,DEALS!$U:$U,$B254,DEALS!$V:$V,"&lt;&gt;*RECEIVED*",DEALS!$V:$V,"&lt;&gt;*EXECUTED*"))</f>
        <v>0</v>
      </c>
      <c r="F254" s="29" cm="1">
        <f t="array" ref="F254">SUMIFS(BALANCES!$C:$C,BALANCES!$A:$A,$B$247,BALANCES!$B:$B,$B254,BALANCES!$D:$D,F$251)+SUMIFS(FLOWS!$C:$C,FLOWS!$A:$A,$B$247,FLOWS!$E:$E,$B254,FLOWS!$D:$D,F$251,FLOWS!$H:$H,"&lt;"&amp;$C$249)+SUM(SUMIFS(DEALS!$J:$J,DEALS!$A:$A,{"*REFUND*","*EXECUTED*"},DEALS!$G:$G,$B$247,DEALS!$E:$E,"&lt;"&amp;$C$249,DEALS!$K:$K,F$251,DEALS!$M:$M,$B254,DEALS!$N:$N,"&lt;&gt;*RECEIVED*",DEALS!$N:$N,"&lt;&gt;*EXECUTED*"))+SUM(SUMIFS(DEALS!$R:$R,DEALS!$A:$A,{"*REFUND*","*EXECUTED*"},DEALS!$O:$O,$B$247,DEALS!$E:$E,"&lt;"&amp;$C$249,DEALS!$S:$S,F$251,DEALS!$U:$U,$B254,DEALS!$V:$V,"&lt;&gt;*RECEIVED*",DEALS!$V:$V,"&lt;&gt;*EXECUTED*"))</f>
        <v>45407583</v>
      </c>
      <c r="G254" s="29" cm="1">
        <f t="array" ref="G254">SUMIFS(BALANCES!$C:$C,BALANCES!$A:$A,$B$247,BALANCES!$B:$B,$B254,BALANCES!$D:$D,G$251)+SUMIFS(FLOWS!$C:$C,FLOWS!$A:$A,$B$247,FLOWS!$E:$E,$B254,FLOWS!$D:$D,G$251,FLOWS!$H:$H,"&lt;"&amp;$C$249)+SUM(SUMIFS(DEALS!$J:$J,DEALS!$A:$A,{"*REFUND*","*EXECUTED*"},DEALS!$G:$G,$B$247,DEALS!$E:$E,"&lt;"&amp;$C$249,DEALS!$K:$K,G$251,DEALS!$M:$M,$B254,DEALS!$N:$N,"&lt;&gt;*RECEIVED*",DEALS!$N:$N,"&lt;&gt;*EXECUTED*"))+SUM(SUMIFS(DEALS!$R:$R,DEALS!$A:$A,{"*REFUND*","*EXECUTED*"},DEALS!$O:$O,$B$247,DEALS!$E:$E,"&lt;"&amp;$C$249,DEALS!$S:$S,G$251,DEALS!$U:$U,$B254,DEALS!$V:$V,"&lt;&gt;*RECEIVED*",DEALS!$V:$V,"&lt;&gt;*EXECUTED*"))</f>
        <v>0</v>
      </c>
      <c r="H254" s="29" cm="1">
        <f t="array" ref="H254">SUMIFS(BALANCES!$C:$C,BALANCES!$A:$A,$B$247,BALANCES!$B:$B,$B254,BALANCES!$D:$D,H$251)+SUMIFS(FLOWS!$C:$C,FLOWS!$A:$A,$B$247,FLOWS!$E:$E,$B254,FLOWS!$D:$D,H$251,FLOWS!$H:$H,"&lt;"&amp;$C$249)+SUM(SUMIFS(DEALS!$J:$J,DEALS!$A:$A,{"*REFUND*","*EXECUTED*"},DEALS!$G:$G,$B$247,DEALS!$E:$E,"&lt;"&amp;$C$249,DEALS!$K:$K,H$251,DEALS!$M:$M,$B254,DEALS!$N:$N,"&lt;&gt;*RECEIVED*",DEALS!$N:$N,"&lt;&gt;*EXECUTED*"))+SUM(SUMIFS(DEALS!$R:$R,DEALS!$A:$A,{"*REFUND*","*EXECUTED*"},DEALS!$O:$O,$B$247,DEALS!$E:$E,"&lt;"&amp;$C$249,DEALS!$S:$S,H$251,DEALS!$U:$U,$B254,DEALS!$V:$V,"&lt;&gt;*RECEIVED*",DEALS!$V:$V,"&lt;&gt;*EXECUTED*"))</f>
        <v>0</v>
      </c>
      <c r="I254" s="30">
        <f ca="1">C254*VLOOKUP(C$251,'FX RATES'!$E$1:$F$50,2,FALSE)+D254*VLOOKUP(D$251,'FX RATES'!$E$1:$F$50,2,FALSE)+E254*VLOOKUP(E$251,'FX RATES'!$E$1:$F$50,2,FALSE)+F254*VLOOKUP(F$251,'FX RATES'!$E$1:$F$50,2,FALSE)+G254*VLOOKUP(G$251,'FX RATES'!$E$1:$F$50,2,FALSE)+H254*VLOOKUP(H$251,'FX RATES'!$E$1:$F$50,2,FALSE)</f>
        <v>1016955.3537010676</v>
      </c>
      <c r="K254" s="28" t="str">
        <f t="shared" si="104"/>
        <v>OCBC</v>
      </c>
      <c r="L254" s="29" cm="1">
        <f t="array" ref="L254">SUMIFS(FLOWS!$C:$C,FLOWS!$A:$A,$B$247,FLOWS!$E:$E,$K254,FLOWS!$D:$D,L$251,FLOWS!$H:$H,"&gt;="&amp;$C$249,FLOWS!$H:$H,"&lt;="&amp;$U$249)+SUM(SUMIFS(DEALS!$J:$J,DEALS!$A:$A,{"*REFUND*","*EXECUTED*"},DEALS!$G:$G,$B$247,DEALS!$E:$E,"&gt;="&amp;$C$249,DEALS!$E:$E,"&lt;="&amp;$U$249,DEALS!$K:$K,L$251,DEALS!$M:$M,$K254,DEALS!$N:$N,"&lt;&gt;*RECEIVED*",DEALS!$N:$N,"&lt;&gt;*EXECUTED*"))+SUM(SUMIFS(DEALS!$R:$R,DEALS!$A:$A,{"*REFUND*","*EXECUTED*"},DEALS!$O:$O,$B$247,DEALS!$E:$E,"&gt;="&amp;$C$249,DEALS!$E:$E,"&lt;="&amp;$U$249,DEALS!$S:$S,L$251,DEALS!$U:$U,$K254,DEALS!$V:$V,"&lt;&gt;*RECEIVED*",DEALS!$V:$V,"&lt;&gt;*EXECUTED*"))</f>
        <v>0</v>
      </c>
      <c r="M254" s="29" cm="1">
        <f t="array" ref="M254">SUMIFS(FLOWS!$C:$C,FLOWS!$A:$A,$B$247,FLOWS!$E:$E,$K254,FLOWS!$D:$D,M$251,FLOWS!$H:$H,"&gt;="&amp;$C$249,FLOWS!$H:$H,"&lt;="&amp;$U$249)+SUM(SUMIFS(DEALS!$J:$J,DEALS!$A:$A,{"*REFUND*","*EXECUTED*"},DEALS!$G:$G,$B$247,DEALS!$E:$E,"&gt;="&amp;$C$249,DEALS!$E:$E,"&lt;="&amp;$U$249,DEALS!$K:$K,M$251,DEALS!$M:$M,$K254,DEALS!$N:$N,"&lt;&gt;*RECEIVED*",DEALS!$N:$N,"&lt;&gt;*EXECUTED*"))+SUM(SUMIFS(DEALS!$R:$R,DEALS!$A:$A,{"*REFUND*","*EXECUTED*"},DEALS!$O:$O,$B$247,DEALS!$E:$E,"&gt;="&amp;$C$249,DEALS!$E:$E,"&lt;="&amp;$U$249,DEALS!$S:$S,M$251,DEALS!$U:$U,$K254,DEALS!$V:$V,"&lt;&gt;*RECEIVED*",DEALS!$V:$V,"&lt;&gt;*EXECUTED*"))</f>
        <v>0</v>
      </c>
      <c r="N254" s="29" cm="1">
        <f t="array" ref="N254">SUMIFS(FLOWS!$C:$C,FLOWS!$A:$A,$B$247,FLOWS!$E:$E,$K254,FLOWS!$D:$D,N$251,FLOWS!$H:$H,"&gt;="&amp;$C$249,FLOWS!$H:$H,"&lt;="&amp;$U$249)+SUM(SUMIFS(DEALS!$J:$J,DEALS!$A:$A,{"*REFUND*","*EXECUTED*"},DEALS!$G:$G,$B$247,DEALS!$E:$E,"&gt;="&amp;$C$249,DEALS!$E:$E,"&lt;="&amp;$U$249,DEALS!$K:$K,N$251,DEALS!$M:$M,$K254,DEALS!$N:$N,"&lt;&gt;*RECEIVED*",DEALS!$N:$N,"&lt;&gt;*EXECUTED*"))+SUM(SUMIFS(DEALS!$R:$R,DEALS!$A:$A,{"*REFUND*","*EXECUTED*"},DEALS!$O:$O,$B$247,DEALS!$E:$E,"&gt;="&amp;$C$249,DEALS!$E:$E,"&lt;="&amp;$U$249,DEALS!$S:$S,N$251,DEALS!$U:$U,$K254,DEALS!$V:$V,"&lt;&gt;*RECEIVED*",DEALS!$V:$V,"&lt;&gt;*EXECUTED*"))</f>
        <v>0</v>
      </c>
      <c r="O254" s="29" cm="1">
        <f t="array" ref="O254">SUMIFS(FLOWS!$C:$C,FLOWS!$A:$A,$B$247,FLOWS!$E:$E,$K254,FLOWS!$D:$D,O$251,FLOWS!$H:$H,"&gt;="&amp;$C$249,FLOWS!$H:$H,"&lt;="&amp;$U$249)+SUM(SUMIFS(DEALS!$J:$J,DEALS!$A:$A,{"*REFUND*","*EXECUTED*"},DEALS!$G:$G,$B$247,DEALS!$E:$E,"&gt;="&amp;$C$249,DEALS!$E:$E,"&lt;="&amp;$U$249,DEALS!$K:$K,O$251,DEALS!$M:$M,$K254,DEALS!$N:$N,"&lt;&gt;*RECEIVED*",DEALS!$N:$N,"&lt;&gt;*EXECUTED*"))+SUM(SUMIFS(DEALS!$R:$R,DEALS!$A:$A,{"*REFUND*","*EXECUTED*"},DEALS!$O:$O,$B$247,DEALS!$E:$E,"&gt;="&amp;$C$249,DEALS!$E:$E,"&lt;="&amp;$U$249,DEALS!$S:$S,O$251,DEALS!$U:$U,$K254,DEALS!$V:$V,"&lt;&gt;*RECEIVED*",DEALS!$V:$V,"&lt;&gt;*EXECUTED*"))</f>
        <v>0</v>
      </c>
      <c r="P254" s="29" cm="1">
        <f t="array" ref="P254">SUMIFS(FLOWS!$C:$C,FLOWS!$A:$A,$B$247,FLOWS!$E:$E,$K254,FLOWS!$D:$D,P$251,FLOWS!$H:$H,"&gt;="&amp;$C$249,FLOWS!$H:$H,"&lt;="&amp;$U$249)+SUM(SUMIFS(DEALS!$J:$J,DEALS!$A:$A,{"*REFUND*","*EXECUTED*"},DEALS!$G:$G,$B$247,DEALS!$E:$E,"&gt;="&amp;$C$249,DEALS!$E:$E,"&lt;="&amp;$U$249,DEALS!$K:$K,P$251,DEALS!$M:$M,$K254,DEALS!$N:$N,"&lt;&gt;*RECEIVED*",DEALS!$N:$N,"&lt;&gt;*EXECUTED*"))+SUM(SUMIFS(DEALS!$R:$R,DEALS!$A:$A,{"*REFUND*","*EXECUTED*"},DEALS!$O:$O,$B$247,DEALS!$E:$E,"&gt;="&amp;$C$249,DEALS!$E:$E,"&lt;="&amp;$U$249,DEALS!$S:$S,P$251,DEALS!$U:$U,$K254,DEALS!$V:$V,"&lt;&gt;*RECEIVED*",DEALS!$V:$V,"&lt;&gt;*EXECUTED*"))</f>
        <v>0</v>
      </c>
      <c r="Q254" s="29" cm="1">
        <f t="array" ref="Q254">SUMIFS(FLOWS!$C:$C,FLOWS!$A:$A,$B$247,FLOWS!$E:$E,$K254,FLOWS!$D:$D,Q$251,FLOWS!$H:$H,"&gt;="&amp;$C$249,FLOWS!$H:$H,"&lt;="&amp;$U$249)+SUM(SUMIFS(DEALS!$J:$J,DEALS!$A:$A,{"*REFUND*","*EXECUTED*"},DEALS!$G:$G,$B$247,DEALS!$E:$E,"&gt;="&amp;$C$249,DEALS!$E:$E,"&lt;="&amp;$U$249,DEALS!$K:$K,Q$251,DEALS!$M:$M,$K254,DEALS!$N:$N,"&lt;&gt;*RECEIVED*",DEALS!$N:$N,"&lt;&gt;*EXECUTED*"))+SUM(SUMIFS(DEALS!$R:$R,DEALS!$A:$A,{"*REFUND*","*EXECUTED*"},DEALS!$O:$O,$B$247,DEALS!$E:$E,"&gt;="&amp;$C$249,DEALS!$E:$E,"&lt;="&amp;$U$249,DEALS!$S:$S,Q$251,DEALS!$U:$U,$K254,DEALS!$V:$V,"&lt;&gt;*RECEIVED*",DEALS!$V:$V,"&lt;&gt;*EXECUTED*"))</f>
        <v>0</v>
      </c>
      <c r="R254" s="30">
        <f ca="1">L254*VLOOKUP(L$251,'FX RATES'!$E$1:$F$50,2,FALSE)+M254*VLOOKUP(M$251,'FX RATES'!$E$1:$F$50,2,FALSE)+N254*VLOOKUP(N$251,'FX RATES'!$E$1:$F$50,2,FALSE)+O254*VLOOKUP(O$251,'FX RATES'!$E$1:$F$50,2,FALSE)+P254*VLOOKUP(P$251,'FX RATES'!$E$1:$F$50,2,FALSE)+Q254*VLOOKUP(Q$251,'FX RATES'!$E$1:$F$50,2,FALSE)</f>
        <v>0</v>
      </c>
      <c r="T254" s="28" t="str">
        <f t="shared" si="105"/>
        <v>OCBC</v>
      </c>
      <c r="U254" s="29" cm="1">
        <f t="array" ref="U254">SUMIFS(BALANCES!$C:$C,BALANCES!$A:$A,$B$247,BALANCES!$B:$B,$T254,BALANCES!$D:$D,U$251)+SUMIFS(FLOWS!$C:$C,FLOWS!$A:$A,$B$247,FLOWS!$E:$E,$T254,FLOWS!$D:$D,U$251,FLOWS!$H:$H,"&lt;="&amp;$U$249)+SUM(SUMIFS(DEALS!$J:$J,DEALS!$A:$A,{"*REFUND*","*EXECUTED*"},DEALS!$G:$G,$B$247,DEALS!$E:$E,"&lt;="&amp;$U$249,DEALS!$K:$K,U$251,DEALS!$M:$M,$T254,DEALS!$N:$N,"&lt;&gt;*RECEIVED*",DEALS!$N:$N,"&lt;&gt;*EXECUTED*"))+SUM(SUMIFS(DEALS!$R:$R,DEALS!$A:$A,{"*REFUND*","*EXECUTED*"},DEALS!$O:$O,$B$247,DEALS!$E:$E,"&lt;="&amp;$U$249,DEALS!$S:$S,U$251,DEALS!$U:$U,$T254,DEALS!$V:$V,"&lt;&gt;*RECEIVED*",DEALS!$V:$V,"&lt;&gt;*EXECUTED*"))</f>
        <v>1014262.14</v>
      </c>
      <c r="V254" s="29" cm="1">
        <f t="array" ref="V254">SUMIFS(BALANCES!$C:$C,BALANCES!$A:$A,$B$247,BALANCES!$B:$B,$T254,BALANCES!$D:$D,V$251)+SUMIFS(FLOWS!$C:$C,FLOWS!$A:$A,$B$247,FLOWS!$E:$E,$T254,FLOWS!$D:$D,V$251,FLOWS!$H:$H,"&lt;="&amp;$U$249)+SUM(SUMIFS(DEALS!$J:$J,DEALS!$A:$A,{"*REFUND*","*EXECUTED*"},DEALS!$G:$G,$B$247,DEALS!$E:$E,"&lt;="&amp;$U$249,DEALS!$K:$K,V$251,DEALS!$M:$M,$T254,DEALS!$N:$N,"&lt;&gt;*RECEIVED*",DEALS!$N:$N,"&lt;&gt;*EXECUTED*"))+SUM(SUMIFS(DEALS!$R:$R,DEALS!$A:$A,{"*REFUND*","*EXECUTED*"},DEALS!$O:$O,$B$247,DEALS!$E:$E,"&lt;="&amp;$U$249,DEALS!$S:$S,V$251,DEALS!$U:$U,$T254,DEALS!$V:$V,"&lt;&gt;*RECEIVED*",DEALS!$V:$V,"&lt;&gt;*EXECUTED*"))</f>
        <v>0</v>
      </c>
      <c r="W254" s="29" cm="1">
        <f t="array" ref="W254">SUMIFS(BALANCES!$C:$C,BALANCES!$A:$A,$B$247,BALANCES!$B:$B,$T254,BALANCES!$D:$D,W$251)+SUMIFS(FLOWS!$C:$C,FLOWS!$A:$A,$B$247,FLOWS!$E:$E,$T254,FLOWS!$D:$D,W$251,FLOWS!$H:$H,"&lt;="&amp;$U$249)+SUM(SUMIFS(DEALS!$J:$J,DEALS!$A:$A,{"*REFUND*","*EXECUTED*"},DEALS!$G:$G,$B$247,DEALS!$E:$E,"&lt;="&amp;$U$249,DEALS!$K:$K,W$251,DEALS!$M:$M,$T254,DEALS!$N:$N,"&lt;&gt;*RECEIVED*",DEALS!$N:$N,"&lt;&gt;*EXECUTED*"))+SUM(SUMIFS(DEALS!$R:$R,DEALS!$A:$A,{"*REFUND*","*EXECUTED*"},DEALS!$O:$O,$B$247,DEALS!$E:$E,"&lt;="&amp;$U$249,DEALS!$S:$S,W$251,DEALS!$U:$U,$T254,DEALS!$V:$V,"&lt;&gt;*RECEIVED*",DEALS!$V:$V,"&lt;&gt;*EXECUTED*"))</f>
        <v>0</v>
      </c>
      <c r="X254" s="29" cm="1">
        <f t="array" ref="X254">SUMIFS(BALANCES!$C:$C,BALANCES!$A:$A,$B$247,BALANCES!$B:$B,$T254,BALANCES!$D:$D,X$251)+SUMIFS(FLOWS!$C:$C,FLOWS!$A:$A,$B$247,FLOWS!$E:$E,$T254,FLOWS!$D:$D,X$251,FLOWS!$H:$H,"&lt;="&amp;$U$249)+SUM(SUMIFS(DEALS!$J:$J,DEALS!$A:$A,{"*REFUND*","*EXECUTED*"},DEALS!$G:$G,$B$247,DEALS!$E:$E,"&lt;="&amp;$U$249,DEALS!$K:$K,X$251,DEALS!$M:$M,$T254,DEALS!$N:$N,"&lt;&gt;*RECEIVED*",DEALS!$N:$N,"&lt;&gt;*EXECUTED*"))+SUM(SUMIFS(DEALS!$R:$R,DEALS!$A:$A,{"*REFUND*","*EXECUTED*"},DEALS!$O:$O,$B$247,DEALS!$E:$E,"&lt;="&amp;$U$249,DEALS!$S:$S,X$251,DEALS!$U:$U,$T254,DEALS!$V:$V,"&lt;&gt;*RECEIVED*",DEALS!$V:$V,"&lt;&gt;*EXECUTED*"))</f>
        <v>45407583</v>
      </c>
      <c r="Y254" s="29" cm="1">
        <f t="array" ref="Y254">SUMIFS(BALANCES!$C:$C,BALANCES!$A:$A,$B$247,BALANCES!$B:$B,$T254,BALANCES!$D:$D,Y$251)+SUMIFS(FLOWS!$C:$C,FLOWS!$A:$A,$B$247,FLOWS!$E:$E,$T254,FLOWS!$D:$D,Y$251,FLOWS!$H:$H,"&lt;="&amp;$U$249)+SUM(SUMIFS(DEALS!$J:$J,DEALS!$A:$A,{"*REFUND*","*EXECUTED*"},DEALS!$G:$G,$B$247,DEALS!$E:$E,"&lt;="&amp;$U$249,DEALS!$K:$K,Y$251,DEALS!$M:$M,$T254,DEALS!$N:$N,"&lt;&gt;*RECEIVED*",DEALS!$N:$N,"&lt;&gt;*EXECUTED*"))+SUM(SUMIFS(DEALS!$R:$R,DEALS!$A:$A,{"*REFUND*","*EXECUTED*"},DEALS!$O:$O,$B$247,DEALS!$E:$E,"&lt;="&amp;$U$249,DEALS!$S:$S,Y$251,DEALS!$U:$U,$T254,DEALS!$V:$V,"&lt;&gt;*RECEIVED*",DEALS!$V:$V,"&lt;&gt;*EXECUTED*"))</f>
        <v>0</v>
      </c>
      <c r="Z254" s="29" cm="1">
        <f t="array" ref="Z254">SUMIFS(BALANCES!$C:$C,BALANCES!$A:$A,$B$247,BALANCES!$B:$B,$T254,BALANCES!$D:$D,Z$251)+SUMIFS(FLOWS!$C:$C,FLOWS!$A:$A,$B$247,FLOWS!$E:$E,$T254,FLOWS!$D:$D,Z$251,FLOWS!$H:$H,"&lt;="&amp;$U$249)+SUM(SUMIFS(DEALS!$J:$J,DEALS!$A:$A,{"*REFUND*","*EXECUTED*"},DEALS!$G:$G,$B$247,DEALS!$E:$E,"&lt;="&amp;$U$249,DEALS!$K:$K,Z$251,DEALS!$M:$M,$T254,DEALS!$N:$N,"&lt;&gt;*RECEIVED*",DEALS!$N:$N,"&lt;&gt;*EXECUTED*"))+SUM(SUMIFS(DEALS!$R:$R,DEALS!$A:$A,{"*REFUND*","*EXECUTED*"},DEALS!$O:$O,$B$247,DEALS!$E:$E,"&lt;="&amp;$U$249,DEALS!$S:$S,Z$251,DEALS!$U:$U,$T254,DEALS!$V:$V,"&lt;&gt;*RECEIVED*",DEALS!$V:$V,"&lt;&gt;*EXECUTED*"))</f>
        <v>0</v>
      </c>
      <c r="AA254" s="30">
        <f ca="1">U254*VLOOKUP(U$251,'FX RATES'!$E$1:$F$50,2,FALSE)+V254*VLOOKUP(V$251,'FX RATES'!$E$1:$F$50,2,FALSE)+W254*VLOOKUP(W$251,'FX RATES'!$E$1:$F$50,2,FALSE)+X254*VLOOKUP(X$251,'FX RATES'!$E$1:$F$50,2,FALSE)+Y254*VLOOKUP(Y$251,'FX RATES'!$E$1:$F$50,2,FALSE)+Z254*VLOOKUP(Z$251,'FX RATES'!$E$1:$F$50,2,FALSE)</f>
        <v>1016955.3537010676</v>
      </c>
      <c r="AC254" s="139">
        <f t="shared" ca="1" si="106"/>
        <v>0</v>
      </c>
    </row>
    <row r="255" spans="2:29" ht="18.75" hidden="1" customHeight="1">
      <c r="B255" s="31"/>
      <c r="C255" s="32" cm="1">
        <f t="array" ref="C255">SUMIFS(BALANCES!$C:$C,BALANCES!$A:$A,$B$247,BALANCES!$B:$B,$B255,BALANCES!$D:$D,C$251)+SUMIFS(FLOWS!$C:$C,FLOWS!$A:$A,$B$247,FLOWS!$E:$E,$B255,FLOWS!$D:$D,C$251,FLOWS!$H:$H,"&lt;"&amp;$C$249)+SUM(SUMIFS(DEALS!$J:$J,DEALS!$A:$A,{"*REFUND*","*EXECUTED*"},DEALS!$G:$G,$B$247,DEALS!$E:$E,"&lt;"&amp;$C$249,DEALS!$K:$K,C$251,DEALS!$M:$M,$B255,DEALS!$N:$N,"&lt;&gt;*RECEIVED*",DEALS!$N:$N,"&lt;&gt;*EXECUTED*"))+SUM(SUMIFS(DEALS!$R:$R,DEALS!$A:$A,{"*REFUND*","*EXECUTED*"},DEALS!$O:$O,$B$247,DEALS!$E:$E,"&lt;"&amp;$C$249,DEALS!$S:$S,C$251,DEALS!$U:$U,$B255,DEALS!$V:$V,"&lt;&gt;*RECEIVED*",DEALS!$V:$V,"&lt;&gt;*EXECUTED*"))</f>
        <v>0</v>
      </c>
      <c r="D255" s="32" cm="1">
        <f t="array" ref="D255">SUMIFS(BALANCES!$C:$C,BALANCES!$A:$A,$B$247,BALANCES!$B:$B,$B255,BALANCES!$D:$D,D$251)+SUMIFS(FLOWS!$C:$C,FLOWS!$A:$A,$B$247,FLOWS!$E:$E,$B255,FLOWS!$D:$D,D$251,FLOWS!$H:$H,"&lt;"&amp;$C$249)+SUM(SUMIFS(DEALS!$J:$J,DEALS!$A:$A,{"*REFUND*","*EXECUTED*"},DEALS!$G:$G,$B$247,DEALS!$E:$E,"&lt;"&amp;$C$249,DEALS!$K:$K,D$251,DEALS!$M:$M,$B255,DEALS!$N:$N,"&lt;&gt;*RECEIVED*",DEALS!$N:$N,"&lt;&gt;*EXECUTED*"))+SUM(SUMIFS(DEALS!$R:$R,DEALS!$A:$A,{"*REFUND*","*EXECUTED*"},DEALS!$O:$O,$B$247,DEALS!$E:$E,"&lt;"&amp;$C$249,DEALS!$S:$S,D$251,DEALS!$U:$U,$B255,DEALS!$V:$V,"&lt;&gt;*RECEIVED*",DEALS!$V:$V,"&lt;&gt;*EXECUTED*"))</f>
        <v>0</v>
      </c>
      <c r="E255" s="32" cm="1">
        <f t="array" ref="E255">SUMIFS(BALANCES!$C:$C,BALANCES!$A:$A,$B$247,BALANCES!$B:$B,$B255,BALANCES!$D:$D,E$251)+SUMIFS(FLOWS!$C:$C,FLOWS!$A:$A,$B$247,FLOWS!$E:$E,$B255,FLOWS!$D:$D,E$251,FLOWS!$H:$H,"&lt;"&amp;$C$249)+SUM(SUMIFS(DEALS!$J:$J,DEALS!$A:$A,{"*REFUND*","*EXECUTED*"},DEALS!$G:$G,$B$247,DEALS!$E:$E,"&lt;"&amp;$C$249,DEALS!$K:$K,E$251,DEALS!$M:$M,$B255,DEALS!$N:$N,"&lt;&gt;*RECEIVED*",DEALS!$N:$N,"&lt;&gt;*EXECUTED*"))+SUM(SUMIFS(DEALS!$R:$R,DEALS!$A:$A,{"*REFUND*","*EXECUTED*"},DEALS!$O:$O,$B$247,DEALS!$E:$E,"&lt;"&amp;$C$249,DEALS!$S:$S,E$251,DEALS!$U:$U,$B255,DEALS!$V:$V,"&lt;&gt;*RECEIVED*",DEALS!$V:$V,"&lt;&gt;*EXECUTED*"))</f>
        <v>0</v>
      </c>
      <c r="F255" s="32" cm="1">
        <f t="array" ref="F255">SUMIFS(BALANCES!$C:$C,BALANCES!$A:$A,$B$247,BALANCES!$B:$B,$B255,BALANCES!$D:$D,F$251)+SUMIFS(FLOWS!$C:$C,FLOWS!$A:$A,$B$247,FLOWS!$E:$E,$B255,FLOWS!$D:$D,F$251,FLOWS!$H:$H,"&lt;"&amp;$C$249)+SUM(SUMIFS(DEALS!$J:$J,DEALS!$A:$A,{"*REFUND*","*EXECUTED*"},DEALS!$G:$G,$B$247,DEALS!$E:$E,"&lt;"&amp;$C$249,DEALS!$K:$K,F$251,DEALS!$M:$M,$B255,DEALS!$N:$N,"&lt;&gt;*RECEIVED*",DEALS!$N:$N,"&lt;&gt;*EXECUTED*"))+SUM(SUMIFS(DEALS!$R:$R,DEALS!$A:$A,{"*REFUND*","*EXECUTED*"},DEALS!$O:$O,$B$247,DEALS!$E:$E,"&lt;"&amp;$C$249,DEALS!$S:$S,F$251,DEALS!$U:$U,$B255,DEALS!$V:$V,"&lt;&gt;*RECEIVED*",DEALS!$V:$V,"&lt;&gt;*EXECUTED*"))</f>
        <v>0</v>
      </c>
      <c r="G255" s="32" cm="1">
        <f t="array" ref="G255">SUMIFS(BALANCES!$C:$C,BALANCES!$A:$A,$B$247,BALANCES!$B:$B,$B255,BALANCES!$D:$D,G$251)+SUMIFS(FLOWS!$C:$C,FLOWS!$A:$A,$B$247,FLOWS!$E:$E,$B255,FLOWS!$D:$D,G$251,FLOWS!$H:$H,"&lt;"&amp;$C$249)+SUM(SUMIFS(DEALS!$J:$J,DEALS!$A:$A,{"*REFUND*","*EXECUTED*"},DEALS!$G:$G,$B$247,DEALS!$E:$E,"&lt;"&amp;$C$249,DEALS!$K:$K,G$251,DEALS!$M:$M,$B255,DEALS!$N:$N,"&lt;&gt;*RECEIVED*",DEALS!$N:$N,"&lt;&gt;*EXECUTED*"))+SUM(SUMIFS(DEALS!$R:$R,DEALS!$A:$A,{"*REFUND*","*EXECUTED*"},DEALS!$O:$O,$B$247,DEALS!$E:$E,"&lt;"&amp;$C$249,DEALS!$S:$S,G$251,DEALS!$U:$U,$B255,DEALS!$V:$V,"&lt;&gt;*RECEIVED*",DEALS!$V:$V,"&lt;&gt;*EXECUTED*"))</f>
        <v>0</v>
      </c>
      <c r="H255" s="32" cm="1">
        <f t="array" ref="H255">SUMIFS(BALANCES!$C:$C,BALANCES!$A:$A,$B$247,BALANCES!$B:$B,$B255,BALANCES!$D:$D,H$251)+SUMIFS(FLOWS!$C:$C,FLOWS!$A:$A,$B$247,FLOWS!$E:$E,$B255,FLOWS!$D:$D,H$251,FLOWS!$H:$H,"&lt;"&amp;$C$249)+SUM(SUMIFS(DEALS!$J:$J,DEALS!$A:$A,{"*REFUND*","*EXECUTED*"},DEALS!$G:$G,$B$247,DEALS!$E:$E,"&lt;"&amp;$C$249,DEALS!$K:$K,H$251,DEALS!$M:$M,$B255,DEALS!$N:$N,"&lt;&gt;*RECEIVED*",DEALS!$N:$N,"&lt;&gt;*EXECUTED*"))+SUM(SUMIFS(DEALS!$R:$R,DEALS!$A:$A,{"*REFUND*","*EXECUTED*"},DEALS!$O:$O,$B$247,DEALS!$E:$E,"&lt;"&amp;$C$249,DEALS!$S:$S,H$251,DEALS!$U:$U,$B255,DEALS!$V:$V,"&lt;&gt;*RECEIVED*",DEALS!$V:$V,"&lt;&gt;*EXECUTED*"))</f>
        <v>0</v>
      </c>
      <c r="I255" s="33">
        <f ca="1">C255*VLOOKUP(C$251,'FX RATES'!$E$1:$F$50,2,FALSE)+D255*VLOOKUP(D$251,'FX RATES'!$E$1:$F$50,2,FALSE)+E255*VLOOKUP(E$251,'FX RATES'!$E$1:$F$50,2,FALSE)+F255*VLOOKUP(F$251,'FX RATES'!$E$1:$F$50,2,FALSE)+G255*VLOOKUP(G$251,'FX RATES'!$E$1:$F$50,2,FALSE)+H255*VLOOKUP(H$251,'FX RATES'!$E$1:$F$50,2,FALSE)</f>
        <v>0</v>
      </c>
      <c r="K255" s="31">
        <f t="shared" si="104"/>
        <v>0</v>
      </c>
      <c r="L255" s="32" cm="1">
        <f t="array" ref="L255">SUMIFS(FLOWS!$C:$C,FLOWS!$A:$A,$B$247,FLOWS!$E:$E,$K255,FLOWS!$D:$D,L$251,FLOWS!$H:$H,"&gt;="&amp;$C$249,FLOWS!$H:$H,"&lt;="&amp;$U$249)+SUM(SUMIFS(DEALS!$J:$J,DEALS!$A:$A,{"*REFUND*","*EXECUTED*"},DEALS!$G:$G,$B$247,DEALS!$E:$E,"&gt;="&amp;$C$249,DEALS!$E:$E,"&lt;="&amp;$U$249,DEALS!$K:$K,L$251,DEALS!$M:$M,$K255,DEALS!$N:$N,"&lt;&gt;*RECEIVED*",DEALS!$N:$N,"&lt;&gt;*EXECUTED*"))+SUM(SUMIFS(DEALS!$R:$R,DEALS!$A:$A,{"*REFUND*","*EXECUTED*"},DEALS!$O:$O,$B$247,DEALS!$E:$E,"&gt;="&amp;$C$249,DEALS!$E:$E,"&lt;="&amp;$U$249,DEALS!$S:$S,L$251,DEALS!$U:$U,$K255,DEALS!$V:$V,"&lt;&gt;*RECEIVED*",DEALS!$V:$V,"&lt;&gt;*EXECUTED*"))</f>
        <v>0</v>
      </c>
      <c r="M255" s="32" cm="1">
        <f t="array" ref="M255">SUMIFS(FLOWS!$C:$C,FLOWS!$A:$A,$B$247,FLOWS!$E:$E,$K255,FLOWS!$D:$D,M$251,FLOWS!$H:$H,"&gt;="&amp;$C$249,FLOWS!$H:$H,"&lt;="&amp;$U$249)+SUM(SUMIFS(DEALS!$J:$J,DEALS!$A:$A,{"*REFUND*","*EXECUTED*"},DEALS!$G:$G,$B$247,DEALS!$E:$E,"&gt;="&amp;$C$249,DEALS!$E:$E,"&lt;="&amp;$U$249,DEALS!$K:$K,M$251,DEALS!$M:$M,$K255,DEALS!$N:$N,"&lt;&gt;*RECEIVED*",DEALS!$N:$N,"&lt;&gt;*EXECUTED*"))+SUM(SUMIFS(DEALS!$R:$R,DEALS!$A:$A,{"*REFUND*","*EXECUTED*"},DEALS!$O:$O,$B$247,DEALS!$E:$E,"&gt;="&amp;$C$249,DEALS!$E:$E,"&lt;="&amp;$U$249,DEALS!$S:$S,M$251,DEALS!$U:$U,$K255,DEALS!$V:$V,"&lt;&gt;*RECEIVED*",DEALS!$V:$V,"&lt;&gt;*EXECUTED*"))</f>
        <v>0</v>
      </c>
      <c r="N255" s="32" cm="1">
        <f t="array" ref="N255">SUMIFS(FLOWS!$C:$C,FLOWS!$A:$A,$B$247,FLOWS!$E:$E,$K255,FLOWS!$D:$D,N$251,FLOWS!$H:$H,"&gt;="&amp;$C$249,FLOWS!$H:$H,"&lt;="&amp;$U$249)+SUM(SUMIFS(DEALS!$J:$J,DEALS!$A:$A,{"*REFUND*","*EXECUTED*"},DEALS!$G:$G,$B$247,DEALS!$E:$E,"&gt;="&amp;$C$249,DEALS!$E:$E,"&lt;="&amp;$U$249,DEALS!$K:$K,N$251,DEALS!$M:$M,$K255,DEALS!$N:$N,"&lt;&gt;*RECEIVED*",DEALS!$N:$N,"&lt;&gt;*EXECUTED*"))+SUM(SUMIFS(DEALS!$R:$R,DEALS!$A:$A,{"*REFUND*","*EXECUTED*"},DEALS!$O:$O,$B$247,DEALS!$E:$E,"&gt;="&amp;$C$249,DEALS!$E:$E,"&lt;="&amp;$U$249,DEALS!$S:$S,N$251,DEALS!$U:$U,$K255,DEALS!$V:$V,"&lt;&gt;*RECEIVED*",DEALS!$V:$V,"&lt;&gt;*EXECUTED*"))</f>
        <v>0</v>
      </c>
      <c r="O255" s="32" cm="1">
        <f t="array" ref="O255">SUMIFS(FLOWS!$C:$C,FLOWS!$A:$A,$B$247,FLOWS!$E:$E,$K255,FLOWS!$D:$D,O$251,FLOWS!$H:$H,"&gt;="&amp;$C$249,FLOWS!$H:$H,"&lt;="&amp;$U$249)+SUM(SUMIFS(DEALS!$J:$J,DEALS!$A:$A,{"*REFUND*","*EXECUTED*"},DEALS!$G:$G,$B$247,DEALS!$E:$E,"&gt;="&amp;$C$249,DEALS!$E:$E,"&lt;="&amp;$U$249,DEALS!$K:$K,O$251,DEALS!$M:$M,$K255,DEALS!$N:$N,"&lt;&gt;*RECEIVED*",DEALS!$N:$N,"&lt;&gt;*EXECUTED*"))+SUM(SUMIFS(DEALS!$R:$R,DEALS!$A:$A,{"*REFUND*","*EXECUTED*"},DEALS!$O:$O,$B$247,DEALS!$E:$E,"&gt;="&amp;$C$249,DEALS!$E:$E,"&lt;="&amp;$U$249,DEALS!$S:$S,O$251,DEALS!$U:$U,$K255,DEALS!$V:$V,"&lt;&gt;*RECEIVED*",DEALS!$V:$V,"&lt;&gt;*EXECUTED*"))</f>
        <v>0</v>
      </c>
      <c r="P255" s="32" cm="1">
        <f t="array" ref="P255">SUMIFS(FLOWS!$C:$C,FLOWS!$A:$A,$B$247,FLOWS!$E:$E,$K255,FLOWS!$D:$D,P$251,FLOWS!$H:$H,"&gt;="&amp;$C$249,FLOWS!$H:$H,"&lt;="&amp;$U$249)+SUM(SUMIFS(DEALS!$J:$J,DEALS!$A:$A,{"*REFUND*","*EXECUTED*"},DEALS!$G:$G,$B$247,DEALS!$E:$E,"&gt;="&amp;$C$249,DEALS!$E:$E,"&lt;="&amp;$U$249,DEALS!$K:$K,P$251,DEALS!$M:$M,$K255,DEALS!$N:$N,"&lt;&gt;*RECEIVED*",DEALS!$N:$N,"&lt;&gt;*EXECUTED*"))+SUM(SUMIFS(DEALS!$R:$R,DEALS!$A:$A,{"*REFUND*","*EXECUTED*"},DEALS!$O:$O,$B$247,DEALS!$E:$E,"&gt;="&amp;$C$249,DEALS!$E:$E,"&lt;="&amp;$U$249,DEALS!$S:$S,P$251,DEALS!$U:$U,$K255,DEALS!$V:$V,"&lt;&gt;*RECEIVED*",DEALS!$V:$V,"&lt;&gt;*EXECUTED*"))</f>
        <v>0</v>
      </c>
      <c r="Q255" s="32" cm="1">
        <f t="array" ref="Q255">SUMIFS(FLOWS!$C:$C,FLOWS!$A:$A,$B$247,FLOWS!$E:$E,$K255,FLOWS!$D:$D,Q$251,FLOWS!$H:$H,"&gt;="&amp;$C$249,FLOWS!$H:$H,"&lt;="&amp;$U$249)+SUM(SUMIFS(DEALS!$J:$J,DEALS!$A:$A,{"*REFUND*","*EXECUTED*"},DEALS!$G:$G,$B$247,DEALS!$E:$E,"&gt;="&amp;$C$249,DEALS!$E:$E,"&lt;="&amp;$U$249,DEALS!$K:$K,Q$251,DEALS!$M:$M,$K255,DEALS!$N:$N,"&lt;&gt;*RECEIVED*",DEALS!$N:$N,"&lt;&gt;*EXECUTED*"))+SUM(SUMIFS(DEALS!$R:$R,DEALS!$A:$A,{"*REFUND*","*EXECUTED*"},DEALS!$O:$O,$B$247,DEALS!$E:$E,"&gt;="&amp;$C$249,DEALS!$E:$E,"&lt;="&amp;$U$249,DEALS!$S:$S,Q$251,DEALS!$U:$U,$K255,DEALS!$V:$V,"&lt;&gt;*RECEIVED*",DEALS!$V:$V,"&lt;&gt;*EXECUTED*"))</f>
        <v>0</v>
      </c>
      <c r="R255" s="33">
        <f ca="1">L255*VLOOKUP(L$251,'FX RATES'!$E$1:$F$50,2,FALSE)+M255*VLOOKUP(M$251,'FX RATES'!$E$1:$F$50,2,FALSE)+N255*VLOOKUP(N$251,'FX RATES'!$E$1:$F$50,2,FALSE)+O255*VLOOKUP(O$251,'FX RATES'!$E$1:$F$50,2,FALSE)+P255*VLOOKUP(P$251,'FX RATES'!$E$1:$F$50,2,FALSE)+Q255*VLOOKUP(Q$251,'FX RATES'!$E$1:$F$50,2,FALSE)</f>
        <v>0</v>
      </c>
      <c r="T255" s="31">
        <f t="shared" si="105"/>
        <v>0</v>
      </c>
      <c r="U255" s="32" cm="1">
        <f t="array" ref="U255">SUMIFS(BALANCES!$C:$C,BALANCES!$A:$A,$B$247,BALANCES!$B:$B,$T255,BALANCES!$D:$D,U$251)+SUMIFS(FLOWS!$C:$C,FLOWS!$A:$A,$B$247,FLOWS!$E:$E,$T255,FLOWS!$D:$D,U$251,FLOWS!$H:$H,"&lt;="&amp;$U$249)+SUM(SUMIFS(DEALS!$J:$J,DEALS!$A:$A,{"*REFUND*","*EXECUTED*"},DEALS!$G:$G,$B$247,DEALS!$E:$E,"&lt;="&amp;$U$249,DEALS!$K:$K,U$251,DEALS!$M:$M,$T255,DEALS!$N:$N,"&lt;&gt;*RECEIVED*",DEALS!$N:$N,"&lt;&gt;*EXECUTED*"))+SUM(SUMIFS(DEALS!$R:$R,DEALS!$A:$A,{"*REFUND*","*EXECUTED*"},DEALS!$O:$O,$B$247,DEALS!$E:$E,"&lt;="&amp;$U$249,DEALS!$S:$S,U$251,DEALS!$U:$U,$T255,DEALS!$V:$V,"&lt;&gt;*RECEIVED*",DEALS!$V:$V,"&lt;&gt;*EXECUTED*"))</f>
        <v>0</v>
      </c>
      <c r="V255" s="32" cm="1">
        <f t="array" ref="V255">SUMIFS(BALANCES!$C:$C,BALANCES!$A:$A,$B$247,BALANCES!$B:$B,$T255,BALANCES!$D:$D,V$251)+SUMIFS(FLOWS!$C:$C,FLOWS!$A:$A,$B$247,FLOWS!$E:$E,$T255,FLOWS!$D:$D,V$251,FLOWS!$H:$H,"&lt;="&amp;$U$249)+SUM(SUMIFS(DEALS!$J:$J,DEALS!$A:$A,{"*REFUND*","*EXECUTED*"},DEALS!$G:$G,$B$247,DEALS!$E:$E,"&lt;="&amp;$U$249,DEALS!$K:$K,V$251,DEALS!$M:$M,$T255,DEALS!$N:$N,"&lt;&gt;*RECEIVED*",DEALS!$N:$N,"&lt;&gt;*EXECUTED*"))+SUM(SUMIFS(DEALS!$R:$R,DEALS!$A:$A,{"*REFUND*","*EXECUTED*"},DEALS!$O:$O,$B$247,DEALS!$E:$E,"&lt;="&amp;$U$249,DEALS!$S:$S,V$251,DEALS!$U:$U,$T255,DEALS!$V:$V,"&lt;&gt;*RECEIVED*",DEALS!$V:$V,"&lt;&gt;*EXECUTED*"))</f>
        <v>0</v>
      </c>
      <c r="W255" s="32" cm="1">
        <f t="array" ref="W255">SUMIFS(BALANCES!$C:$C,BALANCES!$A:$A,$B$247,BALANCES!$B:$B,$T255,BALANCES!$D:$D,W$251)+SUMIFS(FLOWS!$C:$C,FLOWS!$A:$A,$B$247,FLOWS!$E:$E,$T255,FLOWS!$D:$D,W$251,FLOWS!$H:$H,"&lt;="&amp;$U$249)+SUM(SUMIFS(DEALS!$J:$J,DEALS!$A:$A,{"*REFUND*","*EXECUTED*"},DEALS!$G:$G,$B$247,DEALS!$E:$E,"&lt;="&amp;$U$249,DEALS!$K:$K,W$251,DEALS!$M:$M,$T255,DEALS!$N:$N,"&lt;&gt;*RECEIVED*",DEALS!$N:$N,"&lt;&gt;*EXECUTED*"))+SUM(SUMIFS(DEALS!$R:$R,DEALS!$A:$A,{"*REFUND*","*EXECUTED*"},DEALS!$O:$O,$B$247,DEALS!$E:$E,"&lt;="&amp;$U$249,DEALS!$S:$S,W$251,DEALS!$U:$U,$T255,DEALS!$V:$V,"&lt;&gt;*RECEIVED*",DEALS!$V:$V,"&lt;&gt;*EXECUTED*"))</f>
        <v>0</v>
      </c>
      <c r="X255" s="32" cm="1">
        <f t="array" ref="X255">SUMIFS(BALANCES!$C:$C,BALANCES!$A:$A,$B$247,BALANCES!$B:$B,$T255,BALANCES!$D:$D,X$251)+SUMIFS(FLOWS!$C:$C,FLOWS!$A:$A,$B$247,FLOWS!$E:$E,$T255,FLOWS!$D:$D,X$251,FLOWS!$H:$H,"&lt;="&amp;$U$249)+SUM(SUMIFS(DEALS!$J:$J,DEALS!$A:$A,{"*REFUND*","*EXECUTED*"},DEALS!$G:$G,$B$247,DEALS!$E:$E,"&lt;="&amp;$U$249,DEALS!$K:$K,X$251,DEALS!$M:$M,$T255,DEALS!$N:$N,"&lt;&gt;*RECEIVED*",DEALS!$N:$N,"&lt;&gt;*EXECUTED*"))+SUM(SUMIFS(DEALS!$R:$R,DEALS!$A:$A,{"*REFUND*","*EXECUTED*"},DEALS!$O:$O,$B$247,DEALS!$E:$E,"&lt;="&amp;$U$249,DEALS!$S:$S,X$251,DEALS!$U:$U,$T255,DEALS!$V:$V,"&lt;&gt;*RECEIVED*",DEALS!$V:$V,"&lt;&gt;*EXECUTED*"))</f>
        <v>0</v>
      </c>
      <c r="Y255" s="32" cm="1">
        <f t="array" ref="Y255">SUMIFS(BALANCES!$C:$C,BALANCES!$A:$A,$B$247,BALANCES!$B:$B,$T255,BALANCES!$D:$D,Y$251)+SUMIFS(FLOWS!$C:$C,FLOWS!$A:$A,$B$247,FLOWS!$E:$E,$T255,FLOWS!$D:$D,Y$251,FLOWS!$H:$H,"&lt;="&amp;$U$249)+SUM(SUMIFS(DEALS!$J:$J,DEALS!$A:$A,{"*REFUND*","*EXECUTED*"},DEALS!$G:$G,$B$247,DEALS!$E:$E,"&lt;="&amp;$U$249,DEALS!$K:$K,Y$251,DEALS!$M:$M,$T255,DEALS!$N:$N,"&lt;&gt;*RECEIVED*",DEALS!$N:$N,"&lt;&gt;*EXECUTED*"))+SUM(SUMIFS(DEALS!$R:$R,DEALS!$A:$A,{"*REFUND*","*EXECUTED*"},DEALS!$O:$O,$B$247,DEALS!$E:$E,"&lt;="&amp;$U$249,DEALS!$S:$S,Y$251,DEALS!$U:$U,$T255,DEALS!$V:$V,"&lt;&gt;*RECEIVED*",DEALS!$V:$V,"&lt;&gt;*EXECUTED*"))</f>
        <v>0</v>
      </c>
      <c r="Z255" s="32" cm="1">
        <f t="array" ref="Z255">SUMIFS(BALANCES!$C:$C,BALANCES!$A:$A,$B$247,BALANCES!$B:$B,$T255,BALANCES!$D:$D,Z$251)+SUMIFS(FLOWS!$C:$C,FLOWS!$A:$A,$B$247,FLOWS!$E:$E,$T255,FLOWS!$D:$D,Z$251,FLOWS!$H:$H,"&lt;="&amp;$U$249)+SUM(SUMIFS(DEALS!$J:$J,DEALS!$A:$A,{"*REFUND*","*EXECUTED*"},DEALS!$G:$G,$B$247,DEALS!$E:$E,"&lt;="&amp;$U$249,DEALS!$K:$K,Z$251,DEALS!$M:$M,$T255,DEALS!$N:$N,"&lt;&gt;*RECEIVED*",DEALS!$N:$N,"&lt;&gt;*EXECUTED*"))+SUM(SUMIFS(DEALS!$R:$R,DEALS!$A:$A,{"*REFUND*","*EXECUTED*"},DEALS!$O:$O,$B$247,DEALS!$E:$E,"&lt;="&amp;$U$249,DEALS!$S:$S,Z$251,DEALS!$U:$U,$T255,DEALS!$V:$V,"&lt;&gt;*RECEIVED*",DEALS!$V:$V,"&lt;&gt;*EXECUTED*"))</f>
        <v>0</v>
      </c>
      <c r="AA255" s="33">
        <f ca="1">U255*VLOOKUP(U$251,'FX RATES'!$E$1:$F$50,2,FALSE)+V255*VLOOKUP(V$251,'FX RATES'!$E$1:$F$50,2,FALSE)+W255*VLOOKUP(W$251,'FX RATES'!$E$1:$F$50,2,FALSE)+X255*VLOOKUP(X$251,'FX RATES'!$E$1:$F$50,2,FALSE)+Y255*VLOOKUP(Y$251,'FX RATES'!$E$1:$F$50,2,FALSE)+Z255*VLOOKUP(Z$251,'FX RATES'!$E$1:$F$50,2,FALSE)</f>
        <v>0</v>
      </c>
      <c r="AC255" s="139">
        <f t="shared" ca="1" si="106"/>
        <v>0</v>
      </c>
    </row>
    <row r="256" spans="2:29" ht="18.75" hidden="1" customHeight="1">
      <c r="B256" s="28"/>
      <c r="C256" s="29" cm="1">
        <f t="array" ref="C256">SUMIFS(BALANCES!$C:$C,BALANCES!$A:$A,$B$247,BALANCES!$B:$B,$B256,BALANCES!$D:$D,C$251)+SUMIFS(FLOWS!$C:$C,FLOWS!$A:$A,$B$247,FLOWS!$E:$E,$B256,FLOWS!$D:$D,C$251,FLOWS!$H:$H,"&lt;"&amp;$C$249)+SUM(SUMIFS(DEALS!$J:$J,DEALS!$A:$A,{"*REFUND*","*EXECUTED*"},DEALS!$G:$G,$B$247,DEALS!$E:$E,"&lt;"&amp;$C$249,DEALS!$K:$K,C$251,DEALS!$M:$M,$B256,DEALS!$N:$N,"&lt;&gt;*RECEIVED*",DEALS!$N:$N,"&lt;&gt;*EXECUTED*"))+SUM(SUMIFS(DEALS!$R:$R,DEALS!$A:$A,{"*REFUND*","*EXECUTED*"},DEALS!$O:$O,$B$247,DEALS!$E:$E,"&lt;"&amp;$C$249,DEALS!$S:$S,C$251,DEALS!$U:$U,$B256,DEALS!$V:$V,"&lt;&gt;*RECEIVED*",DEALS!$V:$V,"&lt;&gt;*EXECUTED*"))</f>
        <v>0</v>
      </c>
      <c r="D256" s="29" cm="1">
        <f t="array" ref="D256">SUMIFS(BALANCES!$C:$C,BALANCES!$A:$A,$B$247,BALANCES!$B:$B,$B256,BALANCES!$D:$D,D$251)+SUMIFS(FLOWS!$C:$C,FLOWS!$A:$A,$B$247,FLOWS!$E:$E,$B256,FLOWS!$D:$D,D$251,FLOWS!$H:$H,"&lt;"&amp;$C$249)+SUM(SUMIFS(DEALS!$J:$J,DEALS!$A:$A,{"*REFUND*","*EXECUTED*"},DEALS!$G:$G,$B$247,DEALS!$E:$E,"&lt;"&amp;$C$249,DEALS!$K:$K,D$251,DEALS!$M:$M,$B256,DEALS!$N:$N,"&lt;&gt;*RECEIVED*",DEALS!$N:$N,"&lt;&gt;*EXECUTED*"))+SUM(SUMIFS(DEALS!$R:$R,DEALS!$A:$A,{"*REFUND*","*EXECUTED*"},DEALS!$O:$O,$B$247,DEALS!$E:$E,"&lt;"&amp;$C$249,DEALS!$S:$S,D$251,DEALS!$U:$U,$B256,DEALS!$V:$V,"&lt;&gt;*RECEIVED*",DEALS!$V:$V,"&lt;&gt;*EXECUTED*"))</f>
        <v>0</v>
      </c>
      <c r="E256" s="29" cm="1">
        <f t="array" ref="E256">SUMIFS(BALANCES!$C:$C,BALANCES!$A:$A,$B$247,BALANCES!$B:$B,$B256,BALANCES!$D:$D,E$251)+SUMIFS(FLOWS!$C:$C,FLOWS!$A:$A,$B$247,FLOWS!$E:$E,$B256,FLOWS!$D:$D,E$251,FLOWS!$H:$H,"&lt;"&amp;$C$249)+SUM(SUMIFS(DEALS!$J:$J,DEALS!$A:$A,{"*REFUND*","*EXECUTED*"},DEALS!$G:$G,$B$247,DEALS!$E:$E,"&lt;"&amp;$C$249,DEALS!$K:$K,E$251,DEALS!$M:$M,$B256,DEALS!$N:$N,"&lt;&gt;*RECEIVED*",DEALS!$N:$N,"&lt;&gt;*EXECUTED*"))+SUM(SUMIFS(DEALS!$R:$R,DEALS!$A:$A,{"*REFUND*","*EXECUTED*"},DEALS!$O:$O,$B$247,DEALS!$E:$E,"&lt;"&amp;$C$249,DEALS!$S:$S,E$251,DEALS!$U:$U,$B256,DEALS!$V:$V,"&lt;&gt;*RECEIVED*",DEALS!$V:$V,"&lt;&gt;*EXECUTED*"))</f>
        <v>0</v>
      </c>
      <c r="F256" s="29" cm="1">
        <f t="array" ref="F256">SUMIFS(BALANCES!$C:$C,BALANCES!$A:$A,$B$247,BALANCES!$B:$B,$B256,BALANCES!$D:$D,F$251)+SUMIFS(FLOWS!$C:$C,FLOWS!$A:$A,$B$247,FLOWS!$E:$E,$B256,FLOWS!$D:$D,F$251,FLOWS!$H:$H,"&lt;"&amp;$C$249)+SUM(SUMIFS(DEALS!$J:$J,DEALS!$A:$A,{"*REFUND*","*EXECUTED*"},DEALS!$G:$G,$B$247,DEALS!$E:$E,"&lt;"&amp;$C$249,DEALS!$K:$K,F$251,DEALS!$M:$M,$B256,DEALS!$N:$N,"&lt;&gt;*RECEIVED*",DEALS!$N:$N,"&lt;&gt;*EXECUTED*"))+SUM(SUMIFS(DEALS!$R:$R,DEALS!$A:$A,{"*REFUND*","*EXECUTED*"},DEALS!$O:$O,$B$247,DEALS!$E:$E,"&lt;"&amp;$C$249,DEALS!$S:$S,F$251,DEALS!$U:$U,$B256,DEALS!$V:$V,"&lt;&gt;*RECEIVED*",DEALS!$V:$V,"&lt;&gt;*EXECUTED*"))</f>
        <v>0</v>
      </c>
      <c r="G256" s="29" cm="1">
        <f t="array" ref="G256">SUMIFS(BALANCES!$C:$C,BALANCES!$A:$A,$B$247,BALANCES!$B:$B,$B256,BALANCES!$D:$D,G$251)+SUMIFS(FLOWS!$C:$C,FLOWS!$A:$A,$B$247,FLOWS!$E:$E,$B256,FLOWS!$D:$D,G$251,FLOWS!$H:$H,"&lt;"&amp;$C$249)+SUM(SUMIFS(DEALS!$J:$J,DEALS!$A:$A,{"*REFUND*","*EXECUTED*"},DEALS!$G:$G,$B$247,DEALS!$E:$E,"&lt;"&amp;$C$249,DEALS!$K:$K,G$251,DEALS!$M:$M,$B256,DEALS!$N:$N,"&lt;&gt;*RECEIVED*",DEALS!$N:$N,"&lt;&gt;*EXECUTED*"))+SUM(SUMIFS(DEALS!$R:$R,DEALS!$A:$A,{"*REFUND*","*EXECUTED*"},DEALS!$O:$O,$B$247,DEALS!$E:$E,"&lt;"&amp;$C$249,DEALS!$S:$S,G$251,DEALS!$U:$U,$B256,DEALS!$V:$V,"&lt;&gt;*RECEIVED*",DEALS!$V:$V,"&lt;&gt;*EXECUTED*"))</f>
        <v>0</v>
      </c>
      <c r="H256" s="29" cm="1">
        <f t="array" ref="H256">SUMIFS(BALANCES!$C:$C,BALANCES!$A:$A,$B$247,BALANCES!$B:$B,$B256,BALANCES!$D:$D,H$251)+SUMIFS(FLOWS!$C:$C,FLOWS!$A:$A,$B$247,FLOWS!$E:$E,$B256,FLOWS!$D:$D,H$251,FLOWS!$H:$H,"&lt;"&amp;$C$249)+SUM(SUMIFS(DEALS!$J:$J,DEALS!$A:$A,{"*REFUND*","*EXECUTED*"},DEALS!$G:$G,$B$247,DEALS!$E:$E,"&lt;"&amp;$C$249,DEALS!$K:$K,H$251,DEALS!$M:$M,$B256,DEALS!$N:$N,"&lt;&gt;*RECEIVED*",DEALS!$N:$N,"&lt;&gt;*EXECUTED*"))+SUM(SUMIFS(DEALS!$R:$R,DEALS!$A:$A,{"*REFUND*","*EXECUTED*"},DEALS!$O:$O,$B$247,DEALS!$E:$E,"&lt;"&amp;$C$249,DEALS!$S:$S,H$251,DEALS!$U:$U,$B256,DEALS!$V:$V,"&lt;&gt;*RECEIVED*",DEALS!$V:$V,"&lt;&gt;*EXECUTED*"))</f>
        <v>0</v>
      </c>
      <c r="I256" s="30">
        <f ca="1">C256*VLOOKUP(C$251,'FX RATES'!$E$1:$F$50,2,FALSE)+D256*VLOOKUP(D$251,'FX RATES'!$E$1:$F$50,2,FALSE)+E256*VLOOKUP(E$251,'FX RATES'!$E$1:$F$50,2,FALSE)+F256*VLOOKUP(F$251,'FX RATES'!$E$1:$F$50,2,FALSE)+G256*VLOOKUP(G$251,'FX RATES'!$E$1:$F$50,2,FALSE)+H256*VLOOKUP(H$251,'FX RATES'!$E$1:$F$50,2,FALSE)</f>
        <v>0</v>
      </c>
      <c r="K256" s="28">
        <f t="shared" si="104"/>
        <v>0</v>
      </c>
      <c r="L256" s="29" cm="1">
        <f t="array" ref="L256">SUMIFS(FLOWS!$C:$C,FLOWS!$A:$A,$B$247,FLOWS!$E:$E,$K256,FLOWS!$D:$D,L$251,FLOWS!$H:$H,"&gt;="&amp;$C$249,FLOWS!$H:$H,"&lt;="&amp;$U$249)+SUM(SUMIFS(DEALS!$J:$J,DEALS!$A:$A,{"*REFUND*","*EXECUTED*"},DEALS!$G:$G,$B$247,DEALS!$E:$E,"&gt;="&amp;$C$249,DEALS!$E:$E,"&lt;="&amp;$U$249,DEALS!$K:$K,L$251,DEALS!$M:$M,$K256,DEALS!$N:$N,"&lt;&gt;*RECEIVED*",DEALS!$N:$N,"&lt;&gt;*EXECUTED*"))+SUM(SUMIFS(DEALS!$R:$R,DEALS!$A:$A,{"*REFUND*","*EXECUTED*"},DEALS!$O:$O,$B$247,DEALS!$E:$E,"&gt;="&amp;$C$249,DEALS!$E:$E,"&lt;="&amp;$U$249,DEALS!$S:$S,L$251,DEALS!$U:$U,$K256,DEALS!$V:$V,"&lt;&gt;*RECEIVED*",DEALS!$V:$V,"&lt;&gt;*EXECUTED*"))</f>
        <v>0</v>
      </c>
      <c r="M256" s="29" cm="1">
        <f t="array" ref="M256">SUMIFS(FLOWS!$C:$C,FLOWS!$A:$A,$B$247,FLOWS!$E:$E,$K256,FLOWS!$D:$D,M$251,FLOWS!$H:$H,"&gt;="&amp;$C$249,FLOWS!$H:$H,"&lt;="&amp;$U$249)+SUM(SUMIFS(DEALS!$J:$J,DEALS!$A:$A,{"*REFUND*","*EXECUTED*"},DEALS!$G:$G,$B$247,DEALS!$E:$E,"&gt;="&amp;$C$249,DEALS!$E:$E,"&lt;="&amp;$U$249,DEALS!$K:$K,M$251,DEALS!$M:$M,$K256,DEALS!$N:$N,"&lt;&gt;*RECEIVED*",DEALS!$N:$N,"&lt;&gt;*EXECUTED*"))+SUM(SUMIFS(DEALS!$R:$R,DEALS!$A:$A,{"*REFUND*","*EXECUTED*"},DEALS!$O:$O,$B$247,DEALS!$E:$E,"&gt;="&amp;$C$249,DEALS!$E:$E,"&lt;="&amp;$U$249,DEALS!$S:$S,M$251,DEALS!$U:$U,$K256,DEALS!$V:$V,"&lt;&gt;*RECEIVED*",DEALS!$V:$V,"&lt;&gt;*EXECUTED*"))</f>
        <v>0</v>
      </c>
      <c r="N256" s="29" cm="1">
        <f t="array" ref="N256">SUMIFS(FLOWS!$C:$C,FLOWS!$A:$A,$B$247,FLOWS!$E:$E,$K256,FLOWS!$D:$D,N$251,FLOWS!$H:$H,"&gt;="&amp;$C$249,FLOWS!$H:$H,"&lt;="&amp;$U$249)+SUM(SUMIFS(DEALS!$J:$J,DEALS!$A:$A,{"*REFUND*","*EXECUTED*"},DEALS!$G:$G,$B$247,DEALS!$E:$E,"&gt;="&amp;$C$249,DEALS!$E:$E,"&lt;="&amp;$U$249,DEALS!$K:$K,N$251,DEALS!$M:$M,$K256,DEALS!$N:$N,"&lt;&gt;*RECEIVED*",DEALS!$N:$N,"&lt;&gt;*EXECUTED*"))+SUM(SUMIFS(DEALS!$R:$R,DEALS!$A:$A,{"*REFUND*","*EXECUTED*"},DEALS!$O:$O,$B$247,DEALS!$E:$E,"&gt;="&amp;$C$249,DEALS!$E:$E,"&lt;="&amp;$U$249,DEALS!$S:$S,N$251,DEALS!$U:$U,$K256,DEALS!$V:$V,"&lt;&gt;*RECEIVED*",DEALS!$V:$V,"&lt;&gt;*EXECUTED*"))</f>
        <v>0</v>
      </c>
      <c r="O256" s="29" cm="1">
        <f t="array" ref="O256">SUMIFS(FLOWS!$C:$C,FLOWS!$A:$A,$B$247,FLOWS!$E:$E,$K256,FLOWS!$D:$D,O$251,FLOWS!$H:$H,"&gt;="&amp;$C$249,FLOWS!$H:$H,"&lt;="&amp;$U$249)+SUM(SUMIFS(DEALS!$J:$J,DEALS!$A:$A,{"*REFUND*","*EXECUTED*"},DEALS!$G:$G,$B$247,DEALS!$E:$E,"&gt;="&amp;$C$249,DEALS!$E:$E,"&lt;="&amp;$U$249,DEALS!$K:$K,O$251,DEALS!$M:$M,$K256,DEALS!$N:$N,"&lt;&gt;*RECEIVED*",DEALS!$N:$N,"&lt;&gt;*EXECUTED*"))+SUM(SUMIFS(DEALS!$R:$R,DEALS!$A:$A,{"*REFUND*","*EXECUTED*"},DEALS!$O:$O,$B$247,DEALS!$E:$E,"&gt;="&amp;$C$249,DEALS!$E:$E,"&lt;="&amp;$U$249,DEALS!$S:$S,O$251,DEALS!$U:$U,$K256,DEALS!$V:$V,"&lt;&gt;*RECEIVED*",DEALS!$V:$V,"&lt;&gt;*EXECUTED*"))</f>
        <v>0</v>
      </c>
      <c r="P256" s="29" cm="1">
        <f t="array" ref="P256">SUMIFS(FLOWS!$C:$C,FLOWS!$A:$A,$B$247,FLOWS!$E:$E,$K256,FLOWS!$D:$D,P$251,FLOWS!$H:$H,"&gt;="&amp;$C$249,FLOWS!$H:$H,"&lt;="&amp;$U$249)+SUM(SUMIFS(DEALS!$J:$J,DEALS!$A:$A,{"*REFUND*","*EXECUTED*"},DEALS!$G:$G,$B$247,DEALS!$E:$E,"&gt;="&amp;$C$249,DEALS!$E:$E,"&lt;="&amp;$U$249,DEALS!$K:$K,P$251,DEALS!$M:$M,$K256,DEALS!$N:$N,"&lt;&gt;*RECEIVED*",DEALS!$N:$N,"&lt;&gt;*EXECUTED*"))+SUM(SUMIFS(DEALS!$R:$R,DEALS!$A:$A,{"*REFUND*","*EXECUTED*"},DEALS!$O:$O,$B$247,DEALS!$E:$E,"&gt;="&amp;$C$249,DEALS!$E:$E,"&lt;="&amp;$U$249,DEALS!$S:$S,P$251,DEALS!$U:$U,$K256,DEALS!$V:$V,"&lt;&gt;*RECEIVED*",DEALS!$V:$V,"&lt;&gt;*EXECUTED*"))</f>
        <v>0</v>
      </c>
      <c r="Q256" s="29" cm="1">
        <f t="array" ref="Q256">SUMIFS(FLOWS!$C:$C,FLOWS!$A:$A,$B$247,FLOWS!$E:$E,$K256,FLOWS!$D:$D,Q$251,FLOWS!$H:$H,"&gt;="&amp;$C$249,FLOWS!$H:$H,"&lt;="&amp;$U$249)+SUM(SUMIFS(DEALS!$J:$J,DEALS!$A:$A,{"*REFUND*","*EXECUTED*"},DEALS!$G:$G,$B$247,DEALS!$E:$E,"&gt;="&amp;$C$249,DEALS!$E:$E,"&lt;="&amp;$U$249,DEALS!$K:$K,Q$251,DEALS!$M:$M,$K256,DEALS!$N:$N,"&lt;&gt;*RECEIVED*",DEALS!$N:$N,"&lt;&gt;*EXECUTED*"))+SUM(SUMIFS(DEALS!$R:$R,DEALS!$A:$A,{"*REFUND*","*EXECUTED*"},DEALS!$O:$O,$B$247,DEALS!$E:$E,"&gt;="&amp;$C$249,DEALS!$E:$E,"&lt;="&amp;$U$249,DEALS!$S:$S,Q$251,DEALS!$U:$U,$K256,DEALS!$V:$V,"&lt;&gt;*RECEIVED*",DEALS!$V:$V,"&lt;&gt;*EXECUTED*"))</f>
        <v>0</v>
      </c>
      <c r="R256" s="30">
        <f ca="1">L256*VLOOKUP(L$251,'FX RATES'!$E$1:$F$50,2,FALSE)+M256*VLOOKUP(M$251,'FX RATES'!$E$1:$F$50,2,FALSE)+N256*VLOOKUP(N$251,'FX RATES'!$E$1:$F$50,2,FALSE)+O256*VLOOKUP(O$251,'FX RATES'!$E$1:$F$50,2,FALSE)+P256*VLOOKUP(P$251,'FX RATES'!$E$1:$F$50,2,FALSE)+Q256*VLOOKUP(Q$251,'FX RATES'!$E$1:$F$50,2,FALSE)</f>
        <v>0</v>
      </c>
      <c r="T256" s="28">
        <f t="shared" si="105"/>
        <v>0</v>
      </c>
      <c r="U256" s="29" cm="1">
        <f t="array" ref="U256">SUMIFS(BALANCES!$C:$C,BALANCES!$A:$A,$B$247,BALANCES!$B:$B,$T256,BALANCES!$D:$D,U$251)+SUMIFS(FLOWS!$C:$C,FLOWS!$A:$A,$B$247,FLOWS!$E:$E,$T256,FLOWS!$D:$D,U$251,FLOWS!$H:$H,"&lt;="&amp;$U$249)+SUM(SUMIFS(DEALS!$J:$J,DEALS!$A:$A,{"*REFUND*","*EXECUTED*"},DEALS!$G:$G,$B$247,DEALS!$E:$E,"&lt;="&amp;$U$249,DEALS!$K:$K,U$251,DEALS!$M:$M,$T256,DEALS!$N:$N,"&lt;&gt;*RECEIVED*",DEALS!$N:$N,"&lt;&gt;*EXECUTED*"))+SUM(SUMIFS(DEALS!$R:$R,DEALS!$A:$A,{"*REFUND*","*EXECUTED*"},DEALS!$O:$O,$B$247,DEALS!$E:$E,"&lt;="&amp;$U$249,DEALS!$S:$S,U$251,DEALS!$U:$U,$T256,DEALS!$V:$V,"&lt;&gt;*RECEIVED*",DEALS!$V:$V,"&lt;&gt;*EXECUTED*"))</f>
        <v>0</v>
      </c>
      <c r="V256" s="29" cm="1">
        <f t="array" ref="V256">SUMIFS(BALANCES!$C:$C,BALANCES!$A:$A,$B$247,BALANCES!$B:$B,$T256,BALANCES!$D:$D,V$251)+SUMIFS(FLOWS!$C:$C,FLOWS!$A:$A,$B$247,FLOWS!$E:$E,$T256,FLOWS!$D:$D,V$251,FLOWS!$H:$H,"&lt;="&amp;$U$249)+SUM(SUMIFS(DEALS!$J:$J,DEALS!$A:$A,{"*REFUND*","*EXECUTED*"},DEALS!$G:$G,$B$247,DEALS!$E:$E,"&lt;="&amp;$U$249,DEALS!$K:$K,V$251,DEALS!$M:$M,$T256,DEALS!$N:$N,"&lt;&gt;*RECEIVED*",DEALS!$N:$N,"&lt;&gt;*EXECUTED*"))+SUM(SUMIFS(DEALS!$R:$R,DEALS!$A:$A,{"*REFUND*","*EXECUTED*"},DEALS!$O:$O,$B$247,DEALS!$E:$E,"&lt;="&amp;$U$249,DEALS!$S:$S,V$251,DEALS!$U:$U,$T256,DEALS!$V:$V,"&lt;&gt;*RECEIVED*",DEALS!$V:$V,"&lt;&gt;*EXECUTED*"))</f>
        <v>0</v>
      </c>
      <c r="W256" s="29" cm="1">
        <f t="array" ref="W256">SUMIFS(BALANCES!$C:$C,BALANCES!$A:$A,$B$247,BALANCES!$B:$B,$T256,BALANCES!$D:$D,W$251)+SUMIFS(FLOWS!$C:$C,FLOWS!$A:$A,$B$247,FLOWS!$E:$E,$T256,FLOWS!$D:$D,W$251,FLOWS!$H:$H,"&lt;="&amp;$U$249)+SUM(SUMIFS(DEALS!$J:$J,DEALS!$A:$A,{"*REFUND*","*EXECUTED*"},DEALS!$G:$G,$B$247,DEALS!$E:$E,"&lt;="&amp;$U$249,DEALS!$K:$K,W$251,DEALS!$M:$M,$T256,DEALS!$N:$N,"&lt;&gt;*RECEIVED*",DEALS!$N:$N,"&lt;&gt;*EXECUTED*"))+SUM(SUMIFS(DEALS!$R:$R,DEALS!$A:$A,{"*REFUND*","*EXECUTED*"},DEALS!$O:$O,$B$247,DEALS!$E:$E,"&lt;="&amp;$U$249,DEALS!$S:$S,W$251,DEALS!$U:$U,$T256,DEALS!$V:$V,"&lt;&gt;*RECEIVED*",DEALS!$V:$V,"&lt;&gt;*EXECUTED*"))</f>
        <v>0</v>
      </c>
      <c r="X256" s="29" cm="1">
        <f t="array" ref="X256">SUMIFS(BALANCES!$C:$C,BALANCES!$A:$A,$B$247,BALANCES!$B:$B,$T256,BALANCES!$D:$D,X$251)+SUMIFS(FLOWS!$C:$C,FLOWS!$A:$A,$B$247,FLOWS!$E:$E,$T256,FLOWS!$D:$D,X$251,FLOWS!$H:$H,"&lt;="&amp;$U$249)+SUM(SUMIFS(DEALS!$J:$J,DEALS!$A:$A,{"*REFUND*","*EXECUTED*"},DEALS!$G:$G,$B$247,DEALS!$E:$E,"&lt;="&amp;$U$249,DEALS!$K:$K,X$251,DEALS!$M:$M,$T256,DEALS!$N:$N,"&lt;&gt;*RECEIVED*",DEALS!$N:$N,"&lt;&gt;*EXECUTED*"))+SUM(SUMIFS(DEALS!$R:$R,DEALS!$A:$A,{"*REFUND*","*EXECUTED*"},DEALS!$O:$O,$B$247,DEALS!$E:$E,"&lt;="&amp;$U$249,DEALS!$S:$S,X$251,DEALS!$U:$U,$T256,DEALS!$V:$V,"&lt;&gt;*RECEIVED*",DEALS!$V:$V,"&lt;&gt;*EXECUTED*"))</f>
        <v>0</v>
      </c>
      <c r="Y256" s="29" cm="1">
        <f t="array" ref="Y256">SUMIFS(BALANCES!$C:$C,BALANCES!$A:$A,$B$247,BALANCES!$B:$B,$T256,BALANCES!$D:$D,Y$251)+SUMIFS(FLOWS!$C:$C,FLOWS!$A:$A,$B$247,FLOWS!$E:$E,$T256,FLOWS!$D:$D,Y$251,FLOWS!$H:$H,"&lt;="&amp;$U$249)+SUM(SUMIFS(DEALS!$J:$J,DEALS!$A:$A,{"*REFUND*","*EXECUTED*"},DEALS!$G:$G,$B$247,DEALS!$E:$E,"&lt;="&amp;$U$249,DEALS!$K:$K,Y$251,DEALS!$M:$M,$T256,DEALS!$N:$N,"&lt;&gt;*RECEIVED*",DEALS!$N:$N,"&lt;&gt;*EXECUTED*"))+SUM(SUMIFS(DEALS!$R:$R,DEALS!$A:$A,{"*REFUND*","*EXECUTED*"},DEALS!$O:$O,$B$247,DEALS!$E:$E,"&lt;="&amp;$U$249,DEALS!$S:$S,Y$251,DEALS!$U:$U,$T256,DEALS!$V:$V,"&lt;&gt;*RECEIVED*",DEALS!$V:$V,"&lt;&gt;*EXECUTED*"))</f>
        <v>0</v>
      </c>
      <c r="Z256" s="29" cm="1">
        <f t="array" ref="Z256">SUMIFS(BALANCES!$C:$C,BALANCES!$A:$A,$B$247,BALANCES!$B:$B,$T256,BALANCES!$D:$D,Z$251)+SUMIFS(FLOWS!$C:$C,FLOWS!$A:$A,$B$247,FLOWS!$E:$E,$T256,FLOWS!$D:$D,Z$251,FLOWS!$H:$H,"&lt;="&amp;$U$249)+SUM(SUMIFS(DEALS!$J:$J,DEALS!$A:$A,{"*REFUND*","*EXECUTED*"},DEALS!$G:$G,$B$247,DEALS!$E:$E,"&lt;="&amp;$U$249,DEALS!$K:$K,Z$251,DEALS!$M:$M,$T256,DEALS!$N:$N,"&lt;&gt;*RECEIVED*",DEALS!$N:$N,"&lt;&gt;*EXECUTED*"))+SUM(SUMIFS(DEALS!$R:$R,DEALS!$A:$A,{"*REFUND*","*EXECUTED*"},DEALS!$O:$O,$B$247,DEALS!$E:$E,"&lt;="&amp;$U$249,DEALS!$S:$S,Z$251,DEALS!$U:$U,$T256,DEALS!$V:$V,"&lt;&gt;*RECEIVED*",DEALS!$V:$V,"&lt;&gt;*EXECUTED*"))</f>
        <v>0</v>
      </c>
      <c r="AA256" s="30">
        <f ca="1">U256*VLOOKUP(U$251,'FX RATES'!$E$1:$F$50,2,FALSE)+V256*VLOOKUP(V$251,'FX RATES'!$E$1:$F$50,2,FALSE)+W256*VLOOKUP(W$251,'FX RATES'!$E$1:$F$50,2,FALSE)+X256*VLOOKUP(X$251,'FX RATES'!$E$1:$F$50,2,FALSE)+Y256*VLOOKUP(Y$251,'FX RATES'!$E$1:$F$50,2,FALSE)+Z256*VLOOKUP(Z$251,'FX RATES'!$E$1:$F$50,2,FALSE)</f>
        <v>0</v>
      </c>
      <c r="AC256" s="139">
        <f t="shared" ca="1" si="106"/>
        <v>0</v>
      </c>
    </row>
    <row r="257" spans="2:29" ht="18.75" hidden="1" customHeight="1">
      <c r="B257" s="31"/>
      <c r="C257" s="32" cm="1">
        <f t="array" ref="C257">SUMIFS(BALANCES!$C:$C,BALANCES!$A:$A,$B$247,BALANCES!$B:$B,$B257,BALANCES!$D:$D,C$251)+SUMIFS(FLOWS!$C:$C,FLOWS!$A:$A,$B$247,FLOWS!$E:$E,$B257,FLOWS!$D:$D,C$251,FLOWS!$H:$H,"&lt;"&amp;$C$249)+SUM(SUMIFS(DEALS!$J:$J,DEALS!$A:$A,{"*REFUND*","*EXECUTED*"},DEALS!$G:$G,$B$247,DEALS!$E:$E,"&lt;"&amp;$C$249,DEALS!$K:$K,C$251,DEALS!$M:$M,$B257,DEALS!$N:$N,"&lt;&gt;*RECEIVED*",DEALS!$N:$N,"&lt;&gt;*EXECUTED*"))+SUM(SUMIFS(DEALS!$R:$R,DEALS!$A:$A,{"*REFUND*","*EXECUTED*"},DEALS!$O:$O,$B$247,DEALS!$E:$E,"&lt;"&amp;$C$249,DEALS!$S:$S,C$251,DEALS!$U:$U,$B257,DEALS!$V:$V,"&lt;&gt;*RECEIVED*",DEALS!$V:$V,"&lt;&gt;*EXECUTED*"))</f>
        <v>0</v>
      </c>
      <c r="D257" s="32" cm="1">
        <f t="array" ref="D257">SUMIFS(BALANCES!$C:$C,BALANCES!$A:$A,$B$247,BALANCES!$B:$B,$B257,BALANCES!$D:$D,D$251)+SUMIFS(FLOWS!$C:$C,FLOWS!$A:$A,$B$247,FLOWS!$E:$E,$B257,FLOWS!$D:$D,D$251,FLOWS!$H:$H,"&lt;"&amp;$C$249)+SUM(SUMIFS(DEALS!$J:$J,DEALS!$A:$A,{"*REFUND*","*EXECUTED*"},DEALS!$G:$G,$B$247,DEALS!$E:$E,"&lt;"&amp;$C$249,DEALS!$K:$K,D$251,DEALS!$M:$M,$B257,DEALS!$N:$N,"&lt;&gt;*RECEIVED*",DEALS!$N:$N,"&lt;&gt;*EXECUTED*"))+SUM(SUMIFS(DEALS!$R:$R,DEALS!$A:$A,{"*REFUND*","*EXECUTED*"},DEALS!$O:$O,$B$247,DEALS!$E:$E,"&lt;"&amp;$C$249,DEALS!$S:$S,D$251,DEALS!$U:$U,$B257,DEALS!$V:$V,"&lt;&gt;*RECEIVED*",DEALS!$V:$V,"&lt;&gt;*EXECUTED*"))</f>
        <v>0</v>
      </c>
      <c r="E257" s="32" cm="1">
        <f t="array" ref="E257">SUMIFS(BALANCES!$C:$C,BALANCES!$A:$A,$B$247,BALANCES!$B:$B,$B257,BALANCES!$D:$D,E$251)+SUMIFS(FLOWS!$C:$C,FLOWS!$A:$A,$B$247,FLOWS!$E:$E,$B257,FLOWS!$D:$D,E$251,FLOWS!$H:$H,"&lt;"&amp;$C$249)+SUM(SUMIFS(DEALS!$J:$J,DEALS!$A:$A,{"*REFUND*","*EXECUTED*"},DEALS!$G:$G,$B$247,DEALS!$E:$E,"&lt;"&amp;$C$249,DEALS!$K:$K,E$251,DEALS!$M:$M,$B257,DEALS!$N:$N,"&lt;&gt;*RECEIVED*",DEALS!$N:$N,"&lt;&gt;*EXECUTED*"))+SUM(SUMIFS(DEALS!$R:$R,DEALS!$A:$A,{"*REFUND*","*EXECUTED*"},DEALS!$O:$O,$B$247,DEALS!$E:$E,"&lt;"&amp;$C$249,DEALS!$S:$S,E$251,DEALS!$U:$U,$B257,DEALS!$V:$V,"&lt;&gt;*RECEIVED*",DEALS!$V:$V,"&lt;&gt;*EXECUTED*"))</f>
        <v>0</v>
      </c>
      <c r="F257" s="32" cm="1">
        <f t="array" ref="F257">SUMIFS(BALANCES!$C:$C,BALANCES!$A:$A,$B$247,BALANCES!$B:$B,$B257,BALANCES!$D:$D,F$251)+SUMIFS(FLOWS!$C:$C,FLOWS!$A:$A,$B$247,FLOWS!$E:$E,$B257,FLOWS!$D:$D,F$251,FLOWS!$H:$H,"&lt;"&amp;$C$249)+SUM(SUMIFS(DEALS!$J:$J,DEALS!$A:$A,{"*REFUND*","*EXECUTED*"},DEALS!$G:$G,$B$247,DEALS!$E:$E,"&lt;"&amp;$C$249,DEALS!$K:$K,F$251,DEALS!$M:$M,$B257,DEALS!$N:$N,"&lt;&gt;*RECEIVED*",DEALS!$N:$N,"&lt;&gt;*EXECUTED*"))+SUM(SUMIFS(DEALS!$R:$R,DEALS!$A:$A,{"*REFUND*","*EXECUTED*"},DEALS!$O:$O,$B$247,DEALS!$E:$E,"&lt;"&amp;$C$249,DEALS!$S:$S,F$251,DEALS!$U:$U,$B257,DEALS!$V:$V,"&lt;&gt;*RECEIVED*",DEALS!$V:$V,"&lt;&gt;*EXECUTED*"))</f>
        <v>0</v>
      </c>
      <c r="G257" s="32" cm="1">
        <f t="array" ref="G257">SUMIFS(BALANCES!$C:$C,BALANCES!$A:$A,$B$247,BALANCES!$B:$B,$B257,BALANCES!$D:$D,G$251)+SUMIFS(FLOWS!$C:$C,FLOWS!$A:$A,$B$247,FLOWS!$E:$E,$B257,FLOWS!$D:$D,G$251,FLOWS!$H:$H,"&lt;"&amp;$C$249)+SUM(SUMIFS(DEALS!$J:$J,DEALS!$A:$A,{"*REFUND*","*EXECUTED*"},DEALS!$G:$G,$B$247,DEALS!$E:$E,"&lt;"&amp;$C$249,DEALS!$K:$K,G$251,DEALS!$M:$M,$B257,DEALS!$N:$N,"&lt;&gt;*RECEIVED*",DEALS!$N:$N,"&lt;&gt;*EXECUTED*"))+SUM(SUMIFS(DEALS!$R:$R,DEALS!$A:$A,{"*REFUND*","*EXECUTED*"},DEALS!$O:$O,$B$247,DEALS!$E:$E,"&lt;"&amp;$C$249,DEALS!$S:$S,G$251,DEALS!$U:$U,$B257,DEALS!$V:$V,"&lt;&gt;*RECEIVED*",DEALS!$V:$V,"&lt;&gt;*EXECUTED*"))</f>
        <v>0</v>
      </c>
      <c r="H257" s="32" cm="1">
        <f t="array" ref="H257">SUMIFS(BALANCES!$C:$C,BALANCES!$A:$A,$B$247,BALANCES!$B:$B,$B257,BALANCES!$D:$D,H$251)+SUMIFS(FLOWS!$C:$C,FLOWS!$A:$A,$B$247,FLOWS!$E:$E,$B257,FLOWS!$D:$D,H$251,FLOWS!$H:$H,"&lt;"&amp;$C$249)+SUM(SUMIFS(DEALS!$J:$J,DEALS!$A:$A,{"*REFUND*","*EXECUTED*"},DEALS!$G:$G,$B$247,DEALS!$E:$E,"&lt;"&amp;$C$249,DEALS!$K:$K,H$251,DEALS!$M:$M,$B257,DEALS!$N:$N,"&lt;&gt;*RECEIVED*",DEALS!$N:$N,"&lt;&gt;*EXECUTED*"))+SUM(SUMIFS(DEALS!$R:$R,DEALS!$A:$A,{"*REFUND*","*EXECUTED*"},DEALS!$O:$O,$B$247,DEALS!$E:$E,"&lt;"&amp;$C$249,DEALS!$S:$S,H$251,DEALS!$U:$U,$B257,DEALS!$V:$V,"&lt;&gt;*RECEIVED*",DEALS!$V:$V,"&lt;&gt;*EXECUTED*"))</f>
        <v>0</v>
      </c>
      <c r="I257" s="33">
        <f ca="1">C257*VLOOKUP(C$251,'FX RATES'!$E$1:$F$50,2,FALSE)+D257*VLOOKUP(D$251,'FX RATES'!$E$1:$F$50,2,FALSE)+E257*VLOOKUP(E$251,'FX RATES'!$E$1:$F$50,2,FALSE)+F257*VLOOKUP(F$251,'FX RATES'!$E$1:$F$50,2,FALSE)+G257*VLOOKUP(G$251,'FX RATES'!$E$1:$F$50,2,FALSE)+H257*VLOOKUP(H$251,'FX RATES'!$E$1:$F$50,2,FALSE)</f>
        <v>0</v>
      </c>
      <c r="K257" s="31">
        <f t="shared" si="104"/>
        <v>0</v>
      </c>
      <c r="L257" s="32" cm="1">
        <f t="array" ref="L257">SUMIFS(FLOWS!$C:$C,FLOWS!$A:$A,$B$247,FLOWS!$E:$E,$K257,FLOWS!$D:$D,L$251,FLOWS!$H:$H,"&gt;="&amp;$C$249,FLOWS!$H:$H,"&lt;="&amp;$U$249)+SUM(SUMIFS(DEALS!$J:$J,DEALS!$A:$A,{"*REFUND*","*EXECUTED*"},DEALS!$G:$G,$B$247,DEALS!$E:$E,"&gt;="&amp;$C$249,DEALS!$E:$E,"&lt;="&amp;$U$249,DEALS!$K:$K,L$251,DEALS!$M:$M,$K257,DEALS!$N:$N,"&lt;&gt;*RECEIVED*",DEALS!$N:$N,"&lt;&gt;*EXECUTED*"))+SUM(SUMIFS(DEALS!$R:$R,DEALS!$A:$A,{"*REFUND*","*EXECUTED*"},DEALS!$O:$O,$B$247,DEALS!$E:$E,"&gt;="&amp;$C$249,DEALS!$E:$E,"&lt;="&amp;$U$249,DEALS!$S:$S,L$251,DEALS!$U:$U,$K257,DEALS!$V:$V,"&lt;&gt;*RECEIVED*",DEALS!$V:$V,"&lt;&gt;*EXECUTED*"))</f>
        <v>0</v>
      </c>
      <c r="M257" s="32" cm="1">
        <f t="array" ref="M257">SUMIFS(FLOWS!$C:$C,FLOWS!$A:$A,$B$247,FLOWS!$E:$E,$K257,FLOWS!$D:$D,M$251,FLOWS!$H:$H,"&gt;="&amp;$C$249,FLOWS!$H:$H,"&lt;="&amp;$U$249)+SUM(SUMIFS(DEALS!$J:$J,DEALS!$A:$A,{"*REFUND*","*EXECUTED*"},DEALS!$G:$G,$B$247,DEALS!$E:$E,"&gt;="&amp;$C$249,DEALS!$E:$E,"&lt;="&amp;$U$249,DEALS!$K:$K,M$251,DEALS!$M:$M,$K257,DEALS!$N:$N,"&lt;&gt;*RECEIVED*",DEALS!$N:$N,"&lt;&gt;*EXECUTED*"))+SUM(SUMIFS(DEALS!$R:$R,DEALS!$A:$A,{"*REFUND*","*EXECUTED*"},DEALS!$O:$O,$B$247,DEALS!$E:$E,"&gt;="&amp;$C$249,DEALS!$E:$E,"&lt;="&amp;$U$249,DEALS!$S:$S,M$251,DEALS!$U:$U,$K257,DEALS!$V:$V,"&lt;&gt;*RECEIVED*",DEALS!$V:$V,"&lt;&gt;*EXECUTED*"))</f>
        <v>0</v>
      </c>
      <c r="N257" s="32" cm="1">
        <f t="array" ref="N257">SUMIFS(FLOWS!$C:$C,FLOWS!$A:$A,$B$247,FLOWS!$E:$E,$K257,FLOWS!$D:$D,N$251,FLOWS!$H:$H,"&gt;="&amp;$C$249,FLOWS!$H:$H,"&lt;="&amp;$U$249)+SUM(SUMIFS(DEALS!$J:$J,DEALS!$A:$A,{"*REFUND*","*EXECUTED*"},DEALS!$G:$G,$B$247,DEALS!$E:$E,"&gt;="&amp;$C$249,DEALS!$E:$E,"&lt;="&amp;$U$249,DEALS!$K:$K,N$251,DEALS!$M:$M,$K257,DEALS!$N:$N,"&lt;&gt;*RECEIVED*",DEALS!$N:$N,"&lt;&gt;*EXECUTED*"))+SUM(SUMIFS(DEALS!$R:$R,DEALS!$A:$A,{"*REFUND*","*EXECUTED*"},DEALS!$O:$O,$B$247,DEALS!$E:$E,"&gt;="&amp;$C$249,DEALS!$E:$E,"&lt;="&amp;$U$249,DEALS!$S:$S,N$251,DEALS!$U:$U,$K257,DEALS!$V:$V,"&lt;&gt;*RECEIVED*",DEALS!$V:$V,"&lt;&gt;*EXECUTED*"))</f>
        <v>0</v>
      </c>
      <c r="O257" s="32" cm="1">
        <f t="array" ref="O257">SUMIFS(FLOWS!$C:$C,FLOWS!$A:$A,$B$247,FLOWS!$E:$E,$K257,FLOWS!$D:$D,O$251,FLOWS!$H:$H,"&gt;="&amp;$C$249,FLOWS!$H:$H,"&lt;="&amp;$U$249)+SUM(SUMIFS(DEALS!$J:$J,DEALS!$A:$A,{"*REFUND*","*EXECUTED*"},DEALS!$G:$G,$B$247,DEALS!$E:$E,"&gt;="&amp;$C$249,DEALS!$E:$E,"&lt;="&amp;$U$249,DEALS!$K:$K,O$251,DEALS!$M:$M,$K257,DEALS!$N:$N,"&lt;&gt;*RECEIVED*",DEALS!$N:$N,"&lt;&gt;*EXECUTED*"))+SUM(SUMIFS(DEALS!$R:$R,DEALS!$A:$A,{"*REFUND*","*EXECUTED*"},DEALS!$O:$O,$B$247,DEALS!$E:$E,"&gt;="&amp;$C$249,DEALS!$E:$E,"&lt;="&amp;$U$249,DEALS!$S:$S,O$251,DEALS!$U:$U,$K257,DEALS!$V:$V,"&lt;&gt;*RECEIVED*",DEALS!$V:$V,"&lt;&gt;*EXECUTED*"))</f>
        <v>0</v>
      </c>
      <c r="P257" s="32" cm="1">
        <f t="array" ref="P257">SUMIFS(FLOWS!$C:$C,FLOWS!$A:$A,$B$247,FLOWS!$E:$E,$K257,FLOWS!$D:$D,P$251,FLOWS!$H:$H,"&gt;="&amp;$C$249,FLOWS!$H:$H,"&lt;="&amp;$U$249)+SUM(SUMIFS(DEALS!$J:$J,DEALS!$A:$A,{"*REFUND*","*EXECUTED*"},DEALS!$G:$G,$B$247,DEALS!$E:$E,"&gt;="&amp;$C$249,DEALS!$E:$E,"&lt;="&amp;$U$249,DEALS!$K:$K,P$251,DEALS!$M:$M,$K257,DEALS!$N:$N,"&lt;&gt;*RECEIVED*",DEALS!$N:$N,"&lt;&gt;*EXECUTED*"))+SUM(SUMIFS(DEALS!$R:$R,DEALS!$A:$A,{"*REFUND*","*EXECUTED*"},DEALS!$O:$O,$B$247,DEALS!$E:$E,"&gt;="&amp;$C$249,DEALS!$E:$E,"&lt;="&amp;$U$249,DEALS!$S:$S,P$251,DEALS!$U:$U,$K257,DEALS!$V:$V,"&lt;&gt;*RECEIVED*",DEALS!$V:$V,"&lt;&gt;*EXECUTED*"))</f>
        <v>0</v>
      </c>
      <c r="Q257" s="32" cm="1">
        <f t="array" ref="Q257">SUMIFS(FLOWS!$C:$C,FLOWS!$A:$A,$B$247,FLOWS!$E:$E,$K257,FLOWS!$D:$D,Q$251,FLOWS!$H:$H,"&gt;="&amp;$C$249,FLOWS!$H:$H,"&lt;="&amp;$U$249)+SUM(SUMIFS(DEALS!$J:$J,DEALS!$A:$A,{"*REFUND*","*EXECUTED*"},DEALS!$G:$G,$B$247,DEALS!$E:$E,"&gt;="&amp;$C$249,DEALS!$E:$E,"&lt;="&amp;$U$249,DEALS!$K:$K,Q$251,DEALS!$M:$M,$K257,DEALS!$N:$N,"&lt;&gt;*RECEIVED*",DEALS!$N:$N,"&lt;&gt;*EXECUTED*"))+SUM(SUMIFS(DEALS!$R:$R,DEALS!$A:$A,{"*REFUND*","*EXECUTED*"},DEALS!$O:$O,$B$247,DEALS!$E:$E,"&gt;="&amp;$C$249,DEALS!$E:$E,"&lt;="&amp;$U$249,DEALS!$S:$S,Q$251,DEALS!$U:$U,$K257,DEALS!$V:$V,"&lt;&gt;*RECEIVED*",DEALS!$V:$V,"&lt;&gt;*EXECUTED*"))</f>
        <v>0</v>
      </c>
      <c r="R257" s="33">
        <f ca="1">L257*VLOOKUP(L$251,'FX RATES'!$E$1:$F$50,2,FALSE)+M257*VLOOKUP(M$251,'FX RATES'!$E$1:$F$50,2,FALSE)+N257*VLOOKUP(N$251,'FX RATES'!$E$1:$F$50,2,FALSE)+O257*VLOOKUP(O$251,'FX RATES'!$E$1:$F$50,2,FALSE)+P257*VLOOKUP(P$251,'FX RATES'!$E$1:$F$50,2,FALSE)+Q257*VLOOKUP(Q$251,'FX RATES'!$E$1:$F$50,2,FALSE)</f>
        <v>0</v>
      </c>
      <c r="T257" s="31">
        <f t="shared" si="105"/>
        <v>0</v>
      </c>
      <c r="U257" s="32" cm="1">
        <f t="array" ref="U257">SUMIFS(BALANCES!$C:$C,BALANCES!$A:$A,$B$247,BALANCES!$B:$B,$T257,BALANCES!$D:$D,U$251)+SUMIFS(FLOWS!$C:$C,FLOWS!$A:$A,$B$247,FLOWS!$E:$E,$T257,FLOWS!$D:$D,U$251,FLOWS!$H:$H,"&lt;="&amp;$U$249)+SUM(SUMIFS(DEALS!$J:$J,DEALS!$A:$A,{"*REFUND*","*EXECUTED*"},DEALS!$G:$G,$B$247,DEALS!$E:$E,"&lt;="&amp;$U$249,DEALS!$K:$K,U$251,DEALS!$M:$M,$T257,DEALS!$N:$N,"&lt;&gt;*RECEIVED*",DEALS!$N:$N,"&lt;&gt;*EXECUTED*"))+SUM(SUMIFS(DEALS!$R:$R,DEALS!$A:$A,{"*REFUND*","*EXECUTED*"},DEALS!$O:$O,$B$247,DEALS!$E:$E,"&lt;="&amp;$U$249,DEALS!$S:$S,U$251,DEALS!$U:$U,$T257,DEALS!$V:$V,"&lt;&gt;*RECEIVED*",DEALS!$V:$V,"&lt;&gt;*EXECUTED*"))</f>
        <v>0</v>
      </c>
      <c r="V257" s="32" cm="1">
        <f t="array" ref="V257">SUMIFS(BALANCES!$C:$C,BALANCES!$A:$A,$B$247,BALANCES!$B:$B,$T257,BALANCES!$D:$D,V$251)+SUMIFS(FLOWS!$C:$C,FLOWS!$A:$A,$B$247,FLOWS!$E:$E,$T257,FLOWS!$D:$D,V$251,FLOWS!$H:$H,"&lt;="&amp;$U$249)+SUM(SUMIFS(DEALS!$J:$J,DEALS!$A:$A,{"*REFUND*","*EXECUTED*"},DEALS!$G:$G,$B$247,DEALS!$E:$E,"&lt;="&amp;$U$249,DEALS!$K:$K,V$251,DEALS!$M:$M,$T257,DEALS!$N:$N,"&lt;&gt;*RECEIVED*",DEALS!$N:$N,"&lt;&gt;*EXECUTED*"))+SUM(SUMIFS(DEALS!$R:$R,DEALS!$A:$A,{"*REFUND*","*EXECUTED*"},DEALS!$O:$O,$B$247,DEALS!$E:$E,"&lt;="&amp;$U$249,DEALS!$S:$S,V$251,DEALS!$U:$U,$T257,DEALS!$V:$V,"&lt;&gt;*RECEIVED*",DEALS!$V:$V,"&lt;&gt;*EXECUTED*"))</f>
        <v>0</v>
      </c>
      <c r="W257" s="32" cm="1">
        <f t="array" ref="W257">SUMIFS(BALANCES!$C:$C,BALANCES!$A:$A,$B$247,BALANCES!$B:$B,$T257,BALANCES!$D:$D,W$251)+SUMIFS(FLOWS!$C:$C,FLOWS!$A:$A,$B$247,FLOWS!$E:$E,$T257,FLOWS!$D:$D,W$251,FLOWS!$H:$H,"&lt;="&amp;$U$249)+SUM(SUMIFS(DEALS!$J:$J,DEALS!$A:$A,{"*REFUND*","*EXECUTED*"},DEALS!$G:$G,$B$247,DEALS!$E:$E,"&lt;="&amp;$U$249,DEALS!$K:$K,W$251,DEALS!$M:$M,$T257,DEALS!$N:$N,"&lt;&gt;*RECEIVED*",DEALS!$N:$N,"&lt;&gt;*EXECUTED*"))+SUM(SUMIFS(DEALS!$R:$R,DEALS!$A:$A,{"*REFUND*","*EXECUTED*"},DEALS!$O:$O,$B$247,DEALS!$E:$E,"&lt;="&amp;$U$249,DEALS!$S:$S,W$251,DEALS!$U:$U,$T257,DEALS!$V:$V,"&lt;&gt;*RECEIVED*",DEALS!$V:$V,"&lt;&gt;*EXECUTED*"))</f>
        <v>0</v>
      </c>
      <c r="X257" s="32" cm="1">
        <f t="array" ref="X257">SUMIFS(BALANCES!$C:$C,BALANCES!$A:$A,$B$247,BALANCES!$B:$B,$T257,BALANCES!$D:$D,X$251)+SUMIFS(FLOWS!$C:$C,FLOWS!$A:$A,$B$247,FLOWS!$E:$E,$T257,FLOWS!$D:$D,X$251,FLOWS!$H:$H,"&lt;="&amp;$U$249)+SUM(SUMIFS(DEALS!$J:$J,DEALS!$A:$A,{"*REFUND*","*EXECUTED*"},DEALS!$G:$G,$B$247,DEALS!$E:$E,"&lt;="&amp;$U$249,DEALS!$K:$K,X$251,DEALS!$M:$M,$T257,DEALS!$N:$N,"&lt;&gt;*RECEIVED*",DEALS!$N:$N,"&lt;&gt;*EXECUTED*"))+SUM(SUMIFS(DEALS!$R:$R,DEALS!$A:$A,{"*REFUND*","*EXECUTED*"},DEALS!$O:$O,$B$247,DEALS!$E:$E,"&lt;="&amp;$U$249,DEALS!$S:$S,X$251,DEALS!$U:$U,$T257,DEALS!$V:$V,"&lt;&gt;*RECEIVED*",DEALS!$V:$V,"&lt;&gt;*EXECUTED*"))</f>
        <v>0</v>
      </c>
      <c r="Y257" s="32" cm="1">
        <f t="array" ref="Y257">SUMIFS(BALANCES!$C:$C,BALANCES!$A:$A,$B$247,BALANCES!$B:$B,$T257,BALANCES!$D:$D,Y$251)+SUMIFS(FLOWS!$C:$C,FLOWS!$A:$A,$B$247,FLOWS!$E:$E,$T257,FLOWS!$D:$D,Y$251,FLOWS!$H:$H,"&lt;="&amp;$U$249)+SUM(SUMIFS(DEALS!$J:$J,DEALS!$A:$A,{"*REFUND*","*EXECUTED*"},DEALS!$G:$G,$B$247,DEALS!$E:$E,"&lt;="&amp;$U$249,DEALS!$K:$K,Y$251,DEALS!$M:$M,$T257,DEALS!$N:$N,"&lt;&gt;*RECEIVED*",DEALS!$N:$N,"&lt;&gt;*EXECUTED*"))+SUM(SUMIFS(DEALS!$R:$R,DEALS!$A:$A,{"*REFUND*","*EXECUTED*"},DEALS!$O:$O,$B$247,DEALS!$E:$E,"&lt;="&amp;$U$249,DEALS!$S:$S,Y$251,DEALS!$U:$U,$T257,DEALS!$V:$V,"&lt;&gt;*RECEIVED*",DEALS!$V:$V,"&lt;&gt;*EXECUTED*"))</f>
        <v>0</v>
      </c>
      <c r="Z257" s="32" cm="1">
        <f t="array" ref="Z257">SUMIFS(BALANCES!$C:$C,BALANCES!$A:$A,$B$247,BALANCES!$B:$B,$T257,BALANCES!$D:$D,Z$251)+SUMIFS(FLOWS!$C:$C,FLOWS!$A:$A,$B$247,FLOWS!$E:$E,$T257,FLOWS!$D:$D,Z$251,FLOWS!$H:$H,"&lt;="&amp;$U$249)+SUM(SUMIFS(DEALS!$J:$J,DEALS!$A:$A,{"*REFUND*","*EXECUTED*"},DEALS!$G:$G,$B$247,DEALS!$E:$E,"&lt;="&amp;$U$249,DEALS!$K:$K,Z$251,DEALS!$M:$M,$T257,DEALS!$N:$N,"&lt;&gt;*RECEIVED*",DEALS!$N:$N,"&lt;&gt;*EXECUTED*"))+SUM(SUMIFS(DEALS!$R:$R,DEALS!$A:$A,{"*REFUND*","*EXECUTED*"},DEALS!$O:$O,$B$247,DEALS!$E:$E,"&lt;="&amp;$U$249,DEALS!$S:$S,Z$251,DEALS!$U:$U,$T257,DEALS!$V:$V,"&lt;&gt;*RECEIVED*",DEALS!$V:$V,"&lt;&gt;*EXECUTED*"))</f>
        <v>0</v>
      </c>
      <c r="AA257" s="33">
        <f ca="1">U257*VLOOKUP(U$251,'FX RATES'!$E$1:$F$50,2,FALSE)+V257*VLOOKUP(V$251,'FX RATES'!$E$1:$F$50,2,FALSE)+W257*VLOOKUP(W$251,'FX RATES'!$E$1:$F$50,2,FALSE)+X257*VLOOKUP(X$251,'FX RATES'!$E$1:$F$50,2,FALSE)+Y257*VLOOKUP(Y$251,'FX RATES'!$E$1:$F$50,2,FALSE)+Z257*VLOOKUP(Z$251,'FX RATES'!$E$1:$F$50,2,FALSE)</f>
        <v>0</v>
      </c>
      <c r="AC257" s="139">
        <f t="shared" ca="1" si="106"/>
        <v>0</v>
      </c>
    </row>
    <row r="258" spans="2:29" ht="19" hidden="1">
      <c r="B258" s="28"/>
      <c r="C258" s="29" cm="1">
        <f t="array" ref="C258">SUMIFS(BALANCES!$C:$C,BALANCES!$A:$A,$B$247,BALANCES!$B:$B,$B258,BALANCES!$D:$D,C$251)+SUMIFS(FLOWS!$C:$C,FLOWS!$A:$A,$B$247,FLOWS!$E:$E,$B258,FLOWS!$D:$D,C$251,FLOWS!$H:$H,"&lt;"&amp;$C$249)+SUM(SUMIFS(DEALS!$J:$J,DEALS!$A:$A,{"*REFUND*","*EXECUTED*"},DEALS!$G:$G,$B$247,DEALS!$E:$E,"&lt;"&amp;$C$249,DEALS!$K:$K,C$251,DEALS!$M:$M,$B258,DEALS!$N:$N,"&lt;&gt;*RECEIVED*",DEALS!$N:$N,"&lt;&gt;*EXECUTED*"))+SUM(SUMIFS(DEALS!$R:$R,DEALS!$A:$A,{"*REFUND*","*EXECUTED*"},DEALS!$O:$O,$B$247,DEALS!$E:$E,"&lt;"&amp;$C$249,DEALS!$S:$S,C$251,DEALS!$U:$U,$B258,DEALS!$V:$V,"&lt;&gt;*RECEIVED*",DEALS!$V:$V,"&lt;&gt;*EXECUTED*"))</f>
        <v>0</v>
      </c>
      <c r="D258" s="29" cm="1">
        <f t="array" ref="D258">SUMIFS(BALANCES!$C:$C,BALANCES!$A:$A,$B$247,BALANCES!$B:$B,$B258,BALANCES!$D:$D,D$251)+SUMIFS(FLOWS!$C:$C,FLOWS!$A:$A,$B$247,FLOWS!$E:$E,$B258,FLOWS!$D:$D,D$251,FLOWS!$H:$H,"&lt;"&amp;$C$249)+SUM(SUMIFS(DEALS!$J:$J,DEALS!$A:$A,{"*REFUND*","*EXECUTED*"},DEALS!$G:$G,$B$247,DEALS!$E:$E,"&lt;"&amp;$C$249,DEALS!$K:$K,D$251,DEALS!$M:$M,$B258,DEALS!$N:$N,"&lt;&gt;*RECEIVED*",DEALS!$N:$N,"&lt;&gt;*EXECUTED*"))+SUM(SUMIFS(DEALS!$R:$R,DEALS!$A:$A,{"*REFUND*","*EXECUTED*"},DEALS!$O:$O,$B$247,DEALS!$E:$E,"&lt;"&amp;$C$249,DEALS!$S:$S,D$251,DEALS!$U:$U,$B258,DEALS!$V:$V,"&lt;&gt;*RECEIVED*",DEALS!$V:$V,"&lt;&gt;*EXECUTED*"))</f>
        <v>0</v>
      </c>
      <c r="E258" s="29" cm="1">
        <f t="array" ref="E258">SUMIFS(BALANCES!$C:$C,BALANCES!$A:$A,$B$247,BALANCES!$B:$B,$B258,BALANCES!$D:$D,E$251)+SUMIFS(FLOWS!$C:$C,FLOWS!$A:$A,$B$247,FLOWS!$E:$E,$B258,FLOWS!$D:$D,E$251,FLOWS!$H:$H,"&lt;"&amp;$C$249)+SUM(SUMIFS(DEALS!$J:$J,DEALS!$A:$A,{"*REFUND*","*EXECUTED*"},DEALS!$G:$G,$B$247,DEALS!$E:$E,"&lt;"&amp;$C$249,DEALS!$K:$K,E$251,DEALS!$M:$M,$B258,DEALS!$N:$N,"&lt;&gt;*RECEIVED*",DEALS!$N:$N,"&lt;&gt;*EXECUTED*"))+SUM(SUMIFS(DEALS!$R:$R,DEALS!$A:$A,{"*REFUND*","*EXECUTED*"},DEALS!$O:$O,$B$247,DEALS!$E:$E,"&lt;"&amp;$C$249,DEALS!$S:$S,E$251,DEALS!$U:$U,$B258,DEALS!$V:$V,"&lt;&gt;*RECEIVED*",DEALS!$V:$V,"&lt;&gt;*EXECUTED*"))</f>
        <v>0</v>
      </c>
      <c r="F258" s="29" cm="1">
        <f t="array" ref="F258">SUMIFS(BALANCES!$C:$C,BALANCES!$A:$A,$B$247,BALANCES!$B:$B,$B258,BALANCES!$D:$D,F$251)+SUMIFS(FLOWS!$C:$C,FLOWS!$A:$A,$B$247,FLOWS!$E:$E,$B258,FLOWS!$D:$D,F$251,FLOWS!$H:$H,"&lt;"&amp;$C$249)+SUM(SUMIFS(DEALS!$J:$J,DEALS!$A:$A,{"*REFUND*","*EXECUTED*"},DEALS!$G:$G,$B$247,DEALS!$E:$E,"&lt;"&amp;$C$249,DEALS!$K:$K,F$251,DEALS!$M:$M,$B258,DEALS!$N:$N,"&lt;&gt;*RECEIVED*",DEALS!$N:$N,"&lt;&gt;*EXECUTED*"))+SUM(SUMIFS(DEALS!$R:$R,DEALS!$A:$A,{"*REFUND*","*EXECUTED*"},DEALS!$O:$O,$B$247,DEALS!$E:$E,"&lt;"&amp;$C$249,DEALS!$S:$S,F$251,DEALS!$U:$U,$B258,DEALS!$V:$V,"&lt;&gt;*RECEIVED*",DEALS!$V:$V,"&lt;&gt;*EXECUTED*"))</f>
        <v>0</v>
      </c>
      <c r="G258" s="29" cm="1">
        <f t="array" ref="G258">SUMIFS(BALANCES!$C:$C,BALANCES!$A:$A,$B$247,BALANCES!$B:$B,$B258,BALANCES!$D:$D,G$251)+SUMIFS(FLOWS!$C:$C,FLOWS!$A:$A,$B$247,FLOWS!$E:$E,$B258,FLOWS!$D:$D,G$251,FLOWS!$H:$H,"&lt;"&amp;$C$249)+SUM(SUMIFS(DEALS!$J:$J,DEALS!$A:$A,{"*REFUND*","*EXECUTED*"},DEALS!$G:$G,$B$247,DEALS!$E:$E,"&lt;"&amp;$C$249,DEALS!$K:$K,G$251,DEALS!$M:$M,$B258,DEALS!$N:$N,"&lt;&gt;*RECEIVED*",DEALS!$N:$N,"&lt;&gt;*EXECUTED*"))+SUM(SUMIFS(DEALS!$R:$R,DEALS!$A:$A,{"*REFUND*","*EXECUTED*"},DEALS!$O:$O,$B$247,DEALS!$E:$E,"&lt;"&amp;$C$249,DEALS!$S:$S,G$251,DEALS!$U:$U,$B258,DEALS!$V:$V,"&lt;&gt;*RECEIVED*",DEALS!$V:$V,"&lt;&gt;*EXECUTED*"))</f>
        <v>0</v>
      </c>
      <c r="H258" s="29" cm="1">
        <f t="array" ref="H258">SUMIFS(BALANCES!$C:$C,BALANCES!$A:$A,$B$247,BALANCES!$B:$B,$B258,BALANCES!$D:$D,H$251)+SUMIFS(FLOWS!$C:$C,FLOWS!$A:$A,$B$247,FLOWS!$E:$E,$B258,FLOWS!$D:$D,H$251,FLOWS!$H:$H,"&lt;"&amp;$C$249)+SUM(SUMIFS(DEALS!$J:$J,DEALS!$A:$A,{"*REFUND*","*EXECUTED*"},DEALS!$G:$G,$B$247,DEALS!$E:$E,"&lt;"&amp;$C$249,DEALS!$K:$K,H$251,DEALS!$M:$M,$B258,DEALS!$N:$N,"&lt;&gt;*RECEIVED*",DEALS!$N:$N,"&lt;&gt;*EXECUTED*"))+SUM(SUMIFS(DEALS!$R:$R,DEALS!$A:$A,{"*REFUND*","*EXECUTED*"},DEALS!$O:$O,$B$247,DEALS!$E:$E,"&lt;"&amp;$C$249,DEALS!$S:$S,H$251,DEALS!$U:$U,$B258,DEALS!$V:$V,"&lt;&gt;*RECEIVED*",DEALS!$V:$V,"&lt;&gt;*EXECUTED*"))</f>
        <v>0</v>
      </c>
      <c r="I258" s="30">
        <f ca="1">C258*VLOOKUP(C$251,'FX RATES'!$E$1:$F$50,2,FALSE)+D258*VLOOKUP(D$251,'FX RATES'!$E$1:$F$50,2,FALSE)+E258*VLOOKUP(E$251,'FX RATES'!$E$1:$F$50,2,FALSE)+F258*VLOOKUP(F$251,'FX RATES'!$E$1:$F$50,2,FALSE)+G258*VLOOKUP(G$251,'FX RATES'!$E$1:$F$50,2,FALSE)+H258*VLOOKUP(H$251,'FX RATES'!$E$1:$F$50,2,FALSE)</f>
        <v>0</v>
      </c>
      <c r="K258" s="28">
        <f t="shared" si="104"/>
        <v>0</v>
      </c>
      <c r="L258" s="29" cm="1">
        <f t="array" ref="L258">SUMIFS(FLOWS!$C:$C,FLOWS!$A:$A,$B$247,FLOWS!$E:$E,$K258,FLOWS!$D:$D,L$251,FLOWS!$H:$H,"&gt;="&amp;$C$249,FLOWS!$H:$H,"&lt;="&amp;$U$249)+SUM(SUMIFS(DEALS!$J:$J,DEALS!$A:$A,{"*REFUND*","*EXECUTED*"},DEALS!$G:$G,$B$247,DEALS!$E:$E,"&gt;="&amp;$C$249,DEALS!$E:$E,"&lt;="&amp;$U$249,DEALS!$K:$K,L$251,DEALS!$M:$M,$K258,DEALS!$N:$N,"&lt;&gt;*RECEIVED*",DEALS!$N:$N,"&lt;&gt;*EXECUTED*"))+SUM(SUMIFS(DEALS!$R:$R,DEALS!$A:$A,{"*REFUND*","*EXECUTED*"},DEALS!$O:$O,$B$247,DEALS!$E:$E,"&gt;="&amp;$C$249,DEALS!$E:$E,"&lt;="&amp;$U$249,DEALS!$S:$S,L$251,DEALS!$U:$U,$K258,DEALS!$V:$V,"&lt;&gt;*RECEIVED*",DEALS!$V:$V,"&lt;&gt;*EXECUTED*"))</f>
        <v>0</v>
      </c>
      <c r="M258" s="29" cm="1">
        <f t="array" ref="M258">SUMIFS(FLOWS!$C:$C,FLOWS!$A:$A,$B$247,FLOWS!$E:$E,$K258,FLOWS!$D:$D,M$251,FLOWS!$H:$H,"&gt;="&amp;$C$249,FLOWS!$H:$H,"&lt;="&amp;$U$249)+SUM(SUMIFS(DEALS!$J:$J,DEALS!$A:$A,{"*REFUND*","*EXECUTED*"},DEALS!$G:$G,$B$247,DEALS!$E:$E,"&gt;="&amp;$C$249,DEALS!$E:$E,"&lt;="&amp;$U$249,DEALS!$K:$K,M$251,DEALS!$M:$M,$K258,DEALS!$N:$N,"&lt;&gt;*RECEIVED*",DEALS!$N:$N,"&lt;&gt;*EXECUTED*"))+SUM(SUMIFS(DEALS!$R:$R,DEALS!$A:$A,{"*REFUND*","*EXECUTED*"},DEALS!$O:$O,$B$247,DEALS!$E:$E,"&gt;="&amp;$C$249,DEALS!$E:$E,"&lt;="&amp;$U$249,DEALS!$S:$S,M$251,DEALS!$U:$U,$K258,DEALS!$V:$V,"&lt;&gt;*RECEIVED*",DEALS!$V:$V,"&lt;&gt;*EXECUTED*"))</f>
        <v>0</v>
      </c>
      <c r="N258" s="29" cm="1">
        <f t="array" ref="N258">SUMIFS(FLOWS!$C:$C,FLOWS!$A:$A,$B$247,FLOWS!$E:$E,$K258,FLOWS!$D:$D,N$251,FLOWS!$H:$H,"&gt;="&amp;$C$249,FLOWS!$H:$H,"&lt;="&amp;$U$249)+SUM(SUMIFS(DEALS!$J:$J,DEALS!$A:$A,{"*REFUND*","*EXECUTED*"},DEALS!$G:$G,$B$247,DEALS!$E:$E,"&gt;="&amp;$C$249,DEALS!$E:$E,"&lt;="&amp;$U$249,DEALS!$K:$K,N$251,DEALS!$M:$M,$K258,DEALS!$N:$N,"&lt;&gt;*RECEIVED*",DEALS!$N:$N,"&lt;&gt;*EXECUTED*"))+SUM(SUMIFS(DEALS!$R:$R,DEALS!$A:$A,{"*REFUND*","*EXECUTED*"},DEALS!$O:$O,$B$247,DEALS!$E:$E,"&gt;="&amp;$C$249,DEALS!$E:$E,"&lt;="&amp;$U$249,DEALS!$S:$S,N$251,DEALS!$U:$U,$K258,DEALS!$V:$V,"&lt;&gt;*RECEIVED*",DEALS!$V:$V,"&lt;&gt;*EXECUTED*"))</f>
        <v>0</v>
      </c>
      <c r="O258" s="29" cm="1">
        <f t="array" ref="O258">SUMIFS(FLOWS!$C:$C,FLOWS!$A:$A,$B$247,FLOWS!$E:$E,$K258,FLOWS!$D:$D,O$251,FLOWS!$H:$H,"&gt;="&amp;$C$249,FLOWS!$H:$H,"&lt;="&amp;$U$249)+SUM(SUMIFS(DEALS!$J:$J,DEALS!$A:$A,{"*REFUND*","*EXECUTED*"},DEALS!$G:$G,$B$247,DEALS!$E:$E,"&gt;="&amp;$C$249,DEALS!$E:$E,"&lt;="&amp;$U$249,DEALS!$K:$K,O$251,DEALS!$M:$M,$K258,DEALS!$N:$N,"&lt;&gt;*RECEIVED*",DEALS!$N:$N,"&lt;&gt;*EXECUTED*"))+SUM(SUMIFS(DEALS!$R:$R,DEALS!$A:$A,{"*REFUND*","*EXECUTED*"},DEALS!$O:$O,$B$247,DEALS!$E:$E,"&gt;="&amp;$C$249,DEALS!$E:$E,"&lt;="&amp;$U$249,DEALS!$S:$S,O$251,DEALS!$U:$U,$K258,DEALS!$V:$V,"&lt;&gt;*RECEIVED*",DEALS!$V:$V,"&lt;&gt;*EXECUTED*"))</f>
        <v>0</v>
      </c>
      <c r="P258" s="29" cm="1">
        <f t="array" ref="P258">SUMIFS(FLOWS!$C:$C,FLOWS!$A:$A,$B$247,FLOWS!$E:$E,$K258,FLOWS!$D:$D,P$251,FLOWS!$H:$H,"&gt;="&amp;$C$249,FLOWS!$H:$H,"&lt;="&amp;$U$249)+SUM(SUMIFS(DEALS!$J:$J,DEALS!$A:$A,{"*REFUND*","*EXECUTED*"},DEALS!$G:$G,$B$247,DEALS!$E:$E,"&gt;="&amp;$C$249,DEALS!$E:$E,"&lt;="&amp;$U$249,DEALS!$K:$K,P$251,DEALS!$M:$M,$K258,DEALS!$N:$N,"&lt;&gt;*RECEIVED*",DEALS!$N:$N,"&lt;&gt;*EXECUTED*"))+SUM(SUMIFS(DEALS!$R:$R,DEALS!$A:$A,{"*REFUND*","*EXECUTED*"},DEALS!$O:$O,$B$247,DEALS!$E:$E,"&gt;="&amp;$C$249,DEALS!$E:$E,"&lt;="&amp;$U$249,DEALS!$S:$S,P$251,DEALS!$U:$U,$K258,DEALS!$V:$V,"&lt;&gt;*RECEIVED*",DEALS!$V:$V,"&lt;&gt;*EXECUTED*"))</f>
        <v>0</v>
      </c>
      <c r="Q258" s="29" cm="1">
        <f t="array" ref="Q258">SUMIFS(FLOWS!$C:$C,FLOWS!$A:$A,$B$247,FLOWS!$E:$E,$K258,FLOWS!$D:$D,Q$251,FLOWS!$H:$H,"&gt;="&amp;$C$249,FLOWS!$H:$H,"&lt;="&amp;$U$249)+SUM(SUMIFS(DEALS!$J:$J,DEALS!$A:$A,{"*REFUND*","*EXECUTED*"},DEALS!$G:$G,$B$247,DEALS!$E:$E,"&gt;="&amp;$C$249,DEALS!$E:$E,"&lt;="&amp;$U$249,DEALS!$K:$K,Q$251,DEALS!$M:$M,$K258,DEALS!$N:$N,"&lt;&gt;*RECEIVED*",DEALS!$N:$N,"&lt;&gt;*EXECUTED*"))+SUM(SUMIFS(DEALS!$R:$R,DEALS!$A:$A,{"*REFUND*","*EXECUTED*"},DEALS!$O:$O,$B$247,DEALS!$E:$E,"&gt;="&amp;$C$249,DEALS!$E:$E,"&lt;="&amp;$U$249,DEALS!$S:$S,Q$251,DEALS!$U:$U,$K258,DEALS!$V:$V,"&lt;&gt;*RECEIVED*",DEALS!$V:$V,"&lt;&gt;*EXECUTED*"))</f>
        <v>0</v>
      </c>
      <c r="R258" s="30">
        <f ca="1">L258*VLOOKUP(L$251,'FX RATES'!$E$1:$F$50,2,FALSE)+M258*VLOOKUP(M$251,'FX RATES'!$E$1:$F$50,2,FALSE)+N258*VLOOKUP(N$251,'FX RATES'!$E$1:$F$50,2,FALSE)+O258*VLOOKUP(O$251,'FX RATES'!$E$1:$F$50,2,FALSE)+P258*VLOOKUP(P$251,'FX RATES'!$E$1:$F$50,2,FALSE)+Q258*VLOOKUP(Q$251,'FX RATES'!$E$1:$F$50,2,FALSE)</f>
        <v>0</v>
      </c>
      <c r="T258" s="28">
        <f t="shared" si="105"/>
        <v>0</v>
      </c>
      <c r="U258" s="29" cm="1">
        <f t="array" ref="U258">SUMIFS(BALANCES!$C:$C,BALANCES!$A:$A,$B$247,BALANCES!$B:$B,$T258,BALANCES!$D:$D,U$251)+SUMIFS(FLOWS!$C:$C,FLOWS!$A:$A,$B$247,FLOWS!$E:$E,$T258,FLOWS!$D:$D,U$251,FLOWS!$H:$H,"&lt;="&amp;$U$249)+SUM(SUMIFS(DEALS!$J:$J,DEALS!$A:$A,{"*REFUND*","*EXECUTED*"},DEALS!$G:$G,$B$247,DEALS!$E:$E,"&lt;="&amp;$U$249,DEALS!$K:$K,U$251,DEALS!$M:$M,$T258,DEALS!$N:$N,"&lt;&gt;*RECEIVED*",DEALS!$N:$N,"&lt;&gt;*EXECUTED*"))+SUM(SUMIFS(DEALS!$R:$R,DEALS!$A:$A,{"*REFUND*","*EXECUTED*"},DEALS!$O:$O,$B$247,DEALS!$E:$E,"&lt;="&amp;$U$249,DEALS!$S:$S,U$251,DEALS!$U:$U,$T258,DEALS!$V:$V,"&lt;&gt;*RECEIVED*",DEALS!$V:$V,"&lt;&gt;*EXECUTED*"))</f>
        <v>0</v>
      </c>
      <c r="V258" s="29" cm="1">
        <f t="array" ref="V258">SUMIFS(BALANCES!$C:$C,BALANCES!$A:$A,$B$247,BALANCES!$B:$B,$T258,BALANCES!$D:$D,V$251)+SUMIFS(FLOWS!$C:$C,FLOWS!$A:$A,$B$247,FLOWS!$E:$E,$T258,FLOWS!$D:$D,V$251,FLOWS!$H:$H,"&lt;="&amp;$U$249)+SUM(SUMIFS(DEALS!$J:$J,DEALS!$A:$A,{"*REFUND*","*EXECUTED*"},DEALS!$G:$G,$B$247,DEALS!$E:$E,"&lt;="&amp;$U$249,DEALS!$K:$K,V$251,DEALS!$M:$M,$T258,DEALS!$N:$N,"&lt;&gt;*RECEIVED*",DEALS!$N:$N,"&lt;&gt;*EXECUTED*"))+SUM(SUMIFS(DEALS!$R:$R,DEALS!$A:$A,{"*REFUND*","*EXECUTED*"},DEALS!$O:$O,$B$247,DEALS!$E:$E,"&lt;="&amp;$U$249,DEALS!$S:$S,V$251,DEALS!$U:$U,$T258,DEALS!$V:$V,"&lt;&gt;*RECEIVED*",DEALS!$V:$V,"&lt;&gt;*EXECUTED*"))</f>
        <v>0</v>
      </c>
      <c r="W258" s="29" cm="1">
        <f t="array" ref="W258">SUMIFS(BALANCES!$C:$C,BALANCES!$A:$A,$B$247,BALANCES!$B:$B,$T258,BALANCES!$D:$D,W$251)+SUMIFS(FLOWS!$C:$C,FLOWS!$A:$A,$B$247,FLOWS!$E:$E,$T258,FLOWS!$D:$D,W$251,FLOWS!$H:$H,"&lt;="&amp;$U$249)+SUM(SUMIFS(DEALS!$J:$J,DEALS!$A:$A,{"*REFUND*","*EXECUTED*"},DEALS!$G:$G,$B$247,DEALS!$E:$E,"&lt;="&amp;$U$249,DEALS!$K:$K,W$251,DEALS!$M:$M,$T258,DEALS!$N:$N,"&lt;&gt;*RECEIVED*",DEALS!$N:$N,"&lt;&gt;*EXECUTED*"))+SUM(SUMIFS(DEALS!$R:$R,DEALS!$A:$A,{"*REFUND*","*EXECUTED*"},DEALS!$O:$O,$B$247,DEALS!$E:$E,"&lt;="&amp;$U$249,DEALS!$S:$S,W$251,DEALS!$U:$U,$T258,DEALS!$V:$V,"&lt;&gt;*RECEIVED*",DEALS!$V:$V,"&lt;&gt;*EXECUTED*"))</f>
        <v>0</v>
      </c>
      <c r="X258" s="29" cm="1">
        <f t="array" ref="X258">SUMIFS(BALANCES!$C:$C,BALANCES!$A:$A,$B$247,BALANCES!$B:$B,$T258,BALANCES!$D:$D,X$251)+SUMIFS(FLOWS!$C:$C,FLOWS!$A:$A,$B$247,FLOWS!$E:$E,$T258,FLOWS!$D:$D,X$251,FLOWS!$H:$H,"&lt;="&amp;$U$249)+SUM(SUMIFS(DEALS!$J:$J,DEALS!$A:$A,{"*REFUND*","*EXECUTED*"},DEALS!$G:$G,$B$247,DEALS!$E:$E,"&lt;="&amp;$U$249,DEALS!$K:$K,X$251,DEALS!$M:$M,$T258,DEALS!$N:$N,"&lt;&gt;*RECEIVED*",DEALS!$N:$N,"&lt;&gt;*EXECUTED*"))+SUM(SUMIFS(DEALS!$R:$R,DEALS!$A:$A,{"*REFUND*","*EXECUTED*"},DEALS!$O:$O,$B$247,DEALS!$E:$E,"&lt;="&amp;$U$249,DEALS!$S:$S,X$251,DEALS!$U:$U,$T258,DEALS!$V:$V,"&lt;&gt;*RECEIVED*",DEALS!$V:$V,"&lt;&gt;*EXECUTED*"))</f>
        <v>0</v>
      </c>
      <c r="Y258" s="29" cm="1">
        <f t="array" ref="Y258">SUMIFS(BALANCES!$C:$C,BALANCES!$A:$A,$B$247,BALANCES!$B:$B,$T258,BALANCES!$D:$D,Y$251)+SUMIFS(FLOWS!$C:$C,FLOWS!$A:$A,$B$247,FLOWS!$E:$E,$T258,FLOWS!$D:$D,Y$251,FLOWS!$H:$H,"&lt;="&amp;$U$249)+SUM(SUMIFS(DEALS!$J:$J,DEALS!$A:$A,{"*REFUND*","*EXECUTED*"},DEALS!$G:$G,$B$247,DEALS!$E:$E,"&lt;="&amp;$U$249,DEALS!$K:$K,Y$251,DEALS!$M:$M,$T258,DEALS!$N:$N,"&lt;&gt;*RECEIVED*",DEALS!$N:$N,"&lt;&gt;*EXECUTED*"))+SUM(SUMIFS(DEALS!$R:$R,DEALS!$A:$A,{"*REFUND*","*EXECUTED*"},DEALS!$O:$O,$B$247,DEALS!$E:$E,"&lt;="&amp;$U$249,DEALS!$S:$S,Y$251,DEALS!$U:$U,$T258,DEALS!$V:$V,"&lt;&gt;*RECEIVED*",DEALS!$V:$V,"&lt;&gt;*EXECUTED*"))</f>
        <v>0</v>
      </c>
      <c r="Z258" s="29" cm="1">
        <f t="array" ref="Z258">SUMIFS(BALANCES!$C:$C,BALANCES!$A:$A,$B$247,BALANCES!$B:$B,$T258,BALANCES!$D:$D,Z$251)+SUMIFS(FLOWS!$C:$C,FLOWS!$A:$A,$B$247,FLOWS!$E:$E,$T258,FLOWS!$D:$D,Z$251,FLOWS!$H:$H,"&lt;="&amp;$U$249)+SUM(SUMIFS(DEALS!$J:$J,DEALS!$A:$A,{"*REFUND*","*EXECUTED*"},DEALS!$G:$G,$B$247,DEALS!$E:$E,"&lt;="&amp;$U$249,DEALS!$K:$K,Z$251,DEALS!$M:$M,$T258,DEALS!$N:$N,"&lt;&gt;*RECEIVED*",DEALS!$N:$N,"&lt;&gt;*EXECUTED*"))+SUM(SUMIFS(DEALS!$R:$R,DEALS!$A:$A,{"*REFUND*","*EXECUTED*"},DEALS!$O:$O,$B$247,DEALS!$E:$E,"&lt;="&amp;$U$249,DEALS!$S:$S,Z$251,DEALS!$U:$U,$T258,DEALS!$V:$V,"&lt;&gt;*RECEIVED*",DEALS!$V:$V,"&lt;&gt;*EXECUTED*"))</f>
        <v>0</v>
      </c>
      <c r="AA258" s="30">
        <f ca="1">U258*VLOOKUP(U$251,'FX RATES'!$E$1:$F$50,2,FALSE)+V258*VLOOKUP(V$251,'FX RATES'!$E$1:$F$50,2,FALSE)+W258*VLOOKUP(W$251,'FX RATES'!$E$1:$F$50,2,FALSE)+X258*VLOOKUP(X$251,'FX RATES'!$E$1:$F$50,2,FALSE)+Y258*VLOOKUP(Y$251,'FX RATES'!$E$1:$F$50,2,FALSE)+Z258*VLOOKUP(Z$251,'FX RATES'!$E$1:$F$50,2,FALSE)</f>
        <v>0</v>
      </c>
      <c r="AC258" s="139">
        <f t="shared" ca="1" si="106"/>
        <v>0</v>
      </c>
    </row>
    <row r="259" spans="2:29" ht="19" hidden="1">
      <c r="B259" s="31"/>
      <c r="C259" s="32" cm="1">
        <f t="array" ref="C259">SUMIFS(BALANCES!$C:$C,BALANCES!$A:$A,$B$247,BALANCES!$B:$B,$B259,BALANCES!$D:$D,C$251)+SUMIFS(FLOWS!$C:$C,FLOWS!$A:$A,$B$247,FLOWS!$E:$E,$B259,FLOWS!$D:$D,C$251,FLOWS!$H:$H,"&lt;"&amp;$C$249)+SUM(SUMIFS(DEALS!$J:$J,DEALS!$A:$A,{"*REFUND*","*EXECUTED*"},DEALS!$G:$G,$B$247,DEALS!$E:$E,"&lt;"&amp;$C$249,DEALS!$K:$K,C$251,DEALS!$M:$M,$B259,DEALS!$N:$N,"&lt;&gt;*RECEIVED*",DEALS!$N:$N,"&lt;&gt;*EXECUTED*"))+SUM(SUMIFS(DEALS!$R:$R,DEALS!$A:$A,{"*REFUND*","*EXECUTED*"},DEALS!$O:$O,$B$247,DEALS!$E:$E,"&lt;"&amp;$C$249,DEALS!$S:$S,C$251,DEALS!$U:$U,$B259,DEALS!$V:$V,"&lt;&gt;*RECEIVED*",DEALS!$V:$V,"&lt;&gt;*EXECUTED*"))</f>
        <v>0</v>
      </c>
      <c r="D259" s="32" cm="1">
        <f t="array" ref="D259">SUMIFS(BALANCES!$C:$C,BALANCES!$A:$A,$B$247,BALANCES!$B:$B,$B259,BALANCES!$D:$D,D$251)+SUMIFS(FLOWS!$C:$C,FLOWS!$A:$A,$B$247,FLOWS!$E:$E,$B259,FLOWS!$D:$D,D$251,FLOWS!$H:$H,"&lt;"&amp;$C$249)+SUM(SUMIFS(DEALS!$J:$J,DEALS!$A:$A,{"*REFUND*","*EXECUTED*"},DEALS!$G:$G,$B$247,DEALS!$E:$E,"&lt;"&amp;$C$249,DEALS!$K:$K,D$251,DEALS!$M:$M,$B259,DEALS!$N:$N,"&lt;&gt;*RECEIVED*",DEALS!$N:$N,"&lt;&gt;*EXECUTED*"))+SUM(SUMIFS(DEALS!$R:$R,DEALS!$A:$A,{"*REFUND*","*EXECUTED*"},DEALS!$O:$O,$B$247,DEALS!$E:$E,"&lt;"&amp;$C$249,DEALS!$S:$S,D$251,DEALS!$U:$U,$B259,DEALS!$V:$V,"&lt;&gt;*RECEIVED*",DEALS!$V:$V,"&lt;&gt;*EXECUTED*"))</f>
        <v>0</v>
      </c>
      <c r="E259" s="32" cm="1">
        <f t="array" ref="E259">SUMIFS(BALANCES!$C:$C,BALANCES!$A:$A,$B$247,BALANCES!$B:$B,$B259,BALANCES!$D:$D,E$251)+SUMIFS(FLOWS!$C:$C,FLOWS!$A:$A,$B$247,FLOWS!$E:$E,$B259,FLOWS!$D:$D,E$251,FLOWS!$H:$H,"&lt;"&amp;$C$249)+SUM(SUMIFS(DEALS!$J:$J,DEALS!$A:$A,{"*REFUND*","*EXECUTED*"},DEALS!$G:$G,$B$247,DEALS!$E:$E,"&lt;"&amp;$C$249,DEALS!$K:$K,E$251,DEALS!$M:$M,$B259,DEALS!$N:$N,"&lt;&gt;*RECEIVED*",DEALS!$N:$N,"&lt;&gt;*EXECUTED*"))+SUM(SUMIFS(DEALS!$R:$R,DEALS!$A:$A,{"*REFUND*","*EXECUTED*"},DEALS!$O:$O,$B$247,DEALS!$E:$E,"&lt;"&amp;$C$249,DEALS!$S:$S,E$251,DEALS!$U:$U,$B259,DEALS!$V:$V,"&lt;&gt;*RECEIVED*",DEALS!$V:$V,"&lt;&gt;*EXECUTED*"))</f>
        <v>0</v>
      </c>
      <c r="F259" s="32" cm="1">
        <f t="array" ref="F259">SUMIFS(BALANCES!$C:$C,BALANCES!$A:$A,$B$247,BALANCES!$B:$B,$B259,BALANCES!$D:$D,F$251)+SUMIFS(FLOWS!$C:$C,FLOWS!$A:$A,$B$247,FLOWS!$E:$E,$B259,FLOWS!$D:$D,F$251,FLOWS!$H:$H,"&lt;"&amp;$C$249)+SUM(SUMIFS(DEALS!$J:$J,DEALS!$A:$A,{"*REFUND*","*EXECUTED*"},DEALS!$G:$G,$B$247,DEALS!$E:$E,"&lt;"&amp;$C$249,DEALS!$K:$K,F$251,DEALS!$M:$M,$B259,DEALS!$N:$N,"&lt;&gt;*RECEIVED*",DEALS!$N:$N,"&lt;&gt;*EXECUTED*"))+SUM(SUMIFS(DEALS!$R:$R,DEALS!$A:$A,{"*REFUND*","*EXECUTED*"},DEALS!$O:$O,$B$247,DEALS!$E:$E,"&lt;"&amp;$C$249,DEALS!$S:$S,F$251,DEALS!$U:$U,$B259,DEALS!$V:$V,"&lt;&gt;*RECEIVED*",DEALS!$V:$V,"&lt;&gt;*EXECUTED*"))</f>
        <v>0</v>
      </c>
      <c r="G259" s="32" cm="1">
        <f t="array" ref="G259">SUMIFS(BALANCES!$C:$C,BALANCES!$A:$A,$B$247,BALANCES!$B:$B,$B259,BALANCES!$D:$D,G$251)+SUMIFS(FLOWS!$C:$C,FLOWS!$A:$A,$B$247,FLOWS!$E:$E,$B259,FLOWS!$D:$D,G$251,FLOWS!$H:$H,"&lt;"&amp;$C$249)+SUM(SUMIFS(DEALS!$J:$J,DEALS!$A:$A,{"*REFUND*","*EXECUTED*"},DEALS!$G:$G,$B$247,DEALS!$E:$E,"&lt;"&amp;$C$249,DEALS!$K:$K,G$251,DEALS!$M:$M,$B259,DEALS!$N:$N,"&lt;&gt;*RECEIVED*",DEALS!$N:$N,"&lt;&gt;*EXECUTED*"))+SUM(SUMIFS(DEALS!$R:$R,DEALS!$A:$A,{"*REFUND*","*EXECUTED*"},DEALS!$O:$O,$B$247,DEALS!$E:$E,"&lt;"&amp;$C$249,DEALS!$S:$S,G$251,DEALS!$U:$U,$B259,DEALS!$V:$V,"&lt;&gt;*RECEIVED*",DEALS!$V:$V,"&lt;&gt;*EXECUTED*"))</f>
        <v>0</v>
      </c>
      <c r="H259" s="32" cm="1">
        <f t="array" ref="H259">SUMIFS(BALANCES!$C:$C,BALANCES!$A:$A,$B$247,BALANCES!$B:$B,$B259,BALANCES!$D:$D,H$251)+SUMIFS(FLOWS!$C:$C,FLOWS!$A:$A,$B$247,FLOWS!$E:$E,$B259,FLOWS!$D:$D,H$251,FLOWS!$H:$H,"&lt;"&amp;$C$249)+SUM(SUMIFS(DEALS!$J:$J,DEALS!$A:$A,{"*REFUND*","*EXECUTED*"},DEALS!$G:$G,$B$247,DEALS!$E:$E,"&lt;"&amp;$C$249,DEALS!$K:$K,H$251,DEALS!$M:$M,$B259,DEALS!$N:$N,"&lt;&gt;*RECEIVED*",DEALS!$N:$N,"&lt;&gt;*EXECUTED*"))+SUM(SUMIFS(DEALS!$R:$R,DEALS!$A:$A,{"*REFUND*","*EXECUTED*"},DEALS!$O:$O,$B$247,DEALS!$E:$E,"&lt;"&amp;$C$249,DEALS!$S:$S,H$251,DEALS!$U:$U,$B259,DEALS!$V:$V,"&lt;&gt;*RECEIVED*",DEALS!$V:$V,"&lt;&gt;*EXECUTED*"))</f>
        <v>0</v>
      </c>
      <c r="I259" s="33">
        <f ca="1">C259*VLOOKUP(C$251,'FX RATES'!$E$1:$F$50,2,FALSE)+D259*VLOOKUP(D$251,'FX RATES'!$E$1:$F$50,2,FALSE)+E259*VLOOKUP(E$251,'FX RATES'!$E$1:$F$50,2,FALSE)+F259*VLOOKUP(F$251,'FX RATES'!$E$1:$F$50,2,FALSE)+G259*VLOOKUP(G$251,'FX RATES'!$E$1:$F$50,2,FALSE)+H259*VLOOKUP(H$251,'FX RATES'!$E$1:$F$50,2,FALSE)</f>
        <v>0</v>
      </c>
      <c r="K259" s="31">
        <f t="shared" si="104"/>
        <v>0</v>
      </c>
      <c r="L259" s="32" cm="1">
        <f t="array" ref="L259">SUMIFS(FLOWS!$C:$C,FLOWS!$A:$A,$B$247,FLOWS!$E:$E,$K259,FLOWS!$D:$D,L$251,FLOWS!$H:$H,"&gt;="&amp;$C$249,FLOWS!$H:$H,"&lt;="&amp;$U$249)+SUM(SUMIFS(DEALS!$J:$J,DEALS!$A:$A,{"*REFUND*","*EXECUTED*"},DEALS!$G:$G,$B$247,DEALS!$E:$E,"&gt;="&amp;$C$249,DEALS!$E:$E,"&lt;="&amp;$U$249,DEALS!$K:$K,L$251,DEALS!$M:$M,$K259,DEALS!$N:$N,"&lt;&gt;*RECEIVED*",DEALS!$N:$N,"&lt;&gt;*EXECUTED*"))+SUM(SUMIFS(DEALS!$R:$R,DEALS!$A:$A,{"*REFUND*","*EXECUTED*"},DEALS!$O:$O,$B$247,DEALS!$E:$E,"&gt;="&amp;$C$249,DEALS!$E:$E,"&lt;="&amp;$U$249,DEALS!$S:$S,L$251,DEALS!$U:$U,$K259,DEALS!$V:$V,"&lt;&gt;*RECEIVED*",DEALS!$V:$V,"&lt;&gt;*EXECUTED*"))</f>
        <v>0</v>
      </c>
      <c r="M259" s="32" cm="1">
        <f t="array" ref="M259">SUMIFS(FLOWS!$C:$C,FLOWS!$A:$A,$B$247,FLOWS!$E:$E,$K259,FLOWS!$D:$D,M$251,FLOWS!$H:$H,"&gt;="&amp;$C$249,FLOWS!$H:$H,"&lt;="&amp;$U$249)+SUM(SUMIFS(DEALS!$J:$J,DEALS!$A:$A,{"*REFUND*","*EXECUTED*"},DEALS!$G:$G,$B$247,DEALS!$E:$E,"&gt;="&amp;$C$249,DEALS!$E:$E,"&lt;="&amp;$U$249,DEALS!$K:$K,M$251,DEALS!$M:$M,$K259,DEALS!$N:$N,"&lt;&gt;*RECEIVED*",DEALS!$N:$N,"&lt;&gt;*EXECUTED*"))+SUM(SUMIFS(DEALS!$R:$R,DEALS!$A:$A,{"*REFUND*","*EXECUTED*"},DEALS!$O:$O,$B$247,DEALS!$E:$E,"&gt;="&amp;$C$249,DEALS!$E:$E,"&lt;="&amp;$U$249,DEALS!$S:$S,M$251,DEALS!$U:$U,$K259,DEALS!$V:$V,"&lt;&gt;*RECEIVED*",DEALS!$V:$V,"&lt;&gt;*EXECUTED*"))</f>
        <v>0</v>
      </c>
      <c r="N259" s="32" cm="1">
        <f t="array" ref="N259">SUMIFS(FLOWS!$C:$C,FLOWS!$A:$A,$B$247,FLOWS!$E:$E,$K259,FLOWS!$D:$D,N$251,FLOWS!$H:$H,"&gt;="&amp;$C$249,FLOWS!$H:$H,"&lt;="&amp;$U$249)+SUM(SUMIFS(DEALS!$J:$J,DEALS!$A:$A,{"*REFUND*","*EXECUTED*"},DEALS!$G:$G,$B$247,DEALS!$E:$E,"&gt;="&amp;$C$249,DEALS!$E:$E,"&lt;="&amp;$U$249,DEALS!$K:$K,N$251,DEALS!$M:$M,$K259,DEALS!$N:$N,"&lt;&gt;*RECEIVED*",DEALS!$N:$N,"&lt;&gt;*EXECUTED*"))+SUM(SUMIFS(DEALS!$R:$R,DEALS!$A:$A,{"*REFUND*","*EXECUTED*"},DEALS!$O:$O,$B$247,DEALS!$E:$E,"&gt;="&amp;$C$249,DEALS!$E:$E,"&lt;="&amp;$U$249,DEALS!$S:$S,N$251,DEALS!$U:$U,$K259,DEALS!$V:$V,"&lt;&gt;*RECEIVED*",DEALS!$V:$V,"&lt;&gt;*EXECUTED*"))</f>
        <v>0</v>
      </c>
      <c r="O259" s="32" cm="1">
        <f t="array" ref="O259">SUMIFS(FLOWS!$C:$C,FLOWS!$A:$A,$B$247,FLOWS!$E:$E,$K259,FLOWS!$D:$D,O$251,FLOWS!$H:$H,"&gt;="&amp;$C$249,FLOWS!$H:$H,"&lt;="&amp;$U$249)+SUM(SUMIFS(DEALS!$J:$J,DEALS!$A:$A,{"*REFUND*","*EXECUTED*"},DEALS!$G:$G,$B$247,DEALS!$E:$E,"&gt;="&amp;$C$249,DEALS!$E:$E,"&lt;="&amp;$U$249,DEALS!$K:$K,O$251,DEALS!$M:$M,$K259,DEALS!$N:$N,"&lt;&gt;*RECEIVED*",DEALS!$N:$N,"&lt;&gt;*EXECUTED*"))+SUM(SUMIFS(DEALS!$R:$R,DEALS!$A:$A,{"*REFUND*","*EXECUTED*"},DEALS!$O:$O,$B$247,DEALS!$E:$E,"&gt;="&amp;$C$249,DEALS!$E:$E,"&lt;="&amp;$U$249,DEALS!$S:$S,O$251,DEALS!$U:$U,$K259,DEALS!$V:$V,"&lt;&gt;*RECEIVED*",DEALS!$V:$V,"&lt;&gt;*EXECUTED*"))</f>
        <v>0</v>
      </c>
      <c r="P259" s="32" cm="1">
        <f t="array" ref="P259">SUMIFS(FLOWS!$C:$C,FLOWS!$A:$A,$B$247,FLOWS!$E:$E,$K259,FLOWS!$D:$D,P$251,FLOWS!$H:$H,"&gt;="&amp;$C$249,FLOWS!$H:$H,"&lt;="&amp;$U$249)+SUM(SUMIFS(DEALS!$J:$J,DEALS!$A:$A,{"*REFUND*","*EXECUTED*"},DEALS!$G:$G,$B$247,DEALS!$E:$E,"&gt;="&amp;$C$249,DEALS!$E:$E,"&lt;="&amp;$U$249,DEALS!$K:$K,P$251,DEALS!$M:$M,$K259,DEALS!$N:$N,"&lt;&gt;*RECEIVED*",DEALS!$N:$N,"&lt;&gt;*EXECUTED*"))+SUM(SUMIFS(DEALS!$R:$R,DEALS!$A:$A,{"*REFUND*","*EXECUTED*"},DEALS!$O:$O,$B$247,DEALS!$E:$E,"&gt;="&amp;$C$249,DEALS!$E:$E,"&lt;="&amp;$U$249,DEALS!$S:$S,P$251,DEALS!$U:$U,$K259,DEALS!$V:$V,"&lt;&gt;*RECEIVED*",DEALS!$V:$V,"&lt;&gt;*EXECUTED*"))</f>
        <v>0</v>
      </c>
      <c r="Q259" s="32" cm="1">
        <f t="array" ref="Q259">SUMIFS(FLOWS!$C:$C,FLOWS!$A:$A,$B$247,FLOWS!$E:$E,$K259,FLOWS!$D:$D,Q$251,FLOWS!$H:$H,"&gt;="&amp;$C$249,FLOWS!$H:$H,"&lt;="&amp;$U$249)+SUM(SUMIFS(DEALS!$J:$J,DEALS!$A:$A,{"*REFUND*","*EXECUTED*"},DEALS!$G:$G,$B$247,DEALS!$E:$E,"&gt;="&amp;$C$249,DEALS!$E:$E,"&lt;="&amp;$U$249,DEALS!$K:$K,Q$251,DEALS!$M:$M,$K259,DEALS!$N:$N,"&lt;&gt;*RECEIVED*",DEALS!$N:$N,"&lt;&gt;*EXECUTED*"))+SUM(SUMIFS(DEALS!$R:$R,DEALS!$A:$A,{"*REFUND*","*EXECUTED*"},DEALS!$O:$O,$B$247,DEALS!$E:$E,"&gt;="&amp;$C$249,DEALS!$E:$E,"&lt;="&amp;$U$249,DEALS!$S:$S,Q$251,DEALS!$U:$U,$K259,DEALS!$V:$V,"&lt;&gt;*RECEIVED*",DEALS!$V:$V,"&lt;&gt;*EXECUTED*"))</f>
        <v>0</v>
      </c>
      <c r="R259" s="33">
        <f ca="1">L259*VLOOKUP(L$251,'FX RATES'!$E$1:$F$50,2,FALSE)+M259*VLOOKUP(M$251,'FX RATES'!$E$1:$F$50,2,FALSE)+N259*VLOOKUP(N$251,'FX RATES'!$E$1:$F$50,2,FALSE)+O259*VLOOKUP(O$251,'FX RATES'!$E$1:$F$50,2,FALSE)+P259*VLOOKUP(P$251,'FX RATES'!$E$1:$F$50,2,FALSE)+Q259*VLOOKUP(Q$251,'FX RATES'!$E$1:$F$50,2,FALSE)</f>
        <v>0</v>
      </c>
      <c r="T259" s="31">
        <f t="shared" si="105"/>
        <v>0</v>
      </c>
      <c r="U259" s="32" cm="1">
        <f t="array" ref="U259">SUMIFS(BALANCES!$C:$C,BALANCES!$A:$A,$B$247,BALANCES!$B:$B,$T259,BALANCES!$D:$D,U$251)+SUMIFS(FLOWS!$C:$C,FLOWS!$A:$A,$B$247,FLOWS!$E:$E,$T259,FLOWS!$D:$D,U$251,FLOWS!$H:$H,"&lt;="&amp;$U$249)+SUM(SUMIFS(DEALS!$J:$J,DEALS!$A:$A,{"*REFUND*","*EXECUTED*"},DEALS!$G:$G,$B$247,DEALS!$E:$E,"&lt;="&amp;$U$249,DEALS!$K:$K,U$251,DEALS!$M:$M,$T259,DEALS!$N:$N,"&lt;&gt;*RECEIVED*",DEALS!$N:$N,"&lt;&gt;*EXECUTED*"))+SUM(SUMIFS(DEALS!$R:$R,DEALS!$A:$A,{"*REFUND*","*EXECUTED*"},DEALS!$O:$O,$B$247,DEALS!$E:$E,"&lt;="&amp;$U$249,DEALS!$S:$S,U$251,DEALS!$U:$U,$T259,DEALS!$V:$V,"&lt;&gt;*RECEIVED*",DEALS!$V:$V,"&lt;&gt;*EXECUTED*"))</f>
        <v>0</v>
      </c>
      <c r="V259" s="32" cm="1">
        <f t="array" ref="V259">SUMIFS(BALANCES!$C:$C,BALANCES!$A:$A,$B$247,BALANCES!$B:$B,$T259,BALANCES!$D:$D,V$251)+SUMIFS(FLOWS!$C:$C,FLOWS!$A:$A,$B$247,FLOWS!$E:$E,$T259,FLOWS!$D:$D,V$251,FLOWS!$H:$H,"&lt;="&amp;$U$249)+SUM(SUMIFS(DEALS!$J:$J,DEALS!$A:$A,{"*REFUND*","*EXECUTED*"},DEALS!$G:$G,$B$247,DEALS!$E:$E,"&lt;="&amp;$U$249,DEALS!$K:$K,V$251,DEALS!$M:$M,$T259,DEALS!$N:$N,"&lt;&gt;*RECEIVED*",DEALS!$N:$N,"&lt;&gt;*EXECUTED*"))+SUM(SUMIFS(DEALS!$R:$R,DEALS!$A:$A,{"*REFUND*","*EXECUTED*"},DEALS!$O:$O,$B$247,DEALS!$E:$E,"&lt;="&amp;$U$249,DEALS!$S:$S,V$251,DEALS!$U:$U,$T259,DEALS!$V:$V,"&lt;&gt;*RECEIVED*",DEALS!$V:$V,"&lt;&gt;*EXECUTED*"))</f>
        <v>0</v>
      </c>
      <c r="W259" s="32" cm="1">
        <f t="array" ref="W259">SUMIFS(BALANCES!$C:$C,BALANCES!$A:$A,$B$247,BALANCES!$B:$B,$T259,BALANCES!$D:$D,W$251)+SUMIFS(FLOWS!$C:$C,FLOWS!$A:$A,$B$247,FLOWS!$E:$E,$T259,FLOWS!$D:$D,W$251,FLOWS!$H:$H,"&lt;="&amp;$U$249)+SUM(SUMIFS(DEALS!$J:$J,DEALS!$A:$A,{"*REFUND*","*EXECUTED*"},DEALS!$G:$G,$B$247,DEALS!$E:$E,"&lt;="&amp;$U$249,DEALS!$K:$K,W$251,DEALS!$M:$M,$T259,DEALS!$N:$N,"&lt;&gt;*RECEIVED*",DEALS!$N:$N,"&lt;&gt;*EXECUTED*"))+SUM(SUMIFS(DEALS!$R:$R,DEALS!$A:$A,{"*REFUND*","*EXECUTED*"},DEALS!$O:$O,$B$247,DEALS!$E:$E,"&lt;="&amp;$U$249,DEALS!$S:$S,W$251,DEALS!$U:$U,$T259,DEALS!$V:$V,"&lt;&gt;*RECEIVED*",DEALS!$V:$V,"&lt;&gt;*EXECUTED*"))</f>
        <v>0</v>
      </c>
      <c r="X259" s="32" cm="1">
        <f t="array" ref="X259">SUMIFS(BALANCES!$C:$C,BALANCES!$A:$A,$B$247,BALANCES!$B:$B,$T259,BALANCES!$D:$D,X$251)+SUMIFS(FLOWS!$C:$C,FLOWS!$A:$A,$B$247,FLOWS!$E:$E,$T259,FLOWS!$D:$D,X$251,FLOWS!$H:$H,"&lt;="&amp;$U$249)+SUM(SUMIFS(DEALS!$J:$J,DEALS!$A:$A,{"*REFUND*","*EXECUTED*"},DEALS!$G:$G,$B$247,DEALS!$E:$E,"&lt;="&amp;$U$249,DEALS!$K:$K,X$251,DEALS!$M:$M,$T259,DEALS!$N:$N,"&lt;&gt;*RECEIVED*",DEALS!$N:$N,"&lt;&gt;*EXECUTED*"))+SUM(SUMIFS(DEALS!$R:$R,DEALS!$A:$A,{"*REFUND*","*EXECUTED*"},DEALS!$O:$O,$B$247,DEALS!$E:$E,"&lt;="&amp;$U$249,DEALS!$S:$S,X$251,DEALS!$U:$U,$T259,DEALS!$V:$V,"&lt;&gt;*RECEIVED*",DEALS!$V:$V,"&lt;&gt;*EXECUTED*"))</f>
        <v>0</v>
      </c>
      <c r="Y259" s="32" cm="1">
        <f t="array" ref="Y259">SUMIFS(BALANCES!$C:$C,BALANCES!$A:$A,$B$247,BALANCES!$B:$B,$T259,BALANCES!$D:$D,Y$251)+SUMIFS(FLOWS!$C:$C,FLOWS!$A:$A,$B$247,FLOWS!$E:$E,$T259,FLOWS!$D:$D,Y$251,FLOWS!$H:$H,"&lt;="&amp;$U$249)+SUM(SUMIFS(DEALS!$J:$J,DEALS!$A:$A,{"*REFUND*","*EXECUTED*"},DEALS!$G:$G,$B$247,DEALS!$E:$E,"&lt;="&amp;$U$249,DEALS!$K:$K,Y$251,DEALS!$M:$M,$T259,DEALS!$N:$N,"&lt;&gt;*RECEIVED*",DEALS!$N:$N,"&lt;&gt;*EXECUTED*"))+SUM(SUMIFS(DEALS!$R:$R,DEALS!$A:$A,{"*REFUND*","*EXECUTED*"},DEALS!$O:$O,$B$247,DEALS!$E:$E,"&lt;="&amp;$U$249,DEALS!$S:$S,Y$251,DEALS!$U:$U,$T259,DEALS!$V:$V,"&lt;&gt;*RECEIVED*",DEALS!$V:$V,"&lt;&gt;*EXECUTED*"))</f>
        <v>0</v>
      </c>
      <c r="Z259" s="32" cm="1">
        <f t="array" ref="Z259">SUMIFS(BALANCES!$C:$C,BALANCES!$A:$A,$B$247,BALANCES!$B:$B,$T259,BALANCES!$D:$D,Z$251)+SUMIFS(FLOWS!$C:$C,FLOWS!$A:$A,$B$247,FLOWS!$E:$E,$T259,FLOWS!$D:$D,Z$251,FLOWS!$H:$H,"&lt;="&amp;$U$249)+SUM(SUMIFS(DEALS!$J:$J,DEALS!$A:$A,{"*REFUND*","*EXECUTED*"},DEALS!$G:$G,$B$247,DEALS!$E:$E,"&lt;="&amp;$U$249,DEALS!$K:$K,Z$251,DEALS!$M:$M,$T259,DEALS!$N:$N,"&lt;&gt;*RECEIVED*",DEALS!$N:$N,"&lt;&gt;*EXECUTED*"))+SUM(SUMIFS(DEALS!$R:$R,DEALS!$A:$A,{"*REFUND*","*EXECUTED*"},DEALS!$O:$O,$B$247,DEALS!$E:$E,"&lt;="&amp;$U$249,DEALS!$S:$S,Z$251,DEALS!$U:$U,$T259,DEALS!$V:$V,"&lt;&gt;*RECEIVED*",DEALS!$V:$V,"&lt;&gt;*EXECUTED*"))</f>
        <v>0</v>
      </c>
      <c r="AA259" s="33">
        <f ca="1">U259*VLOOKUP(U$251,'FX RATES'!$E$1:$F$50,2,FALSE)+V259*VLOOKUP(V$251,'FX RATES'!$E$1:$F$50,2,FALSE)+W259*VLOOKUP(W$251,'FX RATES'!$E$1:$F$50,2,FALSE)+X259*VLOOKUP(X$251,'FX RATES'!$E$1:$F$50,2,FALSE)+Y259*VLOOKUP(Y$251,'FX RATES'!$E$1:$F$50,2,FALSE)+Z259*VLOOKUP(Z$251,'FX RATES'!$E$1:$F$50,2,FALSE)</f>
        <v>0</v>
      </c>
      <c r="AC259" s="139">
        <f t="shared" ca="1" si="106"/>
        <v>0</v>
      </c>
    </row>
    <row r="260" spans="2:29" ht="19" hidden="1">
      <c r="B260" s="28"/>
      <c r="C260" s="29" cm="1">
        <f t="array" ref="C260">SUMIFS(BALANCES!$C:$C,BALANCES!$A:$A,$B$247,BALANCES!$B:$B,$B260,BALANCES!$D:$D,C$251)+SUMIFS(FLOWS!$C:$C,FLOWS!$A:$A,$B$247,FLOWS!$E:$E,$B260,FLOWS!$D:$D,C$251,FLOWS!$H:$H,"&lt;"&amp;$C$249)+SUM(SUMIFS(DEALS!$J:$J,DEALS!$A:$A,{"*REFUND*","*EXECUTED*"},DEALS!$G:$G,$B$247,DEALS!$E:$E,"&lt;"&amp;$C$249,DEALS!$K:$K,C$251,DEALS!$M:$M,$B260,DEALS!$N:$N,"&lt;&gt;*RECEIVED*",DEALS!$N:$N,"&lt;&gt;*EXECUTED*"))+SUM(SUMIFS(DEALS!$R:$R,DEALS!$A:$A,{"*REFUND*","*EXECUTED*"},DEALS!$O:$O,$B$247,DEALS!$E:$E,"&lt;"&amp;$C$249,DEALS!$S:$S,C$251,DEALS!$U:$U,$B260,DEALS!$V:$V,"&lt;&gt;*RECEIVED*",DEALS!$V:$V,"&lt;&gt;*EXECUTED*"))</f>
        <v>0</v>
      </c>
      <c r="D260" s="29" cm="1">
        <f t="array" ref="D260">SUMIFS(BALANCES!$C:$C,BALANCES!$A:$A,$B$247,BALANCES!$B:$B,$B260,BALANCES!$D:$D,D$251)+SUMIFS(FLOWS!$C:$C,FLOWS!$A:$A,$B$247,FLOWS!$E:$E,$B260,FLOWS!$D:$D,D$251,FLOWS!$H:$H,"&lt;"&amp;$C$249)+SUM(SUMIFS(DEALS!$J:$J,DEALS!$A:$A,{"*REFUND*","*EXECUTED*"},DEALS!$G:$G,$B$247,DEALS!$E:$E,"&lt;"&amp;$C$249,DEALS!$K:$K,D$251,DEALS!$M:$M,$B260,DEALS!$N:$N,"&lt;&gt;*RECEIVED*",DEALS!$N:$N,"&lt;&gt;*EXECUTED*"))+SUM(SUMIFS(DEALS!$R:$R,DEALS!$A:$A,{"*REFUND*","*EXECUTED*"},DEALS!$O:$O,$B$247,DEALS!$E:$E,"&lt;"&amp;$C$249,DEALS!$S:$S,D$251,DEALS!$U:$U,$B260,DEALS!$V:$V,"&lt;&gt;*RECEIVED*",DEALS!$V:$V,"&lt;&gt;*EXECUTED*"))</f>
        <v>0</v>
      </c>
      <c r="E260" s="29" cm="1">
        <f t="array" ref="E260">SUMIFS(BALANCES!$C:$C,BALANCES!$A:$A,$B$247,BALANCES!$B:$B,$B260,BALANCES!$D:$D,E$251)+SUMIFS(FLOWS!$C:$C,FLOWS!$A:$A,$B$247,FLOWS!$E:$E,$B260,FLOWS!$D:$D,E$251,FLOWS!$H:$H,"&lt;"&amp;$C$249)+SUM(SUMIFS(DEALS!$J:$J,DEALS!$A:$A,{"*REFUND*","*EXECUTED*"},DEALS!$G:$G,$B$247,DEALS!$E:$E,"&lt;"&amp;$C$249,DEALS!$K:$K,E$251,DEALS!$M:$M,$B260,DEALS!$N:$N,"&lt;&gt;*RECEIVED*",DEALS!$N:$N,"&lt;&gt;*EXECUTED*"))+SUM(SUMIFS(DEALS!$R:$R,DEALS!$A:$A,{"*REFUND*","*EXECUTED*"},DEALS!$O:$O,$B$247,DEALS!$E:$E,"&lt;"&amp;$C$249,DEALS!$S:$S,E$251,DEALS!$U:$U,$B260,DEALS!$V:$V,"&lt;&gt;*RECEIVED*",DEALS!$V:$V,"&lt;&gt;*EXECUTED*"))</f>
        <v>0</v>
      </c>
      <c r="F260" s="29" cm="1">
        <f t="array" ref="F260">SUMIFS(BALANCES!$C:$C,BALANCES!$A:$A,$B$247,BALANCES!$B:$B,$B260,BALANCES!$D:$D,F$251)+SUMIFS(FLOWS!$C:$C,FLOWS!$A:$A,$B$247,FLOWS!$E:$E,$B260,FLOWS!$D:$D,F$251,FLOWS!$H:$H,"&lt;"&amp;$C$249)+SUM(SUMIFS(DEALS!$J:$J,DEALS!$A:$A,{"*REFUND*","*EXECUTED*"},DEALS!$G:$G,$B$247,DEALS!$E:$E,"&lt;"&amp;$C$249,DEALS!$K:$K,F$251,DEALS!$M:$M,$B260,DEALS!$N:$N,"&lt;&gt;*RECEIVED*",DEALS!$N:$N,"&lt;&gt;*EXECUTED*"))+SUM(SUMIFS(DEALS!$R:$R,DEALS!$A:$A,{"*REFUND*","*EXECUTED*"},DEALS!$O:$O,$B$247,DEALS!$E:$E,"&lt;"&amp;$C$249,DEALS!$S:$S,F$251,DEALS!$U:$U,$B260,DEALS!$V:$V,"&lt;&gt;*RECEIVED*",DEALS!$V:$V,"&lt;&gt;*EXECUTED*"))</f>
        <v>0</v>
      </c>
      <c r="G260" s="29" cm="1">
        <f t="array" ref="G260">SUMIFS(BALANCES!$C:$C,BALANCES!$A:$A,$B$247,BALANCES!$B:$B,$B260,BALANCES!$D:$D,G$251)+SUMIFS(FLOWS!$C:$C,FLOWS!$A:$A,$B$247,FLOWS!$E:$E,$B260,FLOWS!$D:$D,G$251,FLOWS!$H:$H,"&lt;"&amp;$C$249)+SUM(SUMIFS(DEALS!$J:$J,DEALS!$A:$A,{"*REFUND*","*EXECUTED*"},DEALS!$G:$G,$B$247,DEALS!$E:$E,"&lt;"&amp;$C$249,DEALS!$K:$K,G$251,DEALS!$M:$M,$B260,DEALS!$N:$N,"&lt;&gt;*RECEIVED*",DEALS!$N:$N,"&lt;&gt;*EXECUTED*"))+SUM(SUMIFS(DEALS!$R:$R,DEALS!$A:$A,{"*REFUND*","*EXECUTED*"},DEALS!$O:$O,$B$247,DEALS!$E:$E,"&lt;"&amp;$C$249,DEALS!$S:$S,G$251,DEALS!$U:$U,$B260,DEALS!$V:$V,"&lt;&gt;*RECEIVED*",DEALS!$V:$V,"&lt;&gt;*EXECUTED*"))</f>
        <v>0</v>
      </c>
      <c r="H260" s="29" cm="1">
        <f t="array" ref="H260">SUMIFS(BALANCES!$C:$C,BALANCES!$A:$A,$B$247,BALANCES!$B:$B,$B260,BALANCES!$D:$D,H$251)+SUMIFS(FLOWS!$C:$C,FLOWS!$A:$A,$B$247,FLOWS!$E:$E,$B260,FLOWS!$D:$D,H$251,FLOWS!$H:$H,"&lt;"&amp;$C$249)+SUM(SUMIFS(DEALS!$J:$J,DEALS!$A:$A,{"*REFUND*","*EXECUTED*"},DEALS!$G:$G,$B$247,DEALS!$E:$E,"&lt;"&amp;$C$249,DEALS!$K:$K,H$251,DEALS!$M:$M,$B260,DEALS!$N:$N,"&lt;&gt;*RECEIVED*",DEALS!$N:$N,"&lt;&gt;*EXECUTED*"))+SUM(SUMIFS(DEALS!$R:$R,DEALS!$A:$A,{"*REFUND*","*EXECUTED*"},DEALS!$O:$O,$B$247,DEALS!$E:$E,"&lt;"&amp;$C$249,DEALS!$S:$S,H$251,DEALS!$U:$U,$B260,DEALS!$V:$V,"&lt;&gt;*RECEIVED*",DEALS!$V:$V,"&lt;&gt;*EXECUTED*"))</f>
        <v>0</v>
      </c>
      <c r="I260" s="30">
        <f ca="1">C260*VLOOKUP(C$251,'FX RATES'!$E$1:$F$50,2,FALSE)+D260*VLOOKUP(D$251,'FX RATES'!$E$1:$F$50,2,FALSE)+E260*VLOOKUP(E$251,'FX RATES'!$E$1:$F$50,2,FALSE)+F260*VLOOKUP(F$251,'FX RATES'!$E$1:$F$50,2,FALSE)+G260*VLOOKUP(G$251,'FX RATES'!$E$1:$F$50,2,FALSE)+H260*VLOOKUP(H$251,'FX RATES'!$E$1:$F$50,2,FALSE)</f>
        <v>0</v>
      </c>
      <c r="K260" s="28">
        <f>B260</f>
        <v>0</v>
      </c>
      <c r="L260" s="29" cm="1">
        <f t="array" ref="L260">SUMIFS(FLOWS!$C:$C,FLOWS!$A:$A,$B$247,FLOWS!$E:$E,$K260,FLOWS!$D:$D,L$251,FLOWS!$H:$H,"&gt;="&amp;$C$249,FLOWS!$H:$H,"&lt;="&amp;$U$249)+SUM(SUMIFS(DEALS!$J:$J,DEALS!$A:$A,{"*REFUND*","*EXECUTED*"},DEALS!$G:$G,$B$247,DEALS!$E:$E,"&gt;="&amp;$C$249,DEALS!$E:$E,"&lt;="&amp;$U$249,DEALS!$K:$K,L$251,DEALS!$M:$M,$K260,DEALS!$N:$N,"&lt;&gt;*RECEIVED*",DEALS!$N:$N,"&lt;&gt;*EXECUTED*"))+SUM(SUMIFS(DEALS!$R:$R,DEALS!$A:$A,{"*REFUND*","*EXECUTED*"},DEALS!$O:$O,$B$247,DEALS!$E:$E,"&gt;="&amp;$C$249,DEALS!$E:$E,"&lt;="&amp;$U$249,DEALS!$S:$S,L$251,DEALS!$U:$U,$K260,DEALS!$V:$V,"&lt;&gt;*RECEIVED*",DEALS!$V:$V,"&lt;&gt;*EXECUTED*"))</f>
        <v>0</v>
      </c>
      <c r="M260" s="29" cm="1">
        <f t="array" ref="M260">SUMIFS(FLOWS!$C:$C,FLOWS!$A:$A,$B$247,FLOWS!$E:$E,$K260,FLOWS!$D:$D,M$251,FLOWS!$H:$H,"&gt;="&amp;$C$249,FLOWS!$H:$H,"&lt;="&amp;$U$249)+SUM(SUMIFS(DEALS!$J:$J,DEALS!$A:$A,{"*REFUND*","*EXECUTED*"},DEALS!$G:$G,$B$247,DEALS!$E:$E,"&gt;="&amp;$C$249,DEALS!$E:$E,"&lt;="&amp;$U$249,DEALS!$K:$K,M$251,DEALS!$M:$M,$K260,DEALS!$N:$N,"&lt;&gt;*RECEIVED*",DEALS!$N:$N,"&lt;&gt;*EXECUTED*"))+SUM(SUMIFS(DEALS!$R:$R,DEALS!$A:$A,{"*REFUND*","*EXECUTED*"},DEALS!$O:$O,$B$247,DEALS!$E:$E,"&gt;="&amp;$C$249,DEALS!$E:$E,"&lt;="&amp;$U$249,DEALS!$S:$S,M$251,DEALS!$U:$U,$K260,DEALS!$V:$V,"&lt;&gt;*RECEIVED*",DEALS!$V:$V,"&lt;&gt;*EXECUTED*"))</f>
        <v>0</v>
      </c>
      <c r="N260" s="29" cm="1">
        <f t="array" ref="N260">SUMIFS(FLOWS!$C:$C,FLOWS!$A:$A,$B$247,FLOWS!$E:$E,$K260,FLOWS!$D:$D,N$251,FLOWS!$H:$H,"&gt;="&amp;$C$249,FLOWS!$H:$H,"&lt;="&amp;$U$249)+SUM(SUMIFS(DEALS!$J:$J,DEALS!$A:$A,{"*REFUND*","*EXECUTED*"},DEALS!$G:$G,$B$247,DEALS!$E:$E,"&gt;="&amp;$C$249,DEALS!$E:$E,"&lt;="&amp;$U$249,DEALS!$K:$K,N$251,DEALS!$M:$M,$K260,DEALS!$N:$N,"&lt;&gt;*RECEIVED*",DEALS!$N:$N,"&lt;&gt;*EXECUTED*"))+SUM(SUMIFS(DEALS!$R:$R,DEALS!$A:$A,{"*REFUND*","*EXECUTED*"},DEALS!$O:$O,$B$247,DEALS!$E:$E,"&gt;="&amp;$C$249,DEALS!$E:$E,"&lt;="&amp;$U$249,DEALS!$S:$S,N$251,DEALS!$U:$U,$K260,DEALS!$V:$V,"&lt;&gt;*RECEIVED*",DEALS!$V:$V,"&lt;&gt;*EXECUTED*"))</f>
        <v>0</v>
      </c>
      <c r="O260" s="29" cm="1">
        <f t="array" ref="O260">SUMIFS(FLOWS!$C:$C,FLOWS!$A:$A,$B$247,FLOWS!$E:$E,$K260,FLOWS!$D:$D,O$251,FLOWS!$H:$H,"&gt;="&amp;$C$249,FLOWS!$H:$H,"&lt;="&amp;$U$249)+SUM(SUMIFS(DEALS!$J:$J,DEALS!$A:$A,{"*REFUND*","*EXECUTED*"},DEALS!$G:$G,$B$247,DEALS!$E:$E,"&gt;="&amp;$C$249,DEALS!$E:$E,"&lt;="&amp;$U$249,DEALS!$K:$K,O$251,DEALS!$M:$M,$K260,DEALS!$N:$N,"&lt;&gt;*RECEIVED*",DEALS!$N:$N,"&lt;&gt;*EXECUTED*"))+SUM(SUMIFS(DEALS!$R:$R,DEALS!$A:$A,{"*REFUND*","*EXECUTED*"},DEALS!$O:$O,$B$247,DEALS!$E:$E,"&gt;="&amp;$C$249,DEALS!$E:$E,"&lt;="&amp;$U$249,DEALS!$S:$S,O$251,DEALS!$U:$U,$K260,DEALS!$V:$V,"&lt;&gt;*RECEIVED*",DEALS!$V:$V,"&lt;&gt;*EXECUTED*"))</f>
        <v>0</v>
      </c>
      <c r="P260" s="29" cm="1">
        <f t="array" ref="P260">SUMIFS(FLOWS!$C:$C,FLOWS!$A:$A,$B$247,FLOWS!$E:$E,$K260,FLOWS!$D:$D,P$251,FLOWS!$H:$H,"&gt;="&amp;$C$249,FLOWS!$H:$H,"&lt;="&amp;$U$249)+SUM(SUMIFS(DEALS!$J:$J,DEALS!$A:$A,{"*REFUND*","*EXECUTED*"},DEALS!$G:$G,$B$247,DEALS!$E:$E,"&gt;="&amp;$C$249,DEALS!$E:$E,"&lt;="&amp;$U$249,DEALS!$K:$K,P$251,DEALS!$M:$M,$K260,DEALS!$N:$N,"&lt;&gt;*RECEIVED*",DEALS!$N:$N,"&lt;&gt;*EXECUTED*"))+SUM(SUMIFS(DEALS!$R:$R,DEALS!$A:$A,{"*REFUND*","*EXECUTED*"},DEALS!$O:$O,$B$247,DEALS!$E:$E,"&gt;="&amp;$C$249,DEALS!$E:$E,"&lt;="&amp;$U$249,DEALS!$S:$S,P$251,DEALS!$U:$U,$K260,DEALS!$V:$V,"&lt;&gt;*RECEIVED*",DEALS!$V:$V,"&lt;&gt;*EXECUTED*"))</f>
        <v>0</v>
      </c>
      <c r="Q260" s="29" cm="1">
        <f t="array" ref="Q260">SUMIFS(FLOWS!$C:$C,FLOWS!$A:$A,$B$247,FLOWS!$E:$E,$K260,FLOWS!$D:$D,Q$251,FLOWS!$H:$H,"&gt;="&amp;$C$249,FLOWS!$H:$H,"&lt;="&amp;$U$249)+SUM(SUMIFS(DEALS!$J:$J,DEALS!$A:$A,{"*REFUND*","*EXECUTED*"},DEALS!$G:$G,$B$247,DEALS!$E:$E,"&gt;="&amp;$C$249,DEALS!$E:$E,"&lt;="&amp;$U$249,DEALS!$K:$K,Q$251,DEALS!$M:$M,$K260,DEALS!$N:$N,"&lt;&gt;*RECEIVED*",DEALS!$N:$N,"&lt;&gt;*EXECUTED*"))+SUM(SUMIFS(DEALS!$R:$R,DEALS!$A:$A,{"*REFUND*","*EXECUTED*"},DEALS!$O:$O,$B$247,DEALS!$E:$E,"&gt;="&amp;$C$249,DEALS!$E:$E,"&lt;="&amp;$U$249,DEALS!$S:$S,Q$251,DEALS!$U:$U,$K260,DEALS!$V:$V,"&lt;&gt;*RECEIVED*",DEALS!$V:$V,"&lt;&gt;*EXECUTED*"))</f>
        <v>0</v>
      </c>
      <c r="R260" s="30">
        <f ca="1">L260*VLOOKUP(L$251,'FX RATES'!$E$1:$F$50,2,FALSE)+M260*VLOOKUP(M$251,'FX RATES'!$E$1:$F$50,2,FALSE)+N260*VLOOKUP(N$251,'FX RATES'!$E$1:$F$50,2,FALSE)+O260*VLOOKUP(O$251,'FX RATES'!$E$1:$F$50,2,FALSE)+P260*VLOOKUP(P$251,'FX RATES'!$E$1:$F$50,2,FALSE)+Q260*VLOOKUP(Q$251,'FX RATES'!$E$1:$F$50,2,FALSE)</f>
        <v>0</v>
      </c>
      <c r="T260" s="28">
        <f>B260</f>
        <v>0</v>
      </c>
      <c r="U260" s="29" cm="1">
        <f t="array" ref="U260">SUMIFS(BALANCES!$C:$C,BALANCES!$A:$A,$B$247,BALANCES!$B:$B,$T260,BALANCES!$D:$D,U$251)+SUMIFS(FLOWS!$C:$C,FLOWS!$A:$A,$B$247,FLOWS!$E:$E,$T260,FLOWS!$D:$D,U$251,FLOWS!$H:$H,"&lt;="&amp;$U$249)+SUM(SUMIFS(DEALS!$J:$J,DEALS!$A:$A,{"*REFUND*","*EXECUTED*"},DEALS!$G:$G,$B$247,DEALS!$E:$E,"&lt;="&amp;$U$249,DEALS!$K:$K,U$251,DEALS!$M:$M,$T260,DEALS!$N:$N,"&lt;&gt;*RECEIVED*",DEALS!$N:$N,"&lt;&gt;*EXECUTED*"))+SUM(SUMIFS(DEALS!$R:$R,DEALS!$A:$A,{"*REFUND*","*EXECUTED*"},DEALS!$O:$O,$B$247,DEALS!$E:$E,"&lt;="&amp;$U$249,DEALS!$S:$S,U$251,DEALS!$U:$U,$T260,DEALS!$V:$V,"&lt;&gt;*RECEIVED*",DEALS!$V:$V,"&lt;&gt;*EXECUTED*"))</f>
        <v>0</v>
      </c>
      <c r="V260" s="29" cm="1">
        <f t="array" ref="V260">SUMIFS(BALANCES!$C:$C,BALANCES!$A:$A,$B$247,BALANCES!$B:$B,$T260,BALANCES!$D:$D,V$251)+SUMIFS(FLOWS!$C:$C,FLOWS!$A:$A,$B$247,FLOWS!$E:$E,$T260,FLOWS!$D:$D,V$251,FLOWS!$H:$H,"&lt;="&amp;$U$249)+SUM(SUMIFS(DEALS!$J:$J,DEALS!$A:$A,{"*REFUND*","*EXECUTED*"},DEALS!$G:$G,$B$247,DEALS!$E:$E,"&lt;="&amp;$U$249,DEALS!$K:$K,V$251,DEALS!$M:$M,$T260,DEALS!$N:$N,"&lt;&gt;*RECEIVED*",DEALS!$N:$N,"&lt;&gt;*EXECUTED*"))+SUM(SUMIFS(DEALS!$R:$R,DEALS!$A:$A,{"*REFUND*","*EXECUTED*"},DEALS!$O:$O,$B$247,DEALS!$E:$E,"&lt;="&amp;$U$249,DEALS!$S:$S,V$251,DEALS!$U:$U,$T260,DEALS!$V:$V,"&lt;&gt;*RECEIVED*",DEALS!$V:$V,"&lt;&gt;*EXECUTED*"))</f>
        <v>0</v>
      </c>
      <c r="W260" s="29" cm="1">
        <f t="array" ref="W260">SUMIFS(BALANCES!$C:$C,BALANCES!$A:$A,$B$247,BALANCES!$B:$B,$T260,BALANCES!$D:$D,W$251)+SUMIFS(FLOWS!$C:$C,FLOWS!$A:$A,$B$247,FLOWS!$E:$E,$T260,FLOWS!$D:$D,W$251,FLOWS!$H:$H,"&lt;="&amp;$U$249)+SUM(SUMIFS(DEALS!$J:$J,DEALS!$A:$A,{"*REFUND*","*EXECUTED*"},DEALS!$G:$G,$B$247,DEALS!$E:$E,"&lt;="&amp;$U$249,DEALS!$K:$K,W$251,DEALS!$M:$M,$T260,DEALS!$N:$N,"&lt;&gt;*RECEIVED*",DEALS!$N:$N,"&lt;&gt;*EXECUTED*"))+SUM(SUMIFS(DEALS!$R:$R,DEALS!$A:$A,{"*REFUND*","*EXECUTED*"},DEALS!$O:$O,$B$247,DEALS!$E:$E,"&lt;="&amp;$U$249,DEALS!$S:$S,W$251,DEALS!$U:$U,$T260,DEALS!$V:$V,"&lt;&gt;*RECEIVED*",DEALS!$V:$V,"&lt;&gt;*EXECUTED*"))</f>
        <v>0</v>
      </c>
      <c r="X260" s="29" cm="1">
        <f t="array" ref="X260">SUMIFS(BALANCES!$C:$C,BALANCES!$A:$A,$B$247,BALANCES!$B:$B,$T260,BALANCES!$D:$D,X$251)+SUMIFS(FLOWS!$C:$C,FLOWS!$A:$A,$B$247,FLOWS!$E:$E,$T260,FLOWS!$D:$D,X$251,FLOWS!$H:$H,"&lt;="&amp;$U$249)+SUM(SUMIFS(DEALS!$J:$J,DEALS!$A:$A,{"*REFUND*","*EXECUTED*"},DEALS!$G:$G,$B$247,DEALS!$E:$E,"&lt;="&amp;$U$249,DEALS!$K:$K,X$251,DEALS!$M:$M,$T260,DEALS!$N:$N,"&lt;&gt;*RECEIVED*",DEALS!$N:$N,"&lt;&gt;*EXECUTED*"))+SUM(SUMIFS(DEALS!$R:$R,DEALS!$A:$A,{"*REFUND*","*EXECUTED*"},DEALS!$O:$O,$B$247,DEALS!$E:$E,"&lt;="&amp;$U$249,DEALS!$S:$S,X$251,DEALS!$U:$U,$T260,DEALS!$V:$V,"&lt;&gt;*RECEIVED*",DEALS!$V:$V,"&lt;&gt;*EXECUTED*"))</f>
        <v>0</v>
      </c>
      <c r="Y260" s="29" cm="1">
        <f t="array" ref="Y260">SUMIFS(BALANCES!$C:$C,BALANCES!$A:$A,$B$247,BALANCES!$B:$B,$T260,BALANCES!$D:$D,Y$251)+SUMIFS(FLOWS!$C:$C,FLOWS!$A:$A,$B$247,FLOWS!$E:$E,$T260,FLOWS!$D:$D,Y$251,FLOWS!$H:$H,"&lt;="&amp;$U$249)+SUM(SUMIFS(DEALS!$J:$J,DEALS!$A:$A,{"*REFUND*","*EXECUTED*"},DEALS!$G:$G,$B$247,DEALS!$E:$E,"&lt;="&amp;$U$249,DEALS!$K:$K,Y$251,DEALS!$M:$M,$T260,DEALS!$N:$N,"&lt;&gt;*RECEIVED*",DEALS!$N:$N,"&lt;&gt;*EXECUTED*"))+SUM(SUMIFS(DEALS!$R:$R,DEALS!$A:$A,{"*REFUND*","*EXECUTED*"},DEALS!$O:$O,$B$247,DEALS!$E:$E,"&lt;="&amp;$U$249,DEALS!$S:$S,Y$251,DEALS!$U:$U,$T260,DEALS!$V:$V,"&lt;&gt;*RECEIVED*",DEALS!$V:$V,"&lt;&gt;*EXECUTED*"))</f>
        <v>0</v>
      </c>
      <c r="Z260" s="29" cm="1">
        <f t="array" ref="Z260">SUMIFS(BALANCES!$C:$C,BALANCES!$A:$A,$B$247,BALANCES!$B:$B,$T260,BALANCES!$D:$D,Z$251)+SUMIFS(FLOWS!$C:$C,FLOWS!$A:$A,$B$247,FLOWS!$E:$E,$T260,FLOWS!$D:$D,Z$251,FLOWS!$H:$H,"&lt;="&amp;$U$249)+SUM(SUMIFS(DEALS!$J:$J,DEALS!$A:$A,{"*REFUND*","*EXECUTED*"},DEALS!$G:$G,$B$247,DEALS!$E:$E,"&lt;="&amp;$U$249,DEALS!$K:$K,Z$251,DEALS!$M:$M,$T260,DEALS!$N:$N,"&lt;&gt;*RECEIVED*",DEALS!$N:$N,"&lt;&gt;*EXECUTED*"))+SUM(SUMIFS(DEALS!$R:$R,DEALS!$A:$A,{"*REFUND*","*EXECUTED*"},DEALS!$O:$O,$B$247,DEALS!$E:$E,"&lt;="&amp;$U$249,DEALS!$S:$S,Z$251,DEALS!$U:$U,$T260,DEALS!$V:$V,"&lt;&gt;*RECEIVED*",DEALS!$V:$V,"&lt;&gt;*EXECUTED*"))</f>
        <v>0</v>
      </c>
      <c r="AA260" s="30">
        <f ca="1">U260*VLOOKUP(U$251,'FX RATES'!$E$1:$F$50,2,FALSE)+V260*VLOOKUP(V$251,'FX RATES'!$E$1:$F$50,2,FALSE)+W260*VLOOKUP(W$251,'FX RATES'!$E$1:$F$50,2,FALSE)+X260*VLOOKUP(X$251,'FX RATES'!$E$1:$F$50,2,FALSE)+Y260*VLOOKUP(Y$251,'FX RATES'!$E$1:$F$50,2,FALSE)+Z260*VLOOKUP(Z$251,'FX RATES'!$E$1:$F$50,2,FALSE)</f>
        <v>0</v>
      </c>
      <c r="AC260" s="139">
        <f ca="1">I260+R260-AA260</f>
        <v>0</v>
      </c>
    </row>
    <row r="261" spans="2:29" ht="19" hidden="1">
      <c r="B261" s="31"/>
      <c r="C261" s="32" cm="1">
        <f t="array" ref="C261">SUMIFS(BALANCES!$C:$C,BALANCES!$A:$A,$B$247,BALANCES!$B:$B,$B261,BALANCES!$D:$D,C$251)+SUMIFS(FLOWS!$C:$C,FLOWS!$A:$A,$B$247,FLOWS!$E:$E,$B261,FLOWS!$D:$D,C$251,FLOWS!$H:$H,"&lt;"&amp;$C$249)+SUM(SUMIFS(DEALS!$J:$J,DEALS!$A:$A,{"*REFUND*","*EXECUTED*"},DEALS!$G:$G,$B$247,DEALS!$E:$E,"&lt;"&amp;$C$249,DEALS!$K:$K,C$251,DEALS!$M:$M,$B261,DEALS!$N:$N,"&lt;&gt;*RECEIVED*",DEALS!$N:$N,"&lt;&gt;*EXECUTED*"))+SUM(SUMIFS(DEALS!$R:$R,DEALS!$A:$A,{"*REFUND*","*EXECUTED*"},DEALS!$O:$O,$B$247,DEALS!$E:$E,"&lt;"&amp;$C$249,DEALS!$S:$S,C$251,DEALS!$U:$U,$B261,DEALS!$V:$V,"&lt;&gt;*RECEIVED*",DEALS!$V:$V,"&lt;&gt;*EXECUTED*"))</f>
        <v>0</v>
      </c>
      <c r="D261" s="32" cm="1">
        <f t="array" ref="D261">SUMIFS(BALANCES!$C:$C,BALANCES!$A:$A,$B$247,BALANCES!$B:$B,$B261,BALANCES!$D:$D,D$251)+SUMIFS(FLOWS!$C:$C,FLOWS!$A:$A,$B$247,FLOWS!$E:$E,$B261,FLOWS!$D:$D,D$251,FLOWS!$H:$H,"&lt;"&amp;$C$249)+SUM(SUMIFS(DEALS!$J:$J,DEALS!$A:$A,{"*REFUND*","*EXECUTED*"},DEALS!$G:$G,$B$247,DEALS!$E:$E,"&lt;"&amp;$C$249,DEALS!$K:$K,D$251,DEALS!$M:$M,$B261,DEALS!$N:$N,"&lt;&gt;*RECEIVED*",DEALS!$N:$N,"&lt;&gt;*EXECUTED*"))+SUM(SUMIFS(DEALS!$R:$R,DEALS!$A:$A,{"*REFUND*","*EXECUTED*"},DEALS!$O:$O,$B$247,DEALS!$E:$E,"&lt;"&amp;$C$249,DEALS!$S:$S,D$251,DEALS!$U:$U,$B261,DEALS!$V:$V,"&lt;&gt;*RECEIVED*",DEALS!$V:$V,"&lt;&gt;*EXECUTED*"))</f>
        <v>0</v>
      </c>
      <c r="E261" s="32" cm="1">
        <f t="array" ref="E261">SUMIFS(BALANCES!$C:$C,BALANCES!$A:$A,$B$247,BALANCES!$B:$B,$B261,BALANCES!$D:$D,E$251)+SUMIFS(FLOWS!$C:$C,FLOWS!$A:$A,$B$247,FLOWS!$E:$E,$B261,FLOWS!$D:$D,E$251,FLOWS!$H:$H,"&lt;"&amp;$C$249)+SUM(SUMIFS(DEALS!$J:$J,DEALS!$A:$A,{"*REFUND*","*EXECUTED*"},DEALS!$G:$G,$B$247,DEALS!$E:$E,"&lt;"&amp;$C$249,DEALS!$K:$K,E$251,DEALS!$M:$M,$B261,DEALS!$N:$N,"&lt;&gt;*RECEIVED*",DEALS!$N:$N,"&lt;&gt;*EXECUTED*"))+SUM(SUMIFS(DEALS!$R:$R,DEALS!$A:$A,{"*REFUND*","*EXECUTED*"},DEALS!$O:$O,$B$247,DEALS!$E:$E,"&lt;"&amp;$C$249,DEALS!$S:$S,E$251,DEALS!$U:$U,$B261,DEALS!$V:$V,"&lt;&gt;*RECEIVED*",DEALS!$V:$V,"&lt;&gt;*EXECUTED*"))</f>
        <v>0</v>
      </c>
      <c r="F261" s="32" cm="1">
        <f t="array" ref="F261">SUMIFS(BALANCES!$C:$C,BALANCES!$A:$A,$B$247,BALANCES!$B:$B,$B261,BALANCES!$D:$D,F$251)+SUMIFS(FLOWS!$C:$C,FLOWS!$A:$A,$B$247,FLOWS!$E:$E,$B261,FLOWS!$D:$D,F$251,FLOWS!$H:$H,"&lt;"&amp;$C$249)+SUM(SUMIFS(DEALS!$J:$J,DEALS!$A:$A,{"*REFUND*","*EXECUTED*"},DEALS!$G:$G,$B$247,DEALS!$E:$E,"&lt;"&amp;$C$249,DEALS!$K:$K,F$251,DEALS!$M:$M,$B261,DEALS!$N:$N,"&lt;&gt;*RECEIVED*",DEALS!$N:$N,"&lt;&gt;*EXECUTED*"))+SUM(SUMIFS(DEALS!$R:$R,DEALS!$A:$A,{"*REFUND*","*EXECUTED*"},DEALS!$O:$O,$B$247,DEALS!$E:$E,"&lt;"&amp;$C$249,DEALS!$S:$S,F$251,DEALS!$U:$U,$B261,DEALS!$V:$V,"&lt;&gt;*RECEIVED*",DEALS!$V:$V,"&lt;&gt;*EXECUTED*"))</f>
        <v>0</v>
      </c>
      <c r="G261" s="32" cm="1">
        <f t="array" ref="G261">SUMIFS(BALANCES!$C:$C,BALANCES!$A:$A,$B$247,BALANCES!$B:$B,$B261,BALANCES!$D:$D,G$251)+SUMIFS(FLOWS!$C:$C,FLOWS!$A:$A,$B$247,FLOWS!$E:$E,$B261,FLOWS!$D:$D,G$251,FLOWS!$H:$H,"&lt;"&amp;$C$249)+SUM(SUMIFS(DEALS!$J:$J,DEALS!$A:$A,{"*REFUND*","*EXECUTED*"},DEALS!$G:$G,$B$247,DEALS!$E:$E,"&lt;"&amp;$C$249,DEALS!$K:$K,G$251,DEALS!$M:$M,$B261,DEALS!$N:$N,"&lt;&gt;*RECEIVED*",DEALS!$N:$N,"&lt;&gt;*EXECUTED*"))+SUM(SUMIFS(DEALS!$R:$R,DEALS!$A:$A,{"*REFUND*","*EXECUTED*"},DEALS!$O:$O,$B$247,DEALS!$E:$E,"&lt;"&amp;$C$249,DEALS!$S:$S,G$251,DEALS!$U:$U,$B261,DEALS!$V:$V,"&lt;&gt;*RECEIVED*",DEALS!$V:$V,"&lt;&gt;*EXECUTED*"))</f>
        <v>0</v>
      </c>
      <c r="H261" s="32" cm="1">
        <f t="array" ref="H261">SUMIFS(BALANCES!$C:$C,BALANCES!$A:$A,$B$247,BALANCES!$B:$B,$B261,BALANCES!$D:$D,H$251)+SUMIFS(FLOWS!$C:$C,FLOWS!$A:$A,$B$247,FLOWS!$E:$E,$B261,FLOWS!$D:$D,H$251,FLOWS!$H:$H,"&lt;"&amp;$C$249)+SUM(SUMIFS(DEALS!$J:$J,DEALS!$A:$A,{"*REFUND*","*EXECUTED*"},DEALS!$G:$G,$B$247,DEALS!$E:$E,"&lt;"&amp;$C$249,DEALS!$K:$K,H$251,DEALS!$M:$M,$B261,DEALS!$N:$N,"&lt;&gt;*RECEIVED*",DEALS!$N:$N,"&lt;&gt;*EXECUTED*"))+SUM(SUMIFS(DEALS!$R:$R,DEALS!$A:$A,{"*REFUND*","*EXECUTED*"},DEALS!$O:$O,$B$247,DEALS!$E:$E,"&lt;"&amp;$C$249,DEALS!$S:$S,H$251,DEALS!$U:$U,$B261,DEALS!$V:$V,"&lt;&gt;*RECEIVED*",DEALS!$V:$V,"&lt;&gt;*EXECUTED*"))</f>
        <v>0</v>
      </c>
      <c r="I261" s="33">
        <f ca="1">C261*VLOOKUP(C$251,'FX RATES'!$E$1:$F$50,2,FALSE)+D261*VLOOKUP(D$251,'FX RATES'!$E$1:$F$50,2,FALSE)+E261*VLOOKUP(E$251,'FX RATES'!$E$1:$F$50,2,FALSE)+F261*VLOOKUP(F$251,'FX RATES'!$E$1:$F$50,2,FALSE)+G261*VLOOKUP(G$251,'FX RATES'!$E$1:$F$50,2,FALSE)+H261*VLOOKUP(H$251,'FX RATES'!$E$1:$F$50,2,FALSE)</f>
        <v>0</v>
      </c>
      <c r="K261" s="31">
        <f>B261</f>
        <v>0</v>
      </c>
      <c r="L261" s="32" cm="1">
        <f t="array" ref="L261">SUMIFS(FLOWS!$C:$C,FLOWS!$A:$A,$B$247,FLOWS!$E:$E,$K261,FLOWS!$D:$D,L$251,FLOWS!$H:$H,"&gt;="&amp;$C$249,FLOWS!$H:$H,"&lt;="&amp;$U$249)+SUM(SUMIFS(DEALS!$J:$J,DEALS!$A:$A,{"*REFUND*","*EXECUTED*"},DEALS!$G:$G,$B$247,DEALS!$E:$E,"&gt;="&amp;$C$249,DEALS!$E:$E,"&lt;="&amp;$U$249,DEALS!$K:$K,L$251,DEALS!$M:$M,$K261,DEALS!$N:$N,"&lt;&gt;*RECEIVED*",DEALS!$N:$N,"&lt;&gt;*EXECUTED*"))+SUM(SUMIFS(DEALS!$R:$R,DEALS!$A:$A,{"*REFUND*","*EXECUTED*"},DEALS!$O:$O,$B$247,DEALS!$E:$E,"&gt;="&amp;$C$249,DEALS!$E:$E,"&lt;="&amp;$U$249,DEALS!$S:$S,L$251,DEALS!$U:$U,$K261,DEALS!$V:$V,"&lt;&gt;*RECEIVED*",DEALS!$V:$V,"&lt;&gt;*EXECUTED*"))</f>
        <v>0</v>
      </c>
      <c r="M261" s="32" cm="1">
        <f t="array" ref="M261">SUMIFS(FLOWS!$C:$C,FLOWS!$A:$A,$B$247,FLOWS!$E:$E,$K261,FLOWS!$D:$D,M$251,FLOWS!$H:$H,"&gt;="&amp;$C$249,FLOWS!$H:$H,"&lt;="&amp;$U$249)+SUM(SUMIFS(DEALS!$J:$J,DEALS!$A:$A,{"*REFUND*","*EXECUTED*"},DEALS!$G:$G,$B$247,DEALS!$E:$E,"&gt;="&amp;$C$249,DEALS!$E:$E,"&lt;="&amp;$U$249,DEALS!$K:$K,M$251,DEALS!$M:$M,$K261,DEALS!$N:$N,"&lt;&gt;*RECEIVED*",DEALS!$N:$N,"&lt;&gt;*EXECUTED*"))+SUM(SUMIFS(DEALS!$R:$R,DEALS!$A:$A,{"*REFUND*","*EXECUTED*"},DEALS!$O:$O,$B$247,DEALS!$E:$E,"&gt;="&amp;$C$249,DEALS!$E:$E,"&lt;="&amp;$U$249,DEALS!$S:$S,M$251,DEALS!$U:$U,$K261,DEALS!$V:$V,"&lt;&gt;*RECEIVED*",DEALS!$V:$V,"&lt;&gt;*EXECUTED*"))</f>
        <v>0</v>
      </c>
      <c r="N261" s="32" cm="1">
        <f t="array" ref="N261">SUMIFS(FLOWS!$C:$C,FLOWS!$A:$A,$B$247,FLOWS!$E:$E,$K261,FLOWS!$D:$D,N$251,FLOWS!$H:$H,"&gt;="&amp;$C$249,FLOWS!$H:$H,"&lt;="&amp;$U$249)+SUM(SUMIFS(DEALS!$J:$J,DEALS!$A:$A,{"*REFUND*","*EXECUTED*"},DEALS!$G:$G,$B$247,DEALS!$E:$E,"&gt;="&amp;$C$249,DEALS!$E:$E,"&lt;="&amp;$U$249,DEALS!$K:$K,N$251,DEALS!$M:$M,$K261,DEALS!$N:$N,"&lt;&gt;*RECEIVED*",DEALS!$N:$N,"&lt;&gt;*EXECUTED*"))+SUM(SUMIFS(DEALS!$R:$R,DEALS!$A:$A,{"*REFUND*","*EXECUTED*"},DEALS!$O:$O,$B$247,DEALS!$E:$E,"&gt;="&amp;$C$249,DEALS!$E:$E,"&lt;="&amp;$U$249,DEALS!$S:$S,N$251,DEALS!$U:$U,$K261,DEALS!$V:$V,"&lt;&gt;*RECEIVED*",DEALS!$V:$V,"&lt;&gt;*EXECUTED*"))</f>
        <v>0</v>
      </c>
      <c r="O261" s="32" cm="1">
        <f t="array" ref="O261">SUMIFS(FLOWS!$C:$C,FLOWS!$A:$A,$B$247,FLOWS!$E:$E,$K261,FLOWS!$D:$D,O$251,FLOWS!$H:$H,"&gt;="&amp;$C$249,FLOWS!$H:$H,"&lt;="&amp;$U$249)+SUM(SUMIFS(DEALS!$J:$J,DEALS!$A:$A,{"*REFUND*","*EXECUTED*"},DEALS!$G:$G,$B$247,DEALS!$E:$E,"&gt;="&amp;$C$249,DEALS!$E:$E,"&lt;="&amp;$U$249,DEALS!$K:$K,O$251,DEALS!$M:$M,$K261,DEALS!$N:$N,"&lt;&gt;*RECEIVED*",DEALS!$N:$N,"&lt;&gt;*EXECUTED*"))+SUM(SUMIFS(DEALS!$R:$R,DEALS!$A:$A,{"*REFUND*","*EXECUTED*"},DEALS!$O:$O,$B$247,DEALS!$E:$E,"&gt;="&amp;$C$249,DEALS!$E:$E,"&lt;="&amp;$U$249,DEALS!$S:$S,O$251,DEALS!$U:$U,$K261,DEALS!$V:$V,"&lt;&gt;*RECEIVED*",DEALS!$V:$V,"&lt;&gt;*EXECUTED*"))</f>
        <v>0</v>
      </c>
      <c r="P261" s="32" cm="1">
        <f t="array" ref="P261">SUMIFS(FLOWS!$C:$C,FLOWS!$A:$A,$B$247,FLOWS!$E:$E,$K261,FLOWS!$D:$D,P$251,FLOWS!$H:$H,"&gt;="&amp;$C$249,FLOWS!$H:$H,"&lt;="&amp;$U$249)+SUM(SUMIFS(DEALS!$J:$J,DEALS!$A:$A,{"*REFUND*","*EXECUTED*"},DEALS!$G:$G,$B$247,DEALS!$E:$E,"&gt;="&amp;$C$249,DEALS!$E:$E,"&lt;="&amp;$U$249,DEALS!$K:$K,P$251,DEALS!$M:$M,$K261,DEALS!$N:$N,"&lt;&gt;*RECEIVED*",DEALS!$N:$N,"&lt;&gt;*EXECUTED*"))+SUM(SUMIFS(DEALS!$R:$R,DEALS!$A:$A,{"*REFUND*","*EXECUTED*"},DEALS!$O:$O,$B$247,DEALS!$E:$E,"&gt;="&amp;$C$249,DEALS!$E:$E,"&lt;="&amp;$U$249,DEALS!$S:$S,P$251,DEALS!$U:$U,$K261,DEALS!$V:$V,"&lt;&gt;*RECEIVED*",DEALS!$V:$V,"&lt;&gt;*EXECUTED*"))</f>
        <v>0</v>
      </c>
      <c r="Q261" s="32" cm="1">
        <f t="array" ref="Q261">SUMIFS(FLOWS!$C:$C,FLOWS!$A:$A,$B$247,FLOWS!$E:$E,$K261,FLOWS!$D:$D,Q$251,FLOWS!$H:$H,"&gt;="&amp;$C$249,FLOWS!$H:$H,"&lt;="&amp;$U$249)+SUM(SUMIFS(DEALS!$J:$J,DEALS!$A:$A,{"*REFUND*","*EXECUTED*"},DEALS!$G:$G,$B$247,DEALS!$E:$E,"&gt;="&amp;$C$249,DEALS!$E:$E,"&lt;="&amp;$U$249,DEALS!$K:$K,Q$251,DEALS!$M:$M,$K261,DEALS!$N:$N,"&lt;&gt;*RECEIVED*",DEALS!$N:$N,"&lt;&gt;*EXECUTED*"))+SUM(SUMIFS(DEALS!$R:$R,DEALS!$A:$A,{"*REFUND*","*EXECUTED*"},DEALS!$O:$O,$B$247,DEALS!$E:$E,"&gt;="&amp;$C$249,DEALS!$E:$E,"&lt;="&amp;$U$249,DEALS!$S:$S,Q$251,DEALS!$U:$U,$K261,DEALS!$V:$V,"&lt;&gt;*RECEIVED*",DEALS!$V:$V,"&lt;&gt;*EXECUTED*"))</f>
        <v>0</v>
      </c>
      <c r="R261" s="33">
        <f ca="1">L261*VLOOKUP(L$251,'FX RATES'!$E$1:$F$50,2,FALSE)+M261*VLOOKUP(M$251,'FX RATES'!$E$1:$F$50,2,FALSE)+N261*VLOOKUP(N$251,'FX RATES'!$E$1:$F$50,2,FALSE)+O261*VLOOKUP(O$251,'FX RATES'!$E$1:$F$50,2,FALSE)+P261*VLOOKUP(P$251,'FX RATES'!$E$1:$F$50,2,FALSE)+Q261*VLOOKUP(Q$251,'FX RATES'!$E$1:$F$50,2,FALSE)</f>
        <v>0</v>
      </c>
      <c r="T261" s="31">
        <f>B261</f>
        <v>0</v>
      </c>
      <c r="U261" s="32" cm="1">
        <f t="array" ref="U261">SUMIFS(BALANCES!$C:$C,BALANCES!$A:$A,$B$247,BALANCES!$B:$B,$T261,BALANCES!$D:$D,U$251)+SUMIFS(FLOWS!$C:$C,FLOWS!$A:$A,$B$247,FLOWS!$E:$E,$T261,FLOWS!$D:$D,U$251,FLOWS!$H:$H,"&lt;="&amp;$U$249)+SUM(SUMIFS(DEALS!$J:$J,DEALS!$A:$A,{"*REFUND*","*EXECUTED*"},DEALS!$G:$G,$B$247,DEALS!$E:$E,"&lt;="&amp;$U$249,DEALS!$K:$K,U$251,DEALS!$M:$M,$T261,DEALS!$N:$N,"&lt;&gt;*RECEIVED*",DEALS!$N:$N,"&lt;&gt;*EXECUTED*"))+SUM(SUMIFS(DEALS!$R:$R,DEALS!$A:$A,{"*REFUND*","*EXECUTED*"},DEALS!$O:$O,$B$247,DEALS!$E:$E,"&lt;="&amp;$U$249,DEALS!$S:$S,U$251,DEALS!$U:$U,$T261,DEALS!$V:$V,"&lt;&gt;*RECEIVED*",DEALS!$V:$V,"&lt;&gt;*EXECUTED*"))</f>
        <v>0</v>
      </c>
      <c r="V261" s="32" cm="1">
        <f t="array" ref="V261">SUMIFS(BALANCES!$C:$C,BALANCES!$A:$A,$B$247,BALANCES!$B:$B,$T261,BALANCES!$D:$D,V$251)+SUMIFS(FLOWS!$C:$C,FLOWS!$A:$A,$B$247,FLOWS!$E:$E,$T261,FLOWS!$D:$D,V$251,FLOWS!$H:$H,"&lt;="&amp;$U$249)+SUM(SUMIFS(DEALS!$J:$J,DEALS!$A:$A,{"*REFUND*","*EXECUTED*"},DEALS!$G:$G,$B$247,DEALS!$E:$E,"&lt;="&amp;$U$249,DEALS!$K:$K,V$251,DEALS!$M:$M,$T261,DEALS!$N:$N,"&lt;&gt;*RECEIVED*",DEALS!$N:$N,"&lt;&gt;*EXECUTED*"))+SUM(SUMIFS(DEALS!$R:$R,DEALS!$A:$A,{"*REFUND*","*EXECUTED*"},DEALS!$O:$O,$B$247,DEALS!$E:$E,"&lt;="&amp;$U$249,DEALS!$S:$S,V$251,DEALS!$U:$U,$T261,DEALS!$V:$V,"&lt;&gt;*RECEIVED*",DEALS!$V:$V,"&lt;&gt;*EXECUTED*"))</f>
        <v>0</v>
      </c>
      <c r="W261" s="32" cm="1">
        <f t="array" ref="W261">SUMIFS(BALANCES!$C:$C,BALANCES!$A:$A,$B$247,BALANCES!$B:$B,$T261,BALANCES!$D:$D,W$251)+SUMIFS(FLOWS!$C:$C,FLOWS!$A:$A,$B$247,FLOWS!$E:$E,$T261,FLOWS!$D:$D,W$251,FLOWS!$H:$H,"&lt;="&amp;$U$249)+SUM(SUMIFS(DEALS!$J:$J,DEALS!$A:$A,{"*REFUND*","*EXECUTED*"},DEALS!$G:$G,$B$247,DEALS!$E:$E,"&lt;="&amp;$U$249,DEALS!$K:$K,W$251,DEALS!$M:$M,$T261,DEALS!$N:$N,"&lt;&gt;*RECEIVED*",DEALS!$N:$N,"&lt;&gt;*EXECUTED*"))+SUM(SUMIFS(DEALS!$R:$R,DEALS!$A:$A,{"*REFUND*","*EXECUTED*"},DEALS!$O:$O,$B$247,DEALS!$E:$E,"&lt;="&amp;$U$249,DEALS!$S:$S,W$251,DEALS!$U:$U,$T261,DEALS!$V:$V,"&lt;&gt;*RECEIVED*",DEALS!$V:$V,"&lt;&gt;*EXECUTED*"))</f>
        <v>0</v>
      </c>
      <c r="X261" s="32" cm="1">
        <f t="array" ref="X261">SUMIFS(BALANCES!$C:$C,BALANCES!$A:$A,$B$247,BALANCES!$B:$B,$T261,BALANCES!$D:$D,X$251)+SUMIFS(FLOWS!$C:$C,FLOWS!$A:$A,$B$247,FLOWS!$E:$E,$T261,FLOWS!$D:$D,X$251,FLOWS!$H:$H,"&lt;="&amp;$U$249)+SUM(SUMIFS(DEALS!$J:$J,DEALS!$A:$A,{"*REFUND*","*EXECUTED*"},DEALS!$G:$G,$B$247,DEALS!$E:$E,"&lt;="&amp;$U$249,DEALS!$K:$K,X$251,DEALS!$M:$M,$T261,DEALS!$N:$N,"&lt;&gt;*RECEIVED*",DEALS!$N:$N,"&lt;&gt;*EXECUTED*"))+SUM(SUMIFS(DEALS!$R:$R,DEALS!$A:$A,{"*REFUND*","*EXECUTED*"},DEALS!$O:$O,$B$247,DEALS!$E:$E,"&lt;="&amp;$U$249,DEALS!$S:$S,X$251,DEALS!$U:$U,$T261,DEALS!$V:$V,"&lt;&gt;*RECEIVED*",DEALS!$V:$V,"&lt;&gt;*EXECUTED*"))</f>
        <v>0</v>
      </c>
      <c r="Y261" s="32" cm="1">
        <f t="array" ref="Y261">SUMIFS(BALANCES!$C:$C,BALANCES!$A:$A,$B$247,BALANCES!$B:$B,$T261,BALANCES!$D:$D,Y$251)+SUMIFS(FLOWS!$C:$C,FLOWS!$A:$A,$B$247,FLOWS!$E:$E,$T261,FLOWS!$D:$D,Y$251,FLOWS!$H:$H,"&lt;="&amp;$U$249)+SUM(SUMIFS(DEALS!$J:$J,DEALS!$A:$A,{"*REFUND*","*EXECUTED*"},DEALS!$G:$G,$B$247,DEALS!$E:$E,"&lt;="&amp;$U$249,DEALS!$K:$K,Y$251,DEALS!$M:$M,$T261,DEALS!$N:$N,"&lt;&gt;*RECEIVED*",DEALS!$N:$N,"&lt;&gt;*EXECUTED*"))+SUM(SUMIFS(DEALS!$R:$R,DEALS!$A:$A,{"*REFUND*","*EXECUTED*"},DEALS!$O:$O,$B$247,DEALS!$E:$E,"&lt;="&amp;$U$249,DEALS!$S:$S,Y$251,DEALS!$U:$U,$T261,DEALS!$V:$V,"&lt;&gt;*RECEIVED*",DEALS!$V:$V,"&lt;&gt;*EXECUTED*"))</f>
        <v>0</v>
      </c>
      <c r="Z261" s="32" cm="1">
        <f t="array" ref="Z261">SUMIFS(BALANCES!$C:$C,BALANCES!$A:$A,$B$247,BALANCES!$B:$B,$T261,BALANCES!$D:$D,Z$251)+SUMIFS(FLOWS!$C:$C,FLOWS!$A:$A,$B$247,FLOWS!$E:$E,$T261,FLOWS!$D:$D,Z$251,FLOWS!$H:$H,"&lt;="&amp;$U$249)+SUM(SUMIFS(DEALS!$J:$J,DEALS!$A:$A,{"*REFUND*","*EXECUTED*"},DEALS!$G:$G,$B$247,DEALS!$E:$E,"&lt;="&amp;$U$249,DEALS!$K:$K,Z$251,DEALS!$M:$M,$T261,DEALS!$N:$N,"&lt;&gt;*RECEIVED*",DEALS!$N:$N,"&lt;&gt;*EXECUTED*"))+SUM(SUMIFS(DEALS!$R:$R,DEALS!$A:$A,{"*REFUND*","*EXECUTED*"},DEALS!$O:$O,$B$247,DEALS!$E:$E,"&lt;="&amp;$U$249,DEALS!$S:$S,Z$251,DEALS!$U:$U,$T261,DEALS!$V:$V,"&lt;&gt;*RECEIVED*",DEALS!$V:$V,"&lt;&gt;*EXECUTED*"))</f>
        <v>0</v>
      </c>
      <c r="AA261" s="33">
        <f ca="1">U261*VLOOKUP(U$251,'FX RATES'!$E$1:$F$50,2,FALSE)+V261*VLOOKUP(V$251,'FX RATES'!$E$1:$F$50,2,FALSE)+W261*VLOOKUP(W$251,'FX RATES'!$E$1:$F$50,2,FALSE)+X261*VLOOKUP(X$251,'FX RATES'!$E$1:$F$50,2,FALSE)+Y261*VLOOKUP(Y$251,'FX RATES'!$E$1:$F$50,2,FALSE)+Z261*VLOOKUP(Z$251,'FX RATES'!$E$1:$F$50,2,FALSE)</f>
        <v>0</v>
      </c>
      <c r="AC261" s="139">
        <f ca="1">I261+R261-AA261</f>
        <v>0</v>
      </c>
    </row>
    <row r="262" spans="2:29" ht="19" hidden="1">
      <c r="B262" s="28"/>
      <c r="C262" s="29" cm="1">
        <f t="array" ref="C262">SUMIFS(BALANCES!$C:$C,BALANCES!$A:$A,$B$247,BALANCES!$B:$B,$B262,BALANCES!$D:$D,C$251)+SUMIFS(FLOWS!$C:$C,FLOWS!$A:$A,$B$247,FLOWS!$E:$E,$B262,FLOWS!$D:$D,C$251,FLOWS!$H:$H,"&lt;"&amp;$C$249)+SUM(SUMIFS(DEALS!$J:$J,DEALS!$A:$A,{"*REFUND*","*EXECUTED*"},DEALS!$G:$G,$B$247,DEALS!$E:$E,"&lt;"&amp;$C$249,DEALS!$K:$K,C$251,DEALS!$M:$M,$B262,DEALS!$N:$N,"&lt;&gt;*RECEIVED*",DEALS!$N:$N,"&lt;&gt;*EXECUTED*"))+SUM(SUMIFS(DEALS!$R:$R,DEALS!$A:$A,{"*REFUND*","*EXECUTED*"},DEALS!$O:$O,$B$247,DEALS!$E:$E,"&lt;"&amp;$C$249,DEALS!$S:$S,C$251,DEALS!$U:$U,$B262,DEALS!$V:$V,"&lt;&gt;*RECEIVED*",DEALS!$V:$V,"&lt;&gt;*EXECUTED*"))</f>
        <v>0</v>
      </c>
      <c r="D262" s="29" cm="1">
        <f t="array" ref="D262">SUMIFS(BALANCES!$C:$C,BALANCES!$A:$A,$B$247,BALANCES!$B:$B,$B262,BALANCES!$D:$D,D$251)+SUMIFS(FLOWS!$C:$C,FLOWS!$A:$A,$B$247,FLOWS!$E:$E,$B262,FLOWS!$D:$D,D$251,FLOWS!$H:$H,"&lt;"&amp;$C$249)+SUM(SUMIFS(DEALS!$J:$J,DEALS!$A:$A,{"*REFUND*","*EXECUTED*"},DEALS!$G:$G,$B$247,DEALS!$E:$E,"&lt;"&amp;$C$249,DEALS!$K:$K,D$251,DEALS!$M:$M,$B262,DEALS!$N:$N,"&lt;&gt;*RECEIVED*",DEALS!$N:$N,"&lt;&gt;*EXECUTED*"))+SUM(SUMIFS(DEALS!$R:$R,DEALS!$A:$A,{"*REFUND*","*EXECUTED*"},DEALS!$O:$O,$B$247,DEALS!$E:$E,"&lt;"&amp;$C$249,DEALS!$S:$S,D$251,DEALS!$U:$U,$B262,DEALS!$V:$V,"&lt;&gt;*RECEIVED*",DEALS!$V:$V,"&lt;&gt;*EXECUTED*"))</f>
        <v>0</v>
      </c>
      <c r="E262" s="29" cm="1">
        <f t="array" ref="E262">SUMIFS(BALANCES!$C:$C,BALANCES!$A:$A,$B$247,BALANCES!$B:$B,$B262,BALANCES!$D:$D,E$251)+SUMIFS(FLOWS!$C:$C,FLOWS!$A:$A,$B$247,FLOWS!$E:$E,$B262,FLOWS!$D:$D,E$251,FLOWS!$H:$H,"&lt;"&amp;$C$249)+SUM(SUMIFS(DEALS!$J:$J,DEALS!$A:$A,{"*REFUND*","*EXECUTED*"},DEALS!$G:$G,$B$247,DEALS!$E:$E,"&lt;"&amp;$C$249,DEALS!$K:$K,E$251,DEALS!$M:$M,$B262,DEALS!$N:$N,"&lt;&gt;*RECEIVED*",DEALS!$N:$N,"&lt;&gt;*EXECUTED*"))+SUM(SUMIFS(DEALS!$R:$R,DEALS!$A:$A,{"*REFUND*","*EXECUTED*"},DEALS!$O:$O,$B$247,DEALS!$E:$E,"&lt;"&amp;$C$249,DEALS!$S:$S,E$251,DEALS!$U:$U,$B262,DEALS!$V:$V,"&lt;&gt;*RECEIVED*",DEALS!$V:$V,"&lt;&gt;*EXECUTED*"))</f>
        <v>0</v>
      </c>
      <c r="F262" s="29" cm="1">
        <f t="array" ref="F262">SUMIFS(BALANCES!$C:$C,BALANCES!$A:$A,$B$247,BALANCES!$B:$B,$B262,BALANCES!$D:$D,F$251)+SUMIFS(FLOWS!$C:$C,FLOWS!$A:$A,$B$247,FLOWS!$E:$E,$B262,FLOWS!$D:$D,F$251,FLOWS!$H:$H,"&lt;"&amp;$C$249)+SUM(SUMIFS(DEALS!$J:$J,DEALS!$A:$A,{"*REFUND*","*EXECUTED*"},DEALS!$G:$G,$B$247,DEALS!$E:$E,"&lt;"&amp;$C$249,DEALS!$K:$K,F$251,DEALS!$M:$M,$B262,DEALS!$N:$N,"&lt;&gt;*RECEIVED*",DEALS!$N:$N,"&lt;&gt;*EXECUTED*"))+SUM(SUMIFS(DEALS!$R:$R,DEALS!$A:$A,{"*REFUND*","*EXECUTED*"},DEALS!$O:$O,$B$247,DEALS!$E:$E,"&lt;"&amp;$C$249,DEALS!$S:$S,F$251,DEALS!$U:$U,$B262,DEALS!$V:$V,"&lt;&gt;*RECEIVED*",DEALS!$V:$V,"&lt;&gt;*EXECUTED*"))</f>
        <v>0</v>
      </c>
      <c r="G262" s="29" cm="1">
        <f t="array" ref="G262">SUMIFS(BALANCES!$C:$C,BALANCES!$A:$A,$B$247,BALANCES!$B:$B,$B262,BALANCES!$D:$D,G$251)+SUMIFS(FLOWS!$C:$C,FLOWS!$A:$A,$B$247,FLOWS!$E:$E,$B262,FLOWS!$D:$D,G$251,FLOWS!$H:$H,"&lt;"&amp;$C$249)+SUM(SUMIFS(DEALS!$J:$J,DEALS!$A:$A,{"*REFUND*","*EXECUTED*"},DEALS!$G:$G,$B$247,DEALS!$E:$E,"&lt;"&amp;$C$249,DEALS!$K:$K,G$251,DEALS!$M:$M,$B262,DEALS!$N:$N,"&lt;&gt;*RECEIVED*",DEALS!$N:$N,"&lt;&gt;*EXECUTED*"))+SUM(SUMIFS(DEALS!$R:$R,DEALS!$A:$A,{"*REFUND*","*EXECUTED*"},DEALS!$O:$O,$B$247,DEALS!$E:$E,"&lt;"&amp;$C$249,DEALS!$S:$S,G$251,DEALS!$U:$U,$B262,DEALS!$V:$V,"&lt;&gt;*RECEIVED*",DEALS!$V:$V,"&lt;&gt;*EXECUTED*"))</f>
        <v>0</v>
      </c>
      <c r="H262" s="29" cm="1">
        <f t="array" ref="H262">SUMIFS(BALANCES!$C:$C,BALANCES!$A:$A,$B$247,BALANCES!$B:$B,$B262,BALANCES!$D:$D,H$251)+SUMIFS(FLOWS!$C:$C,FLOWS!$A:$A,$B$247,FLOWS!$E:$E,$B262,FLOWS!$D:$D,H$251,FLOWS!$H:$H,"&lt;"&amp;$C$249)+SUM(SUMIFS(DEALS!$J:$J,DEALS!$A:$A,{"*REFUND*","*EXECUTED*"},DEALS!$G:$G,$B$247,DEALS!$E:$E,"&lt;"&amp;$C$249,DEALS!$K:$K,H$251,DEALS!$M:$M,$B262,DEALS!$N:$N,"&lt;&gt;*RECEIVED*",DEALS!$N:$N,"&lt;&gt;*EXECUTED*"))+SUM(SUMIFS(DEALS!$R:$R,DEALS!$A:$A,{"*REFUND*","*EXECUTED*"},DEALS!$O:$O,$B$247,DEALS!$E:$E,"&lt;"&amp;$C$249,DEALS!$S:$S,H$251,DEALS!$U:$U,$B262,DEALS!$V:$V,"&lt;&gt;*RECEIVED*",DEALS!$V:$V,"&lt;&gt;*EXECUTED*"))</f>
        <v>0</v>
      </c>
      <c r="I262" s="30">
        <f ca="1">C262*VLOOKUP(C$251,'FX RATES'!$E$1:$F$50,2,FALSE)+D262*VLOOKUP(D$251,'FX RATES'!$E$1:$F$50,2,FALSE)+E262*VLOOKUP(E$251,'FX RATES'!$E$1:$F$50,2,FALSE)+F262*VLOOKUP(F$251,'FX RATES'!$E$1:$F$50,2,FALSE)+G262*VLOOKUP(G$251,'FX RATES'!$E$1:$F$50,2,FALSE)+H262*VLOOKUP(H$251,'FX RATES'!$E$1:$F$50,2,FALSE)</f>
        <v>0</v>
      </c>
      <c r="K262" s="28">
        <f t="shared" si="104"/>
        <v>0</v>
      </c>
      <c r="L262" s="29" cm="1">
        <f t="array" ref="L262">SUMIFS(FLOWS!$C:$C,FLOWS!$A:$A,$B$247,FLOWS!$E:$E,$K262,FLOWS!$D:$D,L$251,FLOWS!$H:$H,"&gt;="&amp;$C$249,FLOWS!$H:$H,"&lt;="&amp;$U$249)+SUM(SUMIFS(DEALS!$J:$J,DEALS!$A:$A,{"*REFUND*","*EXECUTED*"},DEALS!$G:$G,$B$247,DEALS!$E:$E,"&gt;="&amp;$C$249,DEALS!$E:$E,"&lt;="&amp;$U$249,DEALS!$K:$K,L$251,DEALS!$M:$M,$K262,DEALS!$N:$N,"&lt;&gt;*RECEIVED*",DEALS!$N:$N,"&lt;&gt;*EXECUTED*"))+SUM(SUMIFS(DEALS!$R:$R,DEALS!$A:$A,{"*REFUND*","*EXECUTED*"},DEALS!$O:$O,$B$247,DEALS!$E:$E,"&gt;="&amp;$C$249,DEALS!$E:$E,"&lt;="&amp;$U$249,DEALS!$S:$S,L$251,DEALS!$U:$U,$K262,DEALS!$V:$V,"&lt;&gt;*RECEIVED*",DEALS!$V:$V,"&lt;&gt;*EXECUTED*"))</f>
        <v>0</v>
      </c>
      <c r="M262" s="29" cm="1">
        <f t="array" ref="M262">SUMIFS(FLOWS!$C:$C,FLOWS!$A:$A,$B$247,FLOWS!$E:$E,$K262,FLOWS!$D:$D,M$251,FLOWS!$H:$H,"&gt;="&amp;$C$249,FLOWS!$H:$H,"&lt;="&amp;$U$249)+SUM(SUMIFS(DEALS!$J:$J,DEALS!$A:$A,{"*REFUND*","*EXECUTED*"},DEALS!$G:$G,$B$247,DEALS!$E:$E,"&gt;="&amp;$C$249,DEALS!$E:$E,"&lt;="&amp;$U$249,DEALS!$K:$K,M$251,DEALS!$M:$M,$K262,DEALS!$N:$N,"&lt;&gt;*RECEIVED*",DEALS!$N:$N,"&lt;&gt;*EXECUTED*"))+SUM(SUMIFS(DEALS!$R:$R,DEALS!$A:$A,{"*REFUND*","*EXECUTED*"},DEALS!$O:$O,$B$247,DEALS!$E:$E,"&gt;="&amp;$C$249,DEALS!$E:$E,"&lt;="&amp;$U$249,DEALS!$S:$S,M$251,DEALS!$U:$U,$K262,DEALS!$V:$V,"&lt;&gt;*RECEIVED*",DEALS!$V:$V,"&lt;&gt;*EXECUTED*"))</f>
        <v>0</v>
      </c>
      <c r="N262" s="29" cm="1">
        <f t="array" ref="N262">SUMIFS(FLOWS!$C:$C,FLOWS!$A:$A,$B$247,FLOWS!$E:$E,$K262,FLOWS!$D:$D,N$251,FLOWS!$H:$H,"&gt;="&amp;$C$249,FLOWS!$H:$H,"&lt;="&amp;$U$249)+SUM(SUMIFS(DEALS!$J:$J,DEALS!$A:$A,{"*REFUND*","*EXECUTED*"},DEALS!$G:$G,$B$247,DEALS!$E:$E,"&gt;="&amp;$C$249,DEALS!$E:$E,"&lt;="&amp;$U$249,DEALS!$K:$K,N$251,DEALS!$M:$M,$K262,DEALS!$N:$N,"&lt;&gt;*RECEIVED*",DEALS!$N:$N,"&lt;&gt;*EXECUTED*"))+SUM(SUMIFS(DEALS!$R:$R,DEALS!$A:$A,{"*REFUND*","*EXECUTED*"},DEALS!$O:$O,$B$247,DEALS!$E:$E,"&gt;="&amp;$C$249,DEALS!$E:$E,"&lt;="&amp;$U$249,DEALS!$S:$S,N$251,DEALS!$U:$U,$K262,DEALS!$V:$V,"&lt;&gt;*RECEIVED*",DEALS!$V:$V,"&lt;&gt;*EXECUTED*"))</f>
        <v>0</v>
      </c>
      <c r="O262" s="29" cm="1">
        <f t="array" ref="O262">SUMIFS(FLOWS!$C:$C,FLOWS!$A:$A,$B$247,FLOWS!$E:$E,$K262,FLOWS!$D:$D,O$251,FLOWS!$H:$H,"&gt;="&amp;$C$249,FLOWS!$H:$H,"&lt;="&amp;$U$249)+SUM(SUMIFS(DEALS!$J:$J,DEALS!$A:$A,{"*REFUND*","*EXECUTED*"},DEALS!$G:$G,$B$247,DEALS!$E:$E,"&gt;="&amp;$C$249,DEALS!$E:$E,"&lt;="&amp;$U$249,DEALS!$K:$K,O$251,DEALS!$M:$M,$K262,DEALS!$N:$N,"&lt;&gt;*RECEIVED*",DEALS!$N:$N,"&lt;&gt;*EXECUTED*"))+SUM(SUMIFS(DEALS!$R:$R,DEALS!$A:$A,{"*REFUND*","*EXECUTED*"},DEALS!$O:$O,$B$247,DEALS!$E:$E,"&gt;="&amp;$C$249,DEALS!$E:$E,"&lt;="&amp;$U$249,DEALS!$S:$S,O$251,DEALS!$U:$U,$K262,DEALS!$V:$V,"&lt;&gt;*RECEIVED*",DEALS!$V:$V,"&lt;&gt;*EXECUTED*"))</f>
        <v>0</v>
      </c>
      <c r="P262" s="29" cm="1">
        <f t="array" ref="P262">SUMIFS(FLOWS!$C:$C,FLOWS!$A:$A,$B$247,FLOWS!$E:$E,$K262,FLOWS!$D:$D,P$251,FLOWS!$H:$H,"&gt;="&amp;$C$249,FLOWS!$H:$H,"&lt;="&amp;$U$249)+SUM(SUMIFS(DEALS!$J:$J,DEALS!$A:$A,{"*REFUND*","*EXECUTED*"},DEALS!$G:$G,$B$247,DEALS!$E:$E,"&gt;="&amp;$C$249,DEALS!$E:$E,"&lt;="&amp;$U$249,DEALS!$K:$K,P$251,DEALS!$M:$M,$K262,DEALS!$N:$N,"&lt;&gt;*RECEIVED*",DEALS!$N:$N,"&lt;&gt;*EXECUTED*"))+SUM(SUMIFS(DEALS!$R:$R,DEALS!$A:$A,{"*REFUND*","*EXECUTED*"},DEALS!$O:$O,$B$247,DEALS!$E:$E,"&gt;="&amp;$C$249,DEALS!$E:$E,"&lt;="&amp;$U$249,DEALS!$S:$S,P$251,DEALS!$U:$U,$K262,DEALS!$V:$V,"&lt;&gt;*RECEIVED*",DEALS!$V:$V,"&lt;&gt;*EXECUTED*"))</f>
        <v>0</v>
      </c>
      <c r="Q262" s="29" cm="1">
        <f t="array" ref="Q262">SUMIFS(FLOWS!$C:$C,FLOWS!$A:$A,$B$247,FLOWS!$E:$E,$K262,FLOWS!$D:$D,Q$251,FLOWS!$H:$H,"&gt;="&amp;$C$249,FLOWS!$H:$H,"&lt;="&amp;$U$249)+SUM(SUMIFS(DEALS!$J:$J,DEALS!$A:$A,{"*REFUND*","*EXECUTED*"},DEALS!$G:$G,$B$247,DEALS!$E:$E,"&gt;="&amp;$C$249,DEALS!$E:$E,"&lt;="&amp;$U$249,DEALS!$K:$K,Q$251,DEALS!$M:$M,$K262,DEALS!$N:$N,"&lt;&gt;*RECEIVED*",DEALS!$N:$N,"&lt;&gt;*EXECUTED*"))+SUM(SUMIFS(DEALS!$R:$R,DEALS!$A:$A,{"*REFUND*","*EXECUTED*"},DEALS!$O:$O,$B$247,DEALS!$E:$E,"&gt;="&amp;$C$249,DEALS!$E:$E,"&lt;="&amp;$U$249,DEALS!$S:$S,Q$251,DEALS!$U:$U,$K262,DEALS!$V:$V,"&lt;&gt;*RECEIVED*",DEALS!$V:$V,"&lt;&gt;*EXECUTED*"))</f>
        <v>0</v>
      </c>
      <c r="R262" s="30">
        <f ca="1">L262*VLOOKUP(L$251,'FX RATES'!$E$1:$F$50,2,FALSE)+M262*VLOOKUP(M$251,'FX RATES'!$E$1:$F$50,2,FALSE)+N262*VLOOKUP(N$251,'FX RATES'!$E$1:$F$50,2,FALSE)+O262*VLOOKUP(O$251,'FX RATES'!$E$1:$F$50,2,FALSE)+P262*VLOOKUP(P$251,'FX RATES'!$E$1:$F$50,2,FALSE)+Q262*VLOOKUP(Q$251,'FX RATES'!$E$1:$F$50,2,FALSE)</f>
        <v>0</v>
      </c>
      <c r="T262" s="28">
        <f t="shared" si="105"/>
        <v>0</v>
      </c>
      <c r="U262" s="29" cm="1">
        <f t="array" ref="U262">SUMIFS(BALANCES!$C:$C,BALANCES!$A:$A,$B$247,BALANCES!$B:$B,$T262,BALANCES!$D:$D,U$251)+SUMIFS(FLOWS!$C:$C,FLOWS!$A:$A,$B$247,FLOWS!$E:$E,$T262,FLOWS!$D:$D,U$251,FLOWS!$H:$H,"&lt;="&amp;$U$249)+SUM(SUMIFS(DEALS!$J:$J,DEALS!$A:$A,{"*REFUND*","*EXECUTED*"},DEALS!$G:$G,$B$247,DEALS!$E:$E,"&lt;="&amp;$U$249,DEALS!$K:$K,U$251,DEALS!$M:$M,$T262,DEALS!$N:$N,"&lt;&gt;*RECEIVED*",DEALS!$N:$N,"&lt;&gt;*EXECUTED*"))+SUM(SUMIFS(DEALS!$R:$R,DEALS!$A:$A,{"*REFUND*","*EXECUTED*"},DEALS!$O:$O,$B$247,DEALS!$E:$E,"&lt;="&amp;$U$249,DEALS!$S:$S,U$251,DEALS!$U:$U,$T262,DEALS!$V:$V,"&lt;&gt;*RECEIVED*",DEALS!$V:$V,"&lt;&gt;*EXECUTED*"))</f>
        <v>0</v>
      </c>
      <c r="V262" s="29" cm="1">
        <f t="array" ref="V262">SUMIFS(BALANCES!$C:$C,BALANCES!$A:$A,$B$247,BALANCES!$B:$B,$T262,BALANCES!$D:$D,V$251)+SUMIFS(FLOWS!$C:$C,FLOWS!$A:$A,$B$247,FLOWS!$E:$E,$T262,FLOWS!$D:$D,V$251,FLOWS!$H:$H,"&lt;="&amp;$U$249)+SUM(SUMIFS(DEALS!$J:$J,DEALS!$A:$A,{"*REFUND*","*EXECUTED*"},DEALS!$G:$G,$B$247,DEALS!$E:$E,"&lt;="&amp;$U$249,DEALS!$K:$K,V$251,DEALS!$M:$M,$T262,DEALS!$N:$N,"&lt;&gt;*RECEIVED*",DEALS!$N:$N,"&lt;&gt;*EXECUTED*"))+SUM(SUMIFS(DEALS!$R:$R,DEALS!$A:$A,{"*REFUND*","*EXECUTED*"},DEALS!$O:$O,$B$247,DEALS!$E:$E,"&lt;="&amp;$U$249,DEALS!$S:$S,V$251,DEALS!$U:$U,$T262,DEALS!$V:$V,"&lt;&gt;*RECEIVED*",DEALS!$V:$V,"&lt;&gt;*EXECUTED*"))</f>
        <v>0</v>
      </c>
      <c r="W262" s="29" cm="1">
        <f t="array" ref="W262">SUMIFS(BALANCES!$C:$C,BALANCES!$A:$A,$B$247,BALANCES!$B:$B,$T262,BALANCES!$D:$D,W$251)+SUMIFS(FLOWS!$C:$C,FLOWS!$A:$A,$B$247,FLOWS!$E:$E,$T262,FLOWS!$D:$D,W$251,FLOWS!$H:$H,"&lt;="&amp;$U$249)+SUM(SUMIFS(DEALS!$J:$J,DEALS!$A:$A,{"*REFUND*","*EXECUTED*"},DEALS!$G:$G,$B$247,DEALS!$E:$E,"&lt;="&amp;$U$249,DEALS!$K:$K,W$251,DEALS!$M:$M,$T262,DEALS!$N:$N,"&lt;&gt;*RECEIVED*",DEALS!$N:$N,"&lt;&gt;*EXECUTED*"))+SUM(SUMIFS(DEALS!$R:$R,DEALS!$A:$A,{"*REFUND*","*EXECUTED*"},DEALS!$O:$O,$B$247,DEALS!$E:$E,"&lt;="&amp;$U$249,DEALS!$S:$S,W$251,DEALS!$U:$U,$T262,DEALS!$V:$V,"&lt;&gt;*RECEIVED*",DEALS!$V:$V,"&lt;&gt;*EXECUTED*"))</f>
        <v>0</v>
      </c>
      <c r="X262" s="29" cm="1">
        <f t="array" ref="X262">SUMIFS(BALANCES!$C:$C,BALANCES!$A:$A,$B$247,BALANCES!$B:$B,$T262,BALANCES!$D:$D,X$251)+SUMIFS(FLOWS!$C:$C,FLOWS!$A:$A,$B$247,FLOWS!$E:$E,$T262,FLOWS!$D:$D,X$251,FLOWS!$H:$H,"&lt;="&amp;$U$249)+SUM(SUMIFS(DEALS!$J:$J,DEALS!$A:$A,{"*REFUND*","*EXECUTED*"},DEALS!$G:$G,$B$247,DEALS!$E:$E,"&lt;="&amp;$U$249,DEALS!$K:$K,X$251,DEALS!$M:$M,$T262,DEALS!$N:$N,"&lt;&gt;*RECEIVED*",DEALS!$N:$N,"&lt;&gt;*EXECUTED*"))+SUM(SUMIFS(DEALS!$R:$R,DEALS!$A:$A,{"*REFUND*","*EXECUTED*"},DEALS!$O:$O,$B$247,DEALS!$E:$E,"&lt;="&amp;$U$249,DEALS!$S:$S,X$251,DEALS!$U:$U,$T262,DEALS!$V:$V,"&lt;&gt;*RECEIVED*",DEALS!$V:$V,"&lt;&gt;*EXECUTED*"))</f>
        <v>0</v>
      </c>
      <c r="Y262" s="29" cm="1">
        <f t="array" ref="Y262">SUMIFS(BALANCES!$C:$C,BALANCES!$A:$A,$B$247,BALANCES!$B:$B,$T262,BALANCES!$D:$D,Y$251)+SUMIFS(FLOWS!$C:$C,FLOWS!$A:$A,$B$247,FLOWS!$E:$E,$T262,FLOWS!$D:$D,Y$251,FLOWS!$H:$H,"&lt;="&amp;$U$249)+SUM(SUMIFS(DEALS!$J:$J,DEALS!$A:$A,{"*REFUND*","*EXECUTED*"},DEALS!$G:$G,$B$247,DEALS!$E:$E,"&lt;="&amp;$U$249,DEALS!$K:$K,Y$251,DEALS!$M:$M,$T262,DEALS!$N:$N,"&lt;&gt;*RECEIVED*",DEALS!$N:$N,"&lt;&gt;*EXECUTED*"))+SUM(SUMIFS(DEALS!$R:$R,DEALS!$A:$A,{"*REFUND*","*EXECUTED*"},DEALS!$O:$O,$B$247,DEALS!$E:$E,"&lt;="&amp;$U$249,DEALS!$S:$S,Y$251,DEALS!$U:$U,$T262,DEALS!$V:$V,"&lt;&gt;*RECEIVED*",DEALS!$V:$V,"&lt;&gt;*EXECUTED*"))</f>
        <v>0</v>
      </c>
      <c r="Z262" s="29" cm="1">
        <f t="array" ref="Z262">SUMIFS(BALANCES!$C:$C,BALANCES!$A:$A,$B$247,BALANCES!$B:$B,$T262,BALANCES!$D:$D,Z$251)+SUMIFS(FLOWS!$C:$C,FLOWS!$A:$A,$B$247,FLOWS!$E:$E,$T262,FLOWS!$D:$D,Z$251,FLOWS!$H:$H,"&lt;="&amp;$U$249)+SUM(SUMIFS(DEALS!$J:$J,DEALS!$A:$A,{"*REFUND*","*EXECUTED*"},DEALS!$G:$G,$B$247,DEALS!$E:$E,"&lt;="&amp;$U$249,DEALS!$K:$K,Z$251,DEALS!$M:$M,$T262,DEALS!$N:$N,"&lt;&gt;*RECEIVED*",DEALS!$N:$N,"&lt;&gt;*EXECUTED*"))+SUM(SUMIFS(DEALS!$R:$R,DEALS!$A:$A,{"*REFUND*","*EXECUTED*"},DEALS!$O:$O,$B$247,DEALS!$E:$E,"&lt;="&amp;$U$249,DEALS!$S:$S,Z$251,DEALS!$U:$U,$T262,DEALS!$V:$V,"&lt;&gt;*RECEIVED*",DEALS!$V:$V,"&lt;&gt;*EXECUTED*"))</f>
        <v>0</v>
      </c>
      <c r="AA262" s="30">
        <f ca="1">U262*VLOOKUP(U$251,'FX RATES'!$E$1:$F$50,2,FALSE)+V262*VLOOKUP(V$251,'FX RATES'!$E$1:$F$50,2,FALSE)+W262*VLOOKUP(W$251,'FX RATES'!$E$1:$F$50,2,FALSE)+X262*VLOOKUP(X$251,'FX RATES'!$E$1:$F$50,2,FALSE)+Y262*VLOOKUP(Y$251,'FX RATES'!$E$1:$F$50,2,FALSE)+Z262*VLOOKUP(Z$251,'FX RATES'!$E$1:$F$50,2,FALSE)</f>
        <v>0</v>
      </c>
      <c r="AC262" s="139">
        <f t="shared" ca="1" si="106"/>
        <v>0</v>
      </c>
    </row>
    <row r="263" spans="2:29" ht="19" hidden="1">
      <c r="B263" s="31"/>
      <c r="C263" s="32" cm="1">
        <f t="array" ref="C263">SUMIFS(BALANCES!$C:$C,BALANCES!$A:$A,$B$247,BALANCES!$B:$B,$B263,BALANCES!$D:$D,C$251)+SUMIFS(FLOWS!$C:$C,FLOWS!$A:$A,$B$247,FLOWS!$E:$E,$B263,FLOWS!$D:$D,C$251,FLOWS!$H:$H,"&lt;"&amp;$C$249)+SUM(SUMIFS(DEALS!$J:$J,DEALS!$A:$A,{"*REFUND*","*EXECUTED*"},DEALS!$G:$G,$B$247,DEALS!$E:$E,"&lt;"&amp;$C$249,DEALS!$K:$K,C$251,DEALS!$M:$M,$B263,DEALS!$N:$N,"&lt;&gt;*RECEIVED*",DEALS!$N:$N,"&lt;&gt;*EXECUTED*"))+SUM(SUMIFS(DEALS!$R:$R,DEALS!$A:$A,{"*REFUND*","*EXECUTED*"},DEALS!$O:$O,$B$247,DEALS!$E:$E,"&lt;"&amp;$C$249,DEALS!$S:$S,C$251,DEALS!$U:$U,$B263,DEALS!$V:$V,"&lt;&gt;*RECEIVED*",DEALS!$V:$V,"&lt;&gt;*EXECUTED*"))</f>
        <v>0</v>
      </c>
      <c r="D263" s="32" cm="1">
        <f t="array" ref="D263">SUMIFS(BALANCES!$C:$C,BALANCES!$A:$A,$B$247,BALANCES!$B:$B,$B263,BALANCES!$D:$D,D$251)+SUMIFS(FLOWS!$C:$C,FLOWS!$A:$A,$B$247,FLOWS!$E:$E,$B263,FLOWS!$D:$D,D$251,FLOWS!$H:$H,"&lt;"&amp;$C$249)+SUM(SUMIFS(DEALS!$J:$J,DEALS!$A:$A,{"*REFUND*","*EXECUTED*"},DEALS!$G:$G,$B$247,DEALS!$E:$E,"&lt;"&amp;$C$249,DEALS!$K:$K,D$251,DEALS!$M:$M,$B263,DEALS!$N:$N,"&lt;&gt;*RECEIVED*",DEALS!$N:$N,"&lt;&gt;*EXECUTED*"))+SUM(SUMIFS(DEALS!$R:$R,DEALS!$A:$A,{"*REFUND*","*EXECUTED*"},DEALS!$O:$O,$B$247,DEALS!$E:$E,"&lt;"&amp;$C$249,DEALS!$S:$S,D$251,DEALS!$U:$U,$B263,DEALS!$V:$V,"&lt;&gt;*RECEIVED*",DEALS!$V:$V,"&lt;&gt;*EXECUTED*"))</f>
        <v>0</v>
      </c>
      <c r="E263" s="32" cm="1">
        <f t="array" ref="E263">SUMIFS(BALANCES!$C:$C,BALANCES!$A:$A,$B$247,BALANCES!$B:$B,$B263,BALANCES!$D:$D,E$251)+SUMIFS(FLOWS!$C:$C,FLOWS!$A:$A,$B$247,FLOWS!$E:$E,$B263,FLOWS!$D:$D,E$251,FLOWS!$H:$H,"&lt;"&amp;$C$249)+SUM(SUMIFS(DEALS!$J:$J,DEALS!$A:$A,{"*REFUND*","*EXECUTED*"},DEALS!$G:$G,$B$247,DEALS!$E:$E,"&lt;"&amp;$C$249,DEALS!$K:$K,E$251,DEALS!$M:$M,$B263,DEALS!$N:$N,"&lt;&gt;*RECEIVED*",DEALS!$N:$N,"&lt;&gt;*EXECUTED*"))+SUM(SUMIFS(DEALS!$R:$R,DEALS!$A:$A,{"*REFUND*","*EXECUTED*"},DEALS!$O:$O,$B$247,DEALS!$E:$E,"&lt;"&amp;$C$249,DEALS!$S:$S,E$251,DEALS!$U:$U,$B263,DEALS!$V:$V,"&lt;&gt;*RECEIVED*",DEALS!$V:$V,"&lt;&gt;*EXECUTED*"))</f>
        <v>0</v>
      </c>
      <c r="F263" s="32" cm="1">
        <f t="array" ref="F263">SUMIFS(BALANCES!$C:$C,BALANCES!$A:$A,$B$247,BALANCES!$B:$B,$B263,BALANCES!$D:$D,F$251)+SUMIFS(FLOWS!$C:$C,FLOWS!$A:$A,$B$247,FLOWS!$E:$E,$B263,FLOWS!$D:$D,F$251,FLOWS!$H:$H,"&lt;"&amp;$C$249)+SUM(SUMIFS(DEALS!$J:$J,DEALS!$A:$A,{"*REFUND*","*EXECUTED*"},DEALS!$G:$G,$B$247,DEALS!$E:$E,"&lt;"&amp;$C$249,DEALS!$K:$K,F$251,DEALS!$M:$M,$B263,DEALS!$N:$N,"&lt;&gt;*RECEIVED*",DEALS!$N:$N,"&lt;&gt;*EXECUTED*"))+SUM(SUMIFS(DEALS!$R:$R,DEALS!$A:$A,{"*REFUND*","*EXECUTED*"},DEALS!$O:$O,$B$247,DEALS!$E:$E,"&lt;"&amp;$C$249,DEALS!$S:$S,F$251,DEALS!$U:$U,$B263,DEALS!$V:$V,"&lt;&gt;*RECEIVED*",DEALS!$V:$V,"&lt;&gt;*EXECUTED*"))</f>
        <v>0</v>
      </c>
      <c r="G263" s="32" cm="1">
        <f t="array" ref="G263">SUMIFS(BALANCES!$C:$C,BALANCES!$A:$A,$B$247,BALANCES!$B:$B,$B263,BALANCES!$D:$D,G$251)+SUMIFS(FLOWS!$C:$C,FLOWS!$A:$A,$B$247,FLOWS!$E:$E,$B263,FLOWS!$D:$D,G$251,FLOWS!$H:$H,"&lt;"&amp;$C$249)+SUM(SUMIFS(DEALS!$J:$J,DEALS!$A:$A,{"*REFUND*","*EXECUTED*"},DEALS!$G:$G,$B$247,DEALS!$E:$E,"&lt;"&amp;$C$249,DEALS!$K:$K,G$251,DEALS!$M:$M,$B263,DEALS!$N:$N,"&lt;&gt;*RECEIVED*",DEALS!$N:$N,"&lt;&gt;*EXECUTED*"))+SUM(SUMIFS(DEALS!$R:$R,DEALS!$A:$A,{"*REFUND*","*EXECUTED*"},DEALS!$O:$O,$B$247,DEALS!$E:$E,"&lt;"&amp;$C$249,DEALS!$S:$S,G$251,DEALS!$U:$U,$B263,DEALS!$V:$V,"&lt;&gt;*RECEIVED*",DEALS!$V:$V,"&lt;&gt;*EXECUTED*"))</f>
        <v>0</v>
      </c>
      <c r="H263" s="32" cm="1">
        <f t="array" ref="H263">SUMIFS(BALANCES!$C:$C,BALANCES!$A:$A,$B$247,BALANCES!$B:$B,$B263,BALANCES!$D:$D,H$251)+SUMIFS(FLOWS!$C:$C,FLOWS!$A:$A,$B$247,FLOWS!$E:$E,$B263,FLOWS!$D:$D,H$251,FLOWS!$H:$H,"&lt;"&amp;$C$249)+SUM(SUMIFS(DEALS!$J:$J,DEALS!$A:$A,{"*REFUND*","*EXECUTED*"},DEALS!$G:$G,$B$247,DEALS!$E:$E,"&lt;"&amp;$C$249,DEALS!$K:$K,H$251,DEALS!$M:$M,$B263,DEALS!$N:$N,"&lt;&gt;*RECEIVED*",DEALS!$N:$N,"&lt;&gt;*EXECUTED*"))+SUM(SUMIFS(DEALS!$R:$R,DEALS!$A:$A,{"*REFUND*","*EXECUTED*"},DEALS!$O:$O,$B$247,DEALS!$E:$E,"&lt;"&amp;$C$249,DEALS!$S:$S,H$251,DEALS!$U:$U,$B263,DEALS!$V:$V,"&lt;&gt;*RECEIVED*",DEALS!$V:$V,"&lt;&gt;*EXECUTED*"))</f>
        <v>0</v>
      </c>
      <c r="I263" s="33">
        <f ca="1">C263*VLOOKUP(C$251,'FX RATES'!$E$1:$F$50,2,FALSE)+D263*VLOOKUP(D$251,'FX RATES'!$E$1:$F$50,2,FALSE)+E263*VLOOKUP(E$251,'FX RATES'!$E$1:$F$50,2,FALSE)+F263*VLOOKUP(F$251,'FX RATES'!$E$1:$F$50,2,FALSE)+G263*VLOOKUP(G$251,'FX RATES'!$E$1:$F$50,2,FALSE)+H263*VLOOKUP(H$251,'FX RATES'!$E$1:$F$50,2,FALSE)</f>
        <v>0</v>
      </c>
      <c r="K263" s="31">
        <f t="shared" si="104"/>
        <v>0</v>
      </c>
      <c r="L263" s="32" cm="1">
        <f t="array" ref="L263">SUMIFS(FLOWS!$C:$C,FLOWS!$A:$A,$B$247,FLOWS!$E:$E,$K263,FLOWS!$D:$D,L$251,FLOWS!$H:$H,"&gt;="&amp;$C$249,FLOWS!$H:$H,"&lt;="&amp;$U$249)+SUM(SUMIFS(DEALS!$J:$J,DEALS!$A:$A,{"*REFUND*","*EXECUTED*"},DEALS!$G:$G,$B$247,DEALS!$E:$E,"&gt;="&amp;$C$249,DEALS!$E:$E,"&lt;="&amp;$U$249,DEALS!$K:$K,L$251,DEALS!$M:$M,$K263,DEALS!$N:$N,"&lt;&gt;*RECEIVED*",DEALS!$N:$N,"&lt;&gt;*EXECUTED*"))+SUM(SUMIFS(DEALS!$R:$R,DEALS!$A:$A,{"*REFUND*","*EXECUTED*"},DEALS!$O:$O,$B$247,DEALS!$E:$E,"&gt;="&amp;$C$249,DEALS!$E:$E,"&lt;="&amp;$U$249,DEALS!$S:$S,L$251,DEALS!$U:$U,$K263,DEALS!$V:$V,"&lt;&gt;*RECEIVED*",DEALS!$V:$V,"&lt;&gt;*EXECUTED*"))</f>
        <v>0</v>
      </c>
      <c r="M263" s="32" cm="1">
        <f t="array" ref="M263">SUMIFS(FLOWS!$C:$C,FLOWS!$A:$A,$B$247,FLOWS!$E:$E,$K263,FLOWS!$D:$D,M$251,FLOWS!$H:$H,"&gt;="&amp;$C$249,FLOWS!$H:$H,"&lt;="&amp;$U$249)+SUM(SUMIFS(DEALS!$J:$J,DEALS!$A:$A,{"*REFUND*","*EXECUTED*"},DEALS!$G:$G,$B$247,DEALS!$E:$E,"&gt;="&amp;$C$249,DEALS!$E:$E,"&lt;="&amp;$U$249,DEALS!$K:$K,M$251,DEALS!$M:$M,$K263,DEALS!$N:$N,"&lt;&gt;*RECEIVED*",DEALS!$N:$N,"&lt;&gt;*EXECUTED*"))+SUM(SUMIFS(DEALS!$R:$R,DEALS!$A:$A,{"*REFUND*","*EXECUTED*"},DEALS!$O:$O,$B$247,DEALS!$E:$E,"&gt;="&amp;$C$249,DEALS!$E:$E,"&lt;="&amp;$U$249,DEALS!$S:$S,M$251,DEALS!$U:$U,$K263,DEALS!$V:$V,"&lt;&gt;*RECEIVED*",DEALS!$V:$V,"&lt;&gt;*EXECUTED*"))</f>
        <v>0</v>
      </c>
      <c r="N263" s="32" cm="1">
        <f t="array" ref="N263">SUMIFS(FLOWS!$C:$C,FLOWS!$A:$A,$B$247,FLOWS!$E:$E,$K263,FLOWS!$D:$D,N$251,FLOWS!$H:$H,"&gt;="&amp;$C$249,FLOWS!$H:$H,"&lt;="&amp;$U$249)+SUM(SUMIFS(DEALS!$J:$J,DEALS!$A:$A,{"*REFUND*","*EXECUTED*"},DEALS!$G:$G,$B$247,DEALS!$E:$E,"&gt;="&amp;$C$249,DEALS!$E:$E,"&lt;="&amp;$U$249,DEALS!$K:$K,N$251,DEALS!$M:$M,$K263,DEALS!$N:$N,"&lt;&gt;*RECEIVED*",DEALS!$N:$N,"&lt;&gt;*EXECUTED*"))+SUM(SUMIFS(DEALS!$R:$R,DEALS!$A:$A,{"*REFUND*","*EXECUTED*"},DEALS!$O:$O,$B$247,DEALS!$E:$E,"&gt;="&amp;$C$249,DEALS!$E:$E,"&lt;="&amp;$U$249,DEALS!$S:$S,N$251,DEALS!$U:$U,$K263,DEALS!$V:$V,"&lt;&gt;*RECEIVED*",DEALS!$V:$V,"&lt;&gt;*EXECUTED*"))</f>
        <v>0</v>
      </c>
      <c r="O263" s="32" cm="1">
        <f t="array" ref="O263">SUMIFS(FLOWS!$C:$C,FLOWS!$A:$A,$B$247,FLOWS!$E:$E,$K263,FLOWS!$D:$D,O$251,FLOWS!$H:$H,"&gt;="&amp;$C$249,FLOWS!$H:$H,"&lt;="&amp;$U$249)+SUM(SUMIFS(DEALS!$J:$J,DEALS!$A:$A,{"*REFUND*","*EXECUTED*"},DEALS!$G:$G,$B$247,DEALS!$E:$E,"&gt;="&amp;$C$249,DEALS!$E:$E,"&lt;="&amp;$U$249,DEALS!$K:$K,O$251,DEALS!$M:$M,$K263,DEALS!$N:$N,"&lt;&gt;*RECEIVED*",DEALS!$N:$N,"&lt;&gt;*EXECUTED*"))+SUM(SUMIFS(DEALS!$R:$R,DEALS!$A:$A,{"*REFUND*","*EXECUTED*"},DEALS!$O:$O,$B$247,DEALS!$E:$E,"&gt;="&amp;$C$249,DEALS!$E:$E,"&lt;="&amp;$U$249,DEALS!$S:$S,O$251,DEALS!$U:$U,$K263,DEALS!$V:$V,"&lt;&gt;*RECEIVED*",DEALS!$V:$V,"&lt;&gt;*EXECUTED*"))</f>
        <v>0</v>
      </c>
      <c r="P263" s="32" cm="1">
        <f t="array" ref="P263">SUMIFS(FLOWS!$C:$C,FLOWS!$A:$A,$B$247,FLOWS!$E:$E,$K263,FLOWS!$D:$D,P$251,FLOWS!$H:$H,"&gt;="&amp;$C$249,FLOWS!$H:$H,"&lt;="&amp;$U$249)+SUM(SUMIFS(DEALS!$J:$J,DEALS!$A:$A,{"*REFUND*","*EXECUTED*"},DEALS!$G:$G,$B$247,DEALS!$E:$E,"&gt;="&amp;$C$249,DEALS!$E:$E,"&lt;="&amp;$U$249,DEALS!$K:$K,P$251,DEALS!$M:$M,$K263,DEALS!$N:$N,"&lt;&gt;*RECEIVED*",DEALS!$N:$N,"&lt;&gt;*EXECUTED*"))+SUM(SUMIFS(DEALS!$R:$R,DEALS!$A:$A,{"*REFUND*","*EXECUTED*"},DEALS!$O:$O,$B$247,DEALS!$E:$E,"&gt;="&amp;$C$249,DEALS!$E:$E,"&lt;="&amp;$U$249,DEALS!$S:$S,P$251,DEALS!$U:$U,$K263,DEALS!$V:$V,"&lt;&gt;*RECEIVED*",DEALS!$V:$V,"&lt;&gt;*EXECUTED*"))</f>
        <v>0</v>
      </c>
      <c r="Q263" s="32" cm="1">
        <f t="array" ref="Q263">SUMIFS(FLOWS!$C:$C,FLOWS!$A:$A,$B$247,FLOWS!$E:$E,$K263,FLOWS!$D:$D,Q$251,FLOWS!$H:$H,"&gt;="&amp;$C$249,FLOWS!$H:$H,"&lt;="&amp;$U$249)+SUM(SUMIFS(DEALS!$J:$J,DEALS!$A:$A,{"*REFUND*","*EXECUTED*"},DEALS!$G:$G,$B$247,DEALS!$E:$E,"&gt;="&amp;$C$249,DEALS!$E:$E,"&lt;="&amp;$U$249,DEALS!$K:$K,Q$251,DEALS!$M:$M,$K263,DEALS!$N:$N,"&lt;&gt;*RECEIVED*",DEALS!$N:$N,"&lt;&gt;*EXECUTED*"))+SUM(SUMIFS(DEALS!$R:$R,DEALS!$A:$A,{"*REFUND*","*EXECUTED*"},DEALS!$O:$O,$B$247,DEALS!$E:$E,"&gt;="&amp;$C$249,DEALS!$E:$E,"&lt;="&amp;$U$249,DEALS!$S:$S,Q$251,DEALS!$U:$U,$K263,DEALS!$V:$V,"&lt;&gt;*RECEIVED*",DEALS!$V:$V,"&lt;&gt;*EXECUTED*"))</f>
        <v>0</v>
      </c>
      <c r="R263" s="33">
        <f ca="1">L263*VLOOKUP(L$251,'FX RATES'!$E$1:$F$50,2,FALSE)+M263*VLOOKUP(M$251,'FX RATES'!$E$1:$F$50,2,FALSE)+N263*VLOOKUP(N$251,'FX RATES'!$E$1:$F$50,2,FALSE)+O263*VLOOKUP(O$251,'FX RATES'!$E$1:$F$50,2,FALSE)+P263*VLOOKUP(P$251,'FX RATES'!$E$1:$F$50,2,FALSE)+Q263*VLOOKUP(Q$251,'FX RATES'!$E$1:$F$50,2,FALSE)</f>
        <v>0</v>
      </c>
      <c r="T263" s="31">
        <f t="shared" si="105"/>
        <v>0</v>
      </c>
      <c r="U263" s="32" cm="1">
        <f t="array" ref="U263">SUMIFS(BALANCES!$C:$C,BALANCES!$A:$A,$B$247,BALANCES!$B:$B,$T263,BALANCES!$D:$D,U$251)+SUMIFS(FLOWS!$C:$C,FLOWS!$A:$A,$B$247,FLOWS!$E:$E,$T263,FLOWS!$D:$D,U$251,FLOWS!$H:$H,"&lt;="&amp;$U$249)+SUM(SUMIFS(DEALS!$J:$J,DEALS!$A:$A,{"*REFUND*","*EXECUTED*"},DEALS!$G:$G,$B$247,DEALS!$E:$E,"&lt;="&amp;$U$249,DEALS!$K:$K,U$251,DEALS!$M:$M,$T263,DEALS!$N:$N,"&lt;&gt;*RECEIVED*",DEALS!$N:$N,"&lt;&gt;*EXECUTED*"))+SUM(SUMIFS(DEALS!$R:$R,DEALS!$A:$A,{"*REFUND*","*EXECUTED*"},DEALS!$O:$O,$B$247,DEALS!$E:$E,"&lt;="&amp;$U$249,DEALS!$S:$S,U$251,DEALS!$U:$U,$T263,DEALS!$V:$V,"&lt;&gt;*RECEIVED*",DEALS!$V:$V,"&lt;&gt;*EXECUTED*"))</f>
        <v>0</v>
      </c>
      <c r="V263" s="32" cm="1">
        <f t="array" ref="V263">SUMIFS(BALANCES!$C:$C,BALANCES!$A:$A,$B$247,BALANCES!$B:$B,$T263,BALANCES!$D:$D,V$251)+SUMIFS(FLOWS!$C:$C,FLOWS!$A:$A,$B$247,FLOWS!$E:$E,$T263,FLOWS!$D:$D,V$251,FLOWS!$H:$H,"&lt;="&amp;$U$249)+SUM(SUMIFS(DEALS!$J:$J,DEALS!$A:$A,{"*REFUND*","*EXECUTED*"},DEALS!$G:$G,$B$247,DEALS!$E:$E,"&lt;="&amp;$U$249,DEALS!$K:$K,V$251,DEALS!$M:$M,$T263,DEALS!$N:$N,"&lt;&gt;*RECEIVED*",DEALS!$N:$N,"&lt;&gt;*EXECUTED*"))+SUM(SUMIFS(DEALS!$R:$R,DEALS!$A:$A,{"*REFUND*","*EXECUTED*"},DEALS!$O:$O,$B$247,DEALS!$E:$E,"&lt;="&amp;$U$249,DEALS!$S:$S,V$251,DEALS!$U:$U,$T263,DEALS!$V:$V,"&lt;&gt;*RECEIVED*",DEALS!$V:$V,"&lt;&gt;*EXECUTED*"))</f>
        <v>0</v>
      </c>
      <c r="W263" s="32" cm="1">
        <f t="array" ref="W263">SUMIFS(BALANCES!$C:$C,BALANCES!$A:$A,$B$247,BALANCES!$B:$B,$T263,BALANCES!$D:$D,W$251)+SUMIFS(FLOWS!$C:$C,FLOWS!$A:$A,$B$247,FLOWS!$E:$E,$T263,FLOWS!$D:$D,W$251,FLOWS!$H:$H,"&lt;="&amp;$U$249)+SUM(SUMIFS(DEALS!$J:$J,DEALS!$A:$A,{"*REFUND*","*EXECUTED*"},DEALS!$G:$G,$B$247,DEALS!$E:$E,"&lt;="&amp;$U$249,DEALS!$K:$K,W$251,DEALS!$M:$M,$T263,DEALS!$N:$N,"&lt;&gt;*RECEIVED*",DEALS!$N:$N,"&lt;&gt;*EXECUTED*"))+SUM(SUMIFS(DEALS!$R:$R,DEALS!$A:$A,{"*REFUND*","*EXECUTED*"},DEALS!$O:$O,$B$247,DEALS!$E:$E,"&lt;="&amp;$U$249,DEALS!$S:$S,W$251,DEALS!$U:$U,$T263,DEALS!$V:$V,"&lt;&gt;*RECEIVED*",DEALS!$V:$V,"&lt;&gt;*EXECUTED*"))</f>
        <v>0</v>
      </c>
      <c r="X263" s="32" cm="1">
        <f t="array" ref="X263">SUMIFS(BALANCES!$C:$C,BALANCES!$A:$A,$B$247,BALANCES!$B:$B,$T263,BALANCES!$D:$D,X$251)+SUMIFS(FLOWS!$C:$C,FLOWS!$A:$A,$B$247,FLOWS!$E:$E,$T263,FLOWS!$D:$D,X$251,FLOWS!$H:$H,"&lt;="&amp;$U$249)+SUM(SUMIFS(DEALS!$J:$J,DEALS!$A:$A,{"*REFUND*","*EXECUTED*"},DEALS!$G:$G,$B$247,DEALS!$E:$E,"&lt;="&amp;$U$249,DEALS!$K:$K,X$251,DEALS!$M:$M,$T263,DEALS!$N:$N,"&lt;&gt;*RECEIVED*",DEALS!$N:$N,"&lt;&gt;*EXECUTED*"))+SUM(SUMIFS(DEALS!$R:$R,DEALS!$A:$A,{"*REFUND*","*EXECUTED*"},DEALS!$O:$O,$B$247,DEALS!$E:$E,"&lt;="&amp;$U$249,DEALS!$S:$S,X$251,DEALS!$U:$U,$T263,DEALS!$V:$V,"&lt;&gt;*RECEIVED*",DEALS!$V:$V,"&lt;&gt;*EXECUTED*"))</f>
        <v>0</v>
      </c>
      <c r="Y263" s="32" cm="1">
        <f t="array" ref="Y263">SUMIFS(BALANCES!$C:$C,BALANCES!$A:$A,$B$247,BALANCES!$B:$B,$T263,BALANCES!$D:$D,Y$251)+SUMIFS(FLOWS!$C:$C,FLOWS!$A:$A,$B$247,FLOWS!$E:$E,$T263,FLOWS!$D:$D,Y$251,FLOWS!$H:$H,"&lt;="&amp;$U$249)+SUM(SUMIFS(DEALS!$J:$J,DEALS!$A:$A,{"*REFUND*","*EXECUTED*"},DEALS!$G:$G,$B$247,DEALS!$E:$E,"&lt;="&amp;$U$249,DEALS!$K:$K,Y$251,DEALS!$M:$M,$T263,DEALS!$N:$N,"&lt;&gt;*RECEIVED*",DEALS!$N:$N,"&lt;&gt;*EXECUTED*"))+SUM(SUMIFS(DEALS!$R:$R,DEALS!$A:$A,{"*REFUND*","*EXECUTED*"},DEALS!$O:$O,$B$247,DEALS!$E:$E,"&lt;="&amp;$U$249,DEALS!$S:$S,Y$251,DEALS!$U:$U,$T263,DEALS!$V:$V,"&lt;&gt;*RECEIVED*",DEALS!$V:$V,"&lt;&gt;*EXECUTED*"))</f>
        <v>0</v>
      </c>
      <c r="Z263" s="32" cm="1">
        <f t="array" ref="Z263">SUMIFS(BALANCES!$C:$C,BALANCES!$A:$A,$B$247,BALANCES!$B:$B,$T263,BALANCES!$D:$D,Z$251)+SUMIFS(FLOWS!$C:$C,FLOWS!$A:$A,$B$247,FLOWS!$E:$E,$T263,FLOWS!$D:$D,Z$251,FLOWS!$H:$H,"&lt;="&amp;$U$249)+SUM(SUMIFS(DEALS!$J:$J,DEALS!$A:$A,{"*REFUND*","*EXECUTED*"},DEALS!$G:$G,$B$247,DEALS!$E:$E,"&lt;="&amp;$U$249,DEALS!$K:$K,Z$251,DEALS!$M:$M,$T263,DEALS!$N:$N,"&lt;&gt;*RECEIVED*",DEALS!$N:$N,"&lt;&gt;*EXECUTED*"))+SUM(SUMIFS(DEALS!$R:$R,DEALS!$A:$A,{"*REFUND*","*EXECUTED*"},DEALS!$O:$O,$B$247,DEALS!$E:$E,"&lt;="&amp;$U$249,DEALS!$S:$S,Z$251,DEALS!$U:$U,$T263,DEALS!$V:$V,"&lt;&gt;*RECEIVED*",DEALS!$V:$V,"&lt;&gt;*EXECUTED*"))</f>
        <v>0</v>
      </c>
      <c r="AA263" s="33">
        <f ca="1">U263*VLOOKUP(U$251,'FX RATES'!$E$1:$F$50,2,FALSE)+V263*VLOOKUP(V$251,'FX RATES'!$E$1:$F$50,2,FALSE)+W263*VLOOKUP(W$251,'FX RATES'!$E$1:$F$50,2,FALSE)+X263*VLOOKUP(X$251,'FX RATES'!$E$1:$F$50,2,FALSE)+Y263*VLOOKUP(Y$251,'FX RATES'!$E$1:$F$50,2,FALSE)+Z263*VLOOKUP(Z$251,'FX RATES'!$E$1:$F$50,2,FALSE)</f>
        <v>0</v>
      </c>
      <c r="AC263" s="139">
        <f t="shared" ca="1" si="106"/>
        <v>0</v>
      </c>
    </row>
    <row r="264" spans="2:29" ht="19" hidden="1">
      <c r="B264" s="28"/>
      <c r="C264" s="29" cm="1">
        <f t="array" ref="C264">SUMIFS(BALANCES!$C:$C,BALANCES!$A:$A,$B$247,BALANCES!$B:$B,$B264,BALANCES!$D:$D,C$251)+SUMIFS(FLOWS!$C:$C,FLOWS!$A:$A,$B$247,FLOWS!$E:$E,$B264,FLOWS!$D:$D,C$251,FLOWS!$H:$H,"&lt;"&amp;$C$249)+SUM(SUMIFS(DEALS!$J:$J,DEALS!$A:$A,{"*REFUND*","*EXECUTED*"},DEALS!$G:$G,$B$247,DEALS!$E:$E,"&lt;"&amp;$C$249,DEALS!$K:$K,C$251,DEALS!$M:$M,$B264,DEALS!$N:$N,"&lt;&gt;*RECEIVED*",DEALS!$N:$N,"&lt;&gt;*EXECUTED*"))+SUM(SUMIFS(DEALS!$R:$R,DEALS!$A:$A,{"*REFUND*","*EXECUTED*"},DEALS!$O:$O,$B$247,DEALS!$E:$E,"&lt;"&amp;$C$249,DEALS!$S:$S,C$251,DEALS!$U:$U,$B264,DEALS!$V:$V,"&lt;&gt;*RECEIVED*",DEALS!$V:$V,"&lt;&gt;*EXECUTED*"))</f>
        <v>0</v>
      </c>
      <c r="D264" s="29" cm="1">
        <f t="array" ref="D264">SUMIFS(BALANCES!$C:$C,BALANCES!$A:$A,$B$247,BALANCES!$B:$B,$B264,BALANCES!$D:$D,D$251)+SUMIFS(FLOWS!$C:$C,FLOWS!$A:$A,$B$247,FLOWS!$E:$E,$B264,FLOWS!$D:$D,D$251,FLOWS!$H:$H,"&lt;"&amp;$C$249)+SUM(SUMIFS(DEALS!$J:$J,DEALS!$A:$A,{"*REFUND*","*EXECUTED*"},DEALS!$G:$G,$B$247,DEALS!$E:$E,"&lt;"&amp;$C$249,DEALS!$K:$K,D$251,DEALS!$M:$M,$B264,DEALS!$N:$N,"&lt;&gt;*RECEIVED*",DEALS!$N:$N,"&lt;&gt;*EXECUTED*"))+SUM(SUMIFS(DEALS!$R:$R,DEALS!$A:$A,{"*REFUND*","*EXECUTED*"},DEALS!$O:$O,$B$247,DEALS!$E:$E,"&lt;"&amp;$C$249,DEALS!$S:$S,D$251,DEALS!$U:$U,$B264,DEALS!$V:$V,"&lt;&gt;*RECEIVED*",DEALS!$V:$V,"&lt;&gt;*EXECUTED*"))</f>
        <v>0</v>
      </c>
      <c r="E264" s="29" cm="1">
        <f t="array" ref="E264">SUMIFS(BALANCES!$C:$C,BALANCES!$A:$A,$B$247,BALANCES!$B:$B,$B264,BALANCES!$D:$D,E$251)+SUMIFS(FLOWS!$C:$C,FLOWS!$A:$A,$B$247,FLOWS!$E:$E,$B264,FLOWS!$D:$D,E$251,FLOWS!$H:$H,"&lt;"&amp;$C$249)+SUM(SUMIFS(DEALS!$J:$J,DEALS!$A:$A,{"*REFUND*","*EXECUTED*"},DEALS!$G:$G,$B$247,DEALS!$E:$E,"&lt;"&amp;$C$249,DEALS!$K:$K,E$251,DEALS!$M:$M,$B264,DEALS!$N:$N,"&lt;&gt;*RECEIVED*",DEALS!$N:$N,"&lt;&gt;*EXECUTED*"))+SUM(SUMIFS(DEALS!$R:$R,DEALS!$A:$A,{"*REFUND*","*EXECUTED*"},DEALS!$O:$O,$B$247,DEALS!$E:$E,"&lt;"&amp;$C$249,DEALS!$S:$S,E$251,DEALS!$U:$U,$B264,DEALS!$V:$V,"&lt;&gt;*RECEIVED*",DEALS!$V:$V,"&lt;&gt;*EXECUTED*"))</f>
        <v>0</v>
      </c>
      <c r="F264" s="29" cm="1">
        <f t="array" ref="F264">SUMIFS(BALANCES!$C:$C,BALANCES!$A:$A,$B$247,BALANCES!$B:$B,$B264,BALANCES!$D:$D,F$251)+SUMIFS(FLOWS!$C:$C,FLOWS!$A:$A,$B$247,FLOWS!$E:$E,$B264,FLOWS!$D:$D,F$251,FLOWS!$H:$H,"&lt;"&amp;$C$249)+SUM(SUMIFS(DEALS!$J:$J,DEALS!$A:$A,{"*REFUND*","*EXECUTED*"},DEALS!$G:$G,$B$247,DEALS!$E:$E,"&lt;"&amp;$C$249,DEALS!$K:$K,F$251,DEALS!$M:$M,$B264,DEALS!$N:$N,"&lt;&gt;*RECEIVED*",DEALS!$N:$N,"&lt;&gt;*EXECUTED*"))+SUM(SUMIFS(DEALS!$R:$R,DEALS!$A:$A,{"*REFUND*","*EXECUTED*"},DEALS!$O:$O,$B$247,DEALS!$E:$E,"&lt;"&amp;$C$249,DEALS!$S:$S,F$251,DEALS!$U:$U,$B264,DEALS!$V:$V,"&lt;&gt;*RECEIVED*",DEALS!$V:$V,"&lt;&gt;*EXECUTED*"))</f>
        <v>0</v>
      </c>
      <c r="G264" s="29" cm="1">
        <f t="array" ref="G264">SUMIFS(BALANCES!$C:$C,BALANCES!$A:$A,$B$247,BALANCES!$B:$B,$B264,BALANCES!$D:$D,G$251)+SUMIFS(FLOWS!$C:$C,FLOWS!$A:$A,$B$247,FLOWS!$E:$E,$B264,FLOWS!$D:$D,G$251,FLOWS!$H:$H,"&lt;"&amp;$C$249)+SUM(SUMIFS(DEALS!$J:$J,DEALS!$A:$A,{"*REFUND*","*EXECUTED*"},DEALS!$G:$G,$B$247,DEALS!$E:$E,"&lt;"&amp;$C$249,DEALS!$K:$K,G$251,DEALS!$M:$M,$B264,DEALS!$N:$N,"&lt;&gt;*RECEIVED*",DEALS!$N:$N,"&lt;&gt;*EXECUTED*"))+SUM(SUMIFS(DEALS!$R:$R,DEALS!$A:$A,{"*REFUND*","*EXECUTED*"},DEALS!$O:$O,$B$247,DEALS!$E:$E,"&lt;"&amp;$C$249,DEALS!$S:$S,G$251,DEALS!$U:$U,$B264,DEALS!$V:$V,"&lt;&gt;*RECEIVED*",DEALS!$V:$V,"&lt;&gt;*EXECUTED*"))</f>
        <v>0</v>
      </c>
      <c r="H264" s="29" cm="1">
        <f t="array" ref="H264">SUMIFS(BALANCES!$C:$C,BALANCES!$A:$A,$B$247,BALANCES!$B:$B,$B264,BALANCES!$D:$D,H$251)+SUMIFS(FLOWS!$C:$C,FLOWS!$A:$A,$B$247,FLOWS!$E:$E,$B264,FLOWS!$D:$D,H$251,FLOWS!$H:$H,"&lt;"&amp;$C$249)+SUM(SUMIFS(DEALS!$J:$J,DEALS!$A:$A,{"*REFUND*","*EXECUTED*"},DEALS!$G:$G,$B$247,DEALS!$E:$E,"&lt;"&amp;$C$249,DEALS!$K:$K,H$251,DEALS!$M:$M,$B264,DEALS!$N:$N,"&lt;&gt;*RECEIVED*",DEALS!$N:$N,"&lt;&gt;*EXECUTED*"))+SUM(SUMIFS(DEALS!$R:$R,DEALS!$A:$A,{"*REFUND*","*EXECUTED*"},DEALS!$O:$O,$B$247,DEALS!$E:$E,"&lt;"&amp;$C$249,DEALS!$S:$S,H$251,DEALS!$U:$U,$B264,DEALS!$V:$V,"&lt;&gt;*RECEIVED*",DEALS!$V:$V,"&lt;&gt;*EXECUTED*"))</f>
        <v>0</v>
      </c>
      <c r="I264" s="30">
        <f ca="1">C264*VLOOKUP(C$251,'FX RATES'!$E$1:$F$50,2,FALSE)+D264*VLOOKUP(D$251,'FX RATES'!$E$1:$F$50,2,FALSE)+E264*VLOOKUP(E$251,'FX RATES'!$E$1:$F$50,2,FALSE)+F264*VLOOKUP(F$251,'FX RATES'!$E$1:$F$50,2,FALSE)+G264*VLOOKUP(G$251,'FX RATES'!$E$1:$F$50,2,FALSE)+H264*VLOOKUP(H$251,'FX RATES'!$E$1:$F$50,2,FALSE)</f>
        <v>0</v>
      </c>
      <c r="J264" s="18"/>
      <c r="K264" s="28">
        <f t="shared" si="104"/>
        <v>0</v>
      </c>
      <c r="L264" s="29" cm="1">
        <f t="array" ref="L264">SUMIFS(FLOWS!$C:$C,FLOWS!$A:$A,$B$247,FLOWS!$E:$E,$K264,FLOWS!$D:$D,L$251,FLOWS!$H:$H,"&gt;="&amp;$C$249,FLOWS!$H:$H,"&lt;="&amp;$U$249)+SUM(SUMIFS(DEALS!$J:$J,DEALS!$A:$A,{"*REFUND*","*EXECUTED*"},DEALS!$G:$G,$B$247,DEALS!$E:$E,"&gt;="&amp;$C$249,DEALS!$E:$E,"&lt;="&amp;$U$249,DEALS!$K:$K,L$251,DEALS!$M:$M,$K264,DEALS!$N:$N,"&lt;&gt;*RECEIVED*",DEALS!$N:$N,"&lt;&gt;*EXECUTED*"))+SUM(SUMIFS(DEALS!$R:$R,DEALS!$A:$A,{"*REFUND*","*EXECUTED*"},DEALS!$O:$O,$B$247,DEALS!$E:$E,"&gt;="&amp;$C$249,DEALS!$E:$E,"&lt;="&amp;$U$249,DEALS!$S:$S,L$251,DEALS!$U:$U,$K264,DEALS!$V:$V,"&lt;&gt;*RECEIVED*",DEALS!$V:$V,"&lt;&gt;*EXECUTED*"))</f>
        <v>0</v>
      </c>
      <c r="M264" s="29" cm="1">
        <f t="array" ref="M264">SUMIFS(FLOWS!$C:$C,FLOWS!$A:$A,$B$247,FLOWS!$E:$E,$K264,FLOWS!$D:$D,M$251,FLOWS!$H:$H,"&gt;="&amp;$C$249,FLOWS!$H:$H,"&lt;="&amp;$U$249)+SUM(SUMIFS(DEALS!$J:$J,DEALS!$A:$A,{"*REFUND*","*EXECUTED*"},DEALS!$G:$G,$B$247,DEALS!$E:$E,"&gt;="&amp;$C$249,DEALS!$E:$E,"&lt;="&amp;$U$249,DEALS!$K:$K,M$251,DEALS!$M:$M,$K264,DEALS!$N:$N,"&lt;&gt;*RECEIVED*",DEALS!$N:$N,"&lt;&gt;*EXECUTED*"))+SUM(SUMIFS(DEALS!$R:$R,DEALS!$A:$A,{"*REFUND*","*EXECUTED*"},DEALS!$O:$O,$B$247,DEALS!$E:$E,"&gt;="&amp;$C$249,DEALS!$E:$E,"&lt;="&amp;$U$249,DEALS!$S:$S,M$251,DEALS!$U:$U,$K264,DEALS!$V:$V,"&lt;&gt;*RECEIVED*",DEALS!$V:$V,"&lt;&gt;*EXECUTED*"))</f>
        <v>0</v>
      </c>
      <c r="N264" s="29" cm="1">
        <f t="array" ref="N264">SUMIFS(FLOWS!$C:$C,FLOWS!$A:$A,$B$247,FLOWS!$E:$E,$K264,FLOWS!$D:$D,N$251,FLOWS!$H:$H,"&gt;="&amp;$C$249,FLOWS!$H:$H,"&lt;="&amp;$U$249)+SUM(SUMIFS(DEALS!$J:$J,DEALS!$A:$A,{"*REFUND*","*EXECUTED*"},DEALS!$G:$G,$B$247,DEALS!$E:$E,"&gt;="&amp;$C$249,DEALS!$E:$E,"&lt;="&amp;$U$249,DEALS!$K:$K,N$251,DEALS!$M:$M,$K264,DEALS!$N:$N,"&lt;&gt;*RECEIVED*",DEALS!$N:$N,"&lt;&gt;*EXECUTED*"))+SUM(SUMIFS(DEALS!$R:$R,DEALS!$A:$A,{"*REFUND*","*EXECUTED*"},DEALS!$O:$O,$B$247,DEALS!$E:$E,"&gt;="&amp;$C$249,DEALS!$E:$E,"&lt;="&amp;$U$249,DEALS!$S:$S,N$251,DEALS!$U:$U,$K264,DEALS!$V:$V,"&lt;&gt;*RECEIVED*",DEALS!$V:$V,"&lt;&gt;*EXECUTED*"))</f>
        <v>0</v>
      </c>
      <c r="O264" s="29" cm="1">
        <f t="array" ref="O264">SUMIFS(FLOWS!$C:$C,FLOWS!$A:$A,$B$247,FLOWS!$E:$E,$K264,FLOWS!$D:$D,O$251,FLOWS!$H:$H,"&gt;="&amp;$C$249,FLOWS!$H:$H,"&lt;="&amp;$U$249)+SUM(SUMIFS(DEALS!$J:$J,DEALS!$A:$A,{"*REFUND*","*EXECUTED*"},DEALS!$G:$G,$B$247,DEALS!$E:$E,"&gt;="&amp;$C$249,DEALS!$E:$E,"&lt;="&amp;$U$249,DEALS!$K:$K,O$251,DEALS!$M:$M,$K264,DEALS!$N:$N,"&lt;&gt;*RECEIVED*",DEALS!$N:$N,"&lt;&gt;*EXECUTED*"))+SUM(SUMIFS(DEALS!$R:$R,DEALS!$A:$A,{"*REFUND*","*EXECUTED*"},DEALS!$O:$O,$B$247,DEALS!$E:$E,"&gt;="&amp;$C$249,DEALS!$E:$E,"&lt;="&amp;$U$249,DEALS!$S:$S,O$251,DEALS!$U:$U,$K264,DEALS!$V:$V,"&lt;&gt;*RECEIVED*",DEALS!$V:$V,"&lt;&gt;*EXECUTED*"))</f>
        <v>0</v>
      </c>
      <c r="P264" s="29" cm="1">
        <f t="array" ref="P264">SUMIFS(FLOWS!$C:$C,FLOWS!$A:$A,$B$247,FLOWS!$E:$E,$K264,FLOWS!$D:$D,P$251,FLOWS!$H:$H,"&gt;="&amp;$C$249,FLOWS!$H:$H,"&lt;="&amp;$U$249)+SUM(SUMIFS(DEALS!$J:$J,DEALS!$A:$A,{"*REFUND*","*EXECUTED*"},DEALS!$G:$G,$B$247,DEALS!$E:$E,"&gt;="&amp;$C$249,DEALS!$E:$E,"&lt;="&amp;$U$249,DEALS!$K:$K,P$251,DEALS!$M:$M,$K264,DEALS!$N:$N,"&lt;&gt;*RECEIVED*",DEALS!$N:$N,"&lt;&gt;*EXECUTED*"))+SUM(SUMIFS(DEALS!$R:$R,DEALS!$A:$A,{"*REFUND*","*EXECUTED*"},DEALS!$O:$O,$B$247,DEALS!$E:$E,"&gt;="&amp;$C$249,DEALS!$E:$E,"&lt;="&amp;$U$249,DEALS!$S:$S,P$251,DEALS!$U:$U,$K264,DEALS!$V:$V,"&lt;&gt;*RECEIVED*",DEALS!$V:$V,"&lt;&gt;*EXECUTED*"))</f>
        <v>0</v>
      </c>
      <c r="Q264" s="29" cm="1">
        <f t="array" ref="Q264">SUMIFS(FLOWS!$C:$C,FLOWS!$A:$A,$B$247,FLOWS!$E:$E,$K264,FLOWS!$D:$D,Q$251,FLOWS!$H:$H,"&gt;="&amp;$C$249,FLOWS!$H:$H,"&lt;="&amp;$U$249)+SUM(SUMIFS(DEALS!$J:$J,DEALS!$A:$A,{"*REFUND*","*EXECUTED*"},DEALS!$G:$G,$B$247,DEALS!$E:$E,"&gt;="&amp;$C$249,DEALS!$E:$E,"&lt;="&amp;$U$249,DEALS!$K:$K,Q$251,DEALS!$M:$M,$K264,DEALS!$N:$N,"&lt;&gt;*RECEIVED*",DEALS!$N:$N,"&lt;&gt;*EXECUTED*"))+SUM(SUMIFS(DEALS!$R:$R,DEALS!$A:$A,{"*REFUND*","*EXECUTED*"},DEALS!$O:$O,$B$247,DEALS!$E:$E,"&gt;="&amp;$C$249,DEALS!$E:$E,"&lt;="&amp;$U$249,DEALS!$S:$S,Q$251,DEALS!$U:$U,$K264,DEALS!$V:$V,"&lt;&gt;*RECEIVED*",DEALS!$V:$V,"&lt;&gt;*EXECUTED*"))</f>
        <v>0</v>
      </c>
      <c r="R264" s="30">
        <f ca="1">L264*VLOOKUP(L$251,'FX RATES'!$E$1:$F$50,2,FALSE)+M264*VLOOKUP(M$251,'FX RATES'!$E$1:$F$50,2,FALSE)+N264*VLOOKUP(N$251,'FX RATES'!$E$1:$F$50,2,FALSE)+O264*VLOOKUP(O$251,'FX RATES'!$E$1:$F$50,2,FALSE)+P264*VLOOKUP(P$251,'FX RATES'!$E$1:$F$50,2,FALSE)+Q264*VLOOKUP(Q$251,'FX RATES'!$E$1:$F$50,2,FALSE)</f>
        <v>0</v>
      </c>
      <c r="T264" s="28">
        <f t="shared" si="105"/>
        <v>0</v>
      </c>
      <c r="U264" s="29" cm="1">
        <f t="array" ref="U264">SUMIFS(BALANCES!$C:$C,BALANCES!$A:$A,$B$247,BALANCES!$B:$B,$T264,BALANCES!$D:$D,U$251)+SUMIFS(FLOWS!$C:$C,FLOWS!$A:$A,$B$247,FLOWS!$E:$E,$T264,FLOWS!$D:$D,U$251,FLOWS!$H:$H,"&lt;="&amp;$U$249)+SUM(SUMIFS(DEALS!$J:$J,DEALS!$A:$A,{"*REFUND*","*EXECUTED*"},DEALS!$G:$G,$B$247,DEALS!$E:$E,"&lt;="&amp;$U$249,DEALS!$K:$K,U$251,DEALS!$M:$M,$T264,DEALS!$N:$N,"&lt;&gt;*RECEIVED*",DEALS!$N:$N,"&lt;&gt;*EXECUTED*"))+SUM(SUMIFS(DEALS!$R:$R,DEALS!$A:$A,{"*REFUND*","*EXECUTED*"},DEALS!$O:$O,$B$247,DEALS!$E:$E,"&lt;="&amp;$U$249,DEALS!$S:$S,U$251,DEALS!$U:$U,$T264,DEALS!$V:$V,"&lt;&gt;*RECEIVED*",DEALS!$V:$V,"&lt;&gt;*EXECUTED*"))</f>
        <v>0</v>
      </c>
      <c r="V264" s="29" cm="1">
        <f t="array" ref="V264">SUMIFS(BALANCES!$C:$C,BALANCES!$A:$A,$B$247,BALANCES!$B:$B,$T264,BALANCES!$D:$D,V$251)+SUMIFS(FLOWS!$C:$C,FLOWS!$A:$A,$B$247,FLOWS!$E:$E,$T264,FLOWS!$D:$D,V$251,FLOWS!$H:$H,"&lt;="&amp;$U$249)+SUM(SUMIFS(DEALS!$J:$J,DEALS!$A:$A,{"*REFUND*","*EXECUTED*"},DEALS!$G:$G,$B$247,DEALS!$E:$E,"&lt;="&amp;$U$249,DEALS!$K:$K,V$251,DEALS!$M:$M,$T264,DEALS!$N:$N,"&lt;&gt;*RECEIVED*",DEALS!$N:$N,"&lt;&gt;*EXECUTED*"))+SUM(SUMIFS(DEALS!$R:$R,DEALS!$A:$A,{"*REFUND*","*EXECUTED*"},DEALS!$O:$O,$B$247,DEALS!$E:$E,"&lt;="&amp;$U$249,DEALS!$S:$S,V$251,DEALS!$U:$U,$T264,DEALS!$V:$V,"&lt;&gt;*RECEIVED*",DEALS!$V:$V,"&lt;&gt;*EXECUTED*"))</f>
        <v>0</v>
      </c>
      <c r="W264" s="29" cm="1">
        <f t="array" ref="W264">SUMIFS(BALANCES!$C:$C,BALANCES!$A:$A,$B$247,BALANCES!$B:$B,$T264,BALANCES!$D:$D,W$251)+SUMIFS(FLOWS!$C:$C,FLOWS!$A:$A,$B$247,FLOWS!$E:$E,$T264,FLOWS!$D:$D,W$251,FLOWS!$H:$H,"&lt;="&amp;$U$249)+SUM(SUMIFS(DEALS!$J:$J,DEALS!$A:$A,{"*REFUND*","*EXECUTED*"},DEALS!$G:$G,$B$247,DEALS!$E:$E,"&lt;="&amp;$U$249,DEALS!$K:$K,W$251,DEALS!$M:$M,$T264,DEALS!$N:$N,"&lt;&gt;*RECEIVED*",DEALS!$N:$N,"&lt;&gt;*EXECUTED*"))+SUM(SUMIFS(DEALS!$R:$R,DEALS!$A:$A,{"*REFUND*","*EXECUTED*"},DEALS!$O:$O,$B$247,DEALS!$E:$E,"&lt;="&amp;$U$249,DEALS!$S:$S,W$251,DEALS!$U:$U,$T264,DEALS!$V:$V,"&lt;&gt;*RECEIVED*",DEALS!$V:$V,"&lt;&gt;*EXECUTED*"))</f>
        <v>0</v>
      </c>
      <c r="X264" s="29" cm="1">
        <f t="array" ref="X264">SUMIFS(BALANCES!$C:$C,BALANCES!$A:$A,$B$247,BALANCES!$B:$B,$T264,BALANCES!$D:$D,X$251)+SUMIFS(FLOWS!$C:$C,FLOWS!$A:$A,$B$247,FLOWS!$E:$E,$T264,FLOWS!$D:$D,X$251,FLOWS!$H:$H,"&lt;="&amp;$U$249)+SUM(SUMIFS(DEALS!$J:$J,DEALS!$A:$A,{"*REFUND*","*EXECUTED*"},DEALS!$G:$G,$B$247,DEALS!$E:$E,"&lt;="&amp;$U$249,DEALS!$K:$K,X$251,DEALS!$M:$M,$T264,DEALS!$N:$N,"&lt;&gt;*RECEIVED*",DEALS!$N:$N,"&lt;&gt;*EXECUTED*"))+SUM(SUMIFS(DEALS!$R:$R,DEALS!$A:$A,{"*REFUND*","*EXECUTED*"},DEALS!$O:$O,$B$247,DEALS!$E:$E,"&lt;="&amp;$U$249,DEALS!$S:$S,X$251,DEALS!$U:$U,$T264,DEALS!$V:$V,"&lt;&gt;*RECEIVED*",DEALS!$V:$V,"&lt;&gt;*EXECUTED*"))</f>
        <v>0</v>
      </c>
      <c r="Y264" s="29" cm="1">
        <f t="array" ref="Y264">SUMIFS(BALANCES!$C:$C,BALANCES!$A:$A,$B$247,BALANCES!$B:$B,$T264,BALANCES!$D:$D,Y$251)+SUMIFS(FLOWS!$C:$C,FLOWS!$A:$A,$B$247,FLOWS!$E:$E,$T264,FLOWS!$D:$D,Y$251,FLOWS!$H:$H,"&lt;="&amp;$U$249)+SUM(SUMIFS(DEALS!$J:$J,DEALS!$A:$A,{"*REFUND*","*EXECUTED*"},DEALS!$G:$G,$B$247,DEALS!$E:$E,"&lt;="&amp;$U$249,DEALS!$K:$K,Y$251,DEALS!$M:$M,$T264,DEALS!$N:$N,"&lt;&gt;*RECEIVED*",DEALS!$N:$N,"&lt;&gt;*EXECUTED*"))+SUM(SUMIFS(DEALS!$R:$R,DEALS!$A:$A,{"*REFUND*","*EXECUTED*"},DEALS!$O:$O,$B$247,DEALS!$E:$E,"&lt;="&amp;$U$249,DEALS!$S:$S,Y$251,DEALS!$U:$U,$T264,DEALS!$V:$V,"&lt;&gt;*RECEIVED*",DEALS!$V:$V,"&lt;&gt;*EXECUTED*"))</f>
        <v>0</v>
      </c>
      <c r="Z264" s="29" cm="1">
        <f t="array" ref="Z264">SUMIFS(BALANCES!$C:$C,BALANCES!$A:$A,$B$247,BALANCES!$B:$B,$T264,BALANCES!$D:$D,Z$251)+SUMIFS(FLOWS!$C:$C,FLOWS!$A:$A,$B$247,FLOWS!$E:$E,$T264,FLOWS!$D:$D,Z$251,FLOWS!$H:$H,"&lt;="&amp;$U$249)+SUM(SUMIFS(DEALS!$J:$J,DEALS!$A:$A,{"*REFUND*","*EXECUTED*"},DEALS!$G:$G,$B$247,DEALS!$E:$E,"&lt;="&amp;$U$249,DEALS!$K:$K,Z$251,DEALS!$M:$M,$T264,DEALS!$N:$N,"&lt;&gt;*RECEIVED*",DEALS!$N:$N,"&lt;&gt;*EXECUTED*"))+SUM(SUMIFS(DEALS!$R:$R,DEALS!$A:$A,{"*REFUND*","*EXECUTED*"},DEALS!$O:$O,$B$247,DEALS!$E:$E,"&lt;="&amp;$U$249,DEALS!$S:$S,Z$251,DEALS!$U:$U,$T264,DEALS!$V:$V,"&lt;&gt;*RECEIVED*",DEALS!$V:$V,"&lt;&gt;*EXECUTED*"))</f>
        <v>0</v>
      </c>
      <c r="AA264" s="30">
        <f ca="1">U264*VLOOKUP(U$251,'FX RATES'!$E$1:$F$50,2,FALSE)+V264*VLOOKUP(V$251,'FX RATES'!$E$1:$F$50,2,FALSE)+W264*VLOOKUP(W$251,'FX RATES'!$E$1:$F$50,2,FALSE)+X264*VLOOKUP(X$251,'FX RATES'!$E$1:$F$50,2,FALSE)+Y264*VLOOKUP(Y$251,'FX RATES'!$E$1:$F$50,2,FALSE)+Z264*VLOOKUP(Z$251,'FX RATES'!$E$1:$F$50,2,FALSE)</f>
        <v>0</v>
      </c>
      <c r="AC264" s="139">
        <f t="shared" ca="1" si="106"/>
        <v>0</v>
      </c>
    </row>
    <row r="265" spans="2:29" ht="19" hidden="1">
      <c r="B265" s="31"/>
      <c r="C265" s="32" cm="1">
        <f t="array" ref="C265">SUMIFS(BALANCES!$C:$C,BALANCES!$A:$A,$B$247,BALANCES!$B:$B,$B265,BALANCES!$D:$D,C$251)+SUMIFS(FLOWS!$C:$C,FLOWS!$A:$A,$B$247,FLOWS!$E:$E,$B265,FLOWS!$D:$D,C$251,FLOWS!$H:$H,"&lt;"&amp;$C$249)+SUM(SUMIFS(DEALS!$J:$J,DEALS!$A:$A,{"*REFUND*","*EXECUTED*"},DEALS!$G:$G,$B$247,DEALS!$E:$E,"&lt;"&amp;$C$249,DEALS!$K:$K,C$251,DEALS!$M:$M,$B265,DEALS!$N:$N,"&lt;&gt;*RECEIVED*",DEALS!$N:$N,"&lt;&gt;*EXECUTED*"))+SUM(SUMIFS(DEALS!$R:$R,DEALS!$A:$A,{"*REFUND*","*EXECUTED*"},DEALS!$O:$O,$B$247,DEALS!$E:$E,"&lt;"&amp;$C$249,DEALS!$S:$S,C$251,DEALS!$U:$U,$B265,DEALS!$V:$V,"&lt;&gt;*RECEIVED*",DEALS!$V:$V,"&lt;&gt;*EXECUTED*"))</f>
        <v>0</v>
      </c>
      <c r="D265" s="32" cm="1">
        <f t="array" ref="D265">SUMIFS(BALANCES!$C:$C,BALANCES!$A:$A,$B$247,BALANCES!$B:$B,$B265,BALANCES!$D:$D,D$251)+SUMIFS(FLOWS!$C:$C,FLOWS!$A:$A,$B$247,FLOWS!$E:$E,$B265,FLOWS!$D:$D,D$251,FLOWS!$H:$H,"&lt;"&amp;$C$249)+SUM(SUMIFS(DEALS!$J:$J,DEALS!$A:$A,{"*REFUND*","*EXECUTED*"},DEALS!$G:$G,$B$247,DEALS!$E:$E,"&lt;"&amp;$C$249,DEALS!$K:$K,D$251,DEALS!$M:$M,$B265,DEALS!$N:$N,"&lt;&gt;*RECEIVED*",DEALS!$N:$N,"&lt;&gt;*EXECUTED*"))+SUM(SUMIFS(DEALS!$R:$R,DEALS!$A:$A,{"*REFUND*","*EXECUTED*"},DEALS!$O:$O,$B$247,DEALS!$E:$E,"&lt;"&amp;$C$249,DEALS!$S:$S,D$251,DEALS!$U:$U,$B265,DEALS!$V:$V,"&lt;&gt;*RECEIVED*",DEALS!$V:$V,"&lt;&gt;*EXECUTED*"))</f>
        <v>0</v>
      </c>
      <c r="E265" s="32" cm="1">
        <f t="array" ref="E265">SUMIFS(BALANCES!$C:$C,BALANCES!$A:$A,$B$247,BALANCES!$B:$B,$B265,BALANCES!$D:$D,E$251)+SUMIFS(FLOWS!$C:$C,FLOWS!$A:$A,$B$247,FLOWS!$E:$E,$B265,FLOWS!$D:$D,E$251,FLOWS!$H:$H,"&lt;"&amp;$C$249)+SUM(SUMIFS(DEALS!$J:$J,DEALS!$A:$A,{"*REFUND*","*EXECUTED*"},DEALS!$G:$G,$B$247,DEALS!$E:$E,"&lt;"&amp;$C$249,DEALS!$K:$K,E$251,DEALS!$M:$M,$B265,DEALS!$N:$N,"&lt;&gt;*RECEIVED*",DEALS!$N:$N,"&lt;&gt;*EXECUTED*"))+SUM(SUMIFS(DEALS!$R:$R,DEALS!$A:$A,{"*REFUND*","*EXECUTED*"},DEALS!$O:$O,$B$247,DEALS!$E:$E,"&lt;"&amp;$C$249,DEALS!$S:$S,E$251,DEALS!$U:$U,$B265,DEALS!$V:$V,"&lt;&gt;*RECEIVED*",DEALS!$V:$V,"&lt;&gt;*EXECUTED*"))</f>
        <v>0</v>
      </c>
      <c r="F265" s="32" cm="1">
        <f t="array" ref="F265">SUMIFS(BALANCES!$C:$C,BALANCES!$A:$A,$B$247,BALANCES!$B:$B,$B265,BALANCES!$D:$D,F$251)+SUMIFS(FLOWS!$C:$C,FLOWS!$A:$A,$B$247,FLOWS!$E:$E,$B265,FLOWS!$D:$D,F$251,FLOWS!$H:$H,"&lt;"&amp;$C$249)+SUM(SUMIFS(DEALS!$J:$J,DEALS!$A:$A,{"*REFUND*","*EXECUTED*"},DEALS!$G:$G,$B$247,DEALS!$E:$E,"&lt;"&amp;$C$249,DEALS!$K:$K,F$251,DEALS!$M:$M,$B265,DEALS!$N:$N,"&lt;&gt;*RECEIVED*",DEALS!$N:$N,"&lt;&gt;*EXECUTED*"))+SUM(SUMIFS(DEALS!$R:$R,DEALS!$A:$A,{"*REFUND*","*EXECUTED*"},DEALS!$O:$O,$B$247,DEALS!$E:$E,"&lt;"&amp;$C$249,DEALS!$S:$S,F$251,DEALS!$U:$U,$B265,DEALS!$V:$V,"&lt;&gt;*RECEIVED*",DEALS!$V:$V,"&lt;&gt;*EXECUTED*"))</f>
        <v>0</v>
      </c>
      <c r="G265" s="32" cm="1">
        <f t="array" ref="G265">SUMIFS(BALANCES!$C:$C,BALANCES!$A:$A,$B$247,BALANCES!$B:$B,$B265,BALANCES!$D:$D,G$251)+SUMIFS(FLOWS!$C:$C,FLOWS!$A:$A,$B$247,FLOWS!$E:$E,$B265,FLOWS!$D:$D,G$251,FLOWS!$H:$H,"&lt;"&amp;$C$249)+SUM(SUMIFS(DEALS!$J:$J,DEALS!$A:$A,{"*REFUND*","*EXECUTED*"},DEALS!$G:$G,$B$247,DEALS!$E:$E,"&lt;"&amp;$C$249,DEALS!$K:$K,G$251,DEALS!$M:$M,$B265,DEALS!$N:$N,"&lt;&gt;*RECEIVED*",DEALS!$N:$N,"&lt;&gt;*EXECUTED*"))+SUM(SUMIFS(DEALS!$R:$R,DEALS!$A:$A,{"*REFUND*","*EXECUTED*"},DEALS!$O:$O,$B$247,DEALS!$E:$E,"&lt;"&amp;$C$249,DEALS!$S:$S,G$251,DEALS!$U:$U,$B265,DEALS!$V:$V,"&lt;&gt;*RECEIVED*",DEALS!$V:$V,"&lt;&gt;*EXECUTED*"))</f>
        <v>0</v>
      </c>
      <c r="H265" s="32" cm="1">
        <f t="array" ref="H265">SUMIFS(BALANCES!$C:$C,BALANCES!$A:$A,$B$247,BALANCES!$B:$B,$B265,BALANCES!$D:$D,H$251)+SUMIFS(FLOWS!$C:$C,FLOWS!$A:$A,$B$247,FLOWS!$E:$E,$B265,FLOWS!$D:$D,H$251,FLOWS!$H:$H,"&lt;"&amp;$C$249)+SUM(SUMIFS(DEALS!$J:$J,DEALS!$A:$A,{"*REFUND*","*EXECUTED*"},DEALS!$G:$G,$B$247,DEALS!$E:$E,"&lt;"&amp;$C$249,DEALS!$K:$K,H$251,DEALS!$M:$M,$B265,DEALS!$N:$N,"&lt;&gt;*RECEIVED*",DEALS!$N:$N,"&lt;&gt;*EXECUTED*"))+SUM(SUMIFS(DEALS!$R:$R,DEALS!$A:$A,{"*REFUND*","*EXECUTED*"},DEALS!$O:$O,$B$247,DEALS!$E:$E,"&lt;"&amp;$C$249,DEALS!$S:$S,H$251,DEALS!$U:$U,$B265,DEALS!$V:$V,"&lt;&gt;*RECEIVED*",DEALS!$V:$V,"&lt;&gt;*EXECUTED*"))</f>
        <v>0</v>
      </c>
      <c r="I265" s="33">
        <f ca="1">C265*VLOOKUP(C$251,'FX RATES'!$E$1:$F$50,2,FALSE)+D265*VLOOKUP(D$251,'FX RATES'!$E$1:$F$50,2,FALSE)+E265*VLOOKUP(E$251,'FX RATES'!$E$1:$F$50,2,FALSE)+F265*VLOOKUP(F$251,'FX RATES'!$E$1:$F$50,2,FALSE)+G265*VLOOKUP(G$251,'FX RATES'!$E$1:$F$50,2,FALSE)+H265*VLOOKUP(H$251,'FX RATES'!$E$1:$F$50,2,FALSE)</f>
        <v>0</v>
      </c>
      <c r="J265" s="18"/>
      <c r="K265" s="31">
        <f t="shared" si="104"/>
        <v>0</v>
      </c>
      <c r="L265" s="32" cm="1">
        <f t="array" ref="L265">SUMIFS(FLOWS!$C:$C,FLOWS!$A:$A,$B$247,FLOWS!$E:$E,$K265,FLOWS!$D:$D,L$251,FLOWS!$H:$H,"&gt;="&amp;$C$249,FLOWS!$H:$H,"&lt;="&amp;$U$249)+SUM(SUMIFS(DEALS!$J:$J,DEALS!$A:$A,{"*REFUND*","*EXECUTED*"},DEALS!$G:$G,$B$247,DEALS!$E:$E,"&gt;="&amp;$C$249,DEALS!$E:$E,"&lt;="&amp;$U$249,DEALS!$K:$K,L$251,DEALS!$M:$M,$K265,DEALS!$N:$N,"&lt;&gt;*RECEIVED*",DEALS!$N:$N,"&lt;&gt;*EXECUTED*"))+SUM(SUMIFS(DEALS!$R:$R,DEALS!$A:$A,{"*REFUND*","*EXECUTED*"},DEALS!$O:$O,$B$247,DEALS!$E:$E,"&gt;="&amp;$C$249,DEALS!$E:$E,"&lt;="&amp;$U$249,DEALS!$S:$S,L$251,DEALS!$U:$U,$K265,DEALS!$V:$V,"&lt;&gt;*RECEIVED*",DEALS!$V:$V,"&lt;&gt;*EXECUTED*"))</f>
        <v>0</v>
      </c>
      <c r="M265" s="32" cm="1">
        <f t="array" ref="M265">SUMIFS(FLOWS!$C:$C,FLOWS!$A:$A,$B$247,FLOWS!$E:$E,$K265,FLOWS!$D:$D,M$251,FLOWS!$H:$H,"&gt;="&amp;$C$249,FLOWS!$H:$H,"&lt;="&amp;$U$249)+SUM(SUMIFS(DEALS!$J:$J,DEALS!$A:$A,{"*REFUND*","*EXECUTED*"},DEALS!$G:$G,$B$247,DEALS!$E:$E,"&gt;="&amp;$C$249,DEALS!$E:$E,"&lt;="&amp;$U$249,DEALS!$K:$K,M$251,DEALS!$M:$M,$K265,DEALS!$N:$N,"&lt;&gt;*RECEIVED*",DEALS!$N:$N,"&lt;&gt;*EXECUTED*"))+SUM(SUMIFS(DEALS!$R:$R,DEALS!$A:$A,{"*REFUND*","*EXECUTED*"},DEALS!$O:$O,$B$247,DEALS!$E:$E,"&gt;="&amp;$C$249,DEALS!$E:$E,"&lt;="&amp;$U$249,DEALS!$S:$S,M$251,DEALS!$U:$U,$K265,DEALS!$V:$V,"&lt;&gt;*RECEIVED*",DEALS!$V:$V,"&lt;&gt;*EXECUTED*"))</f>
        <v>0</v>
      </c>
      <c r="N265" s="32" cm="1">
        <f t="array" ref="N265">SUMIFS(FLOWS!$C:$C,FLOWS!$A:$A,$B$247,FLOWS!$E:$E,$K265,FLOWS!$D:$D,N$251,FLOWS!$H:$H,"&gt;="&amp;$C$249,FLOWS!$H:$H,"&lt;="&amp;$U$249)+SUM(SUMIFS(DEALS!$J:$J,DEALS!$A:$A,{"*REFUND*","*EXECUTED*"},DEALS!$G:$G,$B$247,DEALS!$E:$E,"&gt;="&amp;$C$249,DEALS!$E:$E,"&lt;="&amp;$U$249,DEALS!$K:$K,N$251,DEALS!$M:$M,$K265,DEALS!$N:$N,"&lt;&gt;*RECEIVED*",DEALS!$N:$N,"&lt;&gt;*EXECUTED*"))+SUM(SUMIFS(DEALS!$R:$R,DEALS!$A:$A,{"*REFUND*","*EXECUTED*"},DEALS!$O:$O,$B$247,DEALS!$E:$E,"&gt;="&amp;$C$249,DEALS!$E:$E,"&lt;="&amp;$U$249,DEALS!$S:$S,N$251,DEALS!$U:$U,$K265,DEALS!$V:$V,"&lt;&gt;*RECEIVED*",DEALS!$V:$V,"&lt;&gt;*EXECUTED*"))</f>
        <v>0</v>
      </c>
      <c r="O265" s="32" cm="1">
        <f t="array" ref="O265">SUMIFS(FLOWS!$C:$C,FLOWS!$A:$A,$B$247,FLOWS!$E:$E,$K265,FLOWS!$D:$D,O$251,FLOWS!$H:$H,"&gt;="&amp;$C$249,FLOWS!$H:$H,"&lt;="&amp;$U$249)+SUM(SUMIFS(DEALS!$J:$J,DEALS!$A:$A,{"*REFUND*","*EXECUTED*"},DEALS!$G:$G,$B$247,DEALS!$E:$E,"&gt;="&amp;$C$249,DEALS!$E:$E,"&lt;="&amp;$U$249,DEALS!$K:$K,O$251,DEALS!$M:$M,$K265,DEALS!$N:$N,"&lt;&gt;*RECEIVED*",DEALS!$N:$N,"&lt;&gt;*EXECUTED*"))+SUM(SUMIFS(DEALS!$R:$R,DEALS!$A:$A,{"*REFUND*","*EXECUTED*"},DEALS!$O:$O,$B$247,DEALS!$E:$E,"&gt;="&amp;$C$249,DEALS!$E:$E,"&lt;="&amp;$U$249,DEALS!$S:$S,O$251,DEALS!$U:$U,$K265,DEALS!$V:$V,"&lt;&gt;*RECEIVED*",DEALS!$V:$V,"&lt;&gt;*EXECUTED*"))</f>
        <v>0</v>
      </c>
      <c r="P265" s="32" cm="1">
        <f t="array" ref="P265">SUMIFS(FLOWS!$C:$C,FLOWS!$A:$A,$B$247,FLOWS!$E:$E,$K265,FLOWS!$D:$D,P$251,FLOWS!$H:$H,"&gt;="&amp;$C$249,FLOWS!$H:$H,"&lt;="&amp;$U$249)+SUM(SUMIFS(DEALS!$J:$J,DEALS!$A:$A,{"*REFUND*","*EXECUTED*"},DEALS!$G:$G,$B$247,DEALS!$E:$E,"&gt;="&amp;$C$249,DEALS!$E:$E,"&lt;="&amp;$U$249,DEALS!$K:$K,P$251,DEALS!$M:$M,$K265,DEALS!$N:$N,"&lt;&gt;*RECEIVED*",DEALS!$N:$N,"&lt;&gt;*EXECUTED*"))+SUM(SUMIFS(DEALS!$R:$R,DEALS!$A:$A,{"*REFUND*","*EXECUTED*"},DEALS!$O:$O,$B$247,DEALS!$E:$E,"&gt;="&amp;$C$249,DEALS!$E:$E,"&lt;="&amp;$U$249,DEALS!$S:$S,P$251,DEALS!$U:$U,$K265,DEALS!$V:$V,"&lt;&gt;*RECEIVED*",DEALS!$V:$V,"&lt;&gt;*EXECUTED*"))</f>
        <v>0</v>
      </c>
      <c r="Q265" s="32" cm="1">
        <f t="array" ref="Q265">SUMIFS(FLOWS!$C:$C,FLOWS!$A:$A,$B$247,FLOWS!$E:$E,$K265,FLOWS!$D:$D,Q$251,FLOWS!$H:$H,"&gt;="&amp;$C$249,FLOWS!$H:$H,"&lt;="&amp;$U$249)+SUM(SUMIFS(DEALS!$J:$J,DEALS!$A:$A,{"*REFUND*","*EXECUTED*"},DEALS!$G:$G,$B$247,DEALS!$E:$E,"&gt;="&amp;$C$249,DEALS!$E:$E,"&lt;="&amp;$U$249,DEALS!$K:$K,Q$251,DEALS!$M:$M,$K265,DEALS!$N:$N,"&lt;&gt;*RECEIVED*",DEALS!$N:$N,"&lt;&gt;*EXECUTED*"))+SUM(SUMIFS(DEALS!$R:$R,DEALS!$A:$A,{"*REFUND*","*EXECUTED*"},DEALS!$O:$O,$B$247,DEALS!$E:$E,"&gt;="&amp;$C$249,DEALS!$E:$E,"&lt;="&amp;$U$249,DEALS!$S:$S,Q$251,DEALS!$U:$U,$K265,DEALS!$V:$V,"&lt;&gt;*RECEIVED*",DEALS!$V:$V,"&lt;&gt;*EXECUTED*"))</f>
        <v>0</v>
      </c>
      <c r="R265" s="33">
        <f ca="1">L265*VLOOKUP(L$251,'FX RATES'!$E$1:$F$50,2,FALSE)+M265*VLOOKUP(M$251,'FX RATES'!$E$1:$F$50,2,FALSE)+N265*VLOOKUP(N$251,'FX RATES'!$E$1:$F$50,2,FALSE)+O265*VLOOKUP(O$251,'FX RATES'!$E$1:$F$50,2,FALSE)+P265*VLOOKUP(P$251,'FX RATES'!$E$1:$F$50,2,FALSE)+Q265*VLOOKUP(Q$251,'FX RATES'!$E$1:$F$50,2,FALSE)</f>
        <v>0</v>
      </c>
      <c r="T265" s="31">
        <f t="shared" si="105"/>
        <v>0</v>
      </c>
      <c r="U265" s="32" cm="1">
        <f t="array" ref="U265">SUMIFS(BALANCES!$C:$C,BALANCES!$A:$A,$B$247,BALANCES!$B:$B,$T265,BALANCES!$D:$D,U$251)+SUMIFS(FLOWS!$C:$C,FLOWS!$A:$A,$B$247,FLOWS!$E:$E,$T265,FLOWS!$D:$D,U$251,FLOWS!$H:$H,"&lt;="&amp;$U$249)+SUM(SUMIFS(DEALS!$J:$J,DEALS!$A:$A,{"*REFUND*","*EXECUTED*"},DEALS!$G:$G,$B$247,DEALS!$E:$E,"&lt;="&amp;$U$249,DEALS!$K:$K,U$251,DEALS!$M:$M,$T265,DEALS!$N:$N,"&lt;&gt;*RECEIVED*",DEALS!$N:$N,"&lt;&gt;*EXECUTED*"))+SUM(SUMIFS(DEALS!$R:$R,DEALS!$A:$A,{"*REFUND*","*EXECUTED*"},DEALS!$O:$O,$B$247,DEALS!$E:$E,"&lt;="&amp;$U$249,DEALS!$S:$S,U$251,DEALS!$U:$U,$T265,DEALS!$V:$V,"&lt;&gt;*RECEIVED*",DEALS!$V:$V,"&lt;&gt;*EXECUTED*"))</f>
        <v>0</v>
      </c>
      <c r="V265" s="32" cm="1">
        <f t="array" ref="V265">SUMIFS(BALANCES!$C:$C,BALANCES!$A:$A,$B$247,BALANCES!$B:$B,$T265,BALANCES!$D:$D,V$251)+SUMIFS(FLOWS!$C:$C,FLOWS!$A:$A,$B$247,FLOWS!$E:$E,$T265,FLOWS!$D:$D,V$251,FLOWS!$H:$H,"&lt;="&amp;$U$249)+SUM(SUMIFS(DEALS!$J:$J,DEALS!$A:$A,{"*REFUND*","*EXECUTED*"},DEALS!$G:$G,$B$247,DEALS!$E:$E,"&lt;="&amp;$U$249,DEALS!$K:$K,V$251,DEALS!$M:$M,$T265,DEALS!$N:$N,"&lt;&gt;*RECEIVED*",DEALS!$N:$N,"&lt;&gt;*EXECUTED*"))+SUM(SUMIFS(DEALS!$R:$R,DEALS!$A:$A,{"*REFUND*","*EXECUTED*"},DEALS!$O:$O,$B$247,DEALS!$E:$E,"&lt;="&amp;$U$249,DEALS!$S:$S,V$251,DEALS!$U:$U,$T265,DEALS!$V:$V,"&lt;&gt;*RECEIVED*",DEALS!$V:$V,"&lt;&gt;*EXECUTED*"))</f>
        <v>0</v>
      </c>
      <c r="W265" s="32" cm="1">
        <f t="array" ref="W265">SUMIFS(BALANCES!$C:$C,BALANCES!$A:$A,$B$247,BALANCES!$B:$B,$T265,BALANCES!$D:$D,W$251)+SUMIFS(FLOWS!$C:$C,FLOWS!$A:$A,$B$247,FLOWS!$E:$E,$T265,FLOWS!$D:$D,W$251,FLOWS!$H:$H,"&lt;="&amp;$U$249)+SUM(SUMIFS(DEALS!$J:$J,DEALS!$A:$A,{"*REFUND*","*EXECUTED*"},DEALS!$G:$G,$B$247,DEALS!$E:$E,"&lt;="&amp;$U$249,DEALS!$K:$K,W$251,DEALS!$M:$M,$T265,DEALS!$N:$N,"&lt;&gt;*RECEIVED*",DEALS!$N:$N,"&lt;&gt;*EXECUTED*"))+SUM(SUMIFS(DEALS!$R:$R,DEALS!$A:$A,{"*REFUND*","*EXECUTED*"},DEALS!$O:$O,$B$247,DEALS!$E:$E,"&lt;="&amp;$U$249,DEALS!$S:$S,W$251,DEALS!$U:$U,$T265,DEALS!$V:$V,"&lt;&gt;*RECEIVED*",DEALS!$V:$V,"&lt;&gt;*EXECUTED*"))</f>
        <v>0</v>
      </c>
      <c r="X265" s="32" cm="1">
        <f t="array" ref="X265">SUMIFS(BALANCES!$C:$C,BALANCES!$A:$A,$B$247,BALANCES!$B:$B,$T265,BALANCES!$D:$D,X$251)+SUMIFS(FLOWS!$C:$C,FLOWS!$A:$A,$B$247,FLOWS!$E:$E,$T265,FLOWS!$D:$D,X$251,FLOWS!$H:$H,"&lt;="&amp;$U$249)+SUM(SUMIFS(DEALS!$J:$J,DEALS!$A:$A,{"*REFUND*","*EXECUTED*"},DEALS!$G:$G,$B$247,DEALS!$E:$E,"&lt;="&amp;$U$249,DEALS!$K:$K,X$251,DEALS!$M:$M,$T265,DEALS!$N:$N,"&lt;&gt;*RECEIVED*",DEALS!$N:$N,"&lt;&gt;*EXECUTED*"))+SUM(SUMIFS(DEALS!$R:$R,DEALS!$A:$A,{"*REFUND*","*EXECUTED*"},DEALS!$O:$O,$B$247,DEALS!$E:$E,"&lt;="&amp;$U$249,DEALS!$S:$S,X$251,DEALS!$U:$U,$T265,DEALS!$V:$V,"&lt;&gt;*RECEIVED*",DEALS!$V:$V,"&lt;&gt;*EXECUTED*"))</f>
        <v>0</v>
      </c>
      <c r="Y265" s="32" cm="1">
        <f t="array" ref="Y265">SUMIFS(BALANCES!$C:$C,BALANCES!$A:$A,$B$247,BALANCES!$B:$B,$T265,BALANCES!$D:$D,Y$251)+SUMIFS(FLOWS!$C:$C,FLOWS!$A:$A,$B$247,FLOWS!$E:$E,$T265,FLOWS!$D:$D,Y$251,FLOWS!$H:$H,"&lt;="&amp;$U$249)+SUM(SUMIFS(DEALS!$J:$J,DEALS!$A:$A,{"*REFUND*","*EXECUTED*"},DEALS!$G:$G,$B$247,DEALS!$E:$E,"&lt;="&amp;$U$249,DEALS!$K:$K,Y$251,DEALS!$M:$M,$T265,DEALS!$N:$N,"&lt;&gt;*RECEIVED*",DEALS!$N:$N,"&lt;&gt;*EXECUTED*"))+SUM(SUMIFS(DEALS!$R:$R,DEALS!$A:$A,{"*REFUND*","*EXECUTED*"},DEALS!$O:$O,$B$247,DEALS!$E:$E,"&lt;="&amp;$U$249,DEALS!$S:$S,Y$251,DEALS!$U:$U,$T265,DEALS!$V:$V,"&lt;&gt;*RECEIVED*",DEALS!$V:$V,"&lt;&gt;*EXECUTED*"))</f>
        <v>0</v>
      </c>
      <c r="Z265" s="32" cm="1">
        <f t="array" ref="Z265">SUMIFS(BALANCES!$C:$C,BALANCES!$A:$A,$B$247,BALANCES!$B:$B,$T265,BALANCES!$D:$D,Z$251)+SUMIFS(FLOWS!$C:$C,FLOWS!$A:$A,$B$247,FLOWS!$E:$E,$T265,FLOWS!$D:$D,Z$251,FLOWS!$H:$H,"&lt;="&amp;$U$249)+SUM(SUMIFS(DEALS!$J:$J,DEALS!$A:$A,{"*REFUND*","*EXECUTED*"},DEALS!$G:$G,$B$247,DEALS!$E:$E,"&lt;="&amp;$U$249,DEALS!$K:$K,Z$251,DEALS!$M:$M,$T265,DEALS!$N:$N,"&lt;&gt;*RECEIVED*",DEALS!$N:$N,"&lt;&gt;*EXECUTED*"))+SUM(SUMIFS(DEALS!$R:$R,DEALS!$A:$A,{"*REFUND*","*EXECUTED*"},DEALS!$O:$O,$B$247,DEALS!$E:$E,"&lt;="&amp;$U$249,DEALS!$S:$S,Z$251,DEALS!$U:$U,$T265,DEALS!$V:$V,"&lt;&gt;*RECEIVED*",DEALS!$V:$V,"&lt;&gt;*EXECUTED*"))</f>
        <v>0</v>
      </c>
      <c r="AA265" s="33">
        <f ca="1">U265*VLOOKUP(U$251,'FX RATES'!$E$1:$F$50,2,FALSE)+V265*VLOOKUP(V$251,'FX RATES'!$E$1:$F$50,2,FALSE)+W265*VLOOKUP(W$251,'FX RATES'!$E$1:$F$50,2,FALSE)+X265*VLOOKUP(X$251,'FX RATES'!$E$1:$F$50,2,FALSE)+Y265*VLOOKUP(Y$251,'FX RATES'!$E$1:$F$50,2,FALSE)+Z265*VLOOKUP(Z$251,'FX RATES'!$E$1:$F$50,2,FALSE)</f>
        <v>0</v>
      </c>
      <c r="AC265" s="139">
        <f t="shared" ca="1" si="106"/>
        <v>0</v>
      </c>
    </row>
    <row r="266" spans="2:29" ht="19" hidden="1">
      <c r="B266" s="28"/>
      <c r="C266" s="29" cm="1">
        <f t="array" ref="C266">SUMIFS(BALANCES!$C:$C,BALANCES!$A:$A,$B$247,BALANCES!$B:$B,$B266,BALANCES!$D:$D,C$251)+SUMIFS(FLOWS!$C:$C,FLOWS!$A:$A,$B$247,FLOWS!$E:$E,$B266,FLOWS!$D:$D,C$251,FLOWS!$H:$H,"&lt;"&amp;$C$249)+SUM(SUMIFS(DEALS!$J:$J,DEALS!$A:$A,{"*REFUND*","*EXECUTED*"},DEALS!$G:$G,$B$247,DEALS!$E:$E,"&lt;"&amp;$C$249,DEALS!$K:$K,C$251,DEALS!$M:$M,$B266,DEALS!$N:$N,"&lt;&gt;*RECEIVED*",DEALS!$N:$N,"&lt;&gt;*EXECUTED*"))+SUM(SUMIFS(DEALS!$R:$R,DEALS!$A:$A,{"*REFUND*","*EXECUTED*"},DEALS!$O:$O,$B$247,DEALS!$E:$E,"&lt;"&amp;$C$249,DEALS!$S:$S,C$251,DEALS!$U:$U,$B266,DEALS!$V:$V,"&lt;&gt;*RECEIVED*",DEALS!$V:$V,"&lt;&gt;*EXECUTED*"))</f>
        <v>0</v>
      </c>
      <c r="D266" s="29" cm="1">
        <f t="array" ref="D266">SUMIFS(BALANCES!$C:$C,BALANCES!$A:$A,$B$247,BALANCES!$B:$B,$B266,BALANCES!$D:$D,D$251)+SUMIFS(FLOWS!$C:$C,FLOWS!$A:$A,$B$247,FLOWS!$E:$E,$B266,FLOWS!$D:$D,D$251,FLOWS!$H:$H,"&lt;"&amp;$C$249)+SUM(SUMIFS(DEALS!$J:$J,DEALS!$A:$A,{"*REFUND*","*EXECUTED*"},DEALS!$G:$G,$B$247,DEALS!$E:$E,"&lt;"&amp;$C$249,DEALS!$K:$K,D$251,DEALS!$M:$M,$B266,DEALS!$N:$N,"&lt;&gt;*RECEIVED*",DEALS!$N:$N,"&lt;&gt;*EXECUTED*"))+SUM(SUMIFS(DEALS!$R:$R,DEALS!$A:$A,{"*REFUND*","*EXECUTED*"},DEALS!$O:$O,$B$247,DEALS!$E:$E,"&lt;"&amp;$C$249,DEALS!$S:$S,D$251,DEALS!$U:$U,$B266,DEALS!$V:$V,"&lt;&gt;*RECEIVED*",DEALS!$V:$V,"&lt;&gt;*EXECUTED*"))</f>
        <v>0</v>
      </c>
      <c r="E266" s="29" cm="1">
        <f t="array" ref="E266">SUMIFS(BALANCES!$C:$C,BALANCES!$A:$A,$B$247,BALANCES!$B:$B,$B266,BALANCES!$D:$D,E$251)+SUMIFS(FLOWS!$C:$C,FLOWS!$A:$A,$B$247,FLOWS!$E:$E,$B266,FLOWS!$D:$D,E$251,FLOWS!$H:$H,"&lt;"&amp;$C$249)+SUM(SUMIFS(DEALS!$J:$J,DEALS!$A:$A,{"*REFUND*","*EXECUTED*"},DEALS!$G:$G,$B$247,DEALS!$E:$E,"&lt;"&amp;$C$249,DEALS!$K:$K,E$251,DEALS!$M:$M,$B266,DEALS!$N:$N,"&lt;&gt;*RECEIVED*",DEALS!$N:$N,"&lt;&gt;*EXECUTED*"))+SUM(SUMIFS(DEALS!$R:$R,DEALS!$A:$A,{"*REFUND*","*EXECUTED*"},DEALS!$O:$O,$B$247,DEALS!$E:$E,"&lt;"&amp;$C$249,DEALS!$S:$S,E$251,DEALS!$U:$U,$B266,DEALS!$V:$V,"&lt;&gt;*RECEIVED*",DEALS!$V:$V,"&lt;&gt;*EXECUTED*"))</f>
        <v>0</v>
      </c>
      <c r="F266" s="29" cm="1">
        <f t="array" ref="F266">SUMIFS(BALANCES!$C:$C,BALANCES!$A:$A,$B$247,BALANCES!$B:$B,$B266,BALANCES!$D:$D,F$251)+SUMIFS(FLOWS!$C:$C,FLOWS!$A:$A,$B$247,FLOWS!$E:$E,$B266,FLOWS!$D:$D,F$251,FLOWS!$H:$H,"&lt;"&amp;$C$249)+SUM(SUMIFS(DEALS!$J:$J,DEALS!$A:$A,{"*REFUND*","*EXECUTED*"},DEALS!$G:$G,$B$247,DEALS!$E:$E,"&lt;"&amp;$C$249,DEALS!$K:$K,F$251,DEALS!$M:$M,$B266,DEALS!$N:$N,"&lt;&gt;*RECEIVED*",DEALS!$N:$N,"&lt;&gt;*EXECUTED*"))+SUM(SUMIFS(DEALS!$R:$R,DEALS!$A:$A,{"*REFUND*","*EXECUTED*"},DEALS!$O:$O,$B$247,DEALS!$E:$E,"&lt;"&amp;$C$249,DEALS!$S:$S,F$251,DEALS!$U:$U,$B266,DEALS!$V:$V,"&lt;&gt;*RECEIVED*",DEALS!$V:$V,"&lt;&gt;*EXECUTED*"))</f>
        <v>0</v>
      </c>
      <c r="G266" s="29" cm="1">
        <f t="array" ref="G266">SUMIFS(BALANCES!$C:$C,BALANCES!$A:$A,$B$247,BALANCES!$B:$B,$B266,BALANCES!$D:$D,G$251)+SUMIFS(FLOWS!$C:$C,FLOWS!$A:$A,$B$247,FLOWS!$E:$E,$B266,FLOWS!$D:$D,G$251,FLOWS!$H:$H,"&lt;"&amp;$C$249)+SUM(SUMIFS(DEALS!$J:$J,DEALS!$A:$A,{"*REFUND*","*EXECUTED*"},DEALS!$G:$G,$B$247,DEALS!$E:$E,"&lt;"&amp;$C$249,DEALS!$K:$K,G$251,DEALS!$M:$M,$B266,DEALS!$N:$N,"&lt;&gt;*RECEIVED*",DEALS!$N:$N,"&lt;&gt;*EXECUTED*"))+SUM(SUMIFS(DEALS!$R:$R,DEALS!$A:$A,{"*REFUND*","*EXECUTED*"},DEALS!$O:$O,$B$247,DEALS!$E:$E,"&lt;"&amp;$C$249,DEALS!$S:$S,G$251,DEALS!$U:$U,$B266,DEALS!$V:$V,"&lt;&gt;*RECEIVED*",DEALS!$V:$V,"&lt;&gt;*EXECUTED*"))</f>
        <v>0</v>
      </c>
      <c r="H266" s="29" cm="1">
        <f t="array" ref="H266">SUMIFS(BALANCES!$C:$C,BALANCES!$A:$A,$B$247,BALANCES!$B:$B,$B266,BALANCES!$D:$D,H$251)+SUMIFS(FLOWS!$C:$C,FLOWS!$A:$A,$B$247,FLOWS!$E:$E,$B266,FLOWS!$D:$D,H$251,FLOWS!$H:$H,"&lt;"&amp;$C$249)+SUM(SUMIFS(DEALS!$J:$J,DEALS!$A:$A,{"*REFUND*","*EXECUTED*"},DEALS!$G:$G,$B$247,DEALS!$E:$E,"&lt;"&amp;$C$249,DEALS!$K:$K,H$251,DEALS!$M:$M,$B266,DEALS!$N:$N,"&lt;&gt;*RECEIVED*",DEALS!$N:$N,"&lt;&gt;*EXECUTED*"))+SUM(SUMIFS(DEALS!$R:$R,DEALS!$A:$A,{"*REFUND*","*EXECUTED*"},DEALS!$O:$O,$B$247,DEALS!$E:$E,"&lt;"&amp;$C$249,DEALS!$S:$S,H$251,DEALS!$U:$U,$B266,DEALS!$V:$V,"&lt;&gt;*RECEIVED*",DEALS!$V:$V,"&lt;&gt;*EXECUTED*"))</f>
        <v>0</v>
      </c>
      <c r="I266" s="30">
        <f ca="1">C266*VLOOKUP(C$251,'FX RATES'!$E$1:$F$50,2,FALSE)+D266*VLOOKUP(D$251,'FX RATES'!$E$1:$F$50,2,FALSE)+E266*VLOOKUP(E$251,'FX RATES'!$E$1:$F$50,2,FALSE)+F266*VLOOKUP(F$251,'FX RATES'!$E$1:$F$50,2,FALSE)+G266*VLOOKUP(G$251,'FX RATES'!$E$1:$F$50,2,FALSE)+H266*VLOOKUP(H$251,'FX RATES'!$E$1:$F$50,2,FALSE)</f>
        <v>0</v>
      </c>
      <c r="K266" s="28">
        <f t="shared" si="104"/>
        <v>0</v>
      </c>
      <c r="L266" s="29" cm="1">
        <f t="array" ref="L266">SUMIFS(FLOWS!$C:$C,FLOWS!$A:$A,$B$247,FLOWS!$E:$E,$K266,FLOWS!$D:$D,L$251,FLOWS!$H:$H,"&gt;="&amp;$C$249,FLOWS!$H:$H,"&lt;="&amp;$U$249)+SUM(SUMIFS(DEALS!$J:$J,DEALS!$A:$A,{"*REFUND*","*EXECUTED*"},DEALS!$G:$G,$B$247,DEALS!$E:$E,"&gt;="&amp;$C$249,DEALS!$E:$E,"&lt;="&amp;$U$249,DEALS!$K:$K,L$251,DEALS!$M:$M,$K266,DEALS!$N:$N,"&lt;&gt;*RECEIVED*",DEALS!$N:$N,"&lt;&gt;*EXECUTED*"))+SUM(SUMIFS(DEALS!$R:$R,DEALS!$A:$A,{"*REFUND*","*EXECUTED*"},DEALS!$O:$O,$B$247,DEALS!$E:$E,"&gt;="&amp;$C$249,DEALS!$E:$E,"&lt;="&amp;$U$249,DEALS!$S:$S,L$251,DEALS!$U:$U,$K266,DEALS!$V:$V,"&lt;&gt;*RECEIVED*",DEALS!$V:$V,"&lt;&gt;*EXECUTED*"))</f>
        <v>0</v>
      </c>
      <c r="M266" s="29" cm="1">
        <f t="array" ref="M266">SUMIFS(FLOWS!$C:$C,FLOWS!$A:$A,$B$247,FLOWS!$E:$E,$K266,FLOWS!$D:$D,M$251,FLOWS!$H:$H,"&gt;="&amp;$C$249,FLOWS!$H:$H,"&lt;="&amp;$U$249)+SUM(SUMIFS(DEALS!$J:$J,DEALS!$A:$A,{"*REFUND*","*EXECUTED*"},DEALS!$G:$G,$B$247,DEALS!$E:$E,"&gt;="&amp;$C$249,DEALS!$E:$E,"&lt;="&amp;$U$249,DEALS!$K:$K,M$251,DEALS!$M:$M,$K266,DEALS!$N:$N,"&lt;&gt;*RECEIVED*",DEALS!$N:$N,"&lt;&gt;*EXECUTED*"))+SUM(SUMIFS(DEALS!$R:$R,DEALS!$A:$A,{"*REFUND*","*EXECUTED*"},DEALS!$O:$O,$B$247,DEALS!$E:$E,"&gt;="&amp;$C$249,DEALS!$E:$E,"&lt;="&amp;$U$249,DEALS!$S:$S,M$251,DEALS!$U:$U,$K266,DEALS!$V:$V,"&lt;&gt;*RECEIVED*",DEALS!$V:$V,"&lt;&gt;*EXECUTED*"))</f>
        <v>0</v>
      </c>
      <c r="N266" s="29" cm="1">
        <f t="array" ref="N266">SUMIFS(FLOWS!$C:$C,FLOWS!$A:$A,$B$247,FLOWS!$E:$E,$K266,FLOWS!$D:$D,N$251,FLOWS!$H:$H,"&gt;="&amp;$C$249,FLOWS!$H:$H,"&lt;="&amp;$U$249)+SUM(SUMIFS(DEALS!$J:$J,DEALS!$A:$A,{"*REFUND*","*EXECUTED*"},DEALS!$G:$G,$B$247,DEALS!$E:$E,"&gt;="&amp;$C$249,DEALS!$E:$E,"&lt;="&amp;$U$249,DEALS!$K:$K,N$251,DEALS!$M:$M,$K266,DEALS!$N:$N,"&lt;&gt;*RECEIVED*",DEALS!$N:$N,"&lt;&gt;*EXECUTED*"))+SUM(SUMIFS(DEALS!$R:$R,DEALS!$A:$A,{"*REFUND*","*EXECUTED*"},DEALS!$O:$O,$B$247,DEALS!$E:$E,"&gt;="&amp;$C$249,DEALS!$E:$E,"&lt;="&amp;$U$249,DEALS!$S:$S,N$251,DEALS!$U:$U,$K266,DEALS!$V:$V,"&lt;&gt;*RECEIVED*",DEALS!$V:$V,"&lt;&gt;*EXECUTED*"))</f>
        <v>0</v>
      </c>
      <c r="O266" s="29" cm="1">
        <f t="array" ref="O266">SUMIFS(FLOWS!$C:$C,FLOWS!$A:$A,$B$247,FLOWS!$E:$E,$K266,FLOWS!$D:$D,O$251,FLOWS!$H:$H,"&gt;="&amp;$C$249,FLOWS!$H:$H,"&lt;="&amp;$U$249)+SUM(SUMIFS(DEALS!$J:$J,DEALS!$A:$A,{"*REFUND*","*EXECUTED*"},DEALS!$G:$G,$B$247,DEALS!$E:$E,"&gt;="&amp;$C$249,DEALS!$E:$E,"&lt;="&amp;$U$249,DEALS!$K:$K,O$251,DEALS!$M:$M,$K266,DEALS!$N:$N,"&lt;&gt;*RECEIVED*",DEALS!$N:$N,"&lt;&gt;*EXECUTED*"))+SUM(SUMIFS(DEALS!$R:$R,DEALS!$A:$A,{"*REFUND*","*EXECUTED*"},DEALS!$O:$O,$B$247,DEALS!$E:$E,"&gt;="&amp;$C$249,DEALS!$E:$E,"&lt;="&amp;$U$249,DEALS!$S:$S,O$251,DEALS!$U:$U,$K266,DEALS!$V:$V,"&lt;&gt;*RECEIVED*",DEALS!$V:$V,"&lt;&gt;*EXECUTED*"))</f>
        <v>0</v>
      </c>
      <c r="P266" s="29" cm="1">
        <f t="array" ref="P266">SUMIFS(FLOWS!$C:$C,FLOWS!$A:$A,$B$247,FLOWS!$E:$E,$K266,FLOWS!$D:$D,P$251,FLOWS!$H:$H,"&gt;="&amp;$C$249,FLOWS!$H:$H,"&lt;="&amp;$U$249)+SUM(SUMIFS(DEALS!$J:$J,DEALS!$A:$A,{"*REFUND*","*EXECUTED*"},DEALS!$G:$G,$B$247,DEALS!$E:$E,"&gt;="&amp;$C$249,DEALS!$E:$E,"&lt;="&amp;$U$249,DEALS!$K:$K,P$251,DEALS!$M:$M,$K266,DEALS!$N:$N,"&lt;&gt;*RECEIVED*",DEALS!$N:$N,"&lt;&gt;*EXECUTED*"))+SUM(SUMIFS(DEALS!$R:$R,DEALS!$A:$A,{"*REFUND*","*EXECUTED*"},DEALS!$O:$O,$B$247,DEALS!$E:$E,"&gt;="&amp;$C$249,DEALS!$E:$E,"&lt;="&amp;$U$249,DEALS!$S:$S,P$251,DEALS!$U:$U,$K266,DEALS!$V:$V,"&lt;&gt;*RECEIVED*",DEALS!$V:$V,"&lt;&gt;*EXECUTED*"))</f>
        <v>0</v>
      </c>
      <c r="Q266" s="29" cm="1">
        <f t="array" ref="Q266">SUMIFS(FLOWS!$C:$C,FLOWS!$A:$A,$B$247,FLOWS!$E:$E,$K266,FLOWS!$D:$D,Q$251,FLOWS!$H:$H,"&gt;="&amp;$C$249,FLOWS!$H:$H,"&lt;="&amp;$U$249)+SUM(SUMIFS(DEALS!$J:$J,DEALS!$A:$A,{"*REFUND*","*EXECUTED*"},DEALS!$G:$G,$B$247,DEALS!$E:$E,"&gt;="&amp;$C$249,DEALS!$E:$E,"&lt;="&amp;$U$249,DEALS!$K:$K,Q$251,DEALS!$M:$M,$K266,DEALS!$N:$N,"&lt;&gt;*RECEIVED*",DEALS!$N:$N,"&lt;&gt;*EXECUTED*"))+SUM(SUMIFS(DEALS!$R:$R,DEALS!$A:$A,{"*REFUND*","*EXECUTED*"},DEALS!$O:$O,$B$247,DEALS!$E:$E,"&gt;="&amp;$C$249,DEALS!$E:$E,"&lt;="&amp;$U$249,DEALS!$S:$S,Q$251,DEALS!$U:$U,$K266,DEALS!$V:$V,"&lt;&gt;*RECEIVED*",DEALS!$V:$V,"&lt;&gt;*EXECUTED*"))</f>
        <v>0</v>
      </c>
      <c r="R266" s="30">
        <f ca="1">L266*VLOOKUP(L$251,'FX RATES'!$E$1:$F$50,2,FALSE)+M266*VLOOKUP(M$251,'FX RATES'!$E$1:$F$50,2,FALSE)+N266*VLOOKUP(N$251,'FX RATES'!$E$1:$F$50,2,FALSE)+O266*VLOOKUP(O$251,'FX RATES'!$E$1:$F$50,2,FALSE)+P266*VLOOKUP(P$251,'FX RATES'!$E$1:$F$50,2,FALSE)+Q266*VLOOKUP(Q$251,'FX RATES'!$E$1:$F$50,2,FALSE)</f>
        <v>0</v>
      </c>
      <c r="T266" s="28">
        <f t="shared" si="105"/>
        <v>0</v>
      </c>
      <c r="U266" s="29" cm="1">
        <f t="array" ref="U266">SUMIFS(BALANCES!$C:$C,BALANCES!$A:$A,$B$247,BALANCES!$B:$B,$T266,BALANCES!$D:$D,U$251)+SUMIFS(FLOWS!$C:$C,FLOWS!$A:$A,$B$247,FLOWS!$E:$E,$T266,FLOWS!$D:$D,U$251,FLOWS!$H:$H,"&lt;="&amp;$U$249)+SUM(SUMIFS(DEALS!$J:$J,DEALS!$A:$A,{"*REFUND*","*EXECUTED*"},DEALS!$G:$G,$B$247,DEALS!$E:$E,"&lt;="&amp;$U$249,DEALS!$K:$K,U$251,DEALS!$M:$M,$T266,DEALS!$N:$N,"&lt;&gt;*RECEIVED*",DEALS!$N:$N,"&lt;&gt;*EXECUTED*"))+SUM(SUMIFS(DEALS!$R:$R,DEALS!$A:$A,{"*REFUND*","*EXECUTED*"},DEALS!$O:$O,$B$247,DEALS!$E:$E,"&lt;="&amp;$U$249,DEALS!$S:$S,U$251,DEALS!$U:$U,$T266,DEALS!$V:$V,"&lt;&gt;*RECEIVED*",DEALS!$V:$V,"&lt;&gt;*EXECUTED*"))</f>
        <v>0</v>
      </c>
      <c r="V266" s="29" cm="1">
        <f t="array" ref="V266">SUMIFS(BALANCES!$C:$C,BALANCES!$A:$A,$B$247,BALANCES!$B:$B,$T266,BALANCES!$D:$D,V$251)+SUMIFS(FLOWS!$C:$C,FLOWS!$A:$A,$B$247,FLOWS!$E:$E,$T266,FLOWS!$D:$D,V$251,FLOWS!$H:$H,"&lt;="&amp;$U$249)+SUM(SUMIFS(DEALS!$J:$J,DEALS!$A:$A,{"*REFUND*","*EXECUTED*"},DEALS!$G:$G,$B$247,DEALS!$E:$E,"&lt;="&amp;$U$249,DEALS!$K:$K,V$251,DEALS!$M:$M,$T266,DEALS!$N:$N,"&lt;&gt;*RECEIVED*",DEALS!$N:$N,"&lt;&gt;*EXECUTED*"))+SUM(SUMIFS(DEALS!$R:$R,DEALS!$A:$A,{"*REFUND*","*EXECUTED*"},DEALS!$O:$O,$B$247,DEALS!$E:$E,"&lt;="&amp;$U$249,DEALS!$S:$S,V$251,DEALS!$U:$U,$T266,DEALS!$V:$V,"&lt;&gt;*RECEIVED*",DEALS!$V:$V,"&lt;&gt;*EXECUTED*"))</f>
        <v>0</v>
      </c>
      <c r="W266" s="29" cm="1">
        <f t="array" ref="W266">SUMIFS(BALANCES!$C:$C,BALANCES!$A:$A,$B$247,BALANCES!$B:$B,$T266,BALANCES!$D:$D,W$251)+SUMIFS(FLOWS!$C:$C,FLOWS!$A:$A,$B$247,FLOWS!$E:$E,$T266,FLOWS!$D:$D,W$251,FLOWS!$H:$H,"&lt;="&amp;$U$249)+SUM(SUMIFS(DEALS!$J:$J,DEALS!$A:$A,{"*REFUND*","*EXECUTED*"},DEALS!$G:$G,$B$247,DEALS!$E:$E,"&lt;="&amp;$U$249,DEALS!$K:$K,W$251,DEALS!$M:$M,$T266,DEALS!$N:$N,"&lt;&gt;*RECEIVED*",DEALS!$N:$N,"&lt;&gt;*EXECUTED*"))+SUM(SUMIFS(DEALS!$R:$R,DEALS!$A:$A,{"*REFUND*","*EXECUTED*"},DEALS!$O:$O,$B$247,DEALS!$E:$E,"&lt;="&amp;$U$249,DEALS!$S:$S,W$251,DEALS!$U:$U,$T266,DEALS!$V:$V,"&lt;&gt;*RECEIVED*",DEALS!$V:$V,"&lt;&gt;*EXECUTED*"))</f>
        <v>0</v>
      </c>
      <c r="X266" s="29" cm="1">
        <f t="array" ref="X266">SUMIFS(BALANCES!$C:$C,BALANCES!$A:$A,$B$247,BALANCES!$B:$B,$T266,BALANCES!$D:$D,X$251)+SUMIFS(FLOWS!$C:$C,FLOWS!$A:$A,$B$247,FLOWS!$E:$E,$T266,FLOWS!$D:$D,X$251,FLOWS!$H:$H,"&lt;="&amp;$U$249)+SUM(SUMIFS(DEALS!$J:$J,DEALS!$A:$A,{"*REFUND*","*EXECUTED*"},DEALS!$G:$G,$B$247,DEALS!$E:$E,"&lt;="&amp;$U$249,DEALS!$K:$K,X$251,DEALS!$M:$M,$T266,DEALS!$N:$N,"&lt;&gt;*RECEIVED*",DEALS!$N:$N,"&lt;&gt;*EXECUTED*"))+SUM(SUMIFS(DEALS!$R:$R,DEALS!$A:$A,{"*REFUND*","*EXECUTED*"},DEALS!$O:$O,$B$247,DEALS!$E:$E,"&lt;="&amp;$U$249,DEALS!$S:$S,X$251,DEALS!$U:$U,$T266,DEALS!$V:$V,"&lt;&gt;*RECEIVED*",DEALS!$V:$V,"&lt;&gt;*EXECUTED*"))</f>
        <v>0</v>
      </c>
      <c r="Y266" s="29" cm="1">
        <f t="array" ref="Y266">SUMIFS(BALANCES!$C:$C,BALANCES!$A:$A,$B$247,BALANCES!$B:$B,$T266,BALANCES!$D:$D,Y$251)+SUMIFS(FLOWS!$C:$C,FLOWS!$A:$A,$B$247,FLOWS!$E:$E,$T266,FLOWS!$D:$D,Y$251,FLOWS!$H:$H,"&lt;="&amp;$U$249)+SUM(SUMIFS(DEALS!$J:$J,DEALS!$A:$A,{"*REFUND*","*EXECUTED*"},DEALS!$G:$G,$B$247,DEALS!$E:$E,"&lt;="&amp;$U$249,DEALS!$K:$K,Y$251,DEALS!$M:$M,$T266,DEALS!$N:$N,"&lt;&gt;*RECEIVED*",DEALS!$N:$N,"&lt;&gt;*EXECUTED*"))+SUM(SUMIFS(DEALS!$R:$R,DEALS!$A:$A,{"*REFUND*","*EXECUTED*"},DEALS!$O:$O,$B$247,DEALS!$E:$E,"&lt;="&amp;$U$249,DEALS!$S:$S,Y$251,DEALS!$U:$U,$T266,DEALS!$V:$V,"&lt;&gt;*RECEIVED*",DEALS!$V:$V,"&lt;&gt;*EXECUTED*"))</f>
        <v>0</v>
      </c>
      <c r="Z266" s="29" cm="1">
        <f t="array" ref="Z266">SUMIFS(BALANCES!$C:$C,BALANCES!$A:$A,$B$247,BALANCES!$B:$B,$T266,BALANCES!$D:$D,Z$251)+SUMIFS(FLOWS!$C:$C,FLOWS!$A:$A,$B$247,FLOWS!$E:$E,$T266,FLOWS!$D:$D,Z$251,FLOWS!$H:$H,"&lt;="&amp;$U$249)+SUM(SUMIFS(DEALS!$J:$J,DEALS!$A:$A,{"*REFUND*","*EXECUTED*"},DEALS!$G:$G,$B$247,DEALS!$E:$E,"&lt;="&amp;$U$249,DEALS!$K:$K,Z$251,DEALS!$M:$M,$T266,DEALS!$N:$N,"&lt;&gt;*RECEIVED*",DEALS!$N:$N,"&lt;&gt;*EXECUTED*"))+SUM(SUMIFS(DEALS!$R:$R,DEALS!$A:$A,{"*REFUND*","*EXECUTED*"},DEALS!$O:$O,$B$247,DEALS!$E:$E,"&lt;="&amp;$U$249,DEALS!$S:$S,Z$251,DEALS!$U:$U,$T266,DEALS!$V:$V,"&lt;&gt;*RECEIVED*",DEALS!$V:$V,"&lt;&gt;*EXECUTED*"))</f>
        <v>0</v>
      </c>
      <c r="AA266" s="30">
        <f ca="1">U266*VLOOKUP(U$251,'FX RATES'!$E$1:$F$50,2,FALSE)+V266*VLOOKUP(V$251,'FX RATES'!$E$1:$F$50,2,FALSE)+W266*VLOOKUP(W$251,'FX RATES'!$E$1:$F$50,2,FALSE)+X266*VLOOKUP(X$251,'FX RATES'!$E$1:$F$50,2,FALSE)+Y266*VLOOKUP(Y$251,'FX RATES'!$E$1:$F$50,2,FALSE)+Z266*VLOOKUP(Z$251,'FX RATES'!$E$1:$F$50,2,FALSE)</f>
        <v>0</v>
      </c>
      <c r="AC266" s="139">
        <f t="shared" ca="1" si="106"/>
        <v>0</v>
      </c>
    </row>
    <row r="267" spans="2:29" ht="19" hidden="1">
      <c r="B267" s="31"/>
      <c r="C267" s="32" cm="1">
        <f t="array" ref="C267">SUMIFS(BALANCES!$C:$C,BALANCES!$A:$A,$B$247,BALANCES!$B:$B,$B267,BALANCES!$D:$D,C$251)+SUMIFS(FLOWS!$C:$C,FLOWS!$A:$A,$B$247,FLOWS!$E:$E,$B267,FLOWS!$D:$D,C$251,FLOWS!$H:$H,"&lt;"&amp;$C$249)+SUM(SUMIFS(DEALS!$J:$J,DEALS!$A:$A,{"*REFUND*","*EXECUTED*"},DEALS!$G:$G,$B$247,DEALS!$E:$E,"&lt;"&amp;$C$249,DEALS!$K:$K,C$251,DEALS!$M:$M,$B267,DEALS!$N:$N,"&lt;&gt;*RECEIVED*",DEALS!$N:$N,"&lt;&gt;*EXECUTED*"))+SUM(SUMIFS(DEALS!$R:$R,DEALS!$A:$A,{"*REFUND*","*EXECUTED*"},DEALS!$O:$O,$B$247,DEALS!$E:$E,"&lt;"&amp;$C$249,DEALS!$S:$S,C$251,DEALS!$U:$U,$B267,DEALS!$V:$V,"&lt;&gt;*RECEIVED*",DEALS!$V:$V,"&lt;&gt;*EXECUTED*"))</f>
        <v>0</v>
      </c>
      <c r="D267" s="32" cm="1">
        <f t="array" ref="D267">SUMIFS(BALANCES!$C:$C,BALANCES!$A:$A,$B$247,BALANCES!$B:$B,$B267,BALANCES!$D:$D,D$251)+SUMIFS(FLOWS!$C:$C,FLOWS!$A:$A,$B$247,FLOWS!$E:$E,$B267,FLOWS!$D:$D,D$251,FLOWS!$H:$H,"&lt;"&amp;$C$249)+SUM(SUMIFS(DEALS!$J:$J,DEALS!$A:$A,{"*REFUND*","*EXECUTED*"},DEALS!$G:$G,$B$247,DEALS!$E:$E,"&lt;"&amp;$C$249,DEALS!$K:$K,D$251,DEALS!$M:$M,$B267,DEALS!$N:$N,"&lt;&gt;*RECEIVED*",DEALS!$N:$N,"&lt;&gt;*EXECUTED*"))+SUM(SUMIFS(DEALS!$R:$R,DEALS!$A:$A,{"*REFUND*","*EXECUTED*"},DEALS!$O:$O,$B$247,DEALS!$E:$E,"&lt;"&amp;$C$249,DEALS!$S:$S,D$251,DEALS!$U:$U,$B267,DEALS!$V:$V,"&lt;&gt;*RECEIVED*",DEALS!$V:$V,"&lt;&gt;*EXECUTED*"))</f>
        <v>0</v>
      </c>
      <c r="E267" s="32" cm="1">
        <f t="array" ref="E267">SUMIFS(BALANCES!$C:$C,BALANCES!$A:$A,$B$247,BALANCES!$B:$B,$B267,BALANCES!$D:$D,E$251)+SUMIFS(FLOWS!$C:$C,FLOWS!$A:$A,$B$247,FLOWS!$E:$E,$B267,FLOWS!$D:$D,E$251,FLOWS!$H:$H,"&lt;"&amp;$C$249)+SUM(SUMIFS(DEALS!$J:$J,DEALS!$A:$A,{"*REFUND*","*EXECUTED*"},DEALS!$G:$G,$B$247,DEALS!$E:$E,"&lt;"&amp;$C$249,DEALS!$K:$K,E$251,DEALS!$M:$M,$B267,DEALS!$N:$N,"&lt;&gt;*RECEIVED*",DEALS!$N:$N,"&lt;&gt;*EXECUTED*"))+SUM(SUMIFS(DEALS!$R:$R,DEALS!$A:$A,{"*REFUND*","*EXECUTED*"},DEALS!$O:$O,$B$247,DEALS!$E:$E,"&lt;"&amp;$C$249,DEALS!$S:$S,E$251,DEALS!$U:$U,$B267,DEALS!$V:$V,"&lt;&gt;*RECEIVED*",DEALS!$V:$V,"&lt;&gt;*EXECUTED*"))</f>
        <v>0</v>
      </c>
      <c r="F267" s="32" cm="1">
        <f t="array" ref="F267">SUMIFS(BALANCES!$C:$C,BALANCES!$A:$A,$B$247,BALANCES!$B:$B,$B267,BALANCES!$D:$D,F$251)+SUMIFS(FLOWS!$C:$C,FLOWS!$A:$A,$B$247,FLOWS!$E:$E,$B267,FLOWS!$D:$D,F$251,FLOWS!$H:$H,"&lt;"&amp;$C$249)+SUM(SUMIFS(DEALS!$J:$J,DEALS!$A:$A,{"*REFUND*","*EXECUTED*"},DEALS!$G:$G,$B$247,DEALS!$E:$E,"&lt;"&amp;$C$249,DEALS!$K:$K,F$251,DEALS!$M:$M,$B267,DEALS!$N:$N,"&lt;&gt;*RECEIVED*",DEALS!$N:$N,"&lt;&gt;*EXECUTED*"))+SUM(SUMIFS(DEALS!$R:$R,DEALS!$A:$A,{"*REFUND*","*EXECUTED*"},DEALS!$O:$O,$B$247,DEALS!$E:$E,"&lt;"&amp;$C$249,DEALS!$S:$S,F$251,DEALS!$U:$U,$B267,DEALS!$V:$V,"&lt;&gt;*RECEIVED*",DEALS!$V:$V,"&lt;&gt;*EXECUTED*"))</f>
        <v>0</v>
      </c>
      <c r="G267" s="32" cm="1">
        <f t="array" ref="G267">SUMIFS(BALANCES!$C:$C,BALANCES!$A:$A,$B$247,BALANCES!$B:$B,$B267,BALANCES!$D:$D,G$251)+SUMIFS(FLOWS!$C:$C,FLOWS!$A:$A,$B$247,FLOWS!$E:$E,$B267,FLOWS!$D:$D,G$251,FLOWS!$H:$H,"&lt;"&amp;$C$249)+SUM(SUMIFS(DEALS!$J:$J,DEALS!$A:$A,{"*REFUND*","*EXECUTED*"},DEALS!$G:$G,$B$247,DEALS!$E:$E,"&lt;"&amp;$C$249,DEALS!$K:$K,G$251,DEALS!$M:$M,$B267,DEALS!$N:$N,"&lt;&gt;*RECEIVED*",DEALS!$N:$N,"&lt;&gt;*EXECUTED*"))+SUM(SUMIFS(DEALS!$R:$R,DEALS!$A:$A,{"*REFUND*","*EXECUTED*"},DEALS!$O:$O,$B$247,DEALS!$E:$E,"&lt;"&amp;$C$249,DEALS!$S:$S,G$251,DEALS!$U:$U,$B267,DEALS!$V:$V,"&lt;&gt;*RECEIVED*",DEALS!$V:$V,"&lt;&gt;*EXECUTED*"))</f>
        <v>0</v>
      </c>
      <c r="H267" s="32" cm="1">
        <f t="array" ref="H267">SUMIFS(BALANCES!$C:$C,BALANCES!$A:$A,$B$247,BALANCES!$B:$B,$B267,BALANCES!$D:$D,H$251)+SUMIFS(FLOWS!$C:$C,FLOWS!$A:$A,$B$247,FLOWS!$E:$E,$B267,FLOWS!$D:$D,H$251,FLOWS!$H:$H,"&lt;"&amp;$C$249)+SUM(SUMIFS(DEALS!$J:$J,DEALS!$A:$A,{"*REFUND*","*EXECUTED*"},DEALS!$G:$G,$B$247,DEALS!$E:$E,"&lt;"&amp;$C$249,DEALS!$K:$K,H$251,DEALS!$M:$M,$B267,DEALS!$N:$N,"&lt;&gt;*RECEIVED*",DEALS!$N:$N,"&lt;&gt;*EXECUTED*"))+SUM(SUMIFS(DEALS!$R:$R,DEALS!$A:$A,{"*REFUND*","*EXECUTED*"},DEALS!$O:$O,$B$247,DEALS!$E:$E,"&lt;"&amp;$C$249,DEALS!$S:$S,H$251,DEALS!$U:$U,$B267,DEALS!$V:$V,"&lt;&gt;*RECEIVED*",DEALS!$V:$V,"&lt;&gt;*EXECUTED*"))</f>
        <v>0</v>
      </c>
      <c r="I267" s="33">
        <f ca="1">C267*VLOOKUP(C$251,'FX RATES'!$E$1:$F$50,2,FALSE)+D267*VLOOKUP(D$251,'FX RATES'!$E$1:$F$50,2,FALSE)+E267*VLOOKUP(E$251,'FX RATES'!$E$1:$F$50,2,FALSE)+F267*VLOOKUP(F$251,'FX RATES'!$E$1:$F$50,2,FALSE)+G267*VLOOKUP(G$251,'FX RATES'!$E$1:$F$50,2,FALSE)+H267*VLOOKUP(H$251,'FX RATES'!$E$1:$F$50,2,FALSE)</f>
        <v>0</v>
      </c>
      <c r="K267" s="31">
        <f t="shared" si="104"/>
        <v>0</v>
      </c>
      <c r="L267" s="32" cm="1">
        <f t="array" ref="L267">SUMIFS(FLOWS!$C:$C,FLOWS!$A:$A,$B$247,FLOWS!$E:$E,$K267,FLOWS!$D:$D,L$251,FLOWS!$H:$H,"&gt;="&amp;$C$249,FLOWS!$H:$H,"&lt;="&amp;$U$249)+SUM(SUMIFS(DEALS!$J:$J,DEALS!$A:$A,{"*REFUND*","*EXECUTED*"},DEALS!$G:$G,$B$247,DEALS!$E:$E,"&gt;="&amp;$C$249,DEALS!$E:$E,"&lt;="&amp;$U$249,DEALS!$K:$K,L$251,DEALS!$M:$M,$K267,DEALS!$N:$N,"&lt;&gt;*RECEIVED*",DEALS!$N:$N,"&lt;&gt;*EXECUTED*"))+SUM(SUMIFS(DEALS!$R:$R,DEALS!$A:$A,{"*REFUND*","*EXECUTED*"},DEALS!$O:$O,$B$247,DEALS!$E:$E,"&gt;="&amp;$C$249,DEALS!$E:$E,"&lt;="&amp;$U$249,DEALS!$S:$S,L$251,DEALS!$U:$U,$K267,DEALS!$V:$V,"&lt;&gt;*RECEIVED*",DEALS!$V:$V,"&lt;&gt;*EXECUTED*"))</f>
        <v>0</v>
      </c>
      <c r="M267" s="32" cm="1">
        <f t="array" ref="M267">SUMIFS(FLOWS!$C:$C,FLOWS!$A:$A,$B$247,FLOWS!$E:$E,$K267,FLOWS!$D:$D,M$251,FLOWS!$H:$H,"&gt;="&amp;$C$249,FLOWS!$H:$H,"&lt;="&amp;$U$249)+SUM(SUMIFS(DEALS!$J:$J,DEALS!$A:$A,{"*REFUND*","*EXECUTED*"},DEALS!$G:$G,$B$247,DEALS!$E:$E,"&gt;="&amp;$C$249,DEALS!$E:$E,"&lt;="&amp;$U$249,DEALS!$K:$K,M$251,DEALS!$M:$M,$K267,DEALS!$N:$N,"&lt;&gt;*RECEIVED*",DEALS!$N:$N,"&lt;&gt;*EXECUTED*"))+SUM(SUMIFS(DEALS!$R:$R,DEALS!$A:$A,{"*REFUND*","*EXECUTED*"},DEALS!$O:$O,$B$247,DEALS!$E:$E,"&gt;="&amp;$C$249,DEALS!$E:$E,"&lt;="&amp;$U$249,DEALS!$S:$S,M$251,DEALS!$U:$U,$K267,DEALS!$V:$V,"&lt;&gt;*RECEIVED*",DEALS!$V:$V,"&lt;&gt;*EXECUTED*"))</f>
        <v>0</v>
      </c>
      <c r="N267" s="32" cm="1">
        <f t="array" ref="N267">SUMIFS(FLOWS!$C:$C,FLOWS!$A:$A,$B$247,FLOWS!$E:$E,$K267,FLOWS!$D:$D,N$251,FLOWS!$H:$H,"&gt;="&amp;$C$249,FLOWS!$H:$H,"&lt;="&amp;$U$249)+SUM(SUMIFS(DEALS!$J:$J,DEALS!$A:$A,{"*REFUND*","*EXECUTED*"},DEALS!$G:$G,$B$247,DEALS!$E:$E,"&gt;="&amp;$C$249,DEALS!$E:$E,"&lt;="&amp;$U$249,DEALS!$K:$K,N$251,DEALS!$M:$M,$K267,DEALS!$N:$N,"&lt;&gt;*RECEIVED*",DEALS!$N:$N,"&lt;&gt;*EXECUTED*"))+SUM(SUMIFS(DEALS!$R:$R,DEALS!$A:$A,{"*REFUND*","*EXECUTED*"},DEALS!$O:$O,$B$247,DEALS!$E:$E,"&gt;="&amp;$C$249,DEALS!$E:$E,"&lt;="&amp;$U$249,DEALS!$S:$S,N$251,DEALS!$U:$U,$K267,DEALS!$V:$V,"&lt;&gt;*RECEIVED*",DEALS!$V:$V,"&lt;&gt;*EXECUTED*"))</f>
        <v>0</v>
      </c>
      <c r="O267" s="32" cm="1">
        <f t="array" ref="O267">SUMIFS(FLOWS!$C:$C,FLOWS!$A:$A,$B$247,FLOWS!$E:$E,$K267,FLOWS!$D:$D,O$251,FLOWS!$H:$H,"&gt;="&amp;$C$249,FLOWS!$H:$H,"&lt;="&amp;$U$249)+SUM(SUMIFS(DEALS!$J:$J,DEALS!$A:$A,{"*REFUND*","*EXECUTED*"},DEALS!$G:$G,$B$247,DEALS!$E:$E,"&gt;="&amp;$C$249,DEALS!$E:$E,"&lt;="&amp;$U$249,DEALS!$K:$K,O$251,DEALS!$M:$M,$K267,DEALS!$N:$N,"&lt;&gt;*RECEIVED*",DEALS!$N:$N,"&lt;&gt;*EXECUTED*"))+SUM(SUMIFS(DEALS!$R:$R,DEALS!$A:$A,{"*REFUND*","*EXECUTED*"},DEALS!$O:$O,$B$247,DEALS!$E:$E,"&gt;="&amp;$C$249,DEALS!$E:$E,"&lt;="&amp;$U$249,DEALS!$S:$S,O$251,DEALS!$U:$U,$K267,DEALS!$V:$V,"&lt;&gt;*RECEIVED*",DEALS!$V:$V,"&lt;&gt;*EXECUTED*"))</f>
        <v>0</v>
      </c>
      <c r="P267" s="32" cm="1">
        <f t="array" ref="P267">SUMIFS(FLOWS!$C:$C,FLOWS!$A:$A,$B$247,FLOWS!$E:$E,$K267,FLOWS!$D:$D,P$251,FLOWS!$H:$H,"&gt;="&amp;$C$249,FLOWS!$H:$H,"&lt;="&amp;$U$249)+SUM(SUMIFS(DEALS!$J:$J,DEALS!$A:$A,{"*REFUND*","*EXECUTED*"},DEALS!$G:$G,$B$247,DEALS!$E:$E,"&gt;="&amp;$C$249,DEALS!$E:$E,"&lt;="&amp;$U$249,DEALS!$K:$K,P$251,DEALS!$M:$M,$K267,DEALS!$N:$N,"&lt;&gt;*RECEIVED*",DEALS!$N:$N,"&lt;&gt;*EXECUTED*"))+SUM(SUMIFS(DEALS!$R:$R,DEALS!$A:$A,{"*REFUND*","*EXECUTED*"},DEALS!$O:$O,$B$247,DEALS!$E:$E,"&gt;="&amp;$C$249,DEALS!$E:$E,"&lt;="&amp;$U$249,DEALS!$S:$S,P$251,DEALS!$U:$U,$K267,DEALS!$V:$V,"&lt;&gt;*RECEIVED*",DEALS!$V:$V,"&lt;&gt;*EXECUTED*"))</f>
        <v>0</v>
      </c>
      <c r="Q267" s="32" cm="1">
        <f t="array" ref="Q267">SUMIFS(FLOWS!$C:$C,FLOWS!$A:$A,$B$247,FLOWS!$E:$E,$K267,FLOWS!$D:$D,Q$251,FLOWS!$H:$H,"&gt;="&amp;$C$249,FLOWS!$H:$H,"&lt;="&amp;$U$249)+SUM(SUMIFS(DEALS!$J:$J,DEALS!$A:$A,{"*REFUND*","*EXECUTED*"},DEALS!$G:$G,$B$247,DEALS!$E:$E,"&gt;="&amp;$C$249,DEALS!$E:$E,"&lt;="&amp;$U$249,DEALS!$K:$K,Q$251,DEALS!$M:$M,$K267,DEALS!$N:$N,"&lt;&gt;*RECEIVED*",DEALS!$N:$N,"&lt;&gt;*EXECUTED*"))+SUM(SUMIFS(DEALS!$R:$R,DEALS!$A:$A,{"*REFUND*","*EXECUTED*"},DEALS!$O:$O,$B$247,DEALS!$E:$E,"&gt;="&amp;$C$249,DEALS!$E:$E,"&lt;="&amp;$U$249,DEALS!$S:$S,Q$251,DEALS!$U:$U,$K267,DEALS!$V:$V,"&lt;&gt;*RECEIVED*",DEALS!$V:$V,"&lt;&gt;*EXECUTED*"))</f>
        <v>0</v>
      </c>
      <c r="R267" s="33">
        <f ca="1">L267*VLOOKUP(L$251,'FX RATES'!$E$1:$F$50,2,FALSE)+M267*VLOOKUP(M$251,'FX RATES'!$E$1:$F$50,2,FALSE)+N267*VLOOKUP(N$251,'FX RATES'!$E$1:$F$50,2,FALSE)+O267*VLOOKUP(O$251,'FX RATES'!$E$1:$F$50,2,FALSE)+P267*VLOOKUP(P$251,'FX RATES'!$E$1:$F$50,2,FALSE)+Q267*VLOOKUP(Q$251,'FX RATES'!$E$1:$F$50,2,FALSE)</f>
        <v>0</v>
      </c>
      <c r="T267" s="31">
        <f t="shared" si="105"/>
        <v>0</v>
      </c>
      <c r="U267" s="32" cm="1">
        <f t="array" ref="U267">SUMIFS(BALANCES!$C:$C,BALANCES!$A:$A,$B$247,BALANCES!$B:$B,$T267,BALANCES!$D:$D,U$251)+SUMIFS(FLOWS!$C:$C,FLOWS!$A:$A,$B$247,FLOWS!$E:$E,$T267,FLOWS!$D:$D,U$251,FLOWS!$H:$H,"&lt;="&amp;$U$249)+SUM(SUMIFS(DEALS!$J:$J,DEALS!$A:$A,{"*REFUND*","*EXECUTED*"},DEALS!$G:$G,$B$247,DEALS!$E:$E,"&lt;="&amp;$U$249,DEALS!$K:$K,U$251,DEALS!$M:$M,$T267,DEALS!$N:$N,"&lt;&gt;*RECEIVED*",DEALS!$N:$N,"&lt;&gt;*EXECUTED*"))+SUM(SUMIFS(DEALS!$R:$R,DEALS!$A:$A,{"*REFUND*","*EXECUTED*"},DEALS!$O:$O,$B$247,DEALS!$E:$E,"&lt;="&amp;$U$249,DEALS!$S:$S,U$251,DEALS!$U:$U,$T267,DEALS!$V:$V,"&lt;&gt;*RECEIVED*",DEALS!$V:$V,"&lt;&gt;*EXECUTED*"))</f>
        <v>0</v>
      </c>
      <c r="V267" s="32" cm="1">
        <f t="array" ref="V267">SUMIFS(BALANCES!$C:$C,BALANCES!$A:$A,$B$247,BALANCES!$B:$B,$T267,BALANCES!$D:$D,V$251)+SUMIFS(FLOWS!$C:$C,FLOWS!$A:$A,$B$247,FLOWS!$E:$E,$T267,FLOWS!$D:$D,V$251,FLOWS!$H:$H,"&lt;="&amp;$U$249)+SUM(SUMIFS(DEALS!$J:$J,DEALS!$A:$A,{"*REFUND*","*EXECUTED*"},DEALS!$G:$G,$B$247,DEALS!$E:$E,"&lt;="&amp;$U$249,DEALS!$K:$K,V$251,DEALS!$M:$M,$T267,DEALS!$N:$N,"&lt;&gt;*RECEIVED*",DEALS!$N:$N,"&lt;&gt;*EXECUTED*"))+SUM(SUMIFS(DEALS!$R:$R,DEALS!$A:$A,{"*REFUND*","*EXECUTED*"},DEALS!$O:$O,$B$247,DEALS!$E:$E,"&lt;="&amp;$U$249,DEALS!$S:$S,V$251,DEALS!$U:$U,$T267,DEALS!$V:$V,"&lt;&gt;*RECEIVED*",DEALS!$V:$V,"&lt;&gt;*EXECUTED*"))</f>
        <v>0</v>
      </c>
      <c r="W267" s="32" cm="1">
        <f t="array" ref="W267">SUMIFS(BALANCES!$C:$C,BALANCES!$A:$A,$B$247,BALANCES!$B:$B,$T267,BALANCES!$D:$D,W$251)+SUMIFS(FLOWS!$C:$C,FLOWS!$A:$A,$B$247,FLOWS!$E:$E,$T267,FLOWS!$D:$D,W$251,FLOWS!$H:$H,"&lt;="&amp;$U$249)+SUM(SUMIFS(DEALS!$J:$J,DEALS!$A:$A,{"*REFUND*","*EXECUTED*"},DEALS!$G:$G,$B$247,DEALS!$E:$E,"&lt;="&amp;$U$249,DEALS!$K:$K,W$251,DEALS!$M:$M,$T267,DEALS!$N:$N,"&lt;&gt;*RECEIVED*",DEALS!$N:$N,"&lt;&gt;*EXECUTED*"))+SUM(SUMIFS(DEALS!$R:$R,DEALS!$A:$A,{"*REFUND*","*EXECUTED*"},DEALS!$O:$O,$B$247,DEALS!$E:$E,"&lt;="&amp;$U$249,DEALS!$S:$S,W$251,DEALS!$U:$U,$T267,DEALS!$V:$V,"&lt;&gt;*RECEIVED*",DEALS!$V:$V,"&lt;&gt;*EXECUTED*"))</f>
        <v>0</v>
      </c>
      <c r="X267" s="32" cm="1">
        <f t="array" ref="X267">SUMIFS(BALANCES!$C:$C,BALANCES!$A:$A,$B$247,BALANCES!$B:$B,$T267,BALANCES!$D:$D,X$251)+SUMIFS(FLOWS!$C:$C,FLOWS!$A:$A,$B$247,FLOWS!$E:$E,$T267,FLOWS!$D:$D,X$251,FLOWS!$H:$H,"&lt;="&amp;$U$249)+SUM(SUMIFS(DEALS!$J:$J,DEALS!$A:$A,{"*REFUND*","*EXECUTED*"},DEALS!$G:$G,$B$247,DEALS!$E:$E,"&lt;="&amp;$U$249,DEALS!$K:$K,X$251,DEALS!$M:$M,$T267,DEALS!$N:$N,"&lt;&gt;*RECEIVED*",DEALS!$N:$N,"&lt;&gt;*EXECUTED*"))+SUM(SUMIFS(DEALS!$R:$R,DEALS!$A:$A,{"*REFUND*","*EXECUTED*"},DEALS!$O:$O,$B$247,DEALS!$E:$E,"&lt;="&amp;$U$249,DEALS!$S:$S,X$251,DEALS!$U:$U,$T267,DEALS!$V:$V,"&lt;&gt;*RECEIVED*",DEALS!$V:$V,"&lt;&gt;*EXECUTED*"))</f>
        <v>0</v>
      </c>
      <c r="Y267" s="32" cm="1">
        <f t="array" ref="Y267">SUMIFS(BALANCES!$C:$C,BALANCES!$A:$A,$B$247,BALANCES!$B:$B,$T267,BALANCES!$D:$D,Y$251)+SUMIFS(FLOWS!$C:$C,FLOWS!$A:$A,$B$247,FLOWS!$E:$E,$T267,FLOWS!$D:$D,Y$251,FLOWS!$H:$H,"&lt;="&amp;$U$249)+SUM(SUMIFS(DEALS!$J:$J,DEALS!$A:$A,{"*REFUND*","*EXECUTED*"},DEALS!$G:$G,$B$247,DEALS!$E:$E,"&lt;="&amp;$U$249,DEALS!$K:$K,Y$251,DEALS!$M:$M,$T267,DEALS!$N:$N,"&lt;&gt;*RECEIVED*",DEALS!$N:$N,"&lt;&gt;*EXECUTED*"))+SUM(SUMIFS(DEALS!$R:$R,DEALS!$A:$A,{"*REFUND*","*EXECUTED*"},DEALS!$O:$O,$B$247,DEALS!$E:$E,"&lt;="&amp;$U$249,DEALS!$S:$S,Y$251,DEALS!$U:$U,$T267,DEALS!$V:$V,"&lt;&gt;*RECEIVED*",DEALS!$V:$V,"&lt;&gt;*EXECUTED*"))</f>
        <v>0</v>
      </c>
      <c r="Z267" s="32" cm="1">
        <f t="array" ref="Z267">SUMIFS(BALANCES!$C:$C,BALANCES!$A:$A,$B$247,BALANCES!$B:$B,$T267,BALANCES!$D:$D,Z$251)+SUMIFS(FLOWS!$C:$C,FLOWS!$A:$A,$B$247,FLOWS!$E:$E,$T267,FLOWS!$D:$D,Z$251,FLOWS!$H:$H,"&lt;="&amp;$U$249)+SUM(SUMIFS(DEALS!$J:$J,DEALS!$A:$A,{"*REFUND*","*EXECUTED*"},DEALS!$G:$G,$B$247,DEALS!$E:$E,"&lt;="&amp;$U$249,DEALS!$K:$K,Z$251,DEALS!$M:$M,$T267,DEALS!$N:$N,"&lt;&gt;*RECEIVED*",DEALS!$N:$N,"&lt;&gt;*EXECUTED*"))+SUM(SUMIFS(DEALS!$R:$R,DEALS!$A:$A,{"*REFUND*","*EXECUTED*"},DEALS!$O:$O,$B$247,DEALS!$E:$E,"&lt;="&amp;$U$249,DEALS!$S:$S,Z$251,DEALS!$U:$U,$T267,DEALS!$V:$V,"&lt;&gt;*RECEIVED*",DEALS!$V:$V,"&lt;&gt;*EXECUTED*"))</f>
        <v>0</v>
      </c>
      <c r="AA267" s="33">
        <f ca="1">U267*VLOOKUP(U$251,'FX RATES'!$E$1:$F$50,2,FALSE)+V267*VLOOKUP(V$251,'FX RATES'!$E$1:$F$50,2,FALSE)+W267*VLOOKUP(W$251,'FX RATES'!$E$1:$F$50,2,FALSE)+X267*VLOOKUP(X$251,'FX RATES'!$E$1:$F$50,2,FALSE)+Y267*VLOOKUP(Y$251,'FX RATES'!$E$1:$F$50,2,FALSE)+Z267*VLOOKUP(Z$251,'FX RATES'!$E$1:$F$50,2,FALSE)</f>
        <v>0</v>
      </c>
      <c r="AC267" s="139">
        <f t="shared" ca="1" si="106"/>
        <v>0</v>
      </c>
    </row>
    <row r="268" spans="2:29" ht="19" hidden="1">
      <c r="B268" s="28"/>
      <c r="C268" s="29" cm="1">
        <f t="array" ref="C268">SUMIFS(BALANCES!$C:$C,BALANCES!$A:$A,$B$247,BALANCES!$B:$B,$B268,BALANCES!$D:$D,C$251)+SUMIFS(FLOWS!$C:$C,FLOWS!$A:$A,$B$247,FLOWS!$E:$E,$B268,FLOWS!$D:$D,C$251,FLOWS!$H:$H,"&lt;"&amp;$C$249)+SUM(SUMIFS(DEALS!$J:$J,DEALS!$A:$A,{"*REFUND*","*EXECUTED*"},DEALS!$G:$G,$B$247,DEALS!$E:$E,"&lt;"&amp;$C$249,DEALS!$K:$K,C$251,DEALS!$M:$M,$B268,DEALS!$N:$N,"&lt;&gt;*RECEIVED*",DEALS!$N:$N,"&lt;&gt;*EXECUTED*"))+SUM(SUMIFS(DEALS!$R:$R,DEALS!$A:$A,{"*REFUND*","*EXECUTED*"},DEALS!$O:$O,$B$247,DEALS!$E:$E,"&lt;"&amp;$C$249,DEALS!$S:$S,C$251,DEALS!$U:$U,$B268,DEALS!$V:$V,"&lt;&gt;*RECEIVED*",DEALS!$V:$V,"&lt;&gt;*EXECUTED*"))</f>
        <v>0</v>
      </c>
      <c r="D268" s="29" cm="1">
        <f t="array" ref="D268">SUMIFS(BALANCES!$C:$C,BALANCES!$A:$A,$B$247,BALANCES!$B:$B,$B268,BALANCES!$D:$D,D$251)+SUMIFS(FLOWS!$C:$C,FLOWS!$A:$A,$B$247,FLOWS!$E:$E,$B268,FLOWS!$D:$D,D$251,FLOWS!$H:$H,"&lt;"&amp;$C$249)+SUM(SUMIFS(DEALS!$J:$J,DEALS!$A:$A,{"*REFUND*","*EXECUTED*"},DEALS!$G:$G,$B$247,DEALS!$E:$E,"&lt;"&amp;$C$249,DEALS!$K:$K,D$251,DEALS!$M:$M,$B268,DEALS!$N:$N,"&lt;&gt;*RECEIVED*",DEALS!$N:$N,"&lt;&gt;*EXECUTED*"))+SUM(SUMIFS(DEALS!$R:$R,DEALS!$A:$A,{"*REFUND*","*EXECUTED*"},DEALS!$O:$O,$B$247,DEALS!$E:$E,"&lt;"&amp;$C$249,DEALS!$S:$S,D$251,DEALS!$U:$U,$B268,DEALS!$V:$V,"&lt;&gt;*RECEIVED*",DEALS!$V:$V,"&lt;&gt;*EXECUTED*"))</f>
        <v>0</v>
      </c>
      <c r="E268" s="29" cm="1">
        <f t="array" ref="E268">SUMIFS(BALANCES!$C:$C,BALANCES!$A:$A,$B$247,BALANCES!$B:$B,$B268,BALANCES!$D:$D,E$251)+SUMIFS(FLOWS!$C:$C,FLOWS!$A:$A,$B$247,FLOWS!$E:$E,$B268,FLOWS!$D:$D,E$251,FLOWS!$H:$H,"&lt;"&amp;$C$249)+SUM(SUMIFS(DEALS!$J:$J,DEALS!$A:$A,{"*REFUND*","*EXECUTED*"},DEALS!$G:$G,$B$247,DEALS!$E:$E,"&lt;"&amp;$C$249,DEALS!$K:$K,E$251,DEALS!$M:$M,$B268,DEALS!$N:$N,"&lt;&gt;*RECEIVED*",DEALS!$N:$N,"&lt;&gt;*EXECUTED*"))+SUM(SUMIFS(DEALS!$R:$R,DEALS!$A:$A,{"*REFUND*","*EXECUTED*"},DEALS!$O:$O,$B$247,DEALS!$E:$E,"&lt;"&amp;$C$249,DEALS!$S:$S,E$251,DEALS!$U:$U,$B268,DEALS!$V:$V,"&lt;&gt;*RECEIVED*",DEALS!$V:$V,"&lt;&gt;*EXECUTED*"))</f>
        <v>0</v>
      </c>
      <c r="F268" s="29" cm="1">
        <f t="array" ref="F268">SUMIFS(BALANCES!$C:$C,BALANCES!$A:$A,$B$247,BALANCES!$B:$B,$B268,BALANCES!$D:$D,F$251)+SUMIFS(FLOWS!$C:$C,FLOWS!$A:$A,$B$247,FLOWS!$E:$E,$B268,FLOWS!$D:$D,F$251,FLOWS!$H:$H,"&lt;"&amp;$C$249)+SUM(SUMIFS(DEALS!$J:$J,DEALS!$A:$A,{"*REFUND*","*EXECUTED*"},DEALS!$G:$G,$B$247,DEALS!$E:$E,"&lt;"&amp;$C$249,DEALS!$K:$K,F$251,DEALS!$M:$M,$B268,DEALS!$N:$N,"&lt;&gt;*RECEIVED*",DEALS!$N:$N,"&lt;&gt;*EXECUTED*"))+SUM(SUMIFS(DEALS!$R:$R,DEALS!$A:$A,{"*REFUND*","*EXECUTED*"},DEALS!$O:$O,$B$247,DEALS!$E:$E,"&lt;"&amp;$C$249,DEALS!$S:$S,F$251,DEALS!$U:$U,$B268,DEALS!$V:$V,"&lt;&gt;*RECEIVED*",DEALS!$V:$V,"&lt;&gt;*EXECUTED*"))</f>
        <v>0</v>
      </c>
      <c r="G268" s="29" cm="1">
        <f t="array" ref="G268">SUMIFS(BALANCES!$C:$C,BALANCES!$A:$A,$B$247,BALANCES!$B:$B,$B268,BALANCES!$D:$D,G$251)+SUMIFS(FLOWS!$C:$C,FLOWS!$A:$A,$B$247,FLOWS!$E:$E,$B268,FLOWS!$D:$D,G$251,FLOWS!$H:$H,"&lt;"&amp;$C$249)+SUM(SUMIFS(DEALS!$J:$J,DEALS!$A:$A,{"*REFUND*","*EXECUTED*"},DEALS!$G:$G,$B$247,DEALS!$E:$E,"&lt;"&amp;$C$249,DEALS!$K:$K,G$251,DEALS!$M:$M,$B268,DEALS!$N:$N,"&lt;&gt;*RECEIVED*",DEALS!$N:$N,"&lt;&gt;*EXECUTED*"))+SUM(SUMIFS(DEALS!$R:$R,DEALS!$A:$A,{"*REFUND*","*EXECUTED*"},DEALS!$O:$O,$B$247,DEALS!$E:$E,"&lt;"&amp;$C$249,DEALS!$S:$S,G$251,DEALS!$U:$U,$B268,DEALS!$V:$V,"&lt;&gt;*RECEIVED*",DEALS!$V:$V,"&lt;&gt;*EXECUTED*"))</f>
        <v>0</v>
      </c>
      <c r="H268" s="29" cm="1">
        <f t="array" ref="H268">SUMIFS(BALANCES!$C:$C,BALANCES!$A:$A,$B$247,BALANCES!$B:$B,$B268,BALANCES!$D:$D,H$251)+SUMIFS(FLOWS!$C:$C,FLOWS!$A:$A,$B$247,FLOWS!$E:$E,$B268,FLOWS!$D:$D,H$251,FLOWS!$H:$H,"&lt;"&amp;$C$249)+SUM(SUMIFS(DEALS!$J:$J,DEALS!$A:$A,{"*REFUND*","*EXECUTED*"},DEALS!$G:$G,$B$247,DEALS!$E:$E,"&lt;"&amp;$C$249,DEALS!$K:$K,H$251,DEALS!$M:$M,$B268,DEALS!$N:$N,"&lt;&gt;*RECEIVED*",DEALS!$N:$N,"&lt;&gt;*EXECUTED*"))+SUM(SUMIFS(DEALS!$R:$R,DEALS!$A:$A,{"*REFUND*","*EXECUTED*"},DEALS!$O:$O,$B$247,DEALS!$E:$E,"&lt;"&amp;$C$249,DEALS!$S:$S,H$251,DEALS!$U:$U,$B268,DEALS!$V:$V,"&lt;&gt;*RECEIVED*",DEALS!$V:$V,"&lt;&gt;*EXECUTED*"))</f>
        <v>0</v>
      </c>
      <c r="I268" s="30">
        <f ca="1">C268*VLOOKUP(C$251,'FX RATES'!$E$1:$F$50,2,FALSE)+D268*VLOOKUP(D$251,'FX RATES'!$E$1:$F$50,2,FALSE)+E268*VLOOKUP(E$251,'FX RATES'!$E$1:$F$50,2,FALSE)+F268*VLOOKUP(F$251,'FX RATES'!$E$1:$F$50,2,FALSE)+G268*VLOOKUP(G$251,'FX RATES'!$E$1:$F$50,2,FALSE)+H268*VLOOKUP(H$251,'FX RATES'!$E$1:$F$50,2,FALSE)</f>
        <v>0</v>
      </c>
      <c r="K268" s="28">
        <f t="shared" si="104"/>
        <v>0</v>
      </c>
      <c r="L268" s="29" cm="1">
        <f t="array" ref="L268">SUMIFS(FLOWS!$C:$C,FLOWS!$A:$A,$B$247,FLOWS!$E:$E,$K268,FLOWS!$D:$D,L$251,FLOWS!$H:$H,"&gt;="&amp;$C$249,FLOWS!$H:$H,"&lt;="&amp;$U$249)+SUM(SUMIFS(DEALS!$J:$J,DEALS!$A:$A,{"*REFUND*","*EXECUTED*"},DEALS!$G:$G,$B$247,DEALS!$E:$E,"&gt;="&amp;$C$249,DEALS!$E:$E,"&lt;="&amp;$U$249,DEALS!$K:$K,L$251,DEALS!$M:$M,$K268,DEALS!$N:$N,"&lt;&gt;*RECEIVED*",DEALS!$N:$N,"&lt;&gt;*EXECUTED*"))+SUM(SUMIFS(DEALS!$R:$R,DEALS!$A:$A,{"*REFUND*","*EXECUTED*"},DEALS!$O:$O,$B$247,DEALS!$E:$E,"&gt;="&amp;$C$249,DEALS!$E:$E,"&lt;="&amp;$U$249,DEALS!$S:$S,L$251,DEALS!$U:$U,$K268,DEALS!$V:$V,"&lt;&gt;*RECEIVED*",DEALS!$V:$V,"&lt;&gt;*EXECUTED*"))</f>
        <v>0</v>
      </c>
      <c r="M268" s="29" cm="1">
        <f t="array" ref="M268">SUMIFS(FLOWS!$C:$C,FLOWS!$A:$A,$B$247,FLOWS!$E:$E,$K268,FLOWS!$D:$D,M$251,FLOWS!$H:$H,"&gt;="&amp;$C$249,FLOWS!$H:$H,"&lt;="&amp;$U$249)+SUM(SUMIFS(DEALS!$J:$J,DEALS!$A:$A,{"*REFUND*","*EXECUTED*"},DEALS!$G:$G,$B$247,DEALS!$E:$E,"&gt;="&amp;$C$249,DEALS!$E:$E,"&lt;="&amp;$U$249,DEALS!$K:$K,M$251,DEALS!$M:$M,$K268,DEALS!$N:$N,"&lt;&gt;*RECEIVED*",DEALS!$N:$N,"&lt;&gt;*EXECUTED*"))+SUM(SUMIFS(DEALS!$R:$R,DEALS!$A:$A,{"*REFUND*","*EXECUTED*"},DEALS!$O:$O,$B$247,DEALS!$E:$E,"&gt;="&amp;$C$249,DEALS!$E:$E,"&lt;="&amp;$U$249,DEALS!$S:$S,M$251,DEALS!$U:$U,$K268,DEALS!$V:$V,"&lt;&gt;*RECEIVED*",DEALS!$V:$V,"&lt;&gt;*EXECUTED*"))</f>
        <v>0</v>
      </c>
      <c r="N268" s="29" cm="1">
        <f t="array" ref="N268">SUMIFS(FLOWS!$C:$C,FLOWS!$A:$A,$B$247,FLOWS!$E:$E,$K268,FLOWS!$D:$D,N$251,FLOWS!$H:$H,"&gt;="&amp;$C$249,FLOWS!$H:$H,"&lt;="&amp;$U$249)+SUM(SUMIFS(DEALS!$J:$J,DEALS!$A:$A,{"*REFUND*","*EXECUTED*"},DEALS!$G:$G,$B$247,DEALS!$E:$E,"&gt;="&amp;$C$249,DEALS!$E:$E,"&lt;="&amp;$U$249,DEALS!$K:$K,N$251,DEALS!$M:$M,$K268,DEALS!$N:$N,"&lt;&gt;*RECEIVED*",DEALS!$N:$N,"&lt;&gt;*EXECUTED*"))+SUM(SUMIFS(DEALS!$R:$R,DEALS!$A:$A,{"*REFUND*","*EXECUTED*"},DEALS!$O:$O,$B$247,DEALS!$E:$E,"&gt;="&amp;$C$249,DEALS!$E:$E,"&lt;="&amp;$U$249,DEALS!$S:$S,N$251,DEALS!$U:$U,$K268,DEALS!$V:$V,"&lt;&gt;*RECEIVED*",DEALS!$V:$V,"&lt;&gt;*EXECUTED*"))</f>
        <v>0</v>
      </c>
      <c r="O268" s="29" cm="1">
        <f t="array" ref="O268">SUMIFS(FLOWS!$C:$C,FLOWS!$A:$A,$B$247,FLOWS!$E:$E,$K268,FLOWS!$D:$D,O$251,FLOWS!$H:$H,"&gt;="&amp;$C$249,FLOWS!$H:$H,"&lt;="&amp;$U$249)+SUM(SUMIFS(DEALS!$J:$J,DEALS!$A:$A,{"*REFUND*","*EXECUTED*"},DEALS!$G:$G,$B$247,DEALS!$E:$E,"&gt;="&amp;$C$249,DEALS!$E:$E,"&lt;="&amp;$U$249,DEALS!$K:$K,O$251,DEALS!$M:$M,$K268,DEALS!$N:$N,"&lt;&gt;*RECEIVED*",DEALS!$N:$N,"&lt;&gt;*EXECUTED*"))+SUM(SUMIFS(DEALS!$R:$R,DEALS!$A:$A,{"*REFUND*","*EXECUTED*"},DEALS!$O:$O,$B$247,DEALS!$E:$E,"&gt;="&amp;$C$249,DEALS!$E:$E,"&lt;="&amp;$U$249,DEALS!$S:$S,O$251,DEALS!$U:$U,$K268,DEALS!$V:$V,"&lt;&gt;*RECEIVED*",DEALS!$V:$V,"&lt;&gt;*EXECUTED*"))</f>
        <v>0</v>
      </c>
      <c r="P268" s="29" cm="1">
        <f t="array" ref="P268">SUMIFS(FLOWS!$C:$C,FLOWS!$A:$A,$B$247,FLOWS!$E:$E,$K268,FLOWS!$D:$D,P$251,FLOWS!$H:$H,"&gt;="&amp;$C$249,FLOWS!$H:$H,"&lt;="&amp;$U$249)+SUM(SUMIFS(DEALS!$J:$J,DEALS!$A:$A,{"*REFUND*","*EXECUTED*"},DEALS!$G:$G,$B$247,DEALS!$E:$E,"&gt;="&amp;$C$249,DEALS!$E:$E,"&lt;="&amp;$U$249,DEALS!$K:$K,P$251,DEALS!$M:$M,$K268,DEALS!$N:$N,"&lt;&gt;*RECEIVED*",DEALS!$N:$N,"&lt;&gt;*EXECUTED*"))+SUM(SUMIFS(DEALS!$R:$R,DEALS!$A:$A,{"*REFUND*","*EXECUTED*"},DEALS!$O:$O,$B$247,DEALS!$E:$E,"&gt;="&amp;$C$249,DEALS!$E:$E,"&lt;="&amp;$U$249,DEALS!$S:$S,P$251,DEALS!$U:$U,$K268,DEALS!$V:$V,"&lt;&gt;*RECEIVED*",DEALS!$V:$V,"&lt;&gt;*EXECUTED*"))</f>
        <v>0</v>
      </c>
      <c r="Q268" s="29" cm="1">
        <f t="array" ref="Q268">SUMIFS(FLOWS!$C:$C,FLOWS!$A:$A,$B$247,FLOWS!$E:$E,$K268,FLOWS!$D:$D,Q$251,FLOWS!$H:$H,"&gt;="&amp;$C$249,FLOWS!$H:$H,"&lt;="&amp;$U$249)+SUM(SUMIFS(DEALS!$J:$J,DEALS!$A:$A,{"*REFUND*","*EXECUTED*"},DEALS!$G:$G,$B$247,DEALS!$E:$E,"&gt;="&amp;$C$249,DEALS!$E:$E,"&lt;="&amp;$U$249,DEALS!$K:$K,Q$251,DEALS!$M:$M,$K268,DEALS!$N:$N,"&lt;&gt;*RECEIVED*",DEALS!$N:$N,"&lt;&gt;*EXECUTED*"))+SUM(SUMIFS(DEALS!$R:$R,DEALS!$A:$A,{"*REFUND*","*EXECUTED*"},DEALS!$O:$O,$B$247,DEALS!$E:$E,"&gt;="&amp;$C$249,DEALS!$E:$E,"&lt;="&amp;$U$249,DEALS!$S:$S,Q$251,DEALS!$U:$U,$K268,DEALS!$V:$V,"&lt;&gt;*RECEIVED*",DEALS!$V:$V,"&lt;&gt;*EXECUTED*"))</f>
        <v>0</v>
      </c>
      <c r="R268" s="30">
        <f ca="1">L268*VLOOKUP(L$251,'FX RATES'!$E$1:$F$50,2,FALSE)+M268*VLOOKUP(M$251,'FX RATES'!$E$1:$F$50,2,FALSE)+N268*VLOOKUP(N$251,'FX RATES'!$E$1:$F$50,2,FALSE)+O268*VLOOKUP(O$251,'FX RATES'!$E$1:$F$50,2,FALSE)+P268*VLOOKUP(P$251,'FX RATES'!$E$1:$F$50,2,FALSE)+Q268*VLOOKUP(Q$251,'FX RATES'!$E$1:$F$50,2,FALSE)</f>
        <v>0</v>
      </c>
      <c r="T268" s="28">
        <f t="shared" si="105"/>
        <v>0</v>
      </c>
      <c r="U268" s="29" cm="1">
        <f t="array" ref="U268">SUMIFS(BALANCES!$C:$C,BALANCES!$A:$A,$B$247,BALANCES!$B:$B,$T268,BALANCES!$D:$D,U$251)+SUMIFS(FLOWS!$C:$C,FLOWS!$A:$A,$B$247,FLOWS!$E:$E,$T268,FLOWS!$D:$D,U$251,FLOWS!$H:$H,"&lt;="&amp;$U$249)+SUM(SUMIFS(DEALS!$J:$J,DEALS!$A:$A,{"*REFUND*","*EXECUTED*"},DEALS!$G:$G,$B$247,DEALS!$E:$E,"&lt;="&amp;$U$249,DEALS!$K:$K,U$251,DEALS!$M:$M,$T268,DEALS!$N:$N,"&lt;&gt;*RECEIVED*",DEALS!$N:$N,"&lt;&gt;*EXECUTED*"))+SUM(SUMIFS(DEALS!$R:$R,DEALS!$A:$A,{"*REFUND*","*EXECUTED*"},DEALS!$O:$O,$B$247,DEALS!$E:$E,"&lt;="&amp;$U$249,DEALS!$S:$S,U$251,DEALS!$U:$U,$T268,DEALS!$V:$V,"&lt;&gt;*RECEIVED*",DEALS!$V:$V,"&lt;&gt;*EXECUTED*"))</f>
        <v>0</v>
      </c>
      <c r="V268" s="29" cm="1">
        <f t="array" ref="V268">SUMIFS(BALANCES!$C:$C,BALANCES!$A:$A,$B$247,BALANCES!$B:$B,$T268,BALANCES!$D:$D,V$251)+SUMIFS(FLOWS!$C:$C,FLOWS!$A:$A,$B$247,FLOWS!$E:$E,$T268,FLOWS!$D:$D,V$251,FLOWS!$H:$H,"&lt;="&amp;$U$249)+SUM(SUMIFS(DEALS!$J:$J,DEALS!$A:$A,{"*REFUND*","*EXECUTED*"},DEALS!$G:$G,$B$247,DEALS!$E:$E,"&lt;="&amp;$U$249,DEALS!$K:$K,V$251,DEALS!$M:$M,$T268,DEALS!$N:$N,"&lt;&gt;*RECEIVED*",DEALS!$N:$N,"&lt;&gt;*EXECUTED*"))+SUM(SUMIFS(DEALS!$R:$R,DEALS!$A:$A,{"*REFUND*","*EXECUTED*"},DEALS!$O:$O,$B$247,DEALS!$E:$E,"&lt;="&amp;$U$249,DEALS!$S:$S,V$251,DEALS!$U:$U,$T268,DEALS!$V:$V,"&lt;&gt;*RECEIVED*",DEALS!$V:$V,"&lt;&gt;*EXECUTED*"))</f>
        <v>0</v>
      </c>
      <c r="W268" s="29" cm="1">
        <f t="array" ref="W268">SUMIFS(BALANCES!$C:$C,BALANCES!$A:$A,$B$247,BALANCES!$B:$B,$T268,BALANCES!$D:$D,W$251)+SUMIFS(FLOWS!$C:$C,FLOWS!$A:$A,$B$247,FLOWS!$E:$E,$T268,FLOWS!$D:$D,W$251,FLOWS!$H:$H,"&lt;="&amp;$U$249)+SUM(SUMIFS(DEALS!$J:$J,DEALS!$A:$A,{"*REFUND*","*EXECUTED*"},DEALS!$G:$G,$B$247,DEALS!$E:$E,"&lt;="&amp;$U$249,DEALS!$K:$K,W$251,DEALS!$M:$M,$T268,DEALS!$N:$N,"&lt;&gt;*RECEIVED*",DEALS!$N:$N,"&lt;&gt;*EXECUTED*"))+SUM(SUMIFS(DEALS!$R:$R,DEALS!$A:$A,{"*REFUND*","*EXECUTED*"},DEALS!$O:$O,$B$247,DEALS!$E:$E,"&lt;="&amp;$U$249,DEALS!$S:$S,W$251,DEALS!$U:$U,$T268,DEALS!$V:$V,"&lt;&gt;*RECEIVED*",DEALS!$V:$V,"&lt;&gt;*EXECUTED*"))</f>
        <v>0</v>
      </c>
      <c r="X268" s="29" cm="1">
        <f t="array" ref="X268">SUMIFS(BALANCES!$C:$C,BALANCES!$A:$A,$B$247,BALANCES!$B:$B,$T268,BALANCES!$D:$D,X$251)+SUMIFS(FLOWS!$C:$C,FLOWS!$A:$A,$B$247,FLOWS!$E:$E,$T268,FLOWS!$D:$D,X$251,FLOWS!$H:$H,"&lt;="&amp;$U$249)+SUM(SUMIFS(DEALS!$J:$J,DEALS!$A:$A,{"*REFUND*","*EXECUTED*"},DEALS!$G:$G,$B$247,DEALS!$E:$E,"&lt;="&amp;$U$249,DEALS!$K:$K,X$251,DEALS!$M:$M,$T268,DEALS!$N:$N,"&lt;&gt;*RECEIVED*",DEALS!$N:$N,"&lt;&gt;*EXECUTED*"))+SUM(SUMIFS(DEALS!$R:$R,DEALS!$A:$A,{"*REFUND*","*EXECUTED*"},DEALS!$O:$O,$B$247,DEALS!$E:$E,"&lt;="&amp;$U$249,DEALS!$S:$S,X$251,DEALS!$U:$U,$T268,DEALS!$V:$V,"&lt;&gt;*RECEIVED*",DEALS!$V:$V,"&lt;&gt;*EXECUTED*"))</f>
        <v>0</v>
      </c>
      <c r="Y268" s="29" cm="1">
        <f t="array" ref="Y268">SUMIFS(BALANCES!$C:$C,BALANCES!$A:$A,$B$247,BALANCES!$B:$B,$T268,BALANCES!$D:$D,Y$251)+SUMIFS(FLOWS!$C:$C,FLOWS!$A:$A,$B$247,FLOWS!$E:$E,$T268,FLOWS!$D:$D,Y$251,FLOWS!$H:$H,"&lt;="&amp;$U$249)+SUM(SUMIFS(DEALS!$J:$J,DEALS!$A:$A,{"*REFUND*","*EXECUTED*"},DEALS!$G:$G,$B$247,DEALS!$E:$E,"&lt;="&amp;$U$249,DEALS!$K:$K,Y$251,DEALS!$M:$M,$T268,DEALS!$N:$N,"&lt;&gt;*RECEIVED*",DEALS!$N:$N,"&lt;&gt;*EXECUTED*"))+SUM(SUMIFS(DEALS!$R:$R,DEALS!$A:$A,{"*REFUND*","*EXECUTED*"},DEALS!$O:$O,$B$247,DEALS!$E:$E,"&lt;="&amp;$U$249,DEALS!$S:$S,Y$251,DEALS!$U:$U,$T268,DEALS!$V:$V,"&lt;&gt;*RECEIVED*",DEALS!$V:$V,"&lt;&gt;*EXECUTED*"))</f>
        <v>0</v>
      </c>
      <c r="Z268" s="29" cm="1">
        <f t="array" ref="Z268">SUMIFS(BALANCES!$C:$C,BALANCES!$A:$A,$B$247,BALANCES!$B:$B,$T268,BALANCES!$D:$D,Z$251)+SUMIFS(FLOWS!$C:$C,FLOWS!$A:$A,$B$247,FLOWS!$E:$E,$T268,FLOWS!$D:$D,Z$251,FLOWS!$H:$H,"&lt;="&amp;$U$249)+SUM(SUMIFS(DEALS!$J:$J,DEALS!$A:$A,{"*REFUND*","*EXECUTED*"},DEALS!$G:$G,$B$247,DEALS!$E:$E,"&lt;="&amp;$U$249,DEALS!$K:$K,Z$251,DEALS!$M:$M,$T268,DEALS!$N:$N,"&lt;&gt;*RECEIVED*",DEALS!$N:$N,"&lt;&gt;*EXECUTED*"))+SUM(SUMIFS(DEALS!$R:$R,DEALS!$A:$A,{"*REFUND*","*EXECUTED*"},DEALS!$O:$O,$B$247,DEALS!$E:$E,"&lt;="&amp;$U$249,DEALS!$S:$S,Z$251,DEALS!$U:$U,$T268,DEALS!$V:$V,"&lt;&gt;*RECEIVED*",DEALS!$V:$V,"&lt;&gt;*EXECUTED*"))</f>
        <v>0</v>
      </c>
      <c r="AA268" s="30">
        <f ca="1">U268*VLOOKUP(U$251,'FX RATES'!$E$1:$F$50,2,FALSE)+V268*VLOOKUP(V$251,'FX RATES'!$E$1:$F$50,2,FALSE)+W268*VLOOKUP(W$251,'FX RATES'!$E$1:$F$50,2,FALSE)+X268*VLOOKUP(X$251,'FX RATES'!$E$1:$F$50,2,FALSE)+Y268*VLOOKUP(Y$251,'FX RATES'!$E$1:$F$50,2,FALSE)+Z268*VLOOKUP(Z$251,'FX RATES'!$E$1:$F$50,2,FALSE)</f>
        <v>0</v>
      </c>
      <c r="AC268" s="139">
        <f t="shared" ca="1" si="106"/>
        <v>0</v>
      </c>
    </row>
    <row r="269" spans="2:29" ht="19" hidden="1">
      <c r="B269" s="31"/>
      <c r="C269" s="32" cm="1">
        <f t="array" ref="C269">SUMIFS(BALANCES!$C:$C,BALANCES!$A:$A,$B$247,BALANCES!$B:$B,$B269,BALANCES!$D:$D,C$251)+SUMIFS(FLOWS!$C:$C,FLOWS!$A:$A,$B$247,FLOWS!$E:$E,$B269,FLOWS!$D:$D,C$251,FLOWS!$H:$H,"&lt;"&amp;$C$249)+SUM(SUMIFS(DEALS!$J:$J,DEALS!$A:$A,{"*REFUND*","*EXECUTED*"},DEALS!$G:$G,$B$247,DEALS!$E:$E,"&lt;"&amp;$C$249,DEALS!$K:$K,C$251,DEALS!$M:$M,$B269,DEALS!$N:$N,"&lt;&gt;*RECEIVED*",DEALS!$N:$N,"&lt;&gt;*EXECUTED*"))+SUM(SUMIFS(DEALS!$R:$R,DEALS!$A:$A,{"*REFUND*","*EXECUTED*"},DEALS!$O:$O,$B$247,DEALS!$E:$E,"&lt;"&amp;$C$249,DEALS!$S:$S,C$251,DEALS!$U:$U,$B269,DEALS!$V:$V,"&lt;&gt;*RECEIVED*",DEALS!$V:$V,"&lt;&gt;*EXECUTED*"))</f>
        <v>0</v>
      </c>
      <c r="D269" s="32" cm="1">
        <f t="array" ref="D269">SUMIFS(BALANCES!$C:$C,BALANCES!$A:$A,$B$247,BALANCES!$B:$B,$B269,BALANCES!$D:$D,D$251)+SUMIFS(FLOWS!$C:$C,FLOWS!$A:$A,$B$247,FLOWS!$E:$E,$B269,FLOWS!$D:$D,D$251,FLOWS!$H:$H,"&lt;"&amp;$C$249)+SUM(SUMIFS(DEALS!$J:$J,DEALS!$A:$A,{"*REFUND*","*EXECUTED*"},DEALS!$G:$G,$B$247,DEALS!$E:$E,"&lt;"&amp;$C$249,DEALS!$K:$K,D$251,DEALS!$M:$M,$B269,DEALS!$N:$N,"&lt;&gt;*RECEIVED*",DEALS!$N:$N,"&lt;&gt;*EXECUTED*"))+SUM(SUMIFS(DEALS!$R:$R,DEALS!$A:$A,{"*REFUND*","*EXECUTED*"},DEALS!$O:$O,$B$247,DEALS!$E:$E,"&lt;"&amp;$C$249,DEALS!$S:$S,D$251,DEALS!$U:$U,$B269,DEALS!$V:$V,"&lt;&gt;*RECEIVED*",DEALS!$V:$V,"&lt;&gt;*EXECUTED*"))</f>
        <v>0</v>
      </c>
      <c r="E269" s="32" cm="1">
        <f t="array" ref="E269">SUMIFS(BALANCES!$C:$C,BALANCES!$A:$A,$B$247,BALANCES!$B:$B,$B269,BALANCES!$D:$D,E$251)+SUMIFS(FLOWS!$C:$C,FLOWS!$A:$A,$B$247,FLOWS!$E:$E,$B269,FLOWS!$D:$D,E$251,FLOWS!$H:$H,"&lt;"&amp;$C$249)+SUM(SUMIFS(DEALS!$J:$J,DEALS!$A:$A,{"*REFUND*","*EXECUTED*"},DEALS!$G:$G,$B$247,DEALS!$E:$E,"&lt;"&amp;$C$249,DEALS!$K:$K,E$251,DEALS!$M:$M,$B269,DEALS!$N:$N,"&lt;&gt;*RECEIVED*",DEALS!$N:$N,"&lt;&gt;*EXECUTED*"))+SUM(SUMIFS(DEALS!$R:$R,DEALS!$A:$A,{"*REFUND*","*EXECUTED*"},DEALS!$O:$O,$B$247,DEALS!$E:$E,"&lt;"&amp;$C$249,DEALS!$S:$S,E$251,DEALS!$U:$U,$B269,DEALS!$V:$V,"&lt;&gt;*RECEIVED*",DEALS!$V:$V,"&lt;&gt;*EXECUTED*"))</f>
        <v>0</v>
      </c>
      <c r="F269" s="32" cm="1">
        <f t="array" ref="F269">SUMIFS(BALANCES!$C:$C,BALANCES!$A:$A,$B$247,BALANCES!$B:$B,$B269,BALANCES!$D:$D,F$251)+SUMIFS(FLOWS!$C:$C,FLOWS!$A:$A,$B$247,FLOWS!$E:$E,$B269,FLOWS!$D:$D,F$251,FLOWS!$H:$H,"&lt;"&amp;$C$249)+SUM(SUMIFS(DEALS!$J:$J,DEALS!$A:$A,{"*REFUND*","*EXECUTED*"},DEALS!$G:$G,$B$247,DEALS!$E:$E,"&lt;"&amp;$C$249,DEALS!$K:$K,F$251,DEALS!$M:$M,$B269,DEALS!$N:$N,"&lt;&gt;*RECEIVED*",DEALS!$N:$N,"&lt;&gt;*EXECUTED*"))+SUM(SUMIFS(DEALS!$R:$R,DEALS!$A:$A,{"*REFUND*","*EXECUTED*"},DEALS!$O:$O,$B$247,DEALS!$E:$E,"&lt;"&amp;$C$249,DEALS!$S:$S,F$251,DEALS!$U:$U,$B269,DEALS!$V:$V,"&lt;&gt;*RECEIVED*",DEALS!$V:$V,"&lt;&gt;*EXECUTED*"))</f>
        <v>0</v>
      </c>
      <c r="G269" s="32" cm="1">
        <f t="array" ref="G269">SUMIFS(BALANCES!$C:$C,BALANCES!$A:$A,$B$247,BALANCES!$B:$B,$B269,BALANCES!$D:$D,G$251)+SUMIFS(FLOWS!$C:$C,FLOWS!$A:$A,$B$247,FLOWS!$E:$E,$B269,FLOWS!$D:$D,G$251,FLOWS!$H:$H,"&lt;"&amp;$C$249)+SUM(SUMIFS(DEALS!$J:$J,DEALS!$A:$A,{"*REFUND*","*EXECUTED*"},DEALS!$G:$G,$B$247,DEALS!$E:$E,"&lt;"&amp;$C$249,DEALS!$K:$K,G$251,DEALS!$M:$M,$B269,DEALS!$N:$N,"&lt;&gt;*RECEIVED*",DEALS!$N:$N,"&lt;&gt;*EXECUTED*"))+SUM(SUMIFS(DEALS!$R:$R,DEALS!$A:$A,{"*REFUND*","*EXECUTED*"},DEALS!$O:$O,$B$247,DEALS!$E:$E,"&lt;"&amp;$C$249,DEALS!$S:$S,G$251,DEALS!$U:$U,$B269,DEALS!$V:$V,"&lt;&gt;*RECEIVED*",DEALS!$V:$V,"&lt;&gt;*EXECUTED*"))</f>
        <v>0</v>
      </c>
      <c r="H269" s="32" cm="1">
        <f t="array" ref="H269">SUMIFS(BALANCES!$C:$C,BALANCES!$A:$A,$B$247,BALANCES!$B:$B,$B269,BALANCES!$D:$D,H$251)+SUMIFS(FLOWS!$C:$C,FLOWS!$A:$A,$B$247,FLOWS!$E:$E,$B269,FLOWS!$D:$D,H$251,FLOWS!$H:$H,"&lt;"&amp;$C$249)+SUM(SUMIFS(DEALS!$J:$J,DEALS!$A:$A,{"*REFUND*","*EXECUTED*"},DEALS!$G:$G,$B$247,DEALS!$E:$E,"&lt;"&amp;$C$249,DEALS!$K:$K,H$251,DEALS!$M:$M,$B269,DEALS!$N:$N,"&lt;&gt;*RECEIVED*",DEALS!$N:$N,"&lt;&gt;*EXECUTED*"))+SUM(SUMIFS(DEALS!$R:$R,DEALS!$A:$A,{"*REFUND*","*EXECUTED*"},DEALS!$O:$O,$B$247,DEALS!$E:$E,"&lt;"&amp;$C$249,DEALS!$S:$S,H$251,DEALS!$U:$U,$B269,DEALS!$V:$V,"&lt;&gt;*RECEIVED*",DEALS!$V:$V,"&lt;&gt;*EXECUTED*"))</f>
        <v>0</v>
      </c>
      <c r="I269" s="33">
        <f ca="1">C269*VLOOKUP(C$251,'FX RATES'!$E$1:$F$50,2,FALSE)+D269*VLOOKUP(D$251,'FX RATES'!$E$1:$F$50,2,FALSE)+E269*VLOOKUP(E$251,'FX RATES'!$E$1:$F$50,2,FALSE)+F269*VLOOKUP(F$251,'FX RATES'!$E$1:$F$50,2,FALSE)+G269*VLOOKUP(G$251,'FX RATES'!$E$1:$F$50,2,FALSE)+H269*VLOOKUP(H$251,'FX RATES'!$E$1:$F$50,2,FALSE)</f>
        <v>0</v>
      </c>
      <c r="K269" s="31">
        <f t="shared" si="104"/>
        <v>0</v>
      </c>
      <c r="L269" s="32" cm="1">
        <f t="array" ref="L269">SUMIFS(FLOWS!$C:$C,FLOWS!$A:$A,$B$247,FLOWS!$E:$E,$K269,FLOWS!$D:$D,L$251,FLOWS!$H:$H,"&gt;="&amp;$C$249,FLOWS!$H:$H,"&lt;="&amp;$U$249)+SUM(SUMIFS(DEALS!$J:$J,DEALS!$A:$A,{"*REFUND*","*EXECUTED*"},DEALS!$G:$G,$B$247,DEALS!$E:$E,"&gt;="&amp;$C$249,DEALS!$E:$E,"&lt;="&amp;$U$249,DEALS!$K:$K,L$251,DEALS!$M:$M,$K269,DEALS!$N:$N,"&lt;&gt;*RECEIVED*",DEALS!$N:$N,"&lt;&gt;*EXECUTED*"))+SUM(SUMIFS(DEALS!$R:$R,DEALS!$A:$A,{"*REFUND*","*EXECUTED*"},DEALS!$O:$O,$B$247,DEALS!$E:$E,"&gt;="&amp;$C$249,DEALS!$E:$E,"&lt;="&amp;$U$249,DEALS!$S:$S,L$251,DEALS!$U:$U,$K269,DEALS!$V:$V,"&lt;&gt;*RECEIVED*",DEALS!$V:$V,"&lt;&gt;*EXECUTED*"))</f>
        <v>0</v>
      </c>
      <c r="M269" s="32" cm="1">
        <f t="array" ref="M269">SUMIFS(FLOWS!$C:$C,FLOWS!$A:$A,$B$247,FLOWS!$E:$E,$K269,FLOWS!$D:$D,M$251,FLOWS!$H:$H,"&gt;="&amp;$C$249,FLOWS!$H:$H,"&lt;="&amp;$U$249)+SUM(SUMIFS(DEALS!$J:$J,DEALS!$A:$A,{"*REFUND*","*EXECUTED*"},DEALS!$G:$G,$B$247,DEALS!$E:$E,"&gt;="&amp;$C$249,DEALS!$E:$E,"&lt;="&amp;$U$249,DEALS!$K:$K,M$251,DEALS!$M:$M,$K269,DEALS!$N:$N,"&lt;&gt;*RECEIVED*",DEALS!$N:$N,"&lt;&gt;*EXECUTED*"))+SUM(SUMIFS(DEALS!$R:$R,DEALS!$A:$A,{"*REFUND*","*EXECUTED*"},DEALS!$O:$O,$B$247,DEALS!$E:$E,"&gt;="&amp;$C$249,DEALS!$E:$E,"&lt;="&amp;$U$249,DEALS!$S:$S,M$251,DEALS!$U:$U,$K269,DEALS!$V:$V,"&lt;&gt;*RECEIVED*",DEALS!$V:$V,"&lt;&gt;*EXECUTED*"))</f>
        <v>0</v>
      </c>
      <c r="N269" s="32" cm="1">
        <f t="array" ref="N269">SUMIFS(FLOWS!$C:$C,FLOWS!$A:$A,$B$247,FLOWS!$E:$E,$K269,FLOWS!$D:$D,N$251,FLOWS!$H:$H,"&gt;="&amp;$C$249,FLOWS!$H:$H,"&lt;="&amp;$U$249)+SUM(SUMIFS(DEALS!$J:$J,DEALS!$A:$A,{"*REFUND*","*EXECUTED*"},DEALS!$G:$G,$B$247,DEALS!$E:$E,"&gt;="&amp;$C$249,DEALS!$E:$E,"&lt;="&amp;$U$249,DEALS!$K:$K,N$251,DEALS!$M:$M,$K269,DEALS!$N:$N,"&lt;&gt;*RECEIVED*",DEALS!$N:$N,"&lt;&gt;*EXECUTED*"))+SUM(SUMIFS(DEALS!$R:$R,DEALS!$A:$A,{"*REFUND*","*EXECUTED*"},DEALS!$O:$O,$B$247,DEALS!$E:$E,"&gt;="&amp;$C$249,DEALS!$E:$E,"&lt;="&amp;$U$249,DEALS!$S:$S,N$251,DEALS!$U:$U,$K269,DEALS!$V:$V,"&lt;&gt;*RECEIVED*",DEALS!$V:$V,"&lt;&gt;*EXECUTED*"))</f>
        <v>0</v>
      </c>
      <c r="O269" s="32" cm="1">
        <f t="array" ref="O269">SUMIFS(FLOWS!$C:$C,FLOWS!$A:$A,$B$247,FLOWS!$E:$E,$K269,FLOWS!$D:$D,O$251,FLOWS!$H:$H,"&gt;="&amp;$C$249,FLOWS!$H:$H,"&lt;="&amp;$U$249)+SUM(SUMIFS(DEALS!$J:$J,DEALS!$A:$A,{"*REFUND*","*EXECUTED*"},DEALS!$G:$G,$B$247,DEALS!$E:$E,"&gt;="&amp;$C$249,DEALS!$E:$E,"&lt;="&amp;$U$249,DEALS!$K:$K,O$251,DEALS!$M:$M,$K269,DEALS!$N:$N,"&lt;&gt;*RECEIVED*",DEALS!$N:$N,"&lt;&gt;*EXECUTED*"))+SUM(SUMIFS(DEALS!$R:$R,DEALS!$A:$A,{"*REFUND*","*EXECUTED*"},DEALS!$O:$O,$B$247,DEALS!$E:$E,"&gt;="&amp;$C$249,DEALS!$E:$E,"&lt;="&amp;$U$249,DEALS!$S:$S,O$251,DEALS!$U:$U,$K269,DEALS!$V:$V,"&lt;&gt;*RECEIVED*",DEALS!$V:$V,"&lt;&gt;*EXECUTED*"))</f>
        <v>0</v>
      </c>
      <c r="P269" s="32" cm="1">
        <f t="array" ref="P269">SUMIFS(FLOWS!$C:$C,FLOWS!$A:$A,$B$247,FLOWS!$E:$E,$K269,FLOWS!$D:$D,P$251,FLOWS!$H:$H,"&gt;="&amp;$C$249,FLOWS!$H:$H,"&lt;="&amp;$U$249)+SUM(SUMIFS(DEALS!$J:$J,DEALS!$A:$A,{"*REFUND*","*EXECUTED*"},DEALS!$G:$G,$B$247,DEALS!$E:$E,"&gt;="&amp;$C$249,DEALS!$E:$E,"&lt;="&amp;$U$249,DEALS!$K:$K,P$251,DEALS!$M:$M,$K269,DEALS!$N:$N,"&lt;&gt;*RECEIVED*",DEALS!$N:$N,"&lt;&gt;*EXECUTED*"))+SUM(SUMIFS(DEALS!$R:$R,DEALS!$A:$A,{"*REFUND*","*EXECUTED*"},DEALS!$O:$O,$B$247,DEALS!$E:$E,"&gt;="&amp;$C$249,DEALS!$E:$E,"&lt;="&amp;$U$249,DEALS!$S:$S,P$251,DEALS!$U:$U,$K269,DEALS!$V:$V,"&lt;&gt;*RECEIVED*",DEALS!$V:$V,"&lt;&gt;*EXECUTED*"))</f>
        <v>0</v>
      </c>
      <c r="Q269" s="32" cm="1">
        <f t="array" ref="Q269">SUMIFS(FLOWS!$C:$C,FLOWS!$A:$A,$B$247,FLOWS!$E:$E,$K269,FLOWS!$D:$D,Q$251,FLOWS!$H:$H,"&gt;="&amp;$C$249,FLOWS!$H:$H,"&lt;="&amp;$U$249)+SUM(SUMIFS(DEALS!$J:$J,DEALS!$A:$A,{"*REFUND*","*EXECUTED*"},DEALS!$G:$G,$B$247,DEALS!$E:$E,"&gt;="&amp;$C$249,DEALS!$E:$E,"&lt;="&amp;$U$249,DEALS!$K:$K,Q$251,DEALS!$M:$M,$K269,DEALS!$N:$N,"&lt;&gt;*RECEIVED*",DEALS!$N:$N,"&lt;&gt;*EXECUTED*"))+SUM(SUMIFS(DEALS!$R:$R,DEALS!$A:$A,{"*REFUND*","*EXECUTED*"},DEALS!$O:$O,$B$247,DEALS!$E:$E,"&gt;="&amp;$C$249,DEALS!$E:$E,"&lt;="&amp;$U$249,DEALS!$S:$S,Q$251,DEALS!$U:$U,$K269,DEALS!$V:$V,"&lt;&gt;*RECEIVED*",DEALS!$V:$V,"&lt;&gt;*EXECUTED*"))</f>
        <v>0</v>
      </c>
      <c r="R269" s="33">
        <f ca="1">L269*VLOOKUP(L$251,'FX RATES'!$E$1:$F$50,2,FALSE)+M269*VLOOKUP(M$251,'FX RATES'!$E$1:$F$50,2,FALSE)+N269*VLOOKUP(N$251,'FX RATES'!$E$1:$F$50,2,FALSE)+O269*VLOOKUP(O$251,'FX RATES'!$E$1:$F$50,2,FALSE)+P269*VLOOKUP(P$251,'FX RATES'!$E$1:$F$50,2,FALSE)+Q269*VLOOKUP(Q$251,'FX RATES'!$E$1:$F$50,2,FALSE)</f>
        <v>0</v>
      </c>
      <c r="T269" s="31">
        <f t="shared" si="105"/>
        <v>0</v>
      </c>
      <c r="U269" s="32" cm="1">
        <f t="array" ref="U269">SUMIFS(BALANCES!$C:$C,BALANCES!$A:$A,$B$247,BALANCES!$B:$B,$T269,BALANCES!$D:$D,U$251)+SUMIFS(FLOWS!$C:$C,FLOWS!$A:$A,$B$247,FLOWS!$E:$E,$T269,FLOWS!$D:$D,U$251,FLOWS!$H:$H,"&lt;="&amp;$U$249)+SUM(SUMIFS(DEALS!$J:$J,DEALS!$A:$A,{"*REFUND*","*EXECUTED*"},DEALS!$G:$G,$B$247,DEALS!$E:$E,"&lt;="&amp;$U$249,DEALS!$K:$K,U$251,DEALS!$M:$M,$T269,DEALS!$N:$N,"&lt;&gt;*RECEIVED*",DEALS!$N:$N,"&lt;&gt;*EXECUTED*"))+SUM(SUMIFS(DEALS!$R:$R,DEALS!$A:$A,{"*REFUND*","*EXECUTED*"},DEALS!$O:$O,$B$247,DEALS!$E:$E,"&lt;="&amp;$U$249,DEALS!$S:$S,U$251,DEALS!$U:$U,$T269,DEALS!$V:$V,"&lt;&gt;*RECEIVED*",DEALS!$V:$V,"&lt;&gt;*EXECUTED*"))</f>
        <v>0</v>
      </c>
      <c r="V269" s="32" cm="1">
        <f t="array" ref="V269">SUMIFS(BALANCES!$C:$C,BALANCES!$A:$A,$B$247,BALANCES!$B:$B,$T269,BALANCES!$D:$D,V$251)+SUMIFS(FLOWS!$C:$C,FLOWS!$A:$A,$B$247,FLOWS!$E:$E,$T269,FLOWS!$D:$D,V$251,FLOWS!$H:$H,"&lt;="&amp;$U$249)+SUM(SUMIFS(DEALS!$J:$J,DEALS!$A:$A,{"*REFUND*","*EXECUTED*"},DEALS!$G:$G,$B$247,DEALS!$E:$E,"&lt;="&amp;$U$249,DEALS!$K:$K,V$251,DEALS!$M:$M,$T269,DEALS!$N:$N,"&lt;&gt;*RECEIVED*",DEALS!$N:$N,"&lt;&gt;*EXECUTED*"))+SUM(SUMIFS(DEALS!$R:$R,DEALS!$A:$A,{"*REFUND*","*EXECUTED*"},DEALS!$O:$O,$B$247,DEALS!$E:$E,"&lt;="&amp;$U$249,DEALS!$S:$S,V$251,DEALS!$U:$U,$T269,DEALS!$V:$V,"&lt;&gt;*RECEIVED*",DEALS!$V:$V,"&lt;&gt;*EXECUTED*"))</f>
        <v>0</v>
      </c>
      <c r="W269" s="32" cm="1">
        <f t="array" ref="W269">SUMIFS(BALANCES!$C:$C,BALANCES!$A:$A,$B$247,BALANCES!$B:$B,$T269,BALANCES!$D:$D,W$251)+SUMIFS(FLOWS!$C:$C,FLOWS!$A:$A,$B$247,FLOWS!$E:$E,$T269,FLOWS!$D:$D,W$251,FLOWS!$H:$H,"&lt;="&amp;$U$249)+SUM(SUMIFS(DEALS!$J:$J,DEALS!$A:$A,{"*REFUND*","*EXECUTED*"},DEALS!$G:$G,$B$247,DEALS!$E:$E,"&lt;="&amp;$U$249,DEALS!$K:$K,W$251,DEALS!$M:$M,$T269,DEALS!$N:$N,"&lt;&gt;*RECEIVED*",DEALS!$N:$N,"&lt;&gt;*EXECUTED*"))+SUM(SUMIFS(DEALS!$R:$R,DEALS!$A:$A,{"*REFUND*","*EXECUTED*"},DEALS!$O:$O,$B$247,DEALS!$E:$E,"&lt;="&amp;$U$249,DEALS!$S:$S,W$251,DEALS!$U:$U,$T269,DEALS!$V:$V,"&lt;&gt;*RECEIVED*",DEALS!$V:$V,"&lt;&gt;*EXECUTED*"))</f>
        <v>0</v>
      </c>
      <c r="X269" s="32" cm="1">
        <f t="array" ref="X269">SUMIFS(BALANCES!$C:$C,BALANCES!$A:$A,$B$247,BALANCES!$B:$B,$T269,BALANCES!$D:$D,X$251)+SUMIFS(FLOWS!$C:$C,FLOWS!$A:$A,$B$247,FLOWS!$E:$E,$T269,FLOWS!$D:$D,X$251,FLOWS!$H:$H,"&lt;="&amp;$U$249)+SUM(SUMIFS(DEALS!$J:$J,DEALS!$A:$A,{"*REFUND*","*EXECUTED*"},DEALS!$G:$G,$B$247,DEALS!$E:$E,"&lt;="&amp;$U$249,DEALS!$K:$K,X$251,DEALS!$M:$M,$T269,DEALS!$N:$N,"&lt;&gt;*RECEIVED*",DEALS!$N:$N,"&lt;&gt;*EXECUTED*"))+SUM(SUMIFS(DEALS!$R:$R,DEALS!$A:$A,{"*REFUND*","*EXECUTED*"},DEALS!$O:$O,$B$247,DEALS!$E:$E,"&lt;="&amp;$U$249,DEALS!$S:$S,X$251,DEALS!$U:$U,$T269,DEALS!$V:$V,"&lt;&gt;*RECEIVED*",DEALS!$V:$V,"&lt;&gt;*EXECUTED*"))</f>
        <v>0</v>
      </c>
      <c r="Y269" s="32" cm="1">
        <f t="array" ref="Y269">SUMIFS(BALANCES!$C:$C,BALANCES!$A:$A,$B$247,BALANCES!$B:$B,$T269,BALANCES!$D:$D,Y$251)+SUMIFS(FLOWS!$C:$C,FLOWS!$A:$A,$B$247,FLOWS!$E:$E,$T269,FLOWS!$D:$D,Y$251,FLOWS!$H:$H,"&lt;="&amp;$U$249)+SUM(SUMIFS(DEALS!$J:$J,DEALS!$A:$A,{"*REFUND*","*EXECUTED*"},DEALS!$G:$G,$B$247,DEALS!$E:$E,"&lt;="&amp;$U$249,DEALS!$K:$K,Y$251,DEALS!$M:$M,$T269,DEALS!$N:$N,"&lt;&gt;*RECEIVED*",DEALS!$N:$N,"&lt;&gt;*EXECUTED*"))+SUM(SUMIFS(DEALS!$R:$R,DEALS!$A:$A,{"*REFUND*","*EXECUTED*"},DEALS!$O:$O,$B$247,DEALS!$E:$E,"&lt;="&amp;$U$249,DEALS!$S:$S,Y$251,DEALS!$U:$U,$T269,DEALS!$V:$V,"&lt;&gt;*RECEIVED*",DEALS!$V:$V,"&lt;&gt;*EXECUTED*"))</f>
        <v>0</v>
      </c>
      <c r="Z269" s="32" cm="1">
        <f t="array" ref="Z269">SUMIFS(BALANCES!$C:$C,BALANCES!$A:$A,$B$247,BALANCES!$B:$B,$T269,BALANCES!$D:$D,Z$251)+SUMIFS(FLOWS!$C:$C,FLOWS!$A:$A,$B$247,FLOWS!$E:$E,$T269,FLOWS!$D:$D,Z$251,FLOWS!$H:$H,"&lt;="&amp;$U$249)+SUM(SUMIFS(DEALS!$J:$J,DEALS!$A:$A,{"*REFUND*","*EXECUTED*"},DEALS!$G:$G,$B$247,DEALS!$E:$E,"&lt;="&amp;$U$249,DEALS!$K:$K,Z$251,DEALS!$M:$M,$T269,DEALS!$N:$N,"&lt;&gt;*RECEIVED*",DEALS!$N:$N,"&lt;&gt;*EXECUTED*"))+SUM(SUMIFS(DEALS!$R:$R,DEALS!$A:$A,{"*REFUND*","*EXECUTED*"},DEALS!$O:$O,$B$247,DEALS!$E:$E,"&lt;="&amp;$U$249,DEALS!$S:$S,Z$251,DEALS!$U:$U,$T269,DEALS!$V:$V,"&lt;&gt;*RECEIVED*",DEALS!$V:$V,"&lt;&gt;*EXECUTED*"))</f>
        <v>0</v>
      </c>
      <c r="AA269" s="33">
        <f ca="1">U269*VLOOKUP(U$251,'FX RATES'!$E$1:$F$50,2,FALSE)+V269*VLOOKUP(V$251,'FX RATES'!$E$1:$F$50,2,FALSE)+W269*VLOOKUP(W$251,'FX RATES'!$E$1:$F$50,2,FALSE)+X269*VLOOKUP(X$251,'FX RATES'!$E$1:$F$50,2,FALSE)+Y269*VLOOKUP(Y$251,'FX RATES'!$E$1:$F$50,2,FALSE)+Z269*VLOOKUP(Z$251,'FX RATES'!$E$1:$F$50,2,FALSE)</f>
        <v>0</v>
      </c>
      <c r="AC269" s="139">
        <f t="shared" ca="1" si="106"/>
        <v>0</v>
      </c>
    </row>
    <row r="270" spans="2:29" ht="22" thickBot="1">
      <c r="B270" s="13" t="s">
        <v>26</v>
      </c>
      <c r="C270" s="16">
        <f>SUM(C252:C269)</f>
        <v>2311267.25</v>
      </c>
      <c r="D270" s="16">
        <f t="shared" ref="D270:E270" si="107">SUM(D252:D269)</f>
        <v>18219.060000000001</v>
      </c>
      <c r="E270" s="16">
        <f t="shared" si="107"/>
        <v>0</v>
      </c>
      <c r="F270" s="16">
        <f>SUM(F252:F269)</f>
        <v>47277719.990000002</v>
      </c>
      <c r="G270" s="16">
        <f t="shared" ref="G270:H270" si="108">SUM(G252:G269)</f>
        <v>0</v>
      </c>
      <c r="H270" s="16">
        <f t="shared" si="108"/>
        <v>0</v>
      </c>
      <c r="I270" s="16">
        <f ca="1">SUM(I252:I269)</f>
        <v>2335533.4379107235</v>
      </c>
      <c r="K270" s="13" t="s">
        <v>26</v>
      </c>
      <c r="L270" s="16">
        <f t="shared" ref="L270:R270" si="109">SUM(L252:L269)</f>
        <v>-308701.28851533303</v>
      </c>
      <c r="M270" s="16">
        <f t="shared" si="109"/>
        <v>0</v>
      </c>
      <c r="N270" s="16">
        <f t="shared" si="109"/>
        <v>0</v>
      </c>
      <c r="O270" s="16">
        <f t="shared" si="109"/>
        <v>0</v>
      </c>
      <c r="P270" s="16">
        <f t="shared" si="109"/>
        <v>0</v>
      </c>
      <c r="Q270" s="16">
        <f t="shared" si="109"/>
        <v>0</v>
      </c>
      <c r="R270" s="16">
        <f t="shared" ca="1" si="109"/>
        <v>-308701.28851533303</v>
      </c>
      <c r="T270" s="13" t="s">
        <v>26</v>
      </c>
      <c r="U270" s="16">
        <f t="shared" ref="U270:Y270" si="110">SUM(U252:U269)</f>
        <v>2002565.9614846669</v>
      </c>
      <c r="V270" s="16">
        <f t="shared" si="110"/>
        <v>18219.060000000001</v>
      </c>
      <c r="W270" s="16">
        <f t="shared" si="110"/>
        <v>0</v>
      </c>
      <c r="X270" s="16">
        <f t="shared" si="110"/>
        <v>47277719.990000002</v>
      </c>
      <c r="Y270" s="16">
        <f t="shared" si="110"/>
        <v>0</v>
      </c>
      <c r="Z270" s="16">
        <f>SUM(Z252:Z269)</f>
        <v>0</v>
      </c>
      <c r="AA270" s="16">
        <f t="shared" ref="AA270" ca="1" si="111">SUM(AA252:AA269)</f>
        <v>2026832.1493953904</v>
      </c>
      <c r="AC270" s="139">
        <f t="shared" ca="1" si="106"/>
        <v>0</v>
      </c>
    </row>
    <row r="271" spans="2:29" ht="22" thickBot="1">
      <c r="B271" s="10" t="s">
        <v>11</v>
      </c>
      <c r="C271" s="17">
        <f>VLOOKUP(C251,'FX RATES'!$E$1:$F$50,2,FALSE)*C270</f>
        <v>2311267.25</v>
      </c>
      <c r="D271" s="17">
        <f ca="1">VLOOKUP(D251,'FX RATES'!$E$1:$F$50,2,FALSE)*D270</f>
        <v>21462.052680000001</v>
      </c>
      <c r="E271" s="17">
        <f ca="1">VLOOKUP(E251,'FX RATES'!$E$1:$F$50,2,FALSE)*E270</f>
        <v>0</v>
      </c>
      <c r="F271" s="17">
        <f ca="1">VLOOKUP(F251,'FX RATES'!$E$1:$F$50,2,FALSE)*F270</f>
        <v>2804.1352307236061</v>
      </c>
      <c r="G271" s="17">
        <f ca="1">VLOOKUP(G251,'FX RATES'!$E$1:$F$50,2,FALSE)*G270</f>
        <v>0</v>
      </c>
      <c r="H271" s="17">
        <f ca="1">VLOOKUP(H251,'FX RATES'!$E$1:$F$50,2,FALSE)*H270</f>
        <v>0</v>
      </c>
      <c r="I271" s="16">
        <f ca="1">SUM(C271:H271)</f>
        <v>2335533.437910724</v>
      </c>
      <c r="K271" s="10" t="s">
        <v>11</v>
      </c>
      <c r="L271" s="17">
        <f>VLOOKUP(L251,'FX RATES'!$E$1:$F$50,2,FALSE)*L270</f>
        <v>-308701.28851533303</v>
      </c>
      <c r="M271" s="17">
        <f ca="1">VLOOKUP(M251,'FX RATES'!$E$1:$F$50,2,FALSE)*M270</f>
        <v>0</v>
      </c>
      <c r="N271" s="17">
        <f ca="1">VLOOKUP(N251,'FX RATES'!$E$1:$F$50,2,FALSE)*N270</f>
        <v>0</v>
      </c>
      <c r="O271" s="17">
        <f ca="1">VLOOKUP(O251,'FX RATES'!$E$1:$F$50,2,FALSE)*O270</f>
        <v>0</v>
      </c>
      <c r="P271" s="17">
        <f ca="1">VLOOKUP(P251,'FX RATES'!$E$1:$F$50,2,FALSE)*P270</f>
        <v>0</v>
      </c>
      <c r="Q271" s="17">
        <f ca="1">VLOOKUP(Q251,'FX RATES'!$E$1:$F$50,2,FALSE)*Q270</f>
        <v>0</v>
      </c>
      <c r="R271" s="16">
        <f ca="1">SUM(L271:Q271)</f>
        <v>-308701.28851533303</v>
      </c>
      <c r="T271" s="10" t="s">
        <v>11</v>
      </c>
      <c r="U271" s="17">
        <f>VLOOKUP(U251,'FX RATES'!$E$1:$F$50,2,FALSE)*U270</f>
        <v>2002565.9614846669</v>
      </c>
      <c r="V271" s="17">
        <f ca="1">VLOOKUP(V251,'FX RATES'!$E$1:$F$50,2,FALSE)*V270</f>
        <v>21462.052680000001</v>
      </c>
      <c r="W271" s="17">
        <f ca="1">VLOOKUP(W251,'FX RATES'!$E$1:$F$50,2,FALSE)*W270</f>
        <v>0</v>
      </c>
      <c r="X271" s="17">
        <f ca="1">VLOOKUP(X251,'FX RATES'!$E$1:$F$50,2,FALSE)*X270</f>
        <v>2804.1352307236061</v>
      </c>
      <c r="Y271" s="17">
        <f ca="1">VLOOKUP(Y251,'FX RATES'!$E$1:$F$50,2,FALSE)*Y270</f>
        <v>0</v>
      </c>
      <c r="Z271" s="17">
        <f ca="1">VLOOKUP(Z251,'FX RATES'!$E$1:$F$50,2,FALSE)*Z270</f>
        <v>0</v>
      </c>
      <c r="AA271" s="16">
        <f ca="1">SUM(U271:Z271)</f>
        <v>2026832.1493953904</v>
      </c>
      <c r="AC271" s="139">
        <f t="shared" ca="1" si="106"/>
        <v>0</v>
      </c>
    </row>
    <row r="272" spans="2:29" ht="19"/>
    <row r="273" spans="2:29" ht="19"/>
    <row r="274" spans="2:29" ht="19"/>
    <row r="275" spans="2:29" ht="24">
      <c r="B275" s="593" t="s">
        <v>52</v>
      </c>
      <c r="C275" s="593"/>
      <c r="D275" s="593"/>
      <c r="E275" s="593"/>
      <c r="F275" s="593"/>
      <c r="G275" s="593"/>
      <c r="H275" s="593"/>
      <c r="I275" s="593"/>
      <c r="J275" s="137"/>
      <c r="K275" s="593" t="str">
        <f>B275</f>
        <v>RVG</v>
      </c>
      <c r="L275" s="593"/>
      <c r="M275" s="593"/>
      <c r="N275" s="593"/>
      <c r="O275" s="593"/>
      <c r="P275" s="593"/>
      <c r="Q275" s="593"/>
      <c r="R275" s="593"/>
      <c r="S275" s="137"/>
      <c r="T275" s="593" t="str">
        <f>B275</f>
        <v>RVG</v>
      </c>
      <c r="U275" s="593"/>
      <c r="V275" s="593"/>
      <c r="W275" s="593"/>
      <c r="X275" s="593"/>
      <c r="Y275" s="593"/>
      <c r="Z275" s="593"/>
      <c r="AA275" s="593"/>
    </row>
    <row r="276" spans="2:29" ht="19"/>
    <row r="277" spans="2:29" ht="21">
      <c r="B277" s="9" t="s">
        <v>1</v>
      </c>
      <c r="C277" s="91">
        <f>BALANCES!B1</f>
        <v>46073</v>
      </c>
      <c r="K277" s="56" t="s">
        <v>2</v>
      </c>
      <c r="L277" s="110">
        <f>C277</f>
        <v>46073</v>
      </c>
      <c r="M277" s="144" t="s">
        <v>3</v>
      </c>
      <c r="N277" s="110">
        <f>U277</f>
        <v>46081</v>
      </c>
      <c r="O277" s="140"/>
      <c r="P277" s="140"/>
      <c r="Q277" s="140"/>
      <c r="R277" s="20"/>
      <c r="T277" s="9" t="s">
        <v>1</v>
      </c>
      <c r="U277" s="90">
        <f>U4</f>
        <v>46081</v>
      </c>
    </row>
    <row r="278" spans="2:29" ht="21">
      <c r="B278" s="14"/>
      <c r="C278" s="15"/>
      <c r="D278" s="15"/>
      <c r="E278" s="15"/>
      <c r="F278" s="15"/>
      <c r="G278" s="15"/>
      <c r="H278" s="15"/>
      <c r="I278" s="15"/>
      <c r="K278" s="23"/>
      <c r="L278" s="24"/>
      <c r="M278" s="24"/>
      <c r="N278" s="24"/>
      <c r="O278" s="24"/>
      <c r="P278" s="24"/>
      <c r="Q278" s="24"/>
      <c r="R278" s="25"/>
      <c r="T278" s="14"/>
      <c r="U278" s="15"/>
      <c r="V278" s="15"/>
      <c r="W278" s="15"/>
      <c r="X278" s="15"/>
      <c r="Y278" s="15"/>
      <c r="Z278" s="15"/>
      <c r="AA278" s="15"/>
    </row>
    <row r="279" spans="2:29" ht="21">
      <c r="B279" s="10" t="s">
        <v>4</v>
      </c>
      <c r="C279" s="11" t="s">
        <v>53</v>
      </c>
      <c r="D279" s="11" t="s">
        <v>6</v>
      </c>
      <c r="E279" s="11" t="s">
        <v>46</v>
      </c>
      <c r="F279" s="11" t="s">
        <v>47</v>
      </c>
      <c r="G279" s="11" t="s">
        <v>9</v>
      </c>
      <c r="H279" s="11" t="s">
        <v>35</v>
      </c>
      <c r="I279" s="12" t="s">
        <v>11</v>
      </c>
      <c r="K279" s="10" t="s">
        <v>4</v>
      </c>
      <c r="L279" s="11" t="str">
        <f t="shared" ref="L279:Q279" si="112">C279</f>
        <v>USDT</v>
      </c>
      <c r="M279" s="11" t="str">
        <f t="shared" si="112"/>
        <v>EUR</v>
      </c>
      <c r="N279" s="11" t="str">
        <f t="shared" si="112"/>
        <v>JPY</v>
      </c>
      <c r="O279" s="11" t="str">
        <f t="shared" si="112"/>
        <v>IDR</v>
      </c>
      <c r="P279" s="11" t="str">
        <f t="shared" si="112"/>
        <v>RUB</v>
      </c>
      <c r="Q279" s="11" t="str">
        <f t="shared" si="112"/>
        <v>HKD</v>
      </c>
      <c r="R279" s="12" t="s">
        <v>11</v>
      </c>
      <c r="T279" s="10" t="s">
        <v>4</v>
      </c>
      <c r="U279" s="11" t="str">
        <f t="shared" ref="U279:Z279" si="113">C279</f>
        <v>USDT</v>
      </c>
      <c r="V279" s="11" t="str">
        <f t="shared" si="113"/>
        <v>EUR</v>
      </c>
      <c r="W279" s="11" t="str">
        <f t="shared" si="113"/>
        <v>JPY</v>
      </c>
      <c r="X279" s="11" t="str">
        <f t="shared" si="113"/>
        <v>IDR</v>
      </c>
      <c r="Y279" s="11" t="str">
        <f t="shared" si="113"/>
        <v>RUB</v>
      </c>
      <c r="Z279" s="11" t="str">
        <f t="shared" si="113"/>
        <v>HKD</v>
      </c>
      <c r="AA279" s="12" t="s">
        <v>11</v>
      </c>
      <c r="AC279" s="40" t="s">
        <v>12</v>
      </c>
    </row>
    <row r="280" spans="2:29" ht="20" thickBot="1">
      <c r="B280" s="28" t="s">
        <v>54</v>
      </c>
      <c r="C280" s="535" cm="1">
        <f t="array" ref="C280">SUMIFS(BALANCES!$C:$C,BALANCES!$A:$A,$B$275,BALANCES!$B:$B,$B280,BALANCES!$D:$D,C$279)+SUMIFS(FLOWS!$C:$C,FLOWS!$A:$A,$B$275,FLOWS!$E:$E,$B280,FLOWS!$D:$D,C$279,FLOWS!$H:$H,"&lt;"&amp;$C$277)+SUM(SUMIFS(DEALS!$J:$J,DEALS!$A:$A,{"*REFUND*","*EXECUTED*"},DEALS!$G:$G,$B$275,DEALS!$E:$E,"&lt;"&amp;$C$277,DEALS!$K:$K,C$279,DEALS!$M:$M,$B280,DEALS!$N:$N,"&lt;&gt;*RECEIVED*",DEALS!$N:$N,"&lt;&gt;*EXECUTED*"))+SUM(SUMIFS(DEALS!$R:$R,DEALS!$A:$A,{"*REFUND*","*EXECUTED*"},DEALS!$O:$O,$B$275,DEALS!$E:$E,"&lt;"&amp;$C$277,DEALS!$S:$S,C$279,DEALS!$U:$U,$B280,DEALS!$V:$V,"&lt;&gt;*RECEIVED*",DEALS!$V:$V,"&lt;&gt;*EXECUTED*"))</f>
        <v>68473</v>
      </c>
      <c r="D280" s="29" cm="1">
        <f t="array" ref="D280">SUMIFS(BALANCES!$C:$C,BALANCES!$A:$A,$B$275,BALANCES!$B:$B,$B280,BALANCES!$D:$D,D$279)+SUMIFS(FLOWS!$C:$C,FLOWS!$A:$A,$B$275,FLOWS!$E:$E,$B280,FLOWS!$D:$D,D$279,FLOWS!$H:$H,"&lt;"&amp;$C$277)+SUM(SUMIFS(DEALS!$J:$J,DEALS!$A:$A,{"*REFUND*","*EXECUTED*"},DEALS!$G:$G,$B$275,DEALS!$E:$E,"&lt;"&amp;$C$277,DEALS!$K:$K,D$279,DEALS!$M:$M,$B280,DEALS!$N:$N,"&lt;&gt;*RECEIVED*",DEALS!$N:$N,"&lt;&gt;*EXECUTED*"))+SUM(SUMIFS(DEALS!$R:$R,DEALS!$A:$A,{"*REFUND*","*EXECUTED*"},DEALS!$O:$O,$B$275,DEALS!$E:$E,"&lt;"&amp;$C$277,DEALS!$S:$S,D$279,DEALS!$U:$U,$B280,DEALS!$V:$V,"&lt;&gt;*RECEIVED*",DEALS!$V:$V,"&lt;&gt;*EXECUTED*"))</f>
        <v>0</v>
      </c>
      <c r="E280" s="29" cm="1">
        <f t="array" ref="E280">SUMIFS(BALANCES!$C:$C,BALANCES!$A:$A,$B$275,BALANCES!$B:$B,$B280,BALANCES!$D:$D,E$279)+SUMIFS(FLOWS!$C:$C,FLOWS!$A:$A,$B$275,FLOWS!$E:$E,$B280,FLOWS!$D:$D,E$279,FLOWS!$H:$H,"&lt;"&amp;$C$277)+SUM(SUMIFS(DEALS!$J:$J,DEALS!$A:$A,{"*REFUND*","*EXECUTED*"},DEALS!$G:$G,$B$275,DEALS!$E:$E,"&lt;"&amp;$C$277,DEALS!$K:$K,E$279,DEALS!$M:$M,$B280,DEALS!$N:$N,"&lt;&gt;*RECEIVED*",DEALS!$N:$N,"&lt;&gt;*EXECUTED*"))+SUM(SUMIFS(DEALS!$R:$R,DEALS!$A:$A,{"*REFUND*","*EXECUTED*"},DEALS!$O:$O,$B$275,DEALS!$E:$E,"&lt;"&amp;$C$277,DEALS!$S:$S,E$279,DEALS!$U:$U,$B280,DEALS!$V:$V,"&lt;&gt;*RECEIVED*",DEALS!$V:$V,"&lt;&gt;*EXECUTED*"))</f>
        <v>0</v>
      </c>
      <c r="F280" s="29" cm="1">
        <f t="array" ref="F280">SUMIFS(BALANCES!$C:$C,BALANCES!$A:$A,$B$275,BALANCES!$B:$B,$B280,BALANCES!$D:$D,F$279)+SUMIFS(FLOWS!$C:$C,FLOWS!$A:$A,$B$275,FLOWS!$E:$E,$B280,FLOWS!$D:$D,F$279,FLOWS!$H:$H,"&lt;"&amp;$C$277)+SUM(SUMIFS(DEALS!$J:$J,DEALS!$A:$A,{"*REFUND*","*EXECUTED*"},DEALS!$G:$G,$B$275,DEALS!$E:$E,"&lt;"&amp;$C$277,DEALS!$K:$K,F$279,DEALS!$M:$M,$B280,DEALS!$N:$N,"&lt;&gt;*RECEIVED*",DEALS!$N:$N,"&lt;&gt;*EXECUTED*"))+SUM(SUMIFS(DEALS!$R:$R,DEALS!$A:$A,{"*REFUND*","*EXECUTED*"},DEALS!$O:$O,$B$275,DEALS!$E:$E,"&lt;"&amp;$C$277,DEALS!$S:$S,F$279,DEALS!$U:$U,$B280,DEALS!$V:$V,"&lt;&gt;*RECEIVED*",DEALS!$V:$V,"&lt;&gt;*EXECUTED*"))</f>
        <v>0</v>
      </c>
      <c r="G280" s="29" cm="1">
        <f t="array" ref="G280">SUMIFS(BALANCES!$C:$C,BALANCES!$A:$A,$B$275,BALANCES!$B:$B,$B280,BALANCES!$D:$D,G$279)+SUMIFS(FLOWS!$C:$C,FLOWS!$A:$A,$B$275,FLOWS!$E:$E,$B280,FLOWS!$D:$D,G$279,FLOWS!$H:$H,"&lt;"&amp;$C$277)+SUM(SUMIFS(DEALS!$J:$J,DEALS!$A:$A,{"*REFUND*","*EXECUTED*"},DEALS!$G:$G,$B$275,DEALS!$E:$E,"&lt;"&amp;$C$277,DEALS!$K:$K,G$279,DEALS!$M:$M,$B280,DEALS!$N:$N,"&lt;&gt;*RECEIVED*",DEALS!$N:$N,"&lt;&gt;*EXECUTED*"))+SUM(SUMIFS(DEALS!$R:$R,DEALS!$A:$A,{"*REFUND*","*EXECUTED*"},DEALS!$O:$O,$B$275,DEALS!$E:$E,"&lt;"&amp;$C$277,DEALS!$S:$S,G$279,DEALS!$U:$U,$B280,DEALS!$V:$V,"&lt;&gt;*RECEIVED*",DEALS!$V:$V,"&lt;&gt;*EXECUTED*"))</f>
        <v>0</v>
      </c>
      <c r="H280" s="29" cm="1">
        <f t="array" ref="H280">SUMIFS(BALANCES!$C:$C,BALANCES!$A:$A,$B$275,BALANCES!$B:$B,$B280,BALANCES!$D:$D,H$279)+SUMIFS(FLOWS!$C:$C,FLOWS!$A:$A,$B$275,FLOWS!$E:$E,$B280,FLOWS!$D:$D,H$279,FLOWS!$H:$H,"&lt;"&amp;$C$277)+SUM(SUMIFS(DEALS!$J:$J,DEALS!$A:$A,{"*REFUND*","*EXECUTED*"},DEALS!$G:$G,$B$275,DEALS!$E:$E,"&lt;"&amp;$C$277,DEALS!$K:$K,H$279,DEALS!$M:$M,$B280,DEALS!$N:$N,"&lt;&gt;*RECEIVED*",DEALS!$N:$N,"&lt;&gt;*EXECUTED*"))+SUM(SUMIFS(DEALS!$R:$R,DEALS!$A:$A,{"*REFUND*","*EXECUTED*"},DEALS!$O:$O,$B$275,DEALS!$E:$E,"&lt;"&amp;$C$277,DEALS!$S:$S,H$279,DEALS!$U:$U,$B280,DEALS!$V:$V,"&lt;&gt;*RECEIVED*",DEALS!$V:$V,"&lt;&gt;*EXECUTED*"))</f>
        <v>0</v>
      </c>
      <c r="I280" s="30">
        <f ca="1">C280*VLOOKUP(C$279,'FX RATES'!$E$1:$F$50,2,FALSE)+D280*VLOOKUP(D$279,'FX RATES'!$E$1:$F$50,2,FALSE)+E280*VLOOKUP(E$279,'FX RATES'!$E$1:$F$50,2,FALSE)+F280*VLOOKUP(F$279,'FX RATES'!$E$1:$F$50,2,FALSE)+G280*VLOOKUP(G$279,'FX RATES'!$E$1:$F$50,2,FALSE)+H280*VLOOKUP(H$279,'FX RATES'!$E$1:$F$50,2,FALSE)</f>
        <v>68473</v>
      </c>
      <c r="K280" s="28" t="str">
        <f t="shared" ref="K280:K297" si="114">B280</f>
        <v>MXLW</v>
      </c>
      <c r="L280" s="29" cm="1">
        <f t="array" ref="L280">SUMIFS(FLOWS!$C:$C,FLOWS!$A:$A,$B$275,FLOWS!$E:$E,$K280,FLOWS!$D:$D,L$279,FLOWS!$H:$H,"&gt;="&amp;$C$277,FLOWS!$H:$H,"&lt;="&amp;$U$277)+SUM(SUMIFS(DEALS!$J:$J,DEALS!$A:$A,{"*REFUND*","*EXECUTED*"},DEALS!$G:$G,$B$275,DEALS!$E:$E,"&gt;="&amp;$C$277,DEALS!$E:$E,"&lt;="&amp;$U$277,DEALS!$K:$K,L$279,DEALS!$M:$M,$K280,DEALS!$N:$N,"&lt;&gt;*RECEIVED*",DEALS!$N:$N,"&lt;&gt;*EXECUTED*"))+SUM(SUMIFS(DEALS!$R:$R,DEALS!$A:$A,{"*REFUND*","*EXECUTED*"},DEALS!$O:$O,$B$275,DEALS!$E:$E,"&gt;="&amp;$C$277,DEALS!$E:$E,"&lt;="&amp;$U$277,DEALS!$S:$S,L$279,DEALS!$U:$U,$K280,DEALS!$V:$V,"&lt;&gt;*RECEIVED*",DEALS!$V:$V,"&lt;&gt;*EXECUTED*"))</f>
        <v>323206.20555914677</v>
      </c>
      <c r="M280" s="29" cm="1">
        <f t="array" ref="M280">SUMIFS(FLOWS!$C:$C,FLOWS!$A:$A,$B$275,FLOWS!$E:$E,$K280,FLOWS!$D:$D,M$279,FLOWS!$H:$H,"&gt;="&amp;$C$277,FLOWS!$H:$H,"&lt;="&amp;$U$277)+SUM(SUMIFS(DEALS!$J:$J,DEALS!$A:$A,{"*REFUND*","*EXECUTED*"},DEALS!$G:$G,$B$275,DEALS!$E:$E,"&gt;="&amp;$C$277,DEALS!$E:$E,"&lt;="&amp;$U$277,DEALS!$K:$K,M$279,DEALS!$M:$M,$K280,DEALS!$N:$N,"&lt;&gt;*RECEIVED*",DEALS!$N:$N,"&lt;&gt;*EXECUTED*"))+SUM(SUMIFS(DEALS!$R:$R,DEALS!$A:$A,{"*REFUND*","*EXECUTED*"},DEALS!$O:$O,$B$275,DEALS!$E:$E,"&gt;="&amp;$C$277,DEALS!$E:$E,"&lt;="&amp;$U$277,DEALS!$S:$S,M$279,DEALS!$U:$U,$K280,DEALS!$V:$V,"&lt;&gt;*RECEIVED*",DEALS!$V:$V,"&lt;&gt;*EXECUTED*"))</f>
        <v>0</v>
      </c>
      <c r="N280" s="29" cm="1">
        <f t="array" ref="N280">SUMIFS(FLOWS!$C:$C,FLOWS!$A:$A,$B$275,FLOWS!$E:$E,$K280,FLOWS!$D:$D,N$279,FLOWS!$H:$H,"&gt;="&amp;$C$277,FLOWS!$H:$H,"&lt;="&amp;$U$277)+SUM(SUMIFS(DEALS!$J:$J,DEALS!$A:$A,{"*REFUND*","*EXECUTED*"},DEALS!$G:$G,$B$275,DEALS!$E:$E,"&gt;="&amp;$C$277,DEALS!$E:$E,"&lt;="&amp;$U$277,DEALS!$K:$K,N$279,DEALS!$M:$M,$K280,DEALS!$N:$N,"&lt;&gt;*RECEIVED*",DEALS!$N:$N,"&lt;&gt;*EXECUTED*"))+SUM(SUMIFS(DEALS!$R:$R,DEALS!$A:$A,{"*REFUND*","*EXECUTED*"},DEALS!$O:$O,$B$275,DEALS!$E:$E,"&gt;="&amp;$C$277,DEALS!$E:$E,"&lt;="&amp;$U$277,DEALS!$S:$S,N$279,DEALS!$U:$U,$K280,DEALS!$V:$V,"&lt;&gt;*RECEIVED*",DEALS!$V:$V,"&lt;&gt;*EXECUTED*"))</f>
        <v>0</v>
      </c>
      <c r="O280" s="29" cm="1">
        <f t="array" ref="O280">SUMIFS(FLOWS!$C:$C,FLOWS!$A:$A,$B$275,FLOWS!$E:$E,$K280,FLOWS!$D:$D,O$279,FLOWS!$H:$H,"&gt;="&amp;$C$277,FLOWS!$H:$H,"&lt;="&amp;$U$277)+SUM(SUMIFS(DEALS!$J:$J,DEALS!$A:$A,{"*REFUND*","*EXECUTED*"},DEALS!$G:$G,$B$275,DEALS!$E:$E,"&gt;="&amp;$C$277,DEALS!$E:$E,"&lt;="&amp;$U$277,DEALS!$K:$K,O$279,DEALS!$M:$M,$K280,DEALS!$N:$N,"&lt;&gt;*RECEIVED*",DEALS!$N:$N,"&lt;&gt;*EXECUTED*"))+SUM(SUMIFS(DEALS!$R:$R,DEALS!$A:$A,{"*REFUND*","*EXECUTED*"},DEALS!$O:$O,$B$275,DEALS!$E:$E,"&gt;="&amp;$C$277,DEALS!$E:$E,"&lt;="&amp;$U$277,DEALS!$S:$S,O$279,DEALS!$U:$U,$K280,DEALS!$V:$V,"&lt;&gt;*RECEIVED*",DEALS!$V:$V,"&lt;&gt;*EXECUTED*"))</f>
        <v>0</v>
      </c>
      <c r="P280" s="29" cm="1">
        <f t="array" ref="P280">SUMIFS(FLOWS!$C:$C,FLOWS!$A:$A,$B$275,FLOWS!$E:$E,$K280,FLOWS!$D:$D,P$279,FLOWS!$H:$H,"&gt;="&amp;$C$277,FLOWS!$H:$H,"&lt;="&amp;$U$277)+SUM(SUMIFS(DEALS!$J:$J,DEALS!$A:$A,{"*REFUND*","*EXECUTED*"},DEALS!$G:$G,$B$275,DEALS!$E:$E,"&gt;="&amp;$C$277,DEALS!$E:$E,"&lt;="&amp;$U$277,DEALS!$K:$K,P$279,DEALS!$M:$M,$K280,DEALS!$N:$N,"&lt;&gt;*RECEIVED*",DEALS!$N:$N,"&lt;&gt;*EXECUTED*"))+SUM(SUMIFS(DEALS!$R:$R,DEALS!$A:$A,{"*REFUND*","*EXECUTED*"},DEALS!$O:$O,$B$275,DEALS!$E:$E,"&gt;="&amp;$C$277,DEALS!$E:$E,"&lt;="&amp;$U$277,DEALS!$S:$S,P$279,DEALS!$U:$U,$K280,DEALS!$V:$V,"&lt;&gt;*RECEIVED*",DEALS!$V:$V,"&lt;&gt;*EXECUTED*"))</f>
        <v>0</v>
      </c>
      <c r="Q280" s="29" cm="1">
        <f t="array" ref="Q280">SUMIFS(FLOWS!$C:$C,FLOWS!$A:$A,$B$275,FLOWS!$E:$E,$K280,FLOWS!$D:$D,Q$279,FLOWS!$H:$H,"&gt;="&amp;$C$277,FLOWS!$H:$H,"&lt;="&amp;$U$277)+SUM(SUMIFS(DEALS!$J:$J,DEALS!$A:$A,{"*REFUND*","*EXECUTED*"},DEALS!$G:$G,$B$275,DEALS!$E:$E,"&gt;="&amp;$C$277,DEALS!$E:$E,"&lt;="&amp;$U$277,DEALS!$K:$K,Q$279,DEALS!$M:$M,$K280,DEALS!$N:$N,"&lt;&gt;*RECEIVED*",DEALS!$N:$N,"&lt;&gt;*EXECUTED*"))+SUM(SUMIFS(DEALS!$R:$R,DEALS!$A:$A,{"*REFUND*","*EXECUTED*"},DEALS!$O:$O,$B$275,DEALS!$E:$E,"&gt;="&amp;$C$277,DEALS!$E:$E,"&lt;="&amp;$U$277,DEALS!$S:$S,Q$279,DEALS!$U:$U,$K280,DEALS!$V:$V,"&lt;&gt;*RECEIVED*",DEALS!$V:$V,"&lt;&gt;*EXECUTED*"))</f>
        <v>0</v>
      </c>
      <c r="R280" s="30">
        <f ca="1">L280*VLOOKUP(L$279,'FX RATES'!$E$1:$F$50,2,FALSE)+M280*VLOOKUP(M$279,'FX RATES'!$E$1:$F$50,2,FALSE)+N280*VLOOKUP(N$279,'FX RATES'!$E$1:$F$50,2,FALSE)+O280*VLOOKUP(O$279,'FX RATES'!$E$1:$F$50,2,FALSE)+P280*VLOOKUP(P$279,'FX RATES'!$E$1:$F$50,2,FALSE)+Q280*VLOOKUP(Q$279,'FX RATES'!$E$1:$F$50,2,FALSE)</f>
        <v>323206.20555914677</v>
      </c>
      <c r="T280" s="28" t="str">
        <f t="shared" ref="T280:T297" si="115">B280</f>
        <v>MXLW</v>
      </c>
      <c r="U280" s="29" cm="1">
        <f t="array" ref="U280">SUMIFS(BALANCES!$C:$C,BALANCES!$A:$A,$B$275,BALANCES!$B:$B,$T280,BALANCES!$D:$D,U$279)+SUMIFS(FLOWS!$C:$C,FLOWS!$A:$A,$B$275,FLOWS!$E:$E,$T280,FLOWS!$D:$D,U$279,FLOWS!$H:$H,"&lt;="&amp;$U$277)+SUM(SUMIFS(DEALS!$J:$J,DEALS!$A:$A,{"*REFUND*","*EXECUTED*"},DEALS!$G:$G,$B$275,DEALS!$E:$E,"&lt;="&amp;$U$277,DEALS!$K:$K,U$279,DEALS!$M:$M,$T280,DEALS!$N:$N,"&lt;&gt;*RECEIVED*",DEALS!$N:$N,"&lt;&gt;*EXECUTED*"))+SUM(SUMIFS(DEALS!$R:$R,DEALS!$A:$A,{"*REFUND*","*EXECUTED*"},DEALS!$O:$O,$B$275,DEALS!$E:$E,"&lt;="&amp;$U$277,DEALS!$S:$S,U$279,DEALS!$U:$U,$T280,DEALS!$V:$V,"&lt;&gt;*RECEIVED*",DEALS!$V:$V,"&lt;&gt;*EXECUTED*"))</f>
        <v>391679.20555914677</v>
      </c>
      <c r="V280" s="29" cm="1">
        <f t="array" ref="V280">SUMIFS(BALANCES!$C:$C,BALANCES!$A:$A,$B$275,BALANCES!$B:$B,$T280,BALANCES!$D:$D,V$279)+SUMIFS(FLOWS!$C:$C,FLOWS!$A:$A,$B$275,FLOWS!$E:$E,$T280,FLOWS!$D:$D,V$279,FLOWS!$H:$H,"&lt;="&amp;$U$277)+SUM(SUMIFS(DEALS!$J:$J,DEALS!$A:$A,{"*REFUND*","*EXECUTED*"},DEALS!$G:$G,$B$275,DEALS!$E:$E,"&lt;="&amp;$U$277,DEALS!$K:$K,V$279,DEALS!$M:$M,$T280,DEALS!$N:$N,"&lt;&gt;*RECEIVED*",DEALS!$N:$N,"&lt;&gt;*EXECUTED*"))+SUM(SUMIFS(DEALS!$R:$R,DEALS!$A:$A,{"*REFUND*","*EXECUTED*"},DEALS!$O:$O,$B$275,DEALS!$E:$E,"&lt;="&amp;$U$277,DEALS!$S:$S,V$279,DEALS!$U:$U,$T280,DEALS!$V:$V,"&lt;&gt;*RECEIVED*",DEALS!$V:$V,"&lt;&gt;*EXECUTED*"))</f>
        <v>0</v>
      </c>
      <c r="W280" s="29" cm="1">
        <f t="array" ref="W280">SUMIFS(BALANCES!$C:$C,BALANCES!$A:$A,$B$275,BALANCES!$B:$B,$T280,BALANCES!$D:$D,W$279)+SUMIFS(FLOWS!$C:$C,FLOWS!$A:$A,$B$275,FLOWS!$E:$E,$T280,FLOWS!$D:$D,W$279,FLOWS!$H:$H,"&lt;="&amp;$U$277)+SUM(SUMIFS(DEALS!$J:$J,DEALS!$A:$A,{"*REFUND*","*EXECUTED*"},DEALS!$G:$G,$B$275,DEALS!$E:$E,"&lt;="&amp;$U$277,DEALS!$K:$K,W$279,DEALS!$M:$M,$T280,DEALS!$N:$N,"&lt;&gt;*RECEIVED*",DEALS!$N:$N,"&lt;&gt;*EXECUTED*"))+SUM(SUMIFS(DEALS!$R:$R,DEALS!$A:$A,{"*REFUND*","*EXECUTED*"},DEALS!$O:$O,$B$275,DEALS!$E:$E,"&lt;="&amp;$U$277,DEALS!$S:$S,W$279,DEALS!$U:$U,$T280,DEALS!$V:$V,"&lt;&gt;*RECEIVED*",DEALS!$V:$V,"&lt;&gt;*EXECUTED*"))</f>
        <v>0</v>
      </c>
      <c r="X280" s="29" cm="1">
        <f t="array" ref="X280">SUMIFS(BALANCES!$C:$C,BALANCES!$A:$A,$B$275,BALANCES!$B:$B,$T280,BALANCES!$D:$D,X$279)+SUMIFS(FLOWS!$C:$C,FLOWS!$A:$A,$B$275,FLOWS!$E:$E,$T280,FLOWS!$D:$D,X$279,FLOWS!$H:$H,"&lt;="&amp;$U$277)+SUM(SUMIFS(DEALS!$J:$J,DEALS!$A:$A,{"*REFUND*","*EXECUTED*"},DEALS!$G:$G,$B$275,DEALS!$E:$E,"&lt;="&amp;$U$277,DEALS!$K:$K,X$279,DEALS!$M:$M,$T280,DEALS!$N:$N,"&lt;&gt;*RECEIVED*",DEALS!$N:$N,"&lt;&gt;*EXECUTED*"))+SUM(SUMIFS(DEALS!$R:$R,DEALS!$A:$A,{"*REFUND*","*EXECUTED*"},DEALS!$O:$O,$B$275,DEALS!$E:$E,"&lt;="&amp;$U$277,DEALS!$S:$S,X$279,DEALS!$U:$U,$T280,DEALS!$V:$V,"&lt;&gt;*RECEIVED*",DEALS!$V:$V,"&lt;&gt;*EXECUTED*"))</f>
        <v>0</v>
      </c>
      <c r="Y280" s="29" cm="1">
        <f t="array" ref="Y280">SUMIFS(BALANCES!$C:$C,BALANCES!$A:$A,$B$275,BALANCES!$B:$B,$T280,BALANCES!$D:$D,Y$279)+SUMIFS(FLOWS!$C:$C,FLOWS!$A:$A,$B$275,FLOWS!$E:$E,$T280,FLOWS!$D:$D,Y$279,FLOWS!$H:$H,"&lt;="&amp;$U$277)+SUM(SUMIFS(DEALS!$J:$J,DEALS!$A:$A,{"*REFUND*","*EXECUTED*"},DEALS!$G:$G,$B$275,DEALS!$E:$E,"&lt;="&amp;$U$277,DEALS!$K:$K,Y$279,DEALS!$M:$M,$T280,DEALS!$N:$N,"&lt;&gt;*RECEIVED*",DEALS!$N:$N,"&lt;&gt;*EXECUTED*"))+SUM(SUMIFS(DEALS!$R:$R,DEALS!$A:$A,{"*REFUND*","*EXECUTED*"},DEALS!$O:$O,$B$275,DEALS!$E:$E,"&lt;="&amp;$U$277,DEALS!$S:$S,Y$279,DEALS!$U:$U,$T280,DEALS!$V:$V,"&lt;&gt;*RECEIVED*",DEALS!$V:$V,"&lt;&gt;*EXECUTED*"))</f>
        <v>0</v>
      </c>
      <c r="Z280" s="29" cm="1">
        <f t="array" ref="Z280">SUMIFS(BALANCES!$C:$C,BALANCES!$A:$A,$B$275,BALANCES!$B:$B,$T280,BALANCES!$D:$D,Z$279)+SUMIFS(FLOWS!$C:$C,FLOWS!$A:$A,$B$275,FLOWS!$E:$E,$T280,FLOWS!$D:$D,Z$279,FLOWS!$H:$H,"&lt;="&amp;$U$277)+SUM(SUMIFS(DEALS!$J:$J,DEALS!$A:$A,{"*REFUND*","*EXECUTED*"},DEALS!$G:$G,$B$275,DEALS!$E:$E,"&lt;="&amp;$U$277,DEALS!$K:$K,Z$279,DEALS!$M:$M,$T280,DEALS!$N:$N,"&lt;&gt;*RECEIVED*",DEALS!$N:$N,"&lt;&gt;*EXECUTED*"))+SUM(SUMIFS(DEALS!$R:$R,DEALS!$A:$A,{"*REFUND*","*EXECUTED*"},DEALS!$O:$O,$B$275,DEALS!$E:$E,"&lt;="&amp;$U$277,DEALS!$S:$S,Z$279,DEALS!$U:$U,$T280,DEALS!$V:$V,"&lt;&gt;*RECEIVED*",DEALS!$V:$V,"&lt;&gt;*EXECUTED*"))</f>
        <v>0</v>
      </c>
      <c r="AA280" s="30">
        <f ca="1">U280*VLOOKUP(U$279,'FX RATES'!$E$1:$F$50,2,FALSE)+V280*VLOOKUP(V$279,'FX RATES'!$E$1:$F$50,2,FALSE)+W280*VLOOKUP(W$279,'FX RATES'!$E$1:$F$50,2,FALSE)+X280*VLOOKUP(X$279,'FX RATES'!$E$1:$F$50,2,FALSE)+Y280*VLOOKUP(Y$279,'FX RATES'!$E$1:$F$50,2,FALSE)+Z280*VLOOKUP(Z$279,'FX RATES'!$E$1:$F$50,2,FALSE)</f>
        <v>391679.20555914677</v>
      </c>
      <c r="AC280" s="139">
        <f t="shared" ref="AC280:AC299" ca="1" si="116">I280+R280-AA280</f>
        <v>0</v>
      </c>
    </row>
    <row r="281" spans="2:29" ht="19" hidden="1">
      <c r="B281" s="31"/>
      <c r="C281" s="32" cm="1">
        <f t="array" ref="C281">SUMIFS(BALANCES!$C:$C,BALANCES!$A:$A,$B$275,BALANCES!$B:$B,$B281,BALANCES!$D:$D,C$279)+SUMIFS(FLOWS!$C:$C,FLOWS!$A:$A,$B$275,FLOWS!$E:$E,$B281,FLOWS!$D:$D,C$279,FLOWS!$H:$H,"&lt;"&amp;$C$277)+SUM(SUMIFS(DEALS!$J:$J,DEALS!$A:$A,{"*REFUND*","*EXECUTED*"},DEALS!$G:$G,$B$275,DEALS!$E:$E,"&lt;"&amp;$C$277,DEALS!$K:$K,C$279,DEALS!$M:$M,$B281,DEALS!$N:$N,"&lt;&gt;*RECEIVED*",DEALS!$N:$N,"&lt;&gt;*EXECUTED*"))+SUM(SUMIFS(DEALS!$R:$R,DEALS!$A:$A,{"*REFUND*","*EXECUTED*"},DEALS!$O:$O,$B$275,DEALS!$E:$E,"&lt;"&amp;$C$277,DEALS!$S:$S,C$279,DEALS!$U:$U,$B281,DEALS!$V:$V,"&lt;&gt;*RECEIVED*",DEALS!$V:$V,"&lt;&gt;*EXECUTED*"))</f>
        <v>0</v>
      </c>
      <c r="D281" s="32" cm="1">
        <f t="array" ref="D281">SUMIFS(BALANCES!$C:$C,BALANCES!$A:$A,$B$275,BALANCES!$B:$B,$B281,BALANCES!$D:$D,D$279)+SUMIFS(FLOWS!$C:$C,FLOWS!$A:$A,$B$275,FLOWS!$E:$E,$B281,FLOWS!$D:$D,D$279,FLOWS!$H:$H,"&lt;"&amp;$C$277)+SUM(SUMIFS(DEALS!$J:$J,DEALS!$A:$A,{"*REFUND*","*EXECUTED*"},DEALS!$G:$G,$B$275,DEALS!$E:$E,"&lt;"&amp;$C$277,DEALS!$K:$K,D$279,DEALS!$M:$M,$B281,DEALS!$N:$N,"&lt;&gt;*RECEIVED*",DEALS!$N:$N,"&lt;&gt;*EXECUTED*"))+SUM(SUMIFS(DEALS!$R:$R,DEALS!$A:$A,{"*REFUND*","*EXECUTED*"},DEALS!$O:$O,$B$275,DEALS!$E:$E,"&lt;"&amp;$C$277,DEALS!$S:$S,D$279,DEALS!$U:$U,$B281,DEALS!$V:$V,"&lt;&gt;*RECEIVED*",DEALS!$V:$V,"&lt;&gt;*EXECUTED*"))</f>
        <v>0</v>
      </c>
      <c r="E281" s="32" cm="1">
        <f t="array" ref="E281">SUMIFS(BALANCES!$C:$C,BALANCES!$A:$A,$B$275,BALANCES!$B:$B,$B281,BALANCES!$D:$D,E$279)+SUMIFS(FLOWS!$C:$C,FLOWS!$A:$A,$B$275,FLOWS!$E:$E,$B281,FLOWS!$D:$D,E$279,FLOWS!$H:$H,"&lt;"&amp;$C$277)+SUM(SUMIFS(DEALS!$J:$J,DEALS!$A:$A,{"*REFUND*","*EXECUTED*"},DEALS!$G:$G,$B$275,DEALS!$E:$E,"&lt;"&amp;$C$277,DEALS!$K:$K,E$279,DEALS!$M:$M,$B281,DEALS!$N:$N,"&lt;&gt;*RECEIVED*",DEALS!$N:$N,"&lt;&gt;*EXECUTED*"))+SUM(SUMIFS(DEALS!$R:$R,DEALS!$A:$A,{"*REFUND*","*EXECUTED*"},DEALS!$O:$O,$B$275,DEALS!$E:$E,"&lt;"&amp;$C$277,DEALS!$S:$S,E$279,DEALS!$U:$U,$B281,DEALS!$V:$V,"&lt;&gt;*RECEIVED*",DEALS!$V:$V,"&lt;&gt;*EXECUTED*"))</f>
        <v>0</v>
      </c>
      <c r="F281" s="32" cm="1">
        <f t="array" ref="F281">SUMIFS(BALANCES!$C:$C,BALANCES!$A:$A,$B$275,BALANCES!$B:$B,$B281,BALANCES!$D:$D,F$279)+SUMIFS(FLOWS!$C:$C,FLOWS!$A:$A,$B$275,FLOWS!$E:$E,$B281,FLOWS!$D:$D,F$279,FLOWS!$H:$H,"&lt;"&amp;$C$277)+SUM(SUMIFS(DEALS!$J:$J,DEALS!$A:$A,{"*REFUND*","*EXECUTED*"},DEALS!$G:$G,$B$275,DEALS!$E:$E,"&lt;"&amp;$C$277,DEALS!$K:$K,F$279,DEALS!$M:$M,$B281,DEALS!$N:$N,"&lt;&gt;*RECEIVED*",DEALS!$N:$N,"&lt;&gt;*EXECUTED*"))+SUM(SUMIFS(DEALS!$R:$R,DEALS!$A:$A,{"*REFUND*","*EXECUTED*"},DEALS!$O:$O,$B$275,DEALS!$E:$E,"&lt;"&amp;$C$277,DEALS!$S:$S,F$279,DEALS!$U:$U,$B281,DEALS!$V:$V,"&lt;&gt;*RECEIVED*",DEALS!$V:$V,"&lt;&gt;*EXECUTED*"))</f>
        <v>0</v>
      </c>
      <c r="G281" s="32" cm="1">
        <f t="array" ref="G281">SUMIFS(BALANCES!$C:$C,BALANCES!$A:$A,$B$275,BALANCES!$B:$B,$B281,BALANCES!$D:$D,G$279)+SUMIFS(FLOWS!$C:$C,FLOWS!$A:$A,$B$275,FLOWS!$E:$E,$B281,FLOWS!$D:$D,G$279,FLOWS!$H:$H,"&lt;"&amp;$C$277)+SUM(SUMIFS(DEALS!$J:$J,DEALS!$A:$A,{"*REFUND*","*EXECUTED*"},DEALS!$G:$G,$B$275,DEALS!$E:$E,"&lt;"&amp;$C$277,DEALS!$K:$K,G$279,DEALS!$M:$M,$B281,DEALS!$N:$N,"&lt;&gt;*RECEIVED*",DEALS!$N:$N,"&lt;&gt;*EXECUTED*"))+SUM(SUMIFS(DEALS!$R:$R,DEALS!$A:$A,{"*REFUND*","*EXECUTED*"},DEALS!$O:$O,$B$275,DEALS!$E:$E,"&lt;"&amp;$C$277,DEALS!$S:$S,G$279,DEALS!$U:$U,$B281,DEALS!$V:$V,"&lt;&gt;*RECEIVED*",DEALS!$V:$V,"&lt;&gt;*EXECUTED*"))</f>
        <v>0</v>
      </c>
      <c r="H281" s="32" cm="1">
        <f t="array" ref="H281">SUMIFS(BALANCES!$C:$C,BALANCES!$A:$A,$B$275,BALANCES!$B:$B,$B281,BALANCES!$D:$D,H$279)+SUMIFS(FLOWS!$C:$C,FLOWS!$A:$A,$B$275,FLOWS!$E:$E,$B281,FLOWS!$D:$D,H$279,FLOWS!$H:$H,"&lt;"&amp;$C$277)+SUM(SUMIFS(DEALS!$J:$J,DEALS!$A:$A,{"*REFUND*","*EXECUTED*"},DEALS!$G:$G,$B$275,DEALS!$E:$E,"&lt;"&amp;$C$277,DEALS!$K:$K,H$279,DEALS!$M:$M,$B281,DEALS!$N:$N,"&lt;&gt;*RECEIVED*",DEALS!$N:$N,"&lt;&gt;*EXECUTED*"))+SUM(SUMIFS(DEALS!$R:$R,DEALS!$A:$A,{"*REFUND*","*EXECUTED*"},DEALS!$O:$O,$B$275,DEALS!$E:$E,"&lt;"&amp;$C$277,DEALS!$S:$S,H$279,DEALS!$U:$U,$B281,DEALS!$V:$V,"&lt;&gt;*RECEIVED*",DEALS!$V:$V,"&lt;&gt;*EXECUTED*"))</f>
        <v>0</v>
      </c>
      <c r="I281" s="33">
        <f ca="1">C281*VLOOKUP(C$279,'FX RATES'!$E$1:$F$50,2,FALSE)+D281*VLOOKUP(D$279,'FX RATES'!$E$1:$F$50,2,FALSE)+E281*VLOOKUP(E$279,'FX RATES'!$E$1:$F$50,2,FALSE)+F281*VLOOKUP(F$279,'FX RATES'!$E$1:$F$50,2,FALSE)+G281*VLOOKUP(G$279,'FX RATES'!$E$1:$F$50,2,FALSE)+H281*VLOOKUP(H$279,'FX RATES'!$E$1:$F$50,2,FALSE)</f>
        <v>0</v>
      </c>
      <c r="K281" s="31">
        <f t="shared" si="114"/>
        <v>0</v>
      </c>
      <c r="L281" s="32" cm="1">
        <f t="array" ref="L281">SUMIFS(FLOWS!$C:$C,FLOWS!$A:$A,$B$275,FLOWS!$E:$E,$K281,FLOWS!$D:$D,L$279,FLOWS!$H:$H,"&gt;="&amp;$C$277,FLOWS!$H:$H,"&lt;="&amp;$U$277)+SUM(SUMIFS(DEALS!$J:$J,DEALS!$A:$A,{"*REFUND*","*EXECUTED*"},DEALS!$G:$G,$B$275,DEALS!$E:$E,"&gt;="&amp;$C$277,DEALS!$E:$E,"&lt;="&amp;$U$277,DEALS!$K:$K,L$279,DEALS!$M:$M,$K281,DEALS!$N:$N,"&lt;&gt;*RECEIVED*",DEALS!$N:$N,"&lt;&gt;*EXECUTED*"))+SUM(SUMIFS(DEALS!$R:$R,DEALS!$A:$A,{"*REFUND*","*EXECUTED*"},DEALS!$O:$O,$B$275,DEALS!$E:$E,"&gt;="&amp;$C$277,DEALS!$E:$E,"&lt;="&amp;$U$277,DEALS!$S:$S,L$279,DEALS!$U:$U,$K281,DEALS!$V:$V,"&lt;&gt;*RECEIVED*",DEALS!$V:$V,"&lt;&gt;*EXECUTED*"))</f>
        <v>0</v>
      </c>
      <c r="M281" s="32" cm="1">
        <f t="array" ref="M281">SUMIFS(FLOWS!$C:$C,FLOWS!$A:$A,$B$275,FLOWS!$E:$E,$K281,FLOWS!$D:$D,M$279,FLOWS!$H:$H,"&gt;="&amp;$C$277,FLOWS!$H:$H,"&lt;="&amp;$U$277)+SUM(SUMIFS(DEALS!$J:$J,DEALS!$A:$A,{"*REFUND*","*EXECUTED*"},DEALS!$G:$G,$B$275,DEALS!$E:$E,"&gt;="&amp;$C$277,DEALS!$E:$E,"&lt;="&amp;$U$277,DEALS!$K:$K,M$279,DEALS!$M:$M,$K281,DEALS!$N:$N,"&lt;&gt;*RECEIVED*",DEALS!$N:$N,"&lt;&gt;*EXECUTED*"))+SUM(SUMIFS(DEALS!$R:$R,DEALS!$A:$A,{"*REFUND*","*EXECUTED*"},DEALS!$O:$O,$B$275,DEALS!$E:$E,"&gt;="&amp;$C$277,DEALS!$E:$E,"&lt;="&amp;$U$277,DEALS!$S:$S,M$279,DEALS!$U:$U,$K281,DEALS!$V:$V,"&lt;&gt;*RECEIVED*",DEALS!$V:$V,"&lt;&gt;*EXECUTED*"))</f>
        <v>0</v>
      </c>
      <c r="N281" s="32" cm="1">
        <f t="array" ref="N281">SUMIFS(FLOWS!$C:$C,FLOWS!$A:$A,$B$275,FLOWS!$E:$E,$K281,FLOWS!$D:$D,N$279,FLOWS!$H:$H,"&gt;="&amp;$C$277,FLOWS!$H:$H,"&lt;="&amp;$U$277)+SUM(SUMIFS(DEALS!$J:$J,DEALS!$A:$A,{"*REFUND*","*EXECUTED*"},DEALS!$G:$G,$B$275,DEALS!$E:$E,"&gt;="&amp;$C$277,DEALS!$E:$E,"&lt;="&amp;$U$277,DEALS!$K:$K,N$279,DEALS!$M:$M,$K281,DEALS!$N:$N,"&lt;&gt;*RECEIVED*",DEALS!$N:$N,"&lt;&gt;*EXECUTED*"))+SUM(SUMIFS(DEALS!$R:$R,DEALS!$A:$A,{"*REFUND*","*EXECUTED*"},DEALS!$O:$O,$B$275,DEALS!$E:$E,"&gt;="&amp;$C$277,DEALS!$E:$E,"&lt;="&amp;$U$277,DEALS!$S:$S,N$279,DEALS!$U:$U,$K281,DEALS!$V:$V,"&lt;&gt;*RECEIVED*",DEALS!$V:$V,"&lt;&gt;*EXECUTED*"))</f>
        <v>0</v>
      </c>
      <c r="O281" s="32" cm="1">
        <f t="array" ref="O281">SUMIFS(FLOWS!$C:$C,FLOWS!$A:$A,$B$275,FLOWS!$E:$E,$K281,FLOWS!$D:$D,O$279,FLOWS!$H:$H,"&gt;="&amp;$C$277,FLOWS!$H:$H,"&lt;="&amp;$U$277)+SUM(SUMIFS(DEALS!$J:$J,DEALS!$A:$A,{"*REFUND*","*EXECUTED*"},DEALS!$G:$G,$B$275,DEALS!$E:$E,"&gt;="&amp;$C$277,DEALS!$E:$E,"&lt;="&amp;$U$277,DEALS!$K:$K,O$279,DEALS!$M:$M,$K281,DEALS!$N:$N,"&lt;&gt;*RECEIVED*",DEALS!$N:$N,"&lt;&gt;*EXECUTED*"))+SUM(SUMIFS(DEALS!$R:$R,DEALS!$A:$A,{"*REFUND*","*EXECUTED*"},DEALS!$O:$O,$B$275,DEALS!$E:$E,"&gt;="&amp;$C$277,DEALS!$E:$E,"&lt;="&amp;$U$277,DEALS!$S:$S,O$279,DEALS!$U:$U,$K281,DEALS!$V:$V,"&lt;&gt;*RECEIVED*",DEALS!$V:$V,"&lt;&gt;*EXECUTED*"))</f>
        <v>0</v>
      </c>
      <c r="P281" s="32" cm="1">
        <f t="array" ref="P281">SUMIFS(FLOWS!$C:$C,FLOWS!$A:$A,$B$275,FLOWS!$E:$E,$K281,FLOWS!$D:$D,P$279,FLOWS!$H:$H,"&gt;="&amp;$C$277,FLOWS!$H:$H,"&lt;="&amp;$U$277)+SUM(SUMIFS(DEALS!$J:$J,DEALS!$A:$A,{"*REFUND*","*EXECUTED*"},DEALS!$G:$G,$B$275,DEALS!$E:$E,"&gt;="&amp;$C$277,DEALS!$E:$E,"&lt;="&amp;$U$277,DEALS!$K:$K,P$279,DEALS!$M:$M,$K281,DEALS!$N:$N,"&lt;&gt;*RECEIVED*",DEALS!$N:$N,"&lt;&gt;*EXECUTED*"))+SUM(SUMIFS(DEALS!$R:$R,DEALS!$A:$A,{"*REFUND*","*EXECUTED*"},DEALS!$O:$O,$B$275,DEALS!$E:$E,"&gt;="&amp;$C$277,DEALS!$E:$E,"&lt;="&amp;$U$277,DEALS!$S:$S,P$279,DEALS!$U:$U,$K281,DEALS!$V:$V,"&lt;&gt;*RECEIVED*",DEALS!$V:$V,"&lt;&gt;*EXECUTED*"))</f>
        <v>0</v>
      </c>
      <c r="Q281" s="32" cm="1">
        <f t="array" ref="Q281">SUMIFS(FLOWS!$C:$C,FLOWS!$A:$A,$B$275,FLOWS!$E:$E,$K281,FLOWS!$D:$D,Q$279,FLOWS!$H:$H,"&gt;="&amp;$C$277,FLOWS!$H:$H,"&lt;="&amp;$U$277)+SUM(SUMIFS(DEALS!$J:$J,DEALS!$A:$A,{"*REFUND*","*EXECUTED*"},DEALS!$G:$G,$B$275,DEALS!$E:$E,"&gt;="&amp;$C$277,DEALS!$E:$E,"&lt;="&amp;$U$277,DEALS!$K:$K,Q$279,DEALS!$M:$M,$K281,DEALS!$N:$N,"&lt;&gt;*RECEIVED*",DEALS!$N:$N,"&lt;&gt;*EXECUTED*"))+SUM(SUMIFS(DEALS!$R:$R,DEALS!$A:$A,{"*REFUND*","*EXECUTED*"},DEALS!$O:$O,$B$275,DEALS!$E:$E,"&gt;="&amp;$C$277,DEALS!$E:$E,"&lt;="&amp;$U$277,DEALS!$S:$S,Q$279,DEALS!$U:$U,$K281,DEALS!$V:$V,"&lt;&gt;*RECEIVED*",DEALS!$V:$V,"&lt;&gt;*EXECUTED*"))</f>
        <v>0</v>
      </c>
      <c r="R281" s="33">
        <f ca="1">L281*VLOOKUP(L$279,'FX RATES'!$E$1:$F$50,2,FALSE)+M281*VLOOKUP(M$279,'FX RATES'!$E$1:$F$50,2,FALSE)+N281*VLOOKUP(N$279,'FX RATES'!$E$1:$F$50,2,FALSE)+O281*VLOOKUP(O$279,'FX RATES'!$E$1:$F$50,2,FALSE)+P281*VLOOKUP(P$279,'FX RATES'!$E$1:$F$50,2,FALSE)+Q281*VLOOKUP(Q$279,'FX RATES'!$E$1:$F$50,2,FALSE)</f>
        <v>0</v>
      </c>
      <c r="T281" s="31">
        <f t="shared" si="115"/>
        <v>0</v>
      </c>
      <c r="U281" s="32" cm="1">
        <f t="array" ref="U281">SUMIFS(BALANCES!$C:$C,BALANCES!$A:$A,$B$275,BALANCES!$B:$B,$T281,BALANCES!$D:$D,U$279)+SUMIFS(FLOWS!$C:$C,FLOWS!$A:$A,$B$275,FLOWS!$E:$E,$T281,FLOWS!$D:$D,U$279,FLOWS!$H:$H,"&lt;="&amp;$U$277)+SUM(SUMIFS(DEALS!$J:$J,DEALS!$A:$A,{"*REFUND*","*EXECUTED*"},DEALS!$G:$G,$B$275,DEALS!$E:$E,"&lt;="&amp;$U$277,DEALS!$K:$K,U$279,DEALS!$M:$M,$T281,DEALS!$N:$N,"&lt;&gt;*RECEIVED*",DEALS!$N:$N,"&lt;&gt;*EXECUTED*"))+SUM(SUMIFS(DEALS!$R:$R,DEALS!$A:$A,{"*REFUND*","*EXECUTED*"},DEALS!$O:$O,$B$275,DEALS!$E:$E,"&lt;="&amp;$U$277,DEALS!$S:$S,U$279,DEALS!$U:$U,$T281,DEALS!$V:$V,"&lt;&gt;*RECEIVED*",DEALS!$V:$V,"&lt;&gt;*EXECUTED*"))</f>
        <v>0</v>
      </c>
      <c r="V281" s="32" cm="1">
        <f t="array" ref="V281">SUMIFS(BALANCES!$C:$C,BALANCES!$A:$A,$B$275,BALANCES!$B:$B,$T281,BALANCES!$D:$D,V$279)+SUMIFS(FLOWS!$C:$C,FLOWS!$A:$A,$B$275,FLOWS!$E:$E,$T281,FLOWS!$D:$D,V$279,FLOWS!$H:$H,"&lt;="&amp;$U$277)+SUM(SUMIFS(DEALS!$J:$J,DEALS!$A:$A,{"*REFUND*","*EXECUTED*"},DEALS!$G:$G,$B$275,DEALS!$E:$E,"&lt;="&amp;$U$277,DEALS!$K:$K,V$279,DEALS!$M:$M,$T281,DEALS!$N:$N,"&lt;&gt;*RECEIVED*",DEALS!$N:$N,"&lt;&gt;*EXECUTED*"))+SUM(SUMIFS(DEALS!$R:$R,DEALS!$A:$A,{"*REFUND*","*EXECUTED*"},DEALS!$O:$O,$B$275,DEALS!$E:$E,"&lt;="&amp;$U$277,DEALS!$S:$S,V$279,DEALS!$U:$U,$T281,DEALS!$V:$V,"&lt;&gt;*RECEIVED*",DEALS!$V:$V,"&lt;&gt;*EXECUTED*"))</f>
        <v>0</v>
      </c>
      <c r="W281" s="32" cm="1">
        <f t="array" ref="W281">SUMIFS(BALANCES!$C:$C,BALANCES!$A:$A,$B$275,BALANCES!$B:$B,$T281,BALANCES!$D:$D,W$279)+SUMIFS(FLOWS!$C:$C,FLOWS!$A:$A,$B$275,FLOWS!$E:$E,$T281,FLOWS!$D:$D,W$279,FLOWS!$H:$H,"&lt;="&amp;$U$277)+SUM(SUMIFS(DEALS!$J:$J,DEALS!$A:$A,{"*REFUND*","*EXECUTED*"},DEALS!$G:$G,$B$275,DEALS!$E:$E,"&lt;="&amp;$U$277,DEALS!$K:$K,W$279,DEALS!$M:$M,$T281,DEALS!$N:$N,"&lt;&gt;*RECEIVED*",DEALS!$N:$N,"&lt;&gt;*EXECUTED*"))+SUM(SUMIFS(DEALS!$R:$R,DEALS!$A:$A,{"*REFUND*","*EXECUTED*"},DEALS!$O:$O,$B$275,DEALS!$E:$E,"&lt;="&amp;$U$277,DEALS!$S:$S,W$279,DEALS!$U:$U,$T281,DEALS!$V:$V,"&lt;&gt;*RECEIVED*",DEALS!$V:$V,"&lt;&gt;*EXECUTED*"))</f>
        <v>0</v>
      </c>
      <c r="X281" s="32" cm="1">
        <f t="array" ref="X281">SUMIFS(BALANCES!$C:$C,BALANCES!$A:$A,$B$275,BALANCES!$B:$B,$T281,BALANCES!$D:$D,X$279)+SUMIFS(FLOWS!$C:$C,FLOWS!$A:$A,$B$275,FLOWS!$E:$E,$T281,FLOWS!$D:$D,X$279,FLOWS!$H:$H,"&lt;="&amp;$U$277)+SUM(SUMIFS(DEALS!$J:$J,DEALS!$A:$A,{"*REFUND*","*EXECUTED*"},DEALS!$G:$G,$B$275,DEALS!$E:$E,"&lt;="&amp;$U$277,DEALS!$K:$K,X$279,DEALS!$M:$M,$T281,DEALS!$N:$N,"&lt;&gt;*RECEIVED*",DEALS!$N:$N,"&lt;&gt;*EXECUTED*"))+SUM(SUMIFS(DEALS!$R:$R,DEALS!$A:$A,{"*REFUND*","*EXECUTED*"},DEALS!$O:$O,$B$275,DEALS!$E:$E,"&lt;="&amp;$U$277,DEALS!$S:$S,X$279,DEALS!$U:$U,$T281,DEALS!$V:$V,"&lt;&gt;*RECEIVED*",DEALS!$V:$V,"&lt;&gt;*EXECUTED*"))</f>
        <v>0</v>
      </c>
      <c r="Y281" s="32" cm="1">
        <f t="array" ref="Y281">SUMIFS(BALANCES!$C:$C,BALANCES!$A:$A,$B$275,BALANCES!$B:$B,$T281,BALANCES!$D:$D,Y$279)+SUMIFS(FLOWS!$C:$C,FLOWS!$A:$A,$B$275,FLOWS!$E:$E,$T281,FLOWS!$D:$D,Y$279,FLOWS!$H:$H,"&lt;="&amp;$U$277)+SUM(SUMIFS(DEALS!$J:$J,DEALS!$A:$A,{"*REFUND*","*EXECUTED*"},DEALS!$G:$G,$B$275,DEALS!$E:$E,"&lt;="&amp;$U$277,DEALS!$K:$K,Y$279,DEALS!$M:$M,$T281,DEALS!$N:$N,"&lt;&gt;*RECEIVED*",DEALS!$N:$N,"&lt;&gt;*EXECUTED*"))+SUM(SUMIFS(DEALS!$R:$R,DEALS!$A:$A,{"*REFUND*","*EXECUTED*"},DEALS!$O:$O,$B$275,DEALS!$E:$E,"&lt;="&amp;$U$277,DEALS!$S:$S,Y$279,DEALS!$U:$U,$T281,DEALS!$V:$V,"&lt;&gt;*RECEIVED*",DEALS!$V:$V,"&lt;&gt;*EXECUTED*"))</f>
        <v>0</v>
      </c>
      <c r="Z281" s="32" cm="1">
        <f t="array" ref="Z281">SUMIFS(BALANCES!$C:$C,BALANCES!$A:$A,$B$275,BALANCES!$B:$B,$T281,BALANCES!$D:$D,Z$279)+SUMIFS(FLOWS!$C:$C,FLOWS!$A:$A,$B$275,FLOWS!$E:$E,$T281,FLOWS!$D:$D,Z$279,FLOWS!$H:$H,"&lt;="&amp;$U$277)+SUM(SUMIFS(DEALS!$J:$J,DEALS!$A:$A,{"*REFUND*","*EXECUTED*"},DEALS!$G:$G,$B$275,DEALS!$E:$E,"&lt;="&amp;$U$277,DEALS!$K:$K,Z$279,DEALS!$M:$M,$T281,DEALS!$N:$N,"&lt;&gt;*RECEIVED*",DEALS!$N:$N,"&lt;&gt;*EXECUTED*"))+SUM(SUMIFS(DEALS!$R:$R,DEALS!$A:$A,{"*REFUND*","*EXECUTED*"},DEALS!$O:$O,$B$275,DEALS!$E:$E,"&lt;="&amp;$U$277,DEALS!$S:$S,Z$279,DEALS!$U:$U,$T281,DEALS!$V:$V,"&lt;&gt;*RECEIVED*",DEALS!$V:$V,"&lt;&gt;*EXECUTED*"))</f>
        <v>0</v>
      </c>
      <c r="AA281" s="33">
        <f ca="1">U281*VLOOKUP(U$279,'FX RATES'!$E$1:$F$50,2,FALSE)+V281*VLOOKUP(V$279,'FX RATES'!$E$1:$F$50,2,FALSE)+W281*VLOOKUP(W$279,'FX RATES'!$E$1:$F$50,2,FALSE)+X281*VLOOKUP(X$279,'FX RATES'!$E$1:$F$50,2,FALSE)+Y281*VLOOKUP(Y$279,'FX RATES'!$E$1:$F$50,2,FALSE)+Z281*VLOOKUP(Z$279,'FX RATES'!$E$1:$F$50,2,FALSE)</f>
        <v>0</v>
      </c>
      <c r="AC281" s="139">
        <f t="shared" ca="1" si="116"/>
        <v>0</v>
      </c>
    </row>
    <row r="282" spans="2:29" ht="19" hidden="1">
      <c r="B282" s="28"/>
      <c r="C282" s="29" cm="1">
        <f t="array" ref="C282">SUMIFS(BALANCES!$C:$C,BALANCES!$A:$A,$B$275,BALANCES!$B:$B,$B282,BALANCES!$D:$D,C$279)+SUMIFS(FLOWS!$C:$C,FLOWS!$A:$A,$B$275,FLOWS!$E:$E,$B282,FLOWS!$D:$D,C$279,FLOWS!$H:$H,"&lt;"&amp;$C$277)+SUM(SUMIFS(DEALS!$J:$J,DEALS!$A:$A,{"*REFUND*","*EXECUTED*"},DEALS!$G:$G,$B$275,DEALS!$E:$E,"&lt;"&amp;$C$277,DEALS!$K:$K,C$279,DEALS!$M:$M,$B282,DEALS!$N:$N,"&lt;&gt;*RECEIVED*",DEALS!$N:$N,"&lt;&gt;*EXECUTED*"))+SUM(SUMIFS(DEALS!$R:$R,DEALS!$A:$A,{"*REFUND*","*EXECUTED*"},DEALS!$O:$O,$B$275,DEALS!$E:$E,"&lt;"&amp;$C$277,DEALS!$S:$S,C$279,DEALS!$U:$U,$B282,DEALS!$V:$V,"&lt;&gt;*RECEIVED*",DEALS!$V:$V,"&lt;&gt;*EXECUTED*"))</f>
        <v>0</v>
      </c>
      <c r="D282" s="29" cm="1">
        <f t="array" ref="D282">SUMIFS(BALANCES!$C:$C,BALANCES!$A:$A,$B$275,BALANCES!$B:$B,$B282,BALANCES!$D:$D,D$279)+SUMIFS(FLOWS!$C:$C,FLOWS!$A:$A,$B$275,FLOWS!$E:$E,$B282,FLOWS!$D:$D,D$279,FLOWS!$H:$H,"&lt;"&amp;$C$277)+SUM(SUMIFS(DEALS!$J:$J,DEALS!$A:$A,{"*REFUND*","*EXECUTED*"},DEALS!$G:$G,$B$275,DEALS!$E:$E,"&lt;"&amp;$C$277,DEALS!$K:$K,D$279,DEALS!$M:$M,$B282,DEALS!$N:$N,"&lt;&gt;*RECEIVED*",DEALS!$N:$N,"&lt;&gt;*EXECUTED*"))+SUM(SUMIFS(DEALS!$R:$R,DEALS!$A:$A,{"*REFUND*","*EXECUTED*"},DEALS!$O:$O,$B$275,DEALS!$E:$E,"&lt;"&amp;$C$277,DEALS!$S:$S,D$279,DEALS!$U:$U,$B282,DEALS!$V:$V,"&lt;&gt;*RECEIVED*",DEALS!$V:$V,"&lt;&gt;*EXECUTED*"))</f>
        <v>0</v>
      </c>
      <c r="E282" s="29" cm="1">
        <f t="array" ref="E282">SUMIFS(BALANCES!$C:$C,BALANCES!$A:$A,$B$275,BALANCES!$B:$B,$B282,BALANCES!$D:$D,E$279)+SUMIFS(FLOWS!$C:$C,FLOWS!$A:$A,$B$275,FLOWS!$E:$E,$B282,FLOWS!$D:$D,E$279,FLOWS!$H:$H,"&lt;"&amp;$C$277)+SUM(SUMIFS(DEALS!$J:$J,DEALS!$A:$A,{"*REFUND*","*EXECUTED*"},DEALS!$G:$G,$B$275,DEALS!$E:$E,"&lt;"&amp;$C$277,DEALS!$K:$K,E$279,DEALS!$M:$M,$B282,DEALS!$N:$N,"&lt;&gt;*RECEIVED*",DEALS!$N:$N,"&lt;&gt;*EXECUTED*"))+SUM(SUMIFS(DEALS!$R:$R,DEALS!$A:$A,{"*REFUND*","*EXECUTED*"},DEALS!$O:$O,$B$275,DEALS!$E:$E,"&lt;"&amp;$C$277,DEALS!$S:$S,E$279,DEALS!$U:$U,$B282,DEALS!$V:$V,"&lt;&gt;*RECEIVED*",DEALS!$V:$V,"&lt;&gt;*EXECUTED*"))</f>
        <v>0</v>
      </c>
      <c r="F282" s="29" cm="1">
        <f t="array" ref="F282">SUMIFS(BALANCES!$C:$C,BALANCES!$A:$A,$B$275,BALANCES!$B:$B,$B282,BALANCES!$D:$D,F$279)+SUMIFS(FLOWS!$C:$C,FLOWS!$A:$A,$B$275,FLOWS!$E:$E,$B282,FLOWS!$D:$D,F$279,FLOWS!$H:$H,"&lt;"&amp;$C$277)+SUM(SUMIFS(DEALS!$J:$J,DEALS!$A:$A,{"*REFUND*","*EXECUTED*"},DEALS!$G:$G,$B$275,DEALS!$E:$E,"&lt;"&amp;$C$277,DEALS!$K:$K,F$279,DEALS!$M:$M,$B282,DEALS!$N:$N,"&lt;&gt;*RECEIVED*",DEALS!$N:$N,"&lt;&gt;*EXECUTED*"))+SUM(SUMIFS(DEALS!$R:$R,DEALS!$A:$A,{"*REFUND*","*EXECUTED*"},DEALS!$O:$O,$B$275,DEALS!$E:$E,"&lt;"&amp;$C$277,DEALS!$S:$S,F$279,DEALS!$U:$U,$B282,DEALS!$V:$V,"&lt;&gt;*RECEIVED*",DEALS!$V:$V,"&lt;&gt;*EXECUTED*"))</f>
        <v>0</v>
      </c>
      <c r="G282" s="29" cm="1">
        <f t="array" ref="G282">SUMIFS(BALANCES!$C:$C,BALANCES!$A:$A,$B$275,BALANCES!$B:$B,$B282,BALANCES!$D:$D,G$279)+SUMIFS(FLOWS!$C:$C,FLOWS!$A:$A,$B$275,FLOWS!$E:$E,$B282,FLOWS!$D:$D,G$279,FLOWS!$H:$H,"&lt;"&amp;$C$277)+SUM(SUMIFS(DEALS!$J:$J,DEALS!$A:$A,{"*REFUND*","*EXECUTED*"},DEALS!$G:$G,$B$275,DEALS!$E:$E,"&lt;"&amp;$C$277,DEALS!$K:$K,G$279,DEALS!$M:$M,$B282,DEALS!$N:$N,"&lt;&gt;*RECEIVED*",DEALS!$N:$N,"&lt;&gt;*EXECUTED*"))+SUM(SUMIFS(DEALS!$R:$R,DEALS!$A:$A,{"*REFUND*","*EXECUTED*"},DEALS!$O:$O,$B$275,DEALS!$E:$E,"&lt;"&amp;$C$277,DEALS!$S:$S,G$279,DEALS!$U:$U,$B282,DEALS!$V:$V,"&lt;&gt;*RECEIVED*",DEALS!$V:$V,"&lt;&gt;*EXECUTED*"))</f>
        <v>0</v>
      </c>
      <c r="H282" s="29" cm="1">
        <f t="array" ref="H282">SUMIFS(BALANCES!$C:$C,BALANCES!$A:$A,$B$275,BALANCES!$B:$B,$B282,BALANCES!$D:$D,H$279)+SUMIFS(FLOWS!$C:$C,FLOWS!$A:$A,$B$275,FLOWS!$E:$E,$B282,FLOWS!$D:$D,H$279,FLOWS!$H:$H,"&lt;"&amp;$C$277)+SUM(SUMIFS(DEALS!$J:$J,DEALS!$A:$A,{"*REFUND*","*EXECUTED*"},DEALS!$G:$G,$B$275,DEALS!$E:$E,"&lt;"&amp;$C$277,DEALS!$K:$K,H$279,DEALS!$M:$M,$B282,DEALS!$N:$N,"&lt;&gt;*RECEIVED*",DEALS!$N:$N,"&lt;&gt;*EXECUTED*"))+SUM(SUMIFS(DEALS!$R:$R,DEALS!$A:$A,{"*REFUND*","*EXECUTED*"},DEALS!$O:$O,$B$275,DEALS!$E:$E,"&lt;"&amp;$C$277,DEALS!$S:$S,H$279,DEALS!$U:$U,$B282,DEALS!$V:$V,"&lt;&gt;*RECEIVED*",DEALS!$V:$V,"&lt;&gt;*EXECUTED*"))</f>
        <v>0</v>
      </c>
      <c r="I282" s="30">
        <f ca="1">C282*VLOOKUP(C$279,'FX RATES'!$E$1:$F$50,2,FALSE)+D282*VLOOKUP(D$279,'FX RATES'!$E$1:$F$50,2,FALSE)+E282*VLOOKUP(E$279,'FX RATES'!$E$1:$F$50,2,FALSE)+F282*VLOOKUP(F$279,'FX RATES'!$E$1:$F$50,2,FALSE)+G282*VLOOKUP(G$279,'FX RATES'!$E$1:$F$50,2,FALSE)+H282*VLOOKUP(H$279,'FX RATES'!$E$1:$F$50,2,FALSE)</f>
        <v>0</v>
      </c>
      <c r="K282" s="28">
        <f t="shared" si="114"/>
        <v>0</v>
      </c>
      <c r="L282" s="29" cm="1">
        <f t="array" ref="L282">SUMIFS(FLOWS!$C:$C,FLOWS!$A:$A,$B$275,FLOWS!$E:$E,$K282,FLOWS!$D:$D,L$279,FLOWS!$H:$H,"&gt;="&amp;$C$277,FLOWS!$H:$H,"&lt;="&amp;$U$277)+SUM(SUMIFS(DEALS!$J:$J,DEALS!$A:$A,{"*REFUND*","*EXECUTED*"},DEALS!$G:$G,$B$275,DEALS!$E:$E,"&gt;="&amp;$C$277,DEALS!$E:$E,"&lt;="&amp;$U$277,DEALS!$K:$K,L$279,DEALS!$M:$M,$K282,DEALS!$N:$N,"&lt;&gt;*RECEIVED*",DEALS!$N:$N,"&lt;&gt;*EXECUTED*"))+SUM(SUMIFS(DEALS!$R:$R,DEALS!$A:$A,{"*REFUND*","*EXECUTED*"},DEALS!$O:$O,$B$275,DEALS!$E:$E,"&gt;="&amp;$C$277,DEALS!$E:$E,"&lt;="&amp;$U$277,DEALS!$S:$S,L$279,DEALS!$U:$U,$K282,DEALS!$V:$V,"&lt;&gt;*RECEIVED*",DEALS!$V:$V,"&lt;&gt;*EXECUTED*"))</f>
        <v>0</v>
      </c>
      <c r="M282" s="29" cm="1">
        <f t="array" ref="M282">SUMIFS(FLOWS!$C:$C,FLOWS!$A:$A,$B$275,FLOWS!$E:$E,$K282,FLOWS!$D:$D,M$279,FLOWS!$H:$H,"&gt;="&amp;$C$277,FLOWS!$H:$H,"&lt;="&amp;$U$277)+SUM(SUMIFS(DEALS!$J:$J,DEALS!$A:$A,{"*REFUND*","*EXECUTED*"},DEALS!$G:$G,$B$275,DEALS!$E:$E,"&gt;="&amp;$C$277,DEALS!$E:$E,"&lt;="&amp;$U$277,DEALS!$K:$K,M$279,DEALS!$M:$M,$K282,DEALS!$N:$N,"&lt;&gt;*RECEIVED*",DEALS!$N:$N,"&lt;&gt;*EXECUTED*"))+SUM(SUMIFS(DEALS!$R:$R,DEALS!$A:$A,{"*REFUND*","*EXECUTED*"},DEALS!$O:$O,$B$275,DEALS!$E:$E,"&gt;="&amp;$C$277,DEALS!$E:$E,"&lt;="&amp;$U$277,DEALS!$S:$S,M$279,DEALS!$U:$U,$K282,DEALS!$V:$V,"&lt;&gt;*RECEIVED*",DEALS!$V:$V,"&lt;&gt;*EXECUTED*"))</f>
        <v>0</v>
      </c>
      <c r="N282" s="29" cm="1">
        <f t="array" ref="N282">SUMIFS(FLOWS!$C:$C,FLOWS!$A:$A,$B$275,FLOWS!$E:$E,$K282,FLOWS!$D:$D,N$279,FLOWS!$H:$H,"&gt;="&amp;$C$277,FLOWS!$H:$H,"&lt;="&amp;$U$277)+SUM(SUMIFS(DEALS!$J:$J,DEALS!$A:$A,{"*REFUND*","*EXECUTED*"},DEALS!$G:$G,$B$275,DEALS!$E:$E,"&gt;="&amp;$C$277,DEALS!$E:$E,"&lt;="&amp;$U$277,DEALS!$K:$K,N$279,DEALS!$M:$M,$K282,DEALS!$N:$N,"&lt;&gt;*RECEIVED*",DEALS!$N:$N,"&lt;&gt;*EXECUTED*"))+SUM(SUMIFS(DEALS!$R:$R,DEALS!$A:$A,{"*REFUND*","*EXECUTED*"},DEALS!$O:$O,$B$275,DEALS!$E:$E,"&gt;="&amp;$C$277,DEALS!$E:$E,"&lt;="&amp;$U$277,DEALS!$S:$S,N$279,DEALS!$U:$U,$K282,DEALS!$V:$V,"&lt;&gt;*RECEIVED*",DEALS!$V:$V,"&lt;&gt;*EXECUTED*"))</f>
        <v>0</v>
      </c>
      <c r="O282" s="29" cm="1">
        <f t="array" ref="O282">SUMIFS(FLOWS!$C:$C,FLOWS!$A:$A,$B$275,FLOWS!$E:$E,$K282,FLOWS!$D:$D,O$279,FLOWS!$H:$H,"&gt;="&amp;$C$277,FLOWS!$H:$H,"&lt;="&amp;$U$277)+SUM(SUMIFS(DEALS!$J:$J,DEALS!$A:$A,{"*REFUND*","*EXECUTED*"},DEALS!$G:$G,$B$275,DEALS!$E:$E,"&gt;="&amp;$C$277,DEALS!$E:$E,"&lt;="&amp;$U$277,DEALS!$K:$K,O$279,DEALS!$M:$M,$K282,DEALS!$N:$N,"&lt;&gt;*RECEIVED*",DEALS!$N:$N,"&lt;&gt;*EXECUTED*"))+SUM(SUMIFS(DEALS!$R:$R,DEALS!$A:$A,{"*REFUND*","*EXECUTED*"},DEALS!$O:$O,$B$275,DEALS!$E:$E,"&gt;="&amp;$C$277,DEALS!$E:$E,"&lt;="&amp;$U$277,DEALS!$S:$S,O$279,DEALS!$U:$U,$K282,DEALS!$V:$V,"&lt;&gt;*RECEIVED*",DEALS!$V:$V,"&lt;&gt;*EXECUTED*"))</f>
        <v>0</v>
      </c>
      <c r="P282" s="29" cm="1">
        <f t="array" ref="P282">SUMIFS(FLOWS!$C:$C,FLOWS!$A:$A,$B$275,FLOWS!$E:$E,$K282,FLOWS!$D:$D,P$279,FLOWS!$H:$H,"&gt;="&amp;$C$277,FLOWS!$H:$H,"&lt;="&amp;$U$277)+SUM(SUMIFS(DEALS!$J:$J,DEALS!$A:$A,{"*REFUND*","*EXECUTED*"},DEALS!$G:$G,$B$275,DEALS!$E:$E,"&gt;="&amp;$C$277,DEALS!$E:$E,"&lt;="&amp;$U$277,DEALS!$K:$K,P$279,DEALS!$M:$M,$K282,DEALS!$N:$N,"&lt;&gt;*RECEIVED*",DEALS!$N:$N,"&lt;&gt;*EXECUTED*"))+SUM(SUMIFS(DEALS!$R:$R,DEALS!$A:$A,{"*REFUND*","*EXECUTED*"},DEALS!$O:$O,$B$275,DEALS!$E:$E,"&gt;="&amp;$C$277,DEALS!$E:$E,"&lt;="&amp;$U$277,DEALS!$S:$S,P$279,DEALS!$U:$U,$K282,DEALS!$V:$V,"&lt;&gt;*RECEIVED*",DEALS!$V:$V,"&lt;&gt;*EXECUTED*"))</f>
        <v>0</v>
      </c>
      <c r="Q282" s="29" cm="1">
        <f t="array" ref="Q282">SUMIFS(FLOWS!$C:$C,FLOWS!$A:$A,$B$275,FLOWS!$E:$E,$K282,FLOWS!$D:$D,Q$279,FLOWS!$H:$H,"&gt;="&amp;$C$277,FLOWS!$H:$H,"&lt;="&amp;$U$277)+SUM(SUMIFS(DEALS!$J:$J,DEALS!$A:$A,{"*REFUND*","*EXECUTED*"},DEALS!$G:$G,$B$275,DEALS!$E:$E,"&gt;="&amp;$C$277,DEALS!$E:$E,"&lt;="&amp;$U$277,DEALS!$K:$K,Q$279,DEALS!$M:$M,$K282,DEALS!$N:$N,"&lt;&gt;*RECEIVED*",DEALS!$N:$N,"&lt;&gt;*EXECUTED*"))+SUM(SUMIFS(DEALS!$R:$R,DEALS!$A:$A,{"*REFUND*","*EXECUTED*"},DEALS!$O:$O,$B$275,DEALS!$E:$E,"&gt;="&amp;$C$277,DEALS!$E:$E,"&lt;="&amp;$U$277,DEALS!$S:$S,Q$279,DEALS!$U:$U,$K282,DEALS!$V:$V,"&lt;&gt;*RECEIVED*",DEALS!$V:$V,"&lt;&gt;*EXECUTED*"))</f>
        <v>0</v>
      </c>
      <c r="R282" s="30">
        <f ca="1">L282*VLOOKUP(L$279,'FX RATES'!$E$1:$F$50,2,FALSE)+M282*VLOOKUP(M$279,'FX RATES'!$E$1:$F$50,2,FALSE)+N282*VLOOKUP(N$279,'FX RATES'!$E$1:$F$50,2,FALSE)+O282*VLOOKUP(O$279,'FX RATES'!$E$1:$F$50,2,FALSE)+P282*VLOOKUP(P$279,'FX RATES'!$E$1:$F$50,2,FALSE)+Q282*VLOOKUP(Q$279,'FX RATES'!$E$1:$F$50,2,FALSE)</f>
        <v>0</v>
      </c>
      <c r="T282" s="28">
        <f t="shared" si="115"/>
        <v>0</v>
      </c>
      <c r="U282" s="29" cm="1">
        <f t="array" ref="U282">SUMIFS(BALANCES!$C:$C,BALANCES!$A:$A,$B$275,BALANCES!$B:$B,$T282,BALANCES!$D:$D,U$279)+SUMIFS(FLOWS!$C:$C,FLOWS!$A:$A,$B$275,FLOWS!$E:$E,$T282,FLOWS!$D:$D,U$279,FLOWS!$H:$H,"&lt;="&amp;$U$277)+SUM(SUMIFS(DEALS!$J:$J,DEALS!$A:$A,{"*REFUND*","*EXECUTED*"},DEALS!$G:$G,$B$275,DEALS!$E:$E,"&lt;="&amp;$U$277,DEALS!$K:$K,U$279,DEALS!$M:$M,$T282,DEALS!$N:$N,"&lt;&gt;*RECEIVED*",DEALS!$N:$N,"&lt;&gt;*EXECUTED*"))+SUM(SUMIFS(DEALS!$R:$R,DEALS!$A:$A,{"*REFUND*","*EXECUTED*"},DEALS!$O:$O,$B$275,DEALS!$E:$E,"&lt;="&amp;$U$277,DEALS!$S:$S,U$279,DEALS!$U:$U,$T282,DEALS!$V:$V,"&lt;&gt;*RECEIVED*",DEALS!$V:$V,"&lt;&gt;*EXECUTED*"))</f>
        <v>0</v>
      </c>
      <c r="V282" s="29" cm="1">
        <f t="array" ref="V282">SUMIFS(BALANCES!$C:$C,BALANCES!$A:$A,$B$275,BALANCES!$B:$B,$T282,BALANCES!$D:$D,V$279)+SUMIFS(FLOWS!$C:$C,FLOWS!$A:$A,$B$275,FLOWS!$E:$E,$T282,FLOWS!$D:$D,V$279,FLOWS!$H:$H,"&lt;="&amp;$U$277)+SUM(SUMIFS(DEALS!$J:$J,DEALS!$A:$A,{"*REFUND*","*EXECUTED*"},DEALS!$G:$G,$B$275,DEALS!$E:$E,"&lt;="&amp;$U$277,DEALS!$K:$K,V$279,DEALS!$M:$M,$T282,DEALS!$N:$N,"&lt;&gt;*RECEIVED*",DEALS!$N:$N,"&lt;&gt;*EXECUTED*"))+SUM(SUMIFS(DEALS!$R:$R,DEALS!$A:$A,{"*REFUND*","*EXECUTED*"},DEALS!$O:$O,$B$275,DEALS!$E:$E,"&lt;="&amp;$U$277,DEALS!$S:$S,V$279,DEALS!$U:$U,$T282,DEALS!$V:$V,"&lt;&gt;*RECEIVED*",DEALS!$V:$V,"&lt;&gt;*EXECUTED*"))</f>
        <v>0</v>
      </c>
      <c r="W282" s="29" cm="1">
        <f t="array" ref="W282">SUMIFS(BALANCES!$C:$C,BALANCES!$A:$A,$B$275,BALANCES!$B:$B,$T282,BALANCES!$D:$D,W$279)+SUMIFS(FLOWS!$C:$C,FLOWS!$A:$A,$B$275,FLOWS!$E:$E,$T282,FLOWS!$D:$D,W$279,FLOWS!$H:$H,"&lt;="&amp;$U$277)+SUM(SUMIFS(DEALS!$J:$J,DEALS!$A:$A,{"*REFUND*","*EXECUTED*"},DEALS!$G:$G,$B$275,DEALS!$E:$E,"&lt;="&amp;$U$277,DEALS!$K:$K,W$279,DEALS!$M:$M,$T282,DEALS!$N:$N,"&lt;&gt;*RECEIVED*",DEALS!$N:$N,"&lt;&gt;*EXECUTED*"))+SUM(SUMIFS(DEALS!$R:$R,DEALS!$A:$A,{"*REFUND*","*EXECUTED*"},DEALS!$O:$O,$B$275,DEALS!$E:$E,"&lt;="&amp;$U$277,DEALS!$S:$S,W$279,DEALS!$U:$U,$T282,DEALS!$V:$V,"&lt;&gt;*RECEIVED*",DEALS!$V:$V,"&lt;&gt;*EXECUTED*"))</f>
        <v>0</v>
      </c>
      <c r="X282" s="29" cm="1">
        <f t="array" ref="X282">SUMIFS(BALANCES!$C:$C,BALANCES!$A:$A,$B$275,BALANCES!$B:$B,$T282,BALANCES!$D:$D,X$279)+SUMIFS(FLOWS!$C:$C,FLOWS!$A:$A,$B$275,FLOWS!$E:$E,$T282,FLOWS!$D:$D,X$279,FLOWS!$H:$H,"&lt;="&amp;$U$277)+SUM(SUMIFS(DEALS!$J:$J,DEALS!$A:$A,{"*REFUND*","*EXECUTED*"},DEALS!$G:$G,$B$275,DEALS!$E:$E,"&lt;="&amp;$U$277,DEALS!$K:$K,X$279,DEALS!$M:$M,$T282,DEALS!$N:$N,"&lt;&gt;*RECEIVED*",DEALS!$N:$N,"&lt;&gt;*EXECUTED*"))+SUM(SUMIFS(DEALS!$R:$R,DEALS!$A:$A,{"*REFUND*","*EXECUTED*"},DEALS!$O:$O,$B$275,DEALS!$E:$E,"&lt;="&amp;$U$277,DEALS!$S:$S,X$279,DEALS!$U:$U,$T282,DEALS!$V:$V,"&lt;&gt;*RECEIVED*",DEALS!$V:$V,"&lt;&gt;*EXECUTED*"))</f>
        <v>0</v>
      </c>
      <c r="Y282" s="29" cm="1">
        <f t="array" ref="Y282">SUMIFS(BALANCES!$C:$C,BALANCES!$A:$A,$B$275,BALANCES!$B:$B,$T282,BALANCES!$D:$D,Y$279)+SUMIFS(FLOWS!$C:$C,FLOWS!$A:$A,$B$275,FLOWS!$E:$E,$T282,FLOWS!$D:$D,Y$279,FLOWS!$H:$H,"&lt;="&amp;$U$277)+SUM(SUMIFS(DEALS!$J:$J,DEALS!$A:$A,{"*REFUND*","*EXECUTED*"},DEALS!$G:$G,$B$275,DEALS!$E:$E,"&lt;="&amp;$U$277,DEALS!$K:$K,Y$279,DEALS!$M:$M,$T282,DEALS!$N:$N,"&lt;&gt;*RECEIVED*",DEALS!$N:$N,"&lt;&gt;*EXECUTED*"))+SUM(SUMIFS(DEALS!$R:$R,DEALS!$A:$A,{"*REFUND*","*EXECUTED*"},DEALS!$O:$O,$B$275,DEALS!$E:$E,"&lt;="&amp;$U$277,DEALS!$S:$S,Y$279,DEALS!$U:$U,$T282,DEALS!$V:$V,"&lt;&gt;*RECEIVED*",DEALS!$V:$V,"&lt;&gt;*EXECUTED*"))</f>
        <v>0</v>
      </c>
      <c r="Z282" s="29" cm="1">
        <f t="array" ref="Z282">SUMIFS(BALANCES!$C:$C,BALANCES!$A:$A,$B$275,BALANCES!$B:$B,$T282,BALANCES!$D:$D,Z$279)+SUMIFS(FLOWS!$C:$C,FLOWS!$A:$A,$B$275,FLOWS!$E:$E,$T282,FLOWS!$D:$D,Z$279,FLOWS!$H:$H,"&lt;="&amp;$U$277)+SUM(SUMIFS(DEALS!$J:$J,DEALS!$A:$A,{"*REFUND*","*EXECUTED*"},DEALS!$G:$G,$B$275,DEALS!$E:$E,"&lt;="&amp;$U$277,DEALS!$K:$K,Z$279,DEALS!$M:$M,$T282,DEALS!$N:$N,"&lt;&gt;*RECEIVED*",DEALS!$N:$N,"&lt;&gt;*EXECUTED*"))+SUM(SUMIFS(DEALS!$R:$R,DEALS!$A:$A,{"*REFUND*","*EXECUTED*"},DEALS!$O:$O,$B$275,DEALS!$E:$E,"&lt;="&amp;$U$277,DEALS!$S:$S,Z$279,DEALS!$U:$U,$T282,DEALS!$V:$V,"&lt;&gt;*RECEIVED*",DEALS!$V:$V,"&lt;&gt;*EXECUTED*"))</f>
        <v>0</v>
      </c>
      <c r="AA282" s="30">
        <f ca="1">U282*VLOOKUP(U$279,'FX RATES'!$E$1:$F$50,2,FALSE)+V282*VLOOKUP(V$279,'FX RATES'!$E$1:$F$50,2,FALSE)+W282*VLOOKUP(W$279,'FX RATES'!$E$1:$F$50,2,FALSE)+X282*VLOOKUP(X$279,'FX RATES'!$E$1:$F$50,2,FALSE)+Y282*VLOOKUP(Y$279,'FX RATES'!$E$1:$F$50,2,FALSE)+Z282*VLOOKUP(Z$279,'FX RATES'!$E$1:$F$50,2,FALSE)</f>
        <v>0</v>
      </c>
      <c r="AC282" s="139">
        <f t="shared" ca="1" si="116"/>
        <v>0</v>
      </c>
    </row>
    <row r="283" spans="2:29" ht="19" hidden="1">
      <c r="B283" s="31"/>
      <c r="C283" s="32" cm="1">
        <f t="array" ref="C283">SUMIFS(BALANCES!$C:$C,BALANCES!$A:$A,$B$275,BALANCES!$B:$B,$B283,BALANCES!$D:$D,C$279)+SUMIFS(FLOWS!$C:$C,FLOWS!$A:$A,$B$275,FLOWS!$E:$E,$B283,FLOWS!$D:$D,C$279,FLOWS!$H:$H,"&lt;"&amp;$C$277)+SUM(SUMIFS(DEALS!$J:$J,DEALS!$A:$A,{"*REFUND*","*EXECUTED*"},DEALS!$G:$G,$B$275,DEALS!$E:$E,"&lt;"&amp;$C$277,DEALS!$K:$K,C$279,DEALS!$M:$M,$B283,DEALS!$N:$N,"&lt;&gt;*RECEIVED*",DEALS!$N:$N,"&lt;&gt;*EXECUTED*"))+SUM(SUMIFS(DEALS!$R:$R,DEALS!$A:$A,{"*REFUND*","*EXECUTED*"},DEALS!$O:$O,$B$275,DEALS!$E:$E,"&lt;"&amp;$C$277,DEALS!$S:$S,C$279,DEALS!$U:$U,$B283,DEALS!$V:$V,"&lt;&gt;*RECEIVED*",DEALS!$V:$V,"&lt;&gt;*EXECUTED*"))</f>
        <v>0</v>
      </c>
      <c r="D283" s="32" cm="1">
        <f t="array" ref="D283">SUMIFS(BALANCES!$C:$C,BALANCES!$A:$A,$B$275,BALANCES!$B:$B,$B283,BALANCES!$D:$D,D$279)+SUMIFS(FLOWS!$C:$C,FLOWS!$A:$A,$B$275,FLOWS!$E:$E,$B283,FLOWS!$D:$D,D$279,FLOWS!$H:$H,"&lt;"&amp;$C$277)+SUM(SUMIFS(DEALS!$J:$J,DEALS!$A:$A,{"*REFUND*","*EXECUTED*"},DEALS!$G:$G,$B$275,DEALS!$E:$E,"&lt;"&amp;$C$277,DEALS!$K:$K,D$279,DEALS!$M:$M,$B283,DEALS!$N:$N,"&lt;&gt;*RECEIVED*",DEALS!$N:$N,"&lt;&gt;*EXECUTED*"))+SUM(SUMIFS(DEALS!$R:$R,DEALS!$A:$A,{"*REFUND*","*EXECUTED*"},DEALS!$O:$O,$B$275,DEALS!$E:$E,"&lt;"&amp;$C$277,DEALS!$S:$S,D$279,DEALS!$U:$U,$B283,DEALS!$V:$V,"&lt;&gt;*RECEIVED*",DEALS!$V:$V,"&lt;&gt;*EXECUTED*"))</f>
        <v>0</v>
      </c>
      <c r="E283" s="32" cm="1">
        <f t="array" ref="E283">SUMIFS(BALANCES!$C:$C,BALANCES!$A:$A,$B$275,BALANCES!$B:$B,$B283,BALANCES!$D:$D,E$279)+SUMIFS(FLOWS!$C:$C,FLOWS!$A:$A,$B$275,FLOWS!$E:$E,$B283,FLOWS!$D:$D,E$279,FLOWS!$H:$H,"&lt;"&amp;$C$277)+SUM(SUMIFS(DEALS!$J:$J,DEALS!$A:$A,{"*REFUND*","*EXECUTED*"},DEALS!$G:$G,$B$275,DEALS!$E:$E,"&lt;"&amp;$C$277,DEALS!$K:$K,E$279,DEALS!$M:$M,$B283,DEALS!$N:$N,"&lt;&gt;*RECEIVED*",DEALS!$N:$N,"&lt;&gt;*EXECUTED*"))+SUM(SUMIFS(DEALS!$R:$R,DEALS!$A:$A,{"*REFUND*","*EXECUTED*"},DEALS!$O:$O,$B$275,DEALS!$E:$E,"&lt;"&amp;$C$277,DEALS!$S:$S,E$279,DEALS!$U:$U,$B283,DEALS!$V:$V,"&lt;&gt;*RECEIVED*",DEALS!$V:$V,"&lt;&gt;*EXECUTED*"))</f>
        <v>0</v>
      </c>
      <c r="F283" s="32" cm="1">
        <f t="array" ref="F283">SUMIFS(BALANCES!$C:$C,BALANCES!$A:$A,$B$275,BALANCES!$B:$B,$B283,BALANCES!$D:$D,F$279)+SUMIFS(FLOWS!$C:$C,FLOWS!$A:$A,$B$275,FLOWS!$E:$E,$B283,FLOWS!$D:$D,F$279,FLOWS!$H:$H,"&lt;"&amp;$C$277)+SUM(SUMIFS(DEALS!$J:$J,DEALS!$A:$A,{"*REFUND*","*EXECUTED*"},DEALS!$G:$G,$B$275,DEALS!$E:$E,"&lt;"&amp;$C$277,DEALS!$K:$K,F$279,DEALS!$M:$M,$B283,DEALS!$N:$N,"&lt;&gt;*RECEIVED*",DEALS!$N:$N,"&lt;&gt;*EXECUTED*"))+SUM(SUMIFS(DEALS!$R:$R,DEALS!$A:$A,{"*REFUND*","*EXECUTED*"},DEALS!$O:$O,$B$275,DEALS!$E:$E,"&lt;"&amp;$C$277,DEALS!$S:$S,F$279,DEALS!$U:$U,$B283,DEALS!$V:$V,"&lt;&gt;*RECEIVED*",DEALS!$V:$V,"&lt;&gt;*EXECUTED*"))</f>
        <v>0</v>
      </c>
      <c r="G283" s="32" cm="1">
        <f t="array" ref="G283">SUMIFS(BALANCES!$C:$C,BALANCES!$A:$A,$B$275,BALANCES!$B:$B,$B283,BALANCES!$D:$D,G$279)+SUMIFS(FLOWS!$C:$C,FLOWS!$A:$A,$B$275,FLOWS!$E:$E,$B283,FLOWS!$D:$D,G$279,FLOWS!$H:$H,"&lt;"&amp;$C$277)+SUM(SUMIFS(DEALS!$J:$J,DEALS!$A:$A,{"*REFUND*","*EXECUTED*"},DEALS!$G:$G,$B$275,DEALS!$E:$E,"&lt;"&amp;$C$277,DEALS!$K:$K,G$279,DEALS!$M:$M,$B283,DEALS!$N:$N,"&lt;&gt;*RECEIVED*",DEALS!$N:$N,"&lt;&gt;*EXECUTED*"))+SUM(SUMIFS(DEALS!$R:$R,DEALS!$A:$A,{"*REFUND*","*EXECUTED*"},DEALS!$O:$O,$B$275,DEALS!$E:$E,"&lt;"&amp;$C$277,DEALS!$S:$S,G$279,DEALS!$U:$U,$B283,DEALS!$V:$V,"&lt;&gt;*RECEIVED*",DEALS!$V:$V,"&lt;&gt;*EXECUTED*"))</f>
        <v>0</v>
      </c>
      <c r="H283" s="32" cm="1">
        <f t="array" ref="H283">SUMIFS(BALANCES!$C:$C,BALANCES!$A:$A,$B$275,BALANCES!$B:$B,$B283,BALANCES!$D:$D,H$279)+SUMIFS(FLOWS!$C:$C,FLOWS!$A:$A,$B$275,FLOWS!$E:$E,$B283,FLOWS!$D:$D,H$279,FLOWS!$H:$H,"&lt;"&amp;$C$277)+SUM(SUMIFS(DEALS!$J:$J,DEALS!$A:$A,{"*REFUND*","*EXECUTED*"},DEALS!$G:$G,$B$275,DEALS!$E:$E,"&lt;"&amp;$C$277,DEALS!$K:$K,H$279,DEALS!$M:$M,$B283,DEALS!$N:$N,"&lt;&gt;*RECEIVED*",DEALS!$N:$N,"&lt;&gt;*EXECUTED*"))+SUM(SUMIFS(DEALS!$R:$R,DEALS!$A:$A,{"*REFUND*","*EXECUTED*"},DEALS!$O:$O,$B$275,DEALS!$E:$E,"&lt;"&amp;$C$277,DEALS!$S:$S,H$279,DEALS!$U:$U,$B283,DEALS!$V:$V,"&lt;&gt;*RECEIVED*",DEALS!$V:$V,"&lt;&gt;*EXECUTED*"))</f>
        <v>0</v>
      </c>
      <c r="I283" s="33">
        <f ca="1">C283*VLOOKUP(C$279,'FX RATES'!$E$1:$F$50,2,FALSE)+D283*VLOOKUP(D$279,'FX RATES'!$E$1:$F$50,2,FALSE)+E283*VLOOKUP(E$279,'FX RATES'!$E$1:$F$50,2,FALSE)+F283*VLOOKUP(F$279,'FX RATES'!$E$1:$F$50,2,FALSE)+G283*VLOOKUP(G$279,'FX RATES'!$E$1:$F$50,2,FALSE)+H283*VLOOKUP(H$279,'FX RATES'!$E$1:$F$50,2,FALSE)</f>
        <v>0</v>
      </c>
      <c r="K283" s="31">
        <f t="shared" si="114"/>
        <v>0</v>
      </c>
      <c r="L283" s="32" cm="1">
        <f t="array" ref="L283">SUMIFS(FLOWS!$C:$C,FLOWS!$A:$A,$B$275,FLOWS!$E:$E,$K283,FLOWS!$D:$D,L$279,FLOWS!$H:$H,"&gt;="&amp;$C$277,FLOWS!$H:$H,"&lt;="&amp;$U$277)+SUM(SUMIFS(DEALS!$J:$J,DEALS!$A:$A,{"*REFUND*","*EXECUTED*"},DEALS!$G:$G,$B$275,DEALS!$E:$E,"&gt;="&amp;$C$277,DEALS!$E:$E,"&lt;="&amp;$U$277,DEALS!$K:$K,L$279,DEALS!$M:$M,$K283,DEALS!$N:$N,"&lt;&gt;*RECEIVED*",DEALS!$N:$N,"&lt;&gt;*EXECUTED*"))+SUM(SUMIFS(DEALS!$R:$R,DEALS!$A:$A,{"*REFUND*","*EXECUTED*"},DEALS!$O:$O,$B$275,DEALS!$E:$E,"&gt;="&amp;$C$277,DEALS!$E:$E,"&lt;="&amp;$U$277,DEALS!$S:$S,L$279,DEALS!$U:$U,$K283,DEALS!$V:$V,"&lt;&gt;*RECEIVED*",DEALS!$V:$V,"&lt;&gt;*EXECUTED*"))</f>
        <v>0</v>
      </c>
      <c r="M283" s="32" cm="1">
        <f t="array" ref="M283">SUMIFS(FLOWS!$C:$C,FLOWS!$A:$A,$B$275,FLOWS!$E:$E,$K283,FLOWS!$D:$D,M$279,FLOWS!$H:$H,"&gt;="&amp;$C$277,FLOWS!$H:$H,"&lt;="&amp;$U$277)+SUM(SUMIFS(DEALS!$J:$J,DEALS!$A:$A,{"*REFUND*","*EXECUTED*"},DEALS!$G:$G,$B$275,DEALS!$E:$E,"&gt;="&amp;$C$277,DEALS!$E:$E,"&lt;="&amp;$U$277,DEALS!$K:$K,M$279,DEALS!$M:$M,$K283,DEALS!$N:$N,"&lt;&gt;*RECEIVED*",DEALS!$N:$N,"&lt;&gt;*EXECUTED*"))+SUM(SUMIFS(DEALS!$R:$R,DEALS!$A:$A,{"*REFUND*","*EXECUTED*"},DEALS!$O:$O,$B$275,DEALS!$E:$E,"&gt;="&amp;$C$277,DEALS!$E:$E,"&lt;="&amp;$U$277,DEALS!$S:$S,M$279,DEALS!$U:$U,$K283,DEALS!$V:$V,"&lt;&gt;*RECEIVED*",DEALS!$V:$V,"&lt;&gt;*EXECUTED*"))</f>
        <v>0</v>
      </c>
      <c r="N283" s="32" cm="1">
        <f t="array" ref="N283">SUMIFS(FLOWS!$C:$C,FLOWS!$A:$A,$B$275,FLOWS!$E:$E,$K283,FLOWS!$D:$D,N$279,FLOWS!$H:$H,"&gt;="&amp;$C$277,FLOWS!$H:$H,"&lt;="&amp;$U$277)+SUM(SUMIFS(DEALS!$J:$J,DEALS!$A:$A,{"*REFUND*","*EXECUTED*"},DEALS!$G:$G,$B$275,DEALS!$E:$E,"&gt;="&amp;$C$277,DEALS!$E:$E,"&lt;="&amp;$U$277,DEALS!$K:$K,N$279,DEALS!$M:$M,$K283,DEALS!$N:$N,"&lt;&gt;*RECEIVED*",DEALS!$N:$N,"&lt;&gt;*EXECUTED*"))+SUM(SUMIFS(DEALS!$R:$R,DEALS!$A:$A,{"*REFUND*","*EXECUTED*"},DEALS!$O:$O,$B$275,DEALS!$E:$E,"&gt;="&amp;$C$277,DEALS!$E:$E,"&lt;="&amp;$U$277,DEALS!$S:$S,N$279,DEALS!$U:$U,$K283,DEALS!$V:$V,"&lt;&gt;*RECEIVED*",DEALS!$V:$V,"&lt;&gt;*EXECUTED*"))</f>
        <v>0</v>
      </c>
      <c r="O283" s="32" cm="1">
        <f t="array" ref="O283">SUMIFS(FLOWS!$C:$C,FLOWS!$A:$A,$B$275,FLOWS!$E:$E,$K283,FLOWS!$D:$D,O$279,FLOWS!$H:$H,"&gt;="&amp;$C$277,FLOWS!$H:$H,"&lt;="&amp;$U$277)+SUM(SUMIFS(DEALS!$J:$J,DEALS!$A:$A,{"*REFUND*","*EXECUTED*"},DEALS!$G:$G,$B$275,DEALS!$E:$E,"&gt;="&amp;$C$277,DEALS!$E:$E,"&lt;="&amp;$U$277,DEALS!$K:$K,O$279,DEALS!$M:$M,$K283,DEALS!$N:$N,"&lt;&gt;*RECEIVED*",DEALS!$N:$N,"&lt;&gt;*EXECUTED*"))+SUM(SUMIFS(DEALS!$R:$R,DEALS!$A:$A,{"*REFUND*","*EXECUTED*"},DEALS!$O:$O,$B$275,DEALS!$E:$E,"&gt;="&amp;$C$277,DEALS!$E:$E,"&lt;="&amp;$U$277,DEALS!$S:$S,O$279,DEALS!$U:$U,$K283,DEALS!$V:$V,"&lt;&gt;*RECEIVED*",DEALS!$V:$V,"&lt;&gt;*EXECUTED*"))</f>
        <v>0</v>
      </c>
      <c r="P283" s="32" cm="1">
        <f t="array" ref="P283">SUMIFS(FLOWS!$C:$C,FLOWS!$A:$A,$B$275,FLOWS!$E:$E,$K283,FLOWS!$D:$D,P$279,FLOWS!$H:$H,"&gt;="&amp;$C$277,FLOWS!$H:$H,"&lt;="&amp;$U$277)+SUM(SUMIFS(DEALS!$J:$J,DEALS!$A:$A,{"*REFUND*","*EXECUTED*"},DEALS!$G:$G,$B$275,DEALS!$E:$E,"&gt;="&amp;$C$277,DEALS!$E:$E,"&lt;="&amp;$U$277,DEALS!$K:$K,P$279,DEALS!$M:$M,$K283,DEALS!$N:$N,"&lt;&gt;*RECEIVED*",DEALS!$N:$N,"&lt;&gt;*EXECUTED*"))+SUM(SUMIFS(DEALS!$R:$R,DEALS!$A:$A,{"*REFUND*","*EXECUTED*"},DEALS!$O:$O,$B$275,DEALS!$E:$E,"&gt;="&amp;$C$277,DEALS!$E:$E,"&lt;="&amp;$U$277,DEALS!$S:$S,P$279,DEALS!$U:$U,$K283,DEALS!$V:$V,"&lt;&gt;*RECEIVED*",DEALS!$V:$V,"&lt;&gt;*EXECUTED*"))</f>
        <v>0</v>
      </c>
      <c r="Q283" s="32" cm="1">
        <f t="array" ref="Q283">SUMIFS(FLOWS!$C:$C,FLOWS!$A:$A,$B$275,FLOWS!$E:$E,$K283,FLOWS!$D:$D,Q$279,FLOWS!$H:$H,"&gt;="&amp;$C$277,FLOWS!$H:$H,"&lt;="&amp;$U$277)+SUM(SUMIFS(DEALS!$J:$J,DEALS!$A:$A,{"*REFUND*","*EXECUTED*"},DEALS!$G:$G,$B$275,DEALS!$E:$E,"&gt;="&amp;$C$277,DEALS!$E:$E,"&lt;="&amp;$U$277,DEALS!$K:$K,Q$279,DEALS!$M:$M,$K283,DEALS!$N:$N,"&lt;&gt;*RECEIVED*",DEALS!$N:$N,"&lt;&gt;*EXECUTED*"))+SUM(SUMIFS(DEALS!$R:$R,DEALS!$A:$A,{"*REFUND*","*EXECUTED*"},DEALS!$O:$O,$B$275,DEALS!$E:$E,"&gt;="&amp;$C$277,DEALS!$E:$E,"&lt;="&amp;$U$277,DEALS!$S:$S,Q$279,DEALS!$U:$U,$K283,DEALS!$V:$V,"&lt;&gt;*RECEIVED*",DEALS!$V:$V,"&lt;&gt;*EXECUTED*"))</f>
        <v>0</v>
      </c>
      <c r="R283" s="33">
        <f ca="1">L283*VLOOKUP(L$279,'FX RATES'!$E$1:$F$50,2,FALSE)+M283*VLOOKUP(M$279,'FX RATES'!$E$1:$F$50,2,FALSE)+N283*VLOOKUP(N$279,'FX RATES'!$E$1:$F$50,2,FALSE)+O283*VLOOKUP(O$279,'FX RATES'!$E$1:$F$50,2,FALSE)+P283*VLOOKUP(P$279,'FX RATES'!$E$1:$F$50,2,FALSE)+Q283*VLOOKUP(Q$279,'FX RATES'!$E$1:$F$50,2,FALSE)</f>
        <v>0</v>
      </c>
      <c r="T283" s="31">
        <f t="shared" si="115"/>
        <v>0</v>
      </c>
      <c r="U283" s="32" cm="1">
        <f t="array" ref="U283">SUMIFS(BALANCES!$C:$C,BALANCES!$A:$A,$B$275,BALANCES!$B:$B,$T283,BALANCES!$D:$D,U$279)+SUMIFS(FLOWS!$C:$C,FLOWS!$A:$A,$B$275,FLOWS!$E:$E,$T283,FLOWS!$D:$D,U$279,FLOWS!$H:$H,"&lt;="&amp;$U$277)+SUM(SUMIFS(DEALS!$J:$J,DEALS!$A:$A,{"*REFUND*","*EXECUTED*"},DEALS!$G:$G,$B$275,DEALS!$E:$E,"&lt;="&amp;$U$277,DEALS!$K:$K,U$279,DEALS!$M:$M,$T283,DEALS!$N:$N,"&lt;&gt;*RECEIVED*",DEALS!$N:$N,"&lt;&gt;*EXECUTED*"))+SUM(SUMIFS(DEALS!$R:$R,DEALS!$A:$A,{"*REFUND*","*EXECUTED*"},DEALS!$O:$O,$B$275,DEALS!$E:$E,"&lt;="&amp;$U$277,DEALS!$S:$S,U$279,DEALS!$U:$U,$T283,DEALS!$V:$V,"&lt;&gt;*RECEIVED*",DEALS!$V:$V,"&lt;&gt;*EXECUTED*"))</f>
        <v>0</v>
      </c>
      <c r="V283" s="32" cm="1">
        <f t="array" ref="V283">SUMIFS(BALANCES!$C:$C,BALANCES!$A:$A,$B$275,BALANCES!$B:$B,$T283,BALANCES!$D:$D,V$279)+SUMIFS(FLOWS!$C:$C,FLOWS!$A:$A,$B$275,FLOWS!$E:$E,$T283,FLOWS!$D:$D,V$279,FLOWS!$H:$H,"&lt;="&amp;$U$277)+SUM(SUMIFS(DEALS!$J:$J,DEALS!$A:$A,{"*REFUND*","*EXECUTED*"},DEALS!$G:$G,$B$275,DEALS!$E:$E,"&lt;="&amp;$U$277,DEALS!$K:$K,V$279,DEALS!$M:$M,$T283,DEALS!$N:$N,"&lt;&gt;*RECEIVED*",DEALS!$N:$N,"&lt;&gt;*EXECUTED*"))+SUM(SUMIFS(DEALS!$R:$R,DEALS!$A:$A,{"*REFUND*","*EXECUTED*"},DEALS!$O:$O,$B$275,DEALS!$E:$E,"&lt;="&amp;$U$277,DEALS!$S:$S,V$279,DEALS!$U:$U,$T283,DEALS!$V:$V,"&lt;&gt;*RECEIVED*",DEALS!$V:$V,"&lt;&gt;*EXECUTED*"))</f>
        <v>0</v>
      </c>
      <c r="W283" s="32" cm="1">
        <f t="array" ref="W283">SUMIFS(BALANCES!$C:$C,BALANCES!$A:$A,$B$275,BALANCES!$B:$B,$T283,BALANCES!$D:$D,W$279)+SUMIFS(FLOWS!$C:$C,FLOWS!$A:$A,$B$275,FLOWS!$E:$E,$T283,FLOWS!$D:$D,W$279,FLOWS!$H:$H,"&lt;="&amp;$U$277)+SUM(SUMIFS(DEALS!$J:$J,DEALS!$A:$A,{"*REFUND*","*EXECUTED*"},DEALS!$G:$G,$B$275,DEALS!$E:$E,"&lt;="&amp;$U$277,DEALS!$K:$K,W$279,DEALS!$M:$M,$T283,DEALS!$N:$N,"&lt;&gt;*RECEIVED*",DEALS!$N:$N,"&lt;&gt;*EXECUTED*"))+SUM(SUMIFS(DEALS!$R:$R,DEALS!$A:$A,{"*REFUND*","*EXECUTED*"},DEALS!$O:$O,$B$275,DEALS!$E:$E,"&lt;="&amp;$U$277,DEALS!$S:$S,W$279,DEALS!$U:$U,$T283,DEALS!$V:$V,"&lt;&gt;*RECEIVED*",DEALS!$V:$V,"&lt;&gt;*EXECUTED*"))</f>
        <v>0</v>
      </c>
      <c r="X283" s="32" cm="1">
        <f t="array" ref="X283">SUMIFS(BALANCES!$C:$C,BALANCES!$A:$A,$B$275,BALANCES!$B:$B,$T283,BALANCES!$D:$D,X$279)+SUMIFS(FLOWS!$C:$C,FLOWS!$A:$A,$B$275,FLOWS!$E:$E,$T283,FLOWS!$D:$D,X$279,FLOWS!$H:$H,"&lt;="&amp;$U$277)+SUM(SUMIFS(DEALS!$J:$J,DEALS!$A:$A,{"*REFUND*","*EXECUTED*"},DEALS!$G:$G,$B$275,DEALS!$E:$E,"&lt;="&amp;$U$277,DEALS!$K:$K,X$279,DEALS!$M:$M,$T283,DEALS!$N:$N,"&lt;&gt;*RECEIVED*",DEALS!$N:$N,"&lt;&gt;*EXECUTED*"))+SUM(SUMIFS(DEALS!$R:$R,DEALS!$A:$A,{"*REFUND*","*EXECUTED*"},DEALS!$O:$O,$B$275,DEALS!$E:$E,"&lt;="&amp;$U$277,DEALS!$S:$S,X$279,DEALS!$U:$U,$T283,DEALS!$V:$V,"&lt;&gt;*RECEIVED*",DEALS!$V:$V,"&lt;&gt;*EXECUTED*"))</f>
        <v>0</v>
      </c>
      <c r="Y283" s="32" cm="1">
        <f t="array" ref="Y283">SUMIFS(BALANCES!$C:$C,BALANCES!$A:$A,$B$275,BALANCES!$B:$B,$T283,BALANCES!$D:$D,Y$279)+SUMIFS(FLOWS!$C:$C,FLOWS!$A:$A,$B$275,FLOWS!$E:$E,$T283,FLOWS!$D:$D,Y$279,FLOWS!$H:$H,"&lt;="&amp;$U$277)+SUM(SUMIFS(DEALS!$J:$J,DEALS!$A:$A,{"*REFUND*","*EXECUTED*"},DEALS!$G:$G,$B$275,DEALS!$E:$E,"&lt;="&amp;$U$277,DEALS!$K:$K,Y$279,DEALS!$M:$M,$T283,DEALS!$N:$N,"&lt;&gt;*RECEIVED*",DEALS!$N:$N,"&lt;&gt;*EXECUTED*"))+SUM(SUMIFS(DEALS!$R:$R,DEALS!$A:$A,{"*REFUND*","*EXECUTED*"},DEALS!$O:$O,$B$275,DEALS!$E:$E,"&lt;="&amp;$U$277,DEALS!$S:$S,Y$279,DEALS!$U:$U,$T283,DEALS!$V:$V,"&lt;&gt;*RECEIVED*",DEALS!$V:$V,"&lt;&gt;*EXECUTED*"))</f>
        <v>0</v>
      </c>
      <c r="Z283" s="32" cm="1">
        <f t="array" ref="Z283">SUMIFS(BALANCES!$C:$C,BALANCES!$A:$A,$B$275,BALANCES!$B:$B,$T283,BALANCES!$D:$D,Z$279)+SUMIFS(FLOWS!$C:$C,FLOWS!$A:$A,$B$275,FLOWS!$E:$E,$T283,FLOWS!$D:$D,Z$279,FLOWS!$H:$H,"&lt;="&amp;$U$277)+SUM(SUMIFS(DEALS!$J:$J,DEALS!$A:$A,{"*REFUND*","*EXECUTED*"},DEALS!$G:$G,$B$275,DEALS!$E:$E,"&lt;="&amp;$U$277,DEALS!$K:$K,Z$279,DEALS!$M:$M,$T283,DEALS!$N:$N,"&lt;&gt;*RECEIVED*",DEALS!$N:$N,"&lt;&gt;*EXECUTED*"))+SUM(SUMIFS(DEALS!$R:$R,DEALS!$A:$A,{"*REFUND*","*EXECUTED*"},DEALS!$O:$O,$B$275,DEALS!$E:$E,"&lt;="&amp;$U$277,DEALS!$S:$S,Z$279,DEALS!$U:$U,$T283,DEALS!$V:$V,"&lt;&gt;*RECEIVED*",DEALS!$V:$V,"&lt;&gt;*EXECUTED*"))</f>
        <v>0</v>
      </c>
      <c r="AA283" s="33">
        <f ca="1">U283*VLOOKUP(U$279,'FX RATES'!$E$1:$F$50,2,FALSE)+V283*VLOOKUP(V$279,'FX RATES'!$E$1:$F$50,2,FALSE)+W283*VLOOKUP(W$279,'FX RATES'!$E$1:$F$50,2,FALSE)+X283*VLOOKUP(X$279,'FX RATES'!$E$1:$F$50,2,FALSE)+Y283*VLOOKUP(Y$279,'FX RATES'!$E$1:$F$50,2,FALSE)+Z283*VLOOKUP(Z$279,'FX RATES'!$E$1:$F$50,2,FALSE)</f>
        <v>0</v>
      </c>
      <c r="AC283" s="139">
        <f t="shared" ca="1" si="116"/>
        <v>0</v>
      </c>
    </row>
    <row r="284" spans="2:29" ht="19" hidden="1">
      <c r="B284" s="28"/>
      <c r="C284" s="29" cm="1">
        <f t="array" ref="C284">SUMIFS(BALANCES!$C:$C,BALANCES!$A:$A,$B$275,BALANCES!$B:$B,$B284,BALANCES!$D:$D,C$279)+SUMIFS(FLOWS!$C:$C,FLOWS!$A:$A,$B$275,FLOWS!$E:$E,$B284,FLOWS!$D:$D,C$279,FLOWS!$H:$H,"&lt;"&amp;$C$277)+SUM(SUMIFS(DEALS!$J:$J,DEALS!$A:$A,{"*REFUND*","*EXECUTED*"},DEALS!$G:$G,$B$275,DEALS!$E:$E,"&lt;"&amp;$C$277,DEALS!$K:$K,C$279,DEALS!$M:$M,$B284,DEALS!$N:$N,"&lt;&gt;*RECEIVED*",DEALS!$N:$N,"&lt;&gt;*EXECUTED*"))+SUM(SUMIFS(DEALS!$R:$R,DEALS!$A:$A,{"*REFUND*","*EXECUTED*"},DEALS!$O:$O,$B$275,DEALS!$E:$E,"&lt;"&amp;$C$277,DEALS!$S:$S,C$279,DEALS!$U:$U,$B284,DEALS!$V:$V,"&lt;&gt;*RECEIVED*",DEALS!$V:$V,"&lt;&gt;*EXECUTED*"))</f>
        <v>0</v>
      </c>
      <c r="D284" s="29" cm="1">
        <f t="array" ref="D284">SUMIFS(BALANCES!$C:$C,BALANCES!$A:$A,$B$275,BALANCES!$B:$B,$B284,BALANCES!$D:$D,D$279)+SUMIFS(FLOWS!$C:$C,FLOWS!$A:$A,$B$275,FLOWS!$E:$E,$B284,FLOWS!$D:$D,D$279,FLOWS!$H:$H,"&lt;"&amp;$C$277)+SUM(SUMIFS(DEALS!$J:$J,DEALS!$A:$A,{"*REFUND*","*EXECUTED*"},DEALS!$G:$G,$B$275,DEALS!$E:$E,"&lt;"&amp;$C$277,DEALS!$K:$K,D$279,DEALS!$M:$M,$B284,DEALS!$N:$N,"&lt;&gt;*RECEIVED*",DEALS!$N:$N,"&lt;&gt;*EXECUTED*"))+SUM(SUMIFS(DEALS!$R:$R,DEALS!$A:$A,{"*REFUND*","*EXECUTED*"},DEALS!$O:$O,$B$275,DEALS!$E:$E,"&lt;"&amp;$C$277,DEALS!$S:$S,D$279,DEALS!$U:$U,$B284,DEALS!$V:$V,"&lt;&gt;*RECEIVED*",DEALS!$V:$V,"&lt;&gt;*EXECUTED*"))</f>
        <v>0</v>
      </c>
      <c r="E284" s="29" cm="1">
        <f t="array" ref="E284">SUMIFS(BALANCES!$C:$C,BALANCES!$A:$A,$B$275,BALANCES!$B:$B,$B284,BALANCES!$D:$D,E$279)+SUMIFS(FLOWS!$C:$C,FLOWS!$A:$A,$B$275,FLOWS!$E:$E,$B284,FLOWS!$D:$D,E$279,FLOWS!$H:$H,"&lt;"&amp;$C$277)+SUM(SUMIFS(DEALS!$J:$J,DEALS!$A:$A,{"*REFUND*","*EXECUTED*"},DEALS!$G:$G,$B$275,DEALS!$E:$E,"&lt;"&amp;$C$277,DEALS!$K:$K,E$279,DEALS!$M:$M,$B284,DEALS!$N:$N,"&lt;&gt;*RECEIVED*",DEALS!$N:$N,"&lt;&gt;*EXECUTED*"))+SUM(SUMIFS(DEALS!$R:$R,DEALS!$A:$A,{"*REFUND*","*EXECUTED*"},DEALS!$O:$O,$B$275,DEALS!$E:$E,"&lt;"&amp;$C$277,DEALS!$S:$S,E$279,DEALS!$U:$U,$B284,DEALS!$V:$V,"&lt;&gt;*RECEIVED*",DEALS!$V:$V,"&lt;&gt;*EXECUTED*"))</f>
        <v>0</v>
      </c>
      <c r="F284" s="29" cm="1">
        <f t="array" ref="F284">SUMIFS(BALANCES!$C:$C,BALANCES!$A:$A,$B$275,BALANCES!$B:$B,$B284,BALANCES!$D:$D,F$279)+SUMIFS(FLOWS!$C:$C,FLOWS!$A:$A,$B$275,FLOWS!$E:$E,$B284,FLOWS!$D:$D,F$279,FLOWS!$H:$H,"&lt;"&amp;$C$277)+SUM(SUMIFS(DEALS!$J:$J,DEALS!$A:$A,{"*REFUND*","*EXECUTED*"},DEALS!$G:$G,$B$275,DEALS!$E:$E,"&lt;"&amp;$C$277,DEALS!$K:$K,F$279,DEALS!$M:$M,$B284,DEALS!$N:$N,"&lt;&gt;*RECEIVED*",DEALS!$N:$N,"&lt;&gt;*EXECUTED*"))+SUM(SUMIFS(DEALS!$R:$R,DEALS!$A:$A,{"*REFUND*","*EXECUTED*"},DEALS!$O:$O,$B$275,DEALS!$E:$E,"&lt;"&amp;$C$277,DEALS!$S:$S,F$279,DEALS!$U:$U,$B284,DEALS!$V:$V,"&lt;&gt;*RECEIVED*",DEALS!$V:$V,"&lt;&gt;*EXECUTED*"))</f>
        <v>0</v>
      </c>
      <c r="G284" s="29" cm="1">
        <f t="array" ref="G284">SUMIFS(BALANCES!$C:$C,BALANCES!$A:$A,$B$275,BALANCES!$B:$B,$B284,BALANCES!$D:$D,G$279)+SUMIFS(FLOWS!$C:$C,FLOWS!$A:$A,$B$275,FLOWS!$E:$E,$B284,FLOWS!$D:$D,G$279,FLOWS!$H:$H,"&lt;"&amp;$C$277)+SUM(SUMIFS(DEALS!$J:$J,DEALS!$A:$A,{"*REFUND*","*EXECUTED*"},DEALS!$G:$G,$B$275,DEALS!$E:$E,"&lt;"&amp;$C$277,DEALS!$K:$K,G$279,DEALS!$M:$M,$B284,DEALS!$N:$N,"&lt;&gt;*RECEIVED*",DEALS!$N:$N,"&lt;&gt;*EXECUTED*"))+SUM(SUMIFS(DEALS!$R:$R,DEALS!$A:$A,{"*REFUND*","*EXECUTED*"},DEALS!$O:$O,$B$275,DEALS!$E:$E,"&lt;"&amp;$C$277,DEALS!$S:$S,G$279,DEALS!$U:$U,$B284,DEALS!$V:$V,"&lt;&gt;*RECEIVED*",DEALS!$V:$V,"&lt;&gt;*EXECUTED*"))</f>
        <v>0</v>
      </c>
      <c r="H284" s="29" cm="1">
        <f t="array" ref="H284">SUMIFS(BALANCES!$C:$C,BALANCES!$A:$A,$B$275,BALANCES!$B:$B,$B284,BALANCES!$D:$D,H$279)+SUMIFS(FLOWS!$C:$C,FLOWS!$A:$A,$B$275,FLOWS!$E:$E,$B284,FLOWS!$D:$D,H$279,FLOWS!$H:$H,"&lt;"&amp;$C$277)+SUM(SUMIFS(DEALS!$J:$J,DEALS!$A:$A,{"*REFUND*","*EXECUTED*"},DEALS!$G:$G,$B$275,DEALS!$E:$E,"&lt;"&amp;$C$277,DEALS!$K:$K,H$279,DEALS!$M:$M,$B284,DEALS!$N:$N,"&lt;&gt;*RECEIVED*",DEALS!$N:$N,"&lt;&gt;*EXECUTED*"))+SUM(SUMIFS(DEALS!$R:$R,DEALS!$A:$A,{"*REFUND*","*EXECUTED*"},DEALS!$O:$O,$B$275,DEALS!$E:$E,"&lt;"&amp;$C$277,DEALS!$S:$S,H$279,DEALS!$U:$U,$B284,DEALS!$V:$V,"&lt;&gt;*RECEIVED*",DEALS!$V:$V,"&lt;&gt;*EXECUTED*"))</f>
        <v>0</v>
      </c>
      <c r="I284" s="30">
        <f ca="1">C284*VLOOKUP(C$279,'FX RATES'!$E$1:$F$50,2,FALSE)+D284*VLOOKUP(D$279,'FX RATES'!$E$1:$F$50,2,FALSE)+E284*VLOOKUP(E$279,'FX RATES'!$E$1:$F$50,2,FALSE)+F284*VLOOKUP(F$279,'FX RATES'!$E$1:$F$50,2,FALSE)+G284*VLOOKUP(G$279,'FX RATES'!$E$1:$F$50,2,FALSE)+H284*VLOOKUP(H$279,'FX RATES'!$E$1:$F$50,2,FALSE)</f>
        <v>0</v>
      </c>
      <c r="K284" s="28">
        <f t="shared" si="114"/>
        <v>0</v>
      </c>
      <c r="L284" s="29" cm="1">
        <f t="array" ref="L284">SUMIFS(FLOWS!$C:$C,FLOWS!$A:$A,$B$275,FLOWS!$E:$E,$K284,FLOWS!$D:$D,L$279,FLOWS!$H:$H,"&gt;="&amp;$C$277,FLOWS!$H:$H,"&lt;="&amp;$U$277)+SUM(SUMIFS(DEALS!$J:$J,DEALS!$A:$A,{"*REFUND*","*EXECUTED*"},DEALS!$G:$G,$B$275,DEALS!$E:$E,"&gt;="&amp;$C$277,DEALS!$E:$E,"&lt;="&amp;$U$277,DEALS!$K:$K,L$279,DEALS!$M:$M,$K284,DEALS!$N:$N,"&lt;&gt;*RECEIVED*",DEALS!$N:$N,"&lt;&gt;*EXECUTED*"))+SUM(SUMIFS(DEALS!$R:$R,DEALS!$A:$A,{"*REFUND*","*EXECUTED*"},DEALS!$O:$O,$B$275,DEALS!$E:$E,"&gt;="&amp;$C$277,DEALS!$E:$E,"&lt;="&amp;$U$277,DEALS!$S:$S,L$279,DEALS!$U:$U,$K284,DEALS!$V:$V,"&lt;&gt;*RECEIVED*",DEALS!$V:$V,"&lt;&gt;*EXECUTED*"))</f>
        <v>0</v>
      </c>
      <c r="M284" s="29" cm="1">
        <f t="array" ref="M284">SUMIFS(FLOWS!$C:$C,FLOWS!$A:$A,$B$275,FLOWS!$E:$E,$K284,FLOWS!$D:$D,M$279,FLOWS!$H:$H,"&gt;="&amp;$C$277,FLOWS!$H:$H,"&lt;="&amp;$U$277)+SUM(SUMIFS(DEALS!$J:$J,DEALS!$A:$A,{"*REFUND*","*EXECUTED*"},DEALS!$G:$G,$B$275,DEALS!$E:$E,"&gt;="&amp;$C$277,DEALS!$E:$E,"&lt;="&amp;$U$277,DEALS!$K:$K,M$279,DEALS!$M:$M,$K284,DEALS!$N:$N,"&lt;&gt;*RECEIVED*",DEALS!$N:$N,"&lt;&gt;*EXECUTED*"))+SUM(SUMIFS(DEALS!$R:$R,DEALS!$A:$A,{"*REFUND*","*EXECUTED*"},DEALS!$O:$O,$B$275,DEALS!$E:$E,"&gt;="&amp;$C$277,DEALS!$E:$E,"&lt;="&amp;$U$277,DEALS!$S:$S,M$279,DEALS!$U:$U,$K284,DEALS!$V:$V,"&lt;&gt;*RECEIVED*",DEALS!$V:$V,"&lt;&gt;*EXECUTED*"))</f>
        <v>0</v>
      </c>
      <c r="N284" s="29" cm="1">
        <f t="array" ref="N284">SUMIFS(FLOWS!$C:$C,FLOWS!$A:$A,$B$275,FLOWS!$E:$E,$K284,FLOWS!$D:$D,N$279,FLOWS!$H:$H,"&gt;="&amp;$C$277,FLOWS!$H:$H,"&lt;="&amp;$U$277)+SUM(SUMIFS(DEALS!$J:$J,DEALS!$A:$A,{"*REFUND*","*EXECUTED*"},DEALS!$G:$G,$B$275,DEALS!$E:$E,"&gt;="&amp;$C$277,DEALS!$E:$E,"&lt;="&amp;$U$277,DEALS!$K:$K,N$279,DEALS!$M:$M,$K284,DEALS!$N:$N,"&lt;&gt;*RECEIVED*",DEALS!$N:$N,"&lt;&gt;*EXECUTED*"))+SUM(SUMIFS(DEALS!$R:$R,DEALS!$A:$A,{"*REFUND*","*EXECUTED*"},DEALS!$O:$O,$B$275,DEALS!$E:$E,"&gt;="&amp;$C$277,DEALS!$E:$E,"&lt;="&amp;$U$277,DEALS!$S:$S,N$279,DEALS!$U:$U,$K284,DEALS!$V:$V,"&lt;&gt;*RECEIVED*",DEALS!$V:$V,"&lt;&gt;*EXECUTED*"))</f>
        <v>0</v>
      </c>
      <c r="O284" s="29" cm="1">
        <f t="array" ref="O284">SUMIFS(FLOWS!$C:$C,FLOWS!$A:$A,$B$275,FLOWS!$E:$E,$K284,FLOWS!$D:$D,O$279,FLOWS!$H:$H,"&gt;="&amp;$C$277,FLOWS!$H:$H,"&lt;="&amp;$U$277)+SUM(SUMIFS(DEALS!$J:$J,DEALS!$A:$A,{"*REFUND*","*EXECUTED*"},DEALS!$G:$G,$B$275,DEALS!$E:$E,"&gt;="&amp;$C$277,DEALS!$E:$E,"&lt;="&amp;$U$277,DEALS!$K:$K,O$279,DEALS!$M:$M,$K284,DEALS!$N:$N,"&lt;&gt;*RECEIVED*",DEALS!$N:$N,"&lt;&gt;*EXECUTED*"))+SUM(SUMIFS(DEALS!$R:$R,DEALS!$A:$A,{"*REFUND*","*EXECUTED*"},DEALS!$O:$O,$B$275,DEALS!$E:$E,"&gt;="&amp;$C$277,DEALS!$E:$E,"&lt;="&amp;$U$277,DEALS!$S:$S,O$279,DEALS!$U:$U,$K284,DEALS!$V:$V,"&lt;&gt;*RECEIVED*",DEALS!$V:$V,"&lt;&gt;*EXECUTED*"))</f>
        <v>0</v>
      </c>
      <c r="P284" s="29" cm="1">
        <f t="array" ref="P284">SUMIFS(FLOWS!$C:$C,FLOWS!$A:$A,$B$275,FLOWS!$E:$E,$K284,FLOWS!$D:$D,P$279,FLOWS!$H:$H,"&gt;="&amp;$C$277,FLOWS!$H:$H,"&lt;="&amp;$U$277)+SUM(SUMIFS(DEALS!$J:$J,DEALS!$A:$A,{"*REFUND*","*EXECUTED*"},DEALS!$G:$G,$B$275,DEALS!$E:$E,"&gt;="&amp;$C$277,DEALS!$E:$E,"&lt;="&amp;$U$277,DEALS!$K:$K,P$279,DEALS!$M:$M,$K284,DEALS!$N:$N,"&lt;&gt;*RECEIVED*",DEALS!$N:$N,"&lt;&gt;*EXECUTED*"))+SUM(SUMIFS(DEALS!$R:$R,DEALS!$A:$A,{"*REFUND*","*EXECUTED*"},DEALS!$O:$O,$B$275,DEALS!$E:$E,"&gt;="&amp;$C$277,DEALS!$E:$E,"&lt;="&amp;$U$277,DEALS!$S:$S,P$279,DEALS!$U:$U,$K284,DEALS!$V:$V,"&lt;&gt;*RECEIVED*",DEALS!$V:$V,"&lt;&gt;*EXECUTED*"))</f>
        <v>0</v>
      </c>
      <c r="Q284" s="29" cm="1">
        <f t="array" ref="Q284">SUMIFS(FLOWS!$C:$C,FLOWS!$A:$A,$B$275,FLOWS!$E:$E,$K284,FLOWS!$D:$D,Q$279,FLOWS!$H:$H,"&gt;="&amp;$C$277,FLOWS!$H:$H,"&lt;="&amp;$U$277)+SUM(SUMIFS(DEALS!$J:$J,DEALS!$A:$A,{"*REFUND*","*EXECUTED*"},DEALS!$G:$G,$B$275,DEALS!$E:$E,"&gt;="&amp;$C$277,DEALS!$E:$E,"&lt;="&amp;$U$277,DEALS!$K:$K,Q$279,DEALS!$M:$M,$K284,DEALS!$N:$N,"&lt;&gt;*RECEIVED*",DEALS!$N:$N,"&lt;&gt;*EXECUTED*"))+SUM(SUMIFS(DEALS!$R:$R,DEALS!$A:$A,{"*REFUND*","*EXECUTED*"},DEALS!$O:$O,$B$275,DEALS!$E:$E,"&gt;="&amp;$C$277,DEALS!$E:$E,"&lt;="&amp;$U$277,DEALS!$S:$S,Q$279,DEALS!$U:$U,$K284,DEALS!$V:$V,"&lt;&gt;*RECEIVED*",DEALS!$V:$V,"&lt;&gt;*EXECUTED*"))</f>
        <v>0</v>
      </c>
      <c r="R284" s="30">
        <f ca="1">L284*VLOOKUP(L$279,'FX RATES'!$E$1:$F$50,2,FALSE)+M284*VLOOKUP(M$279,'FX RATES'!$E$1:$F$50,2,FALSE)+N284*VLOOKUP(N$279,'FX RATES'!$E$1:$F$50,2,FALSE)+O284*VLOOKUP(O$279,'FX RATES'!$E$1:$F$50,2,FALSE)+P284*VLOOKUP(P$279,'FX RATES'!$E$1:$F$50,2,FALSE)+Q284*VLOOKUP(Q$279,'FX RATES'!$E$1:$F$50,2,FALSE)</f>
        <v>0</v>
      </c>
      <c r="T284" s="28">
        <f t="shared" si="115"/>
        <v>0</v>
      </c>
      <c r="U284" s="29" cm="1">
        <f t="array" ref="U284">SUMIFS(BALANCES!$C:$C,BALANCES!$A:$A,$B$275,BALANCES!$B:$B,$T284,BALANCES!$D:$D,U$279)+SUMIFS(FLOWS!$C:$C,FLOWS!$A:$A,$B$275,FLOWS!$E:$E,$T284,FLOWS!$D:$D,U$279,FLOWS!$H:$H,"&lt;="&amp;$U$277)+SUM(SUMIFS(DEALS!$J:$J,DEALS!$A:$A,{"*REFUND*","*EXECUTED*"},DEALS!$G:$G,$B$275,DEALS!$E:$E,"&lt;="&amp;$U$277,DEALS!$K:$K,U$279,DEALS!$M:$M,$T284,DEALS!$N:$N,"&lt;&gt;*RECEIVED*",DEALS!$N:$N,"&lt;&gt;*EXECUTED*"))+SUM(SUMIFS(DEALS!$R:$R,DEALS!$A:$A,{"*REFUND*","*EXECUTED*"},DEALS!$O:$O,$B$275,DEALS!$E:$E,"&lt;="&amp;$U$277,DEALS!$S:$S,U$279,DEALS!$U:$U,$T284,DEALS!$V:$V,"&lt;&gt;*RECEIVED*",DEALS!$V:$V,"&lt;&gt;*EXECUTED*"))</f>
        <v>0</v>
      </c>
      <c r="V284" s="29" cm="1">
        <f t="array" ref="V284">SUMIFS(BALANCES!$C:$C,BALANCES!$A:$A,$B$275,BALANCES!$B:$B,$T284,BALANCES!$D:$D,V$279)+SUMIFS(FLOWS!$C:$C,FLOWS!$A:$A,$B$275,FLOWS!$E:$E,$T284,FLOWS!$D:$D,V$279,FLOWS!$H:$H,"&lt;="&amp;$U$277)+SUM(SUMIFS(DEALS!$J:$J,DEALS!$A:$A,{"*REFUND*","*EXECUTED*"},DEALS!$G:$G,$B$275,DEALS!$E:$E,"&lt;="&amp;$U$277,DEALS!$K:$K,V$279,DEALS!$M:$M,$T284,DEALS!$N:$N,"&lt;&gt;*RECEIVED*",DEALS!$N:$N,"&lt;&gt;*EXECUTED*"))+SUM(SUMIFS(DEALS!$R:$R,DEALS!$A:$A,{"*REFUND*","*EXECUTED*"},DEALS!$O:$O,$B$275,DEALS!$E:$E,"&lt;="&amp;$U$277,DEALS!$S:$S,V$279,DEALS!$U:$U,$T284,DEALS!$V:$V,"&lt;&gt;*RECEIVED*",DEALS!$V:$V,"&lt;&gt;*EXECUTED*"))</f>
        <v>0</v>
      </c>
      <c r="W284" s="29" cm="1">
        <f t="array" ref="W284">SUMIFS(BALANCES!$C:$C,BALANCES!$A:$A,$B$275,BALANCES!$B:$B,$T284,BALANCES!$D:$D,W$279)+SUMIFS(FLOWS!$C:$C,FLOWS!$A:$A,$B$275,FLOWS!$E:$E,$T284,FLOWS!$D:$D,W$279,FLOWS!$H:$H,"&lt;="&amp;$U$277)+SUM(SUMIFS(DEALS!$J:$J,DEALS!$A:$A,{"*REFUND*","*EXECUTED*"},DEALS!$G:$G,$B$275,DEALS!$E:$E,"&lt;="&amp;$U$277,DEALS!$K:$K,W$279,DEALS!$M:$M,$T284,DEALS!$N:$N,"&lt;&gt;*RECEIVED*",DEALS!$N:$N,"&lt;&gt;*EXECUTED*"))+SUM(SUMIFS(DEALS!$R:$R,DEALS!$A:$A,{"*REFUND*","*EXECUTED*"},DEALS!$O:$O,$B$275,DEALS!$E:$E,"&lt;="&amp;$U$277,DEALS!$S:$S,W$279,DEALS!$U:$U,$T284,DEALS!$V:$V,"&lt;&gt;*RECEIVED*",DEALS!$V:$V,"&lt;&gt;*EXECUTED*"))</f>
        <v>0</v>
      </c>
      <c r="X284" s="29" cm="1">
        <f t="array" ref="X284">SUMIFS(BALANCES!$C:$C,BALANCES!$A:$A,$B$275,BALANCES!$B:$B,$T284,BALANCES!$D:$D,X$279)+SUMIFS(FLOWS!$C:$C,FLOWS!$A:$A,$B$275,FLOWS!$E:$E,$T284,FLOWS!$D:$D,X$279,FLOWS!$H:$H,"&lt;="&amp;$U$277)+SUM(SUMIFS(DEALS!$J:$J,DEALS!$A:$A,{"*REFUND*","*EXECUTED*"},DEALS!$G:$G,$B$275,DEALS!$E:$E,"&lt;="&amp;$U$277,DEALS!$K:$K,X$279,DEALS!$M:$M,$T284,DEALS!$N:$N,"&lt;&gt;*RECEIVED*",DEALS!$N:$N,"&lt;&gt;*EXECUTED*"))+SUM(SUMIFS(DEALS!$R:$R,DEALS!$A:$A,{"*REFUND*","*EXECUTED*"},DEALS!$O:$O,$B$275,DEALS!$E:$E,"&lt;="&amp;$U$277,DEALS!$S:$S,X$279,DEALS!$U:$U,$T284,DEALS!$V:$V,"&lt;&gt;*RECEIVED*",DEALS!$V:$V,"&lt;&gt;*EXECUTED*"))</f>
        <v>0</v>
      </c>
      <c r="Y284" s="29" cm="1">
        <f t="array" ref="Y284">SUMIFS(BALANCES!$C:$C,BALANCES!$A:$A,$B$275,BALANCES!$B:$B,$T284,BALANCES!$D:$D,Y$279)+SUMIFS(FLOWS!$C:$C,FLOWS!$A:$A,$B$275,FLOWS!$E:$E,$T284,FLOWS!$D:$D,Y$279,FLOWS!$H:$H,"&lt;="&amp;$U$277)+SUM(SUMIFS(DEALS!$J:$J,DEALS!$A:$A,{"*REFUND*","*EXECUTED*"},DEALS!$G:$G,$B$275,DEALS!$E:$E,"&lt;="&amp;$U$277,DEALS!$K:$K,Y$279,DEALS!$M:$M,$T284,DEALS!$N:$N,"&lt;&gt;*RECEIVED*",DEALS!$N:$N,"&lt;&gt;*EXECUTED*"))+SUM(SUMIFS(DEALS!$R:$R,DEALS!$A:$A,{"*REFUND*","*EXECUTED*"},DEALS!$O:$O,$B$275,DEALS!$E:$E,"&lt;="&amp;$U$277,DEALS!$S:$S,Y$279,DEALS!$U:$U,$T284,DEALS!$V:$V,"&lt;&gt;*RECEIVED*",DEALS!$V:$V,"&lt;&gt;*EXECUTED*"))</f>
        <v>0</v>
      </c>
      <c r="Z284" s="29" cm="1">
        <f t="array" ref="Z284">SUMIFS(BALANCES!$C:$C,BALANCES!$A:$A,$B$275,BALANCES!$B:$B,$T284,BALANCES!$D:$D,Z$279)+SUMIFS(FLOWS!$C:$C,FLOWS!$A:$A,$B$275,FLOWS!$E:$E,$T284,FLOWS!$D:$D,Z$279,FLOWS!$H:$H,"&lt;="&amp;$U$277)+SUM(SUMIFS(DEALS!$J:$J,DEALS!$A:$A,{"*REFUND*","*EXECUTED*"},DEALS!$G:$G,$B$275,DEALS!$E:$E,"&lt;="&amp;$U$277,DEALS!$K:$K,Z$279,DEALS!$M:$M,$T284,DEALS!$N:$N,"&lt;&gt;*RECEIVED*",DEALS!$N:$N,"&lt;&gt;*EXECUTED*"))+SUM(SUMIFS(DEALS!$R:$R,DEALS!$A:$A,{"*REFUND*","*EXECUTED*"},DEALS!$O:$O,$B$275,DEALS!$E:$E,"&lt;="&amp;$U$277,DEALS!$S:$S,Z$279,DEALS!$U:$U,$T284,DEALS!$V:$V,"&lt;&gt;*RECEIVED*",DEALS!$V:$V,"&lt;&gt;*EXECUTED*"))</f>
        <v>0</v>
      </c>
      <c r="AA284" s="30">
        <f ca="1">U284*VLOOKUP(U$279,'FX RATES'!$E$1:$F$50,2,FALSE)+V284*VLOOKUP(V$279,'FX RATES'!$E$1:$F$50,2,FALSE)+W284*VLOOKUP(W$279,'FX RATES'!$E$1:$F$50,2,FALSE)+X284*VLOOKUP(X$279,'FX RATES'!$E$1:$F$50,2,FALSE)+Y284*VLOOKUP(Y$279,'FX RATES'!$E$1:$F$50,2,FALSE)+Z284*VLOOKUP(Z$279,'FX RATES'!$E$1:$F$50,2,FALSE)</f>
        <v>0</v>
      </c>
      <c r="AC284" s="139">
        <f t="shared" ca="1" si="116"/>
        <v>0</v>
      </c>
    </row>
    <row r="285" spans="2:29" ht="19" hidden="1">
      <c r="B285" s="31"/>
      <c r="C285" s="32" cm="1">
        <f t="array" ref="C285">SUMIFS(BALANCES!$C:$C,BALANCES!$A:$A,$B$275,BALANCES!$B:$B,$B285,BALANCES!$D:$D,C$279)+SUMIFS(FLOWS!$C:$C,FLOWS!$A:$A,$B$275,FLOWS!$E:$E,$B285,FLOWS!$D:$D,C$279,FLOWS!$H:$H,"&lt;"&amp;$C$277)+SUM(SUMIFS(DEALS!$J:$J,DEALS!$A:$A,{"*REFUND*","*EXECUTED*"},DEALS!$G:$G,$B$275,DEALS!$E:$E,"&lt;"&amp;$C$277,DEALS!$K:$K,C$279,DEALS!$M:$M,$B285,DEALS!$N:$N,"&lt;&gt;*RECEIVED*",DEALS!$N:$N,"&lt;&gt;*EXECUTED*"))+SUM(SUMIFS(DEALS!$R:$R,DEALS!$A:$A,{"*REFUND*","*EXECUTED*"},DEALS!$O:$O,$B$275,DEALS!$E:$E,"&lt;"&amp;$C$277,DEALS!$S:$S,C$279,DEALS!$U:$U,$B285,DEALS!$V:$V,"&lt;&gt;*RECEIVED*",DEALS!$V:$V,"&lt;&gt;*EXECUTED*"))</f>
        <v>0</v>
      </c>
      <c r="D285" s="32" cm="1">
        <f t="array" ref="D285">SUMIFS(BALANCES!$C:$C,BALANCES!$A:$A,$B$275,BALANCES!$B:$B,$B285,BALANCES!$D:$D,D$279)+SUMIFS(FLOWS!$C:$C,FLOWS!$A:$A,$B$275,FLOWS!$E:$E,$B285,FLOWS!$D:$D,D$279,FLOWS!$H:$H,"&lt;"&amp;$C$277)+SUM(SUMIFS(DEALS!$J:$J,DEALS!$A:$A,{"*REFUND*","*EXECUTED*"},DEALS!$G:$G,$B$275,DEALS!$E:$E,"&lt;"&amp;$C$277,DEALS!$K:$K,D$279,DEALS!$M:$M,$B285,DEALS!$N:$N,"&lt;&gt;*RECEIVED*",DEALS!$N:$N,"&lt;&gt;*EXECUTED*"))+SUM(SUMIFS(DEALS!$R:$R,DEALS!$A:$A,{"*REFUND*","*EXECUTED*"},DEALS!$O:$O,$B$275,DEALS!$E:$E,"&lt;"&amp;$C$277,DEALS!$S:$S,D$279,DEALS!$U:$U,$B285,DEALS!$V:$V,"&lt;&gt;*RECEIVED*",DEALS!$V:$V,"&lt;&gt;*EXECUTED*"))</f>
        <v>0</v>
      </c>
      <c r="E285" s="32" cm="1">
        <f t="array" ref="E285">SUMIFS(BALANCES!$C:$C,BALANCES!$A:$A,$B$275,BALANCES!$B:$B,$B285,BALANCES!$D:$D,E$279)+SUMIFS(FLOWS!$C:$C,FLOWS!$A:$A,$B$275,FLOWS!$E:$E,$B285,FLOWS!$D:$D,E$279,FLOWS!$H:$H,"&lt;"&amp;$C$277)+SUM(SUMIFS(DEALS!$J:$J,DEALS!$A:$A,{"*REFUND*","*EXECUTED*"},DEALS!$G:$G,$B$275,DEALS!$E:$E,"&lt;"&amp;$C$277,DEALS!$K:$K,E$279,DEALS!$M:$M,$B285,DEALS!$N:$N,"&lt;&gt;*RECEIVED*",DEALS!$N:$N,"&lt;&gt;*EXECUTED*"))+SUM(SUMIFS(DEALS!$R:$R,DEALS!$A:$A,{"*REFUND*","*EXECUTED*"},DEALS!$O:$O,$B$275,DEALS!$E:$E,"&lt;"&amp;$C$277,DEALS!$S:$S,E$279,DEALS!$U:$U,$B285,DEALS!$V:$V,"&lt;&gt;*RECEIVED*",DEALS!$V:$V,"&lt;&gt;*EXECUTED*"))</f>
        <v>0</v>
      </c>
      <c r="F285" s="32" cm="1">
        <f t="array" ref="F285">SUMIFS(BALANCES!$C:$C,BALANCES!$A:$A,$B$275,BALANCES!$B:$B,$B285,BALANCES!$D:$D,F$279)+SUMIFS(FLOWS!$C:$C,FLOWS!$A:$A,$B$275,FLOWS!$E:$E,$B285,FLOWS!$D:$D,F$279,FLOWS!$H:$H,"&lt;"&amp;$C$277)+SUM(SUMIFS(DEALS!$J:$J,DEALS!$A:$A,{"*REFUND*","*EXECUTED*"},DEALS!$G:$G,$B$275,DEALS!$E:$E,"&lt;"&amp;$C$277,DEALS!$K:$K,F$279,DEALS!$M:$M,$B285,DEALS!$N:$N,"&lt;&gt;*RECEIVED*",DEALS!$N:$N,"&lt;&gt;*EXECUTED*"))+SUM(SUMIFS(DEALS!$R:$R,DEALS!$A:$A,{"*REFUND*","*EXECUTED*"},DEALS!$O:$O,$B$275,DEALS!$E:$E,"&lt;"&amp;$C$277,DEALS!$S:$S,F$279,DEALS!$U:$U,$B285,DEALS!$V:$V,"&lt;&gt;*RECEIVED*",DEALS!$V:$V,"&lt;&gt;*EXECUTED*"))</f>
        <v>0</v>
      </c>
      <c r="G285" s="32" cm="1">
        <f t="array" ref="G285">SUMIFS(BALANCES!$C:$C,BALANCES!$A:$A,$B$275,BALANCES!$B:$B,$B285,BALANCES!$D:$D,G$279)+SUMIFS(FLOWS!$C:$C,FLOWS!$A:$A,$B$275,FLOWS!$E:$E,$B285,FLOWS!$D:$D,G$279,FLOWS!$H:$H,"&lt;"&amp;$C$277)+SUM(SUMIFS(DEALS!$J:$J,DEALS!$A:$A,{"*REFUND*","*EXECUTED*"},DEALS!$G:$G,$B$275,DEALS!$E:$E,"&lt;"&amp;$C$277,DEALS!$K:$K,G$279,DEALS!$M:$M,$B285,DEALS!$N:$N,"&lt;&gt;*RECEIVED*",DEALS!$N:$N,"&lt;&gt;*EXECUTED*"))+SUM(SUMIFS(DEALS!$R:$R,DEALS!$A:$A,{"*REFUND*","*EXECUTED*"},DEALS!$O:$O,$B$275,DEALS!$E:$E,"&lt;"&amp;$C$277,DEALS!$S:$S,G$279,DEALS!$U:$U,$B285,DEALS!$V:$V,"&lt;&gt;*RECEIVED*",DEALS!$V:$V,"&lt;&gt;*EXECUTED*"))</f>
        <v>0</v>
      </c>
      <c r="H285" s="32" cm="1">
        <f t="array" ref="H285">SUMIFS(BALANCES!$C:$C,BALANCES!$A:$A,$B$275,BALANCES!$B:$B,$B285,BALANCES!$D:$D,H$279)+SUMIFS(FLOWS!$C:$C,FLOWS!$A:$A,$B$275,FLOWS!$E:$E,$B285,FLOWS!$D:$D,H$279,FLOWS!$H:$H,"&lt;"&amp;$C$277)+SUM(SUMIFS(DEALS!$J:$J,DEALS!$A:$A,{"*REFUND*","*EXECUTED*"},DEALS!$G:$G,$B$275,DEALS!$E:$E,"&lt;"&amp;$C$277,DEALS!$K:$K,H$279,DEALS!$M:$M,$B285,DEALS!$N:$N,"&lt;&gt;*RECEIVED*",DEALS!$N:$N,"&lt;&gt;*EXECUTED*"))+SUM(SUMIFS(DEALS!$R:$R,DEALS!$A:$A,{"*REFUND*","*EXECUTED*"},DEALS!$O:$O,$B$275,DEALS!$E:$E,"&lt;"&amp;$C$277,DEALS!$S:$S,H$279,DEALS!$U:$U,$B285,DEALS!$V:$V,"&lt;&gt;*RECEIVED*",DEALS!$V:$V,"&lt;&gt;*EXECUTED*"))</f>
        <v>0</v>
      </c>
      <c r="I285" s="33">
        <f ca="1">C285*VLOOKUP(C$279,'FX RATES'!$E$1:$F$50,2,FALSE)+D285*VLOOKUP(D$279,'FX RATES'!$E$1:$F$50,2,FALSE)+E285*VLOOKUP(E$279,'FX RATES'!$E$1:$F$50,2,FALSE)+F285*VLOOKUP(F$279,'FX RATES'!$E$1:$F$50,2,FALSE)+G285*VLOOKUP(G$279,'FX RATES'!$E$1:$F$50,2,FALSE)+H285*VLOOKUP(H$279,'FX RATES'!$E$1:$F$50,2,FALSE)</f>
        <v>0</v>
      </c>
      <c r="K285" s="31">
        <f t="shared" si="114"/>
        <v>0</v>
      </c>
      <c r="L285" s="32" cm="1">
        <f t="array" ref="L285">SUMIFS(FLOWS!$C:$C,FLOWS!$A:$A,$B$275,FLOWS!$E:$E,$K285,FLOWS!$D:$D,L$279,FLOWS!$H:$H,"&gt;="&amp;$C$277,FLOWS!$H:$H,"&lt;="&amp;$U$277)+SUM(SUMIFS(DEALS!$J:$J,DEALS!$A:$A,{"*REFUND*","*EXECUTED*"},DEALS!$G:$G,$B$275,DEALS!$E:$E,"&gt;="&amp;$C$277,DEALS!$E:$E,"&lt;="&amp;$U$277,DEALS!$K:$K,L$279,DEALS!$M:$M,$K285,DEALS!$N:$N,"&lt;&gt;*RECEIVED*",DEALS!$N:$N,"&lt;&gt;*EXECUTED*"))+SUM(SUMIFS(DEALS!$R:$R,DEALS!$A:$A,{"*REFUND*","*EXECUTED*"},DEALS!$O:$O,$B$275,DEALS!$E:$E,"&gt;="&amp;$C$277,DEALS!$E:$E,"&lt;="&amp;$U$277,DEALS!$S:$S,L$279,DEALS!$U:$U,$K285,DEALS!$V:$V,"&lt;&gt;*RECEIVED*",DEALS!$V:$V,"&lt;&gt;*EXECUTED*"))</f>
        <v>0</v>
      </c>
      <c r="M285" s="32" cm="1">
        <f t="array" ref="M285">SUMIFS(FLOWS!$C:$C,FLOWS!$A:$A,$B$275,FLOWS!$E:$E,$K285,FLOWS!$D:$D,M$279,FLOWS!$H:$H,"&gt;="&amp;$C$277,FLOWS!$H:$H,"&lt;="&amp;$U$277)+SUM(SUMIFS(DEALS!$J:$J,DEALS!$A:$A,{"*REFUND*","*EXECUTED*"},DEALS!$G:$G,$B$275,DEALS!$E:$E,"&gt;="&amp;$C$277,DEALS!$E:$E,"&lt;="&amp;$U$277,DEALS!$K:$K,M$279,DEALS!$M:$M,$K285,DEALS!$N:$N,"&lt;&gt;*RECEIVED*",DEALS!$N:$N,"&lt;&gt;*EXECUTED*"))+SUM(SUMIFS(DEALS!$R:$R,DEALS!$A:$A,{"*REFUND*","*EXECUTED*"},DEALS!$O:$O,$B$275,DEALS!$E:$E,"&gt;="&amp;$C$277,DEALS!$E:$E,"&lt;="&amp;$U$277,DEALS!$S:$S,M$279,DEALS!$U:$U,$K285,DEALS!$V:$V,"&lt;&gt;*RECEIVED*",DEALS!$V:$V,"&lt;&gt;*EXECUTED*"))</f>
        <v>0</v>
      </c>
      <c r="N285" s="32" cm="1">
        <f t="array" ref="N285">SUMIFS(FLOWS!$C:$C,FLOWS!$A:$A,$B$275,FLOWS!$E:$E,$K285,FLOWS!$D:$D,N$279,FLOWS!$H:$H,"&gt;="&amp;$C$277,FLOWS!$H:$H,"&lt;="&amp;$U$277)+SUM(SUMIFS(DEALS!$J:$J,DEALS!$A:$A,{"*REFUND*","*EXECUTED*"},DEALS!$G:$G,$B$275,DEALS!$E:$E,"&gt;="&amp;$C$277,DEALS!$E:$E,"&lt;="&amp;$U$277,DEALS!$K:$K,N$279,DEALS!$M:$M,$K285,DEALS!$N:$N,"&lt;&gt;*RECEIVED*",DEALS!$N:$N,"&lt;&gt;*EXECUTED*"))+SUM(SUMIFS(DEALS!$R:$R,DEALS!$A:$A,{"*REFUND*","*EXECUTED*"},DEALS!$O:$O,$B$275,DEALS!$E:$E,"&gt;="&amp;$C$277,DEALS!$E:$E,"&lt;="&amp;$U$277,DEALS!$S:$S,N$279,DEALS!$U:$U,$K285,DEALS!$V:$V,"&lt;&gt;*RECEIVED*",DEALS!$V:$V,"&lt;&gt;*EXECUTED*"))</f>
        <v>0</v>
      </c>
      <c r="O285" s="32" cm="1">
        <f t="array" ref="O285">SUMIFS(FLOWS!$C:$C,FLOWS!$A:$A,$B$275,FLOWS!$E:$E,$K285,FLOWS!$D:$D,O$279,FLOWS!$H:$H,"&gt;="&amp;$C$277,FLOWS!$H:$H,"&lt;="&amp;$U$277)+SUM(SUMIFS(DEALS!$J:$J,DEALS!$A:$A,{"*REFUND*","*EXECUTED*"},DEALS!$G:$G,$B$275,DEALS!$E:$E,"&gt;="&amp;$C$277,DEALS!$E:$E,"&lt;="&amp;$U$277,DEALS!$K:$K,O$279,DEALS!$M:$M,$K285,DEALS!$N:$N,"&lt;&gt;*RECEIVED*",DEALS!$N:$N,"&lt;&gt;*EXECUTED*"))+SUM(SUMIFS(DEALS!$R:$R,DEALS!$A:$A,{"*REFUND*","*EXECUTED*"},DEALS!$O:$O,$B$275,DEALS!$E:$E,"&gt;="&amp;$C$277,DEALS!$E:$E,"&lt;="&amp;$U$277,DEALS!$S:$S,O$279,DEALS!$U:$U,$K285,DEALS!$V:$V,"&lt;&gt;*RECEIVED*",DEALS!$V:$V,"&lt;&gt;*EXECUTED*"))</f>
        <v>0</v>
      </c>
      <c r="P285" s="32" cm="1">
        <f t="array" ref="P285">SUMIFS(FLOWS!$C:$C,FLOWS!$A:$A,$B$275,FLOWS!$E:$E,$K285,FLOWS!$D:$D,P$279,FLOWS!$H:$H,"&gt;="&amp;$C$277,FLOWS!$H:$H,"&lt;="&amp;$U$277)+SUM(SUMIFS(DEALS!$J:$J,DEALS!$A:$A,{"*REFUND*","*EXECUTED*"},DEALS!$G:$G,$B$275,DEALS!$E:$E,"&gt;="&amp;$C$277,DEALS!$E:$E,"&lt;="&amp;$U$277,DEALS!$K:$K,P$279,DEALS!$M:$M,$K285,DEALS!$N:$N,"&lt;&gt;*RECEIVED*",DEALS!$N:$N,"&lt;&gt;*EXECUTED*"))+SUM(SUMIFS(DEALS!$R:$R,DEALS!$A:$A,{"*REFUND*","*EXECUTED*"},DEALS!$O:$O,$B$275,DEALS!$E:$E,"&gt;="&amp;$C$277,DEALS!$E:$E,"&lt;="&amp;$U$277,DEALS!$S:$S,P$279,DEALS!$U:$U,$K285,DEALS!$V:$V,"&lt;&gt;*RECEIVED*",DEALS!$V:$V,"&lt;&gt;*EXECUTED*"))</f>
        <v>0</v>
      </c>
      <c r="Q285" s="32" cm="1">
        <f t="array" ref="Q285">SUMIFS(FLOWS!$C:$C,FLOWS!$A:$A,$B$275,FLOWS!$E:$E,$K285,FLOWS!$D:$D,Q$279,FLOWS!$H:$H,"&gt;="&amp;$C$277,FLOWS!$H:$H,"&lt;="&amp;$U$277)+SUM(SUMIFS(DEALS!$J:$J,DEALS!$A:$A,{"*REFUND*","*EXECUTED*"},DEALS!$G:$G,$B$275,DEALS!$E:$E,"&gt;="&amp;$C$277,DEALS!$E:$E,"&lt;="&amp;$U$277,DEALS!$K:$K,Q$279,DEALS!$M:$M,$K285,DEALS!$N:$N,"&lt;&gt;*RECEIVED*",DEALS!$N:$N,"&lt;&gt;*EXECUTED*"))+SUM(SUMIFS(DEALS!$R:$R,DEALS!$A:$A,{"*REFUND*","*EXECUTED*"},DEALS!$O:$O,$B$275,DEALS!$E:$E,"&gt;="&amp;$C$277,DEALS!$E:$E,"&lt;="&amp;$U$277,DEALS!$S:$S,Q$279,DEALS!$U:$U,$K285,DEALS!$V:$V,"&lt;&gt;*RECEIVED*",DEALS!$V:$V,"&lt;&gt;*EXECUTED*"))</f>
        <v>0</v>
      </c>
      <c r="R285" s="33">
        <f ca="1">L285*VLOOKUP(L$279,'FX RATES'!$E$1:$F$50,2,FALSE)+M285*VLOOKUP(M$279,'FX RATES'!$E$1:$F$50,2,FALSE)+N285*VLOOKUP(N$279,'FX RATES'!$E$1:$F$50,2,FALSE)+O285*VLOOKUP(O$279,'FX RATES'!$E$1:$F$50,2,FALSE)+P285*VLOOKUP(P$279,'FX RATES'!$E$1:$F$50,2,FALSE)+Q285*VLOOKUP(Q$279,'FX RATES'!$E$1:$F$50,2,FALSE)</f>
        <v>0</v>
      </c>
      <c r="T285" s="31">
        <f t="shared" si="115"/>
        <v>0</v>
      </c>
      <c r="U285" s="32" cm="1">
        <f t="array" ref="U285">SUMIFS(BALANCES!$C:$C,BALANCES!$A:$A,$B$275,BALANCES!$B:$B,$T285,BALANCES!$D:$D,U$279)+SUMIFS(FLOWS!$C:$C,FLOWS!$A:$A,$B$275,FLOWS!$E:$E,$T285,FLOWS!$D:$D,U$279,FLOWS!$H:$H,"&lt;="&amp;$U$277)+SUM(SUMIFS(DEALS!$J:$J,DEALS!$A:$A,{"*REFUND*","*EXECUTED*"},DEALS!$G:$G,$B$275,DEALS!$E:$E,"&lt;="&amp;$U$277,DEALS!$K:$K,U$279,DEALS!$M:$M,$T285,DEALS!$N:$N,"&lt;&gt;*RECEIVED*",DEALS!$N:$N,"&lt;&gt;*EXECUTED*"))+SUM(SUMIFS(DEALS!$R:$R,DEALS!$A:$A,{"*REFUND*","*EXECUTED*"},DEALS!$O:$O,$B$275,DEALS!$E:$E,"&lt;="&amp;$U$277,DEALS!$S:$S,U$279,DEALS!$U:$U,$T285,DEALS!$V:$V,"&lt;&gt;*RECEIVED*",DEALS!$V:$V,"&lt;&gt;*EXECUTED*"))</f>
        <v>0</v>
      </c>
      <c r="V285" s="32" cm="1">
        <f t="array" ref="V285">SUMIFS(BALANCES!$C:$C,BALANCES!$A:$A,$B$275,BALANCES!$B:$B,$T285,BALANCES!$D:$D,V$279)+SUMIFS(FLOWS!$C:$C,FLOWS!$A:$A,$B$275,FLOWS!$E:$E,$T285,FLOWS!$D:$D,V$279,FLOWS!$H:$H,"&lt;="&amp;$U$277)+SUM(SUMIFS(DEALS!$J:$J,DEALS!$A:$A,{"*REFUND*","*EXECUTED*"},DEALS!$G:$G,$B$275,DEALS!$E:$E,"&lt;="&amp;$U$277,DEALS!$K:$K,V$279,DEALS!$M:$M,$T285,DEALS!$N:$N,"&lt;&gt;*RECEIVED*",DEALS!$N:$N,"&lt;&gt;*EXECUTED*"))+SUM(SUMIFS(DEALS!$R:$R,DEALS!$A:$A,{"*REFUND*","*EXECUTED*"},DEALS!$O:$O,$B$275,DEALS!$E:$E,"&lt;="&amp;$U$277,DEALS!$S:$S,V$279,DEALS!$U:$U,$T285,DEALS!$V:$V,"&lt;&gt;*RECEIVED*",DEALS!$V:$V,"&lt;&gt;*EXECUTED*"))</f>
        <v>0</v>
      </c>
      <c r="W285" s="32" cm="1">
        <f t="array" ref="W285">SUMIFS(BALANCES!$C:$C,BALANCES!$A:$A,$B$275,BALANCES!$B:$B,$T285,BALANCES!$D:$D,W$279)+SUMIFS(FLOWS!$C:$C,FLOWS!$A:$A,$B$275,FLOWS!$E:$E,$T285,FLOWS!$D:$D,W$279,FLOWS!$H:$H,"&lt;="&amp;$U$277)+SUM(SUMIFS(DEALS!$J:$J,DEALS!$A:$A,{"*REFUND*","*EXECUTED*"},DEALS!$G:$G,$B$275,DEALS!$E:$E,"&lt;="&amp;$U$277,DEALS!$K:$K,W$279,DEALS!$M:$M,$T285,DEALS!$N:$N,"&lt;&gt;*RECEIVED*",DEALS!$N:$N,"&lt;&gt;*EXECUTED*"))+SUM(SUMIFS(DEALS!$R:$R,DEALS!$A:$A,{"*REFUND*","*EXECUTED*"},DEALS!$O:$O,$B$275,DEALS!$E:$E,"&lt;="&amp;$U$277,DEALS!$S:$S,W$279,DEALS!$U:$U,$T285,DEALS!$V:$V,"&lt;&gt;*RECEIVED*",DEALS!$V:$V,"&lt;&gt;*EXECUTED*"))</f>
        <v>0</v>
      </c>
      <c r="X285" s="32" cm="1">
        <f t="array" ref="X285">SUMIFS(BALANCES!$C:$C,BALANCES!$A:$A,$B$275,BALANCES!$B:$B,$T285,BALANCES!$D:$D,X$279)+SUMIFS(FLOWS!$C:$C,FLOWS!$A:$A,$B$275,FLOWS!$E:$E,$T285,FLOWS!$D:$D,X$279,FLOWS!$H:$H,"&lt;="&amp;$U$277)+SUM(SUMIFS(DEALS!$J:$J,DEALS!$A:$A,{"*REFUND*","*EXECUTED*"},DEALS!$G:$G,$B$275,DEALS!$E:$E,"&lt;="&amp;$U$277,DEALS!$K:$K,X$279,DEALS!$M:$M,$T285,DEALS!$N:$N,"&lt;&gt;*RECEIVED*",DEALS!$N:$N,"&lt;&gt;*EXECUTED*"))+SUM(SUMIFS(DEALS!$R:$R,DEALS!$A:$A,{"*REFUND*","*EXECUTED*"},DEALS!$O:$O,$B$275,DEALS!$E:$E,"&lt;="&amp;$U$277,DEALS!$S:$S,X$279,DEALS!$U:$U,$T285,DEALS!$V:$V,"&lt;&gt;*RECEIVED*",DEALS!$V:$V,"&lt;&gt;*EXECUTED*"))</f>
        <v>0</v>
      </c>
      <c r="Y285" s="32" cm="1">
        <f t="array" ref="Y285">SUMIFS(BALANCES!$C:$C,BALANCES!$A:$A,$B$275,BALANCES!$B:$B,$T285,BALANCES!$D:$D,Y$279)+SUMIFS(FLOWS!$C:$C,FLOWS!$A:$A,$B$275,FLOWS!$E:$E,$T285,FLOWS!$D:$D,Y$279,FLOWS!$H:$H,"&lt;="&amp;$U$277)+SUM(SUMIFS(DEALS!$J:$J,DEALS!$A:$A,{"*REFUND*","*EXECUTED*"},DEALS!$G:$G,$B$275,DEALS!$E:$E,"&lt;="&amp;$U$277,DEALS!$K:$K,Y$279,DEALS!$M:$M,$T285,DEALS!$N:$N,"&lt;&gt;*RECEIVED*",DEALS!$N:$N,"&lt;&gt;*EXECUTED*"))+SUM(SUMIFS(DEALS!$R:$R,DEALS!$A:$A,{"*REFUND*","*EXECUTED*"},DEALS!$O:$O,$B$275,DEALS!$E:$E,"&lt;="&amp;$U$277,DEALS!$S:$S,Y$279,DEALS!$U:$U,$T285,DEALS!$V:$V,"&lt;&gt;*RECEIVED*",DEALS!$V:$V,"&lt;&gt;*EXECUTED*"))</f>
        <v>0</v>
      </c>
      <c r="Z285" s="32" cm="1">
        <f t="array" ref="Z285">SUMIFS(BALANCES!$C:$C,BALANCES!$A:$A,$B$275,BALANCES!$B:$B,$T285,BALANCES!$D:$D,Z$279)+SUMIFS(FLOWS!$C:$C,FLOWS!$A:$A,$B$275,FLOWS!$E:$E,$T285,FLOWS!$D:$D,Z$279,FLOWS!$H:$H,"&lt;="&amp;$U$277)+SUM(SUMIFS(DEALS!$J:$J,DEALS!$A:$A,{"*REFUND*","*EXECUTED*"},DEALS!$G:$G,$B$275,DEALS!$E:$E,"&lt;="&amp;$U$277,DEALS!$K:$K,Z$279,DEALS!$M:$M,$T285,DEALS!$N:$N,"&lt;&gt;*RECEIVED*",DEALS!$N:$N,"&lt;&gt;*EXECUTED*"))+SUM(SUMIFS(DEALS!$R:$R,DEALS!$A:$A,{"*REFUND*","*EXECUTED*"},DEALS!$O:$O,$B$275,DEALS!$E:$E,"&lt;="&amp;$U$277,DEALS!$S:$S,Z$279,DEALS!$U:$U,$T285,DEALS!$V:$V,"&lt;&gt;*RECEIVED*",DEALS!$V:$V,"&lt;&gt;*EXECUTED*"))</f>
        <v>0</v>
      </c>
      <c r="AA285" s="33">
        <f ca="1">U285*VLOOKUP(U$279,'FX RATES'!$E$1:$F$50,2,FALSE)+V285*VLOOKUP(V$279,'FX RATES'!$E$1:$F$50,2,FALSE)+W285*VLOOKUP(W$279,'FX RATES'!$E$1:$F$50,2,FALSE)+X285*VLOOKUP(X$279,'FX RATES'!$E$1:$F$50,2,FALSE)+Y285*VLOOKUP(Y$279,'FX RATES'!$E$1:$F$50,2,FALSE)+Z285*VLOOKUP(Z$279,'FX RATES'!$E$1:$F$50,2,FALSE)</f>
        <v>0</v>
      </c>
      <c r="AC285" s="139">
        <f t="shared" ca="1" si="116"/>
        <v>0</v>
      </c>
    </row>
    <row r="286" spans="2:29" ht="19" hidden="1">
      <c r="B286" s="28"/>
      <c r="C286" s="29" cm="1">
        <f t="array" ref="C286">SUMIFS(BALANCES!$C:$C,BALANCES!$A:$A,$B$275,BALANCES!$B:$B,$B286,BALANCES!$D:$D,C$279)+SUMIFS(FLOWS!$C:$C,FLOWS!$A:$A,$B$275,FLOWS!$E:$E,$B286,FLOWS!$D:$D,C$279,FLOWS!$H:$H,"&lt;"&amp;$C$277)+SUM(SUMIFS(DEALS!$J:$J,DEALS!$A:$A,{"*REFUND*","*EXECUTED*"},DEALS!$G:$G,$B$275,DEALS!$E:$E,"&lt;"&amp;$C$277,DEALS!$K:$K,C$279,DEALS!$M:$M,$B286,DEALS!$N:$N,"&lt;&gt;*RECEIVED*",DEALS!$N:$N,"&lt;&gt;*EXECUTED*"))+SUM(SUMIFS(DEALS!$R:$R,DEALS!$A:$A,{"*REFUND*","*EXECUTED*"},DEALS!$O:$O,$B$275,DEALS!$E:$E,"&lt;"&amp;$C$277,DEALS!$S:$S,C$279,DEALS!$U:$U,$B286,DEALS!$V:$V,"&lt;&gt;*RECEIVED*",DEALS!$V:$V,"&lt;&gt;*EXECUTED*"))</f>
        <v>0</v>
      </c>
      <c r="D286" s="29" cm="1">
        <f t="array" ref="D286">SUMIFS(BALANCES!$C:$C,BALANCES!$A:$A,$B$275,BALANCES!$B:$B,$B286,BALANCES!$D:$D,D$279)+SUMIFS(FLOWS!$C:$C,FLOWS!$A:$A,$B$275,FLOWS!$E:$E,$B286,FLOWS!$D:$D,D$279,FLOWS!$H:$H,"&lt;"&amp;$C$277)+SUM(SUMIFS(DEALS!$J:$J,DEALS!$A:$A,{"*REFUND*","*EXECUTED*"},DEALS!$G:$G,$B$275,DEALS!$E:$E,"&lt;"&amp;$C$277,DEALS!$K:$K,D$279,DEALS!$M:$M,$B286,DEALS!$N:$N,"&lt;&gt;*RECEIVED*",DEALS!$N:$N,"&lt;&gt;*EXECUTED*"))+SUM(SUMIFS(DEALS!$R:$R,DEALS!$A:$A,{"*REFUND*","*EXECUTED*"},DEALS!$O:$O,$B$275,DEALS!$E:$E,"&lt;"&amp;$C$277,DEALS!$S:$S,D$279,DEALS!$U:$U,$B286,DEALS!$V:$V,"&lt;&gt;*RECEIVED*",DEALS!$V:$V,"&lt;&gt;*EXECUTED*"))</f>
        <v>0</v>
      </c>
      <c r="E286" s="29" cm="1">
        <f t="array" ref="E286">SUMIFS(BALANCES!$C:$C,BALANCES!$A:$A,$B$275,BALANCES!$B:$B,$B286,BALANCES!$D:$D,E$279)+SUMIFS(FLOWS!$C:$C,FLOWS!$A:$A,$B$275,FLOWS!$E:$E,$B286,FLOWS!$D:$D,E$279,FLOWS!$H:$H,"&lt;"&amp;$C$277)+SUM(SUMIFS(DEALS!$J:$J,DEALS!$A:$A,{"*REFUND*","*EXECUTED*"},DEALS!$G:$G,$B$275,DEALS!$E:$E,"&lt;"&amp;$C$277,DEALS!$K:$K,E$279,DEALS!$M:$M,$B286,DEALS!$N:$N,"&lt;&gt;*RECEIVED*",DEALS!$N:$N,"&lt;&gt;*EXECUTED*"))+SUM(SUMIFS(DEALS!$R:$R,DEALS!$A:$A,{"*REFUND*","*EXECUTED*"},DEALS!$O:$O,$B$275,DEALS!$E:$E,"&lt;"&amp;$C$277,DEALS!$S:$S,E$279,DEALS!$U:$U,$B286,DEALS!$V:$V,"&lt;&gt;*RECEIVED*",DEALS!$V:$V,"&lt;&gt;*EXECUTED*"))</f>
        <v>0</v>
      </c>
      <c r="F286" s="29" cm="1">
        <f t="array" ref="F286">SUMIFS(BALANCES!$C:$C,BALANCES!$A:$A,$B$275,BALANCES!$B:$B,$B286,BALANCES!$D:$D,F$279)+SUMIFS(FLOWS!$C:$C,FLOWS!$A:$A,$B$275,FLOWS!$E:$E,$B286,FLOWS!$D:$D,F$279,FLOWS!$H:$H,"&lt;"&amp;$C$277)+SUM(SUMIFS(DEALS!$J:$J,DEALS!$A:$A,{"*REFUND*","*EXECUTED*"},DEALS!$G:$G,$B$275,DEALS!$E:$E,"&lt;"&amp;$C$277,DEALS!$K:$K,F$279,DEALS!$M:$M,$B286,DEALS!$N:$N,"&lt;&gt;*RECEIVED*",DEALS!$N:$N,"&lt;&gt;*EXECUTED*"))+SUM(SUMIFS(DEALS!$R:$R,DEALS!$A:$A,{"*REFUND*","*EXECUTED*"},DEALS!$O:$O,$B$275,DEALS!$E:$E,"&lt;"&amp;$C$277,DEALS!$S:$S,F$279,DEALS!$U:$U,$B286,DEALS!$V:$V,"&lt;&gt;*RECEIVED*",DEALS!$V:$V,"&lt;&gt;*EXECUTED*"))</f>
        <v>0</v>
      </c>
      <c r="G286" s="29" cm="1">
        <f t="array" ref="G286">SUMIFS(BALANCES!$C:$C,BALANCES!$A:$A,$B$275,BALANCES!$B:$B,$B286,BALANCES!$D:$D,G$279)+SUMIFS(FLOWS!$C:$C,FLOWS!$A:$A,$B$275,FLOWS!$E:$E,$B286,FLOWS!$D:$D,G$279,FLOWS!$H:$H,"&lt;"&amp;$C$277)+SUM(SUMIFS(DEALS!$J:$J,DEALS!$A:$A,{"*REFUND*","*EXECUTED*"},DEALS!$G:$G,$B$275,DEALS!$E:$E,"&lt;"&amp;$C$277,DEALS!$K:$K,G$279,DEALS!$M:$M,$B286,DEALS!$N:$N,"&lt;&gt;*RECEIVED*",DEALS!$N:$N,"&lt;&gt;*EXECUTED*"))+SUM(SUMIFS(DEALS!$R:$R,DEALS!$A:$A,{"*REFUND*","*EXECUTED*"},DEALS!$O:$O,$B$275,DEALS!$E:$E,"&lt;"&amp;$C$277,DEALS!$S:$S,G$279,DEALS!$U:$U,$B286,DEALS!$V:$V,"&lt;&gt;*RECEIVED*",DEALS!$V:$V,"&lt;&gt;*EXECUTED*"))</f>
        <v>0</v>
      </c>
      <c r="H286" s="29" cm="1">
        <f t="array" ref="H286">SUMIFS(BALANCES!$C:$C,BALANCES!$A:$A,$B$275,BALANCES!$B:$B,$B286,BALANCES!$D:$D,H$279)+SUMIFS(FLOWS!$C:$C,FLOWS!$A:$A,$B$275,FLOWS!$E:$E,$B286,FLOWS!$D:$D,H$279,FLOWS!$H:$H,"&lt;"&amp;$C$277)+SUM(SUMIFS(DEALS!$J:$J,DEALS!$A:$A,{"*REFUND*","*EXECUTED*"},DEALS!$G:$G,$B$275,DEALS!$E:$E,"&lt;"&amp;$C$277,DEALS!$K:$K,H$279,DEALS!$M:$M,$B286,DEALS!$N:$N,"&lt;&gt;*RECEIVED*",DEALS!$N:$N,"&lt;&gt;*EXECUTED*"))+SUM(SUMIFS(DEALS!$R:$R,DEALS!$A:$A,{"*REFUND*","*EXECUTED*"},DEALS!$O:$O,$B$275,DEALS!$E:$E,"&lt;"&amp;$C$277,DEALS!$S:$S,H$279,DEALS!$U:$U,$B286,DEALS!$V:$V,"&lt;&gt;*RECEIVED*",DEALS!$V:$V,"&lt;&gt;*EXECUTED*"))</f>
        <v>0</v>
      </c>
      <c r="I286" s="30">
        <f ca="1">C286*VLOOKUP(C$279,'FX RATES'!$E$1:$F$50,2,FALSE)+D286*VLOOKUP(D$279,'FX RATES'!$E$1:$F$50,2,FALSE)+E286*VLOOKUP(E$279,'FX RATES'!$E$1:$F$50,2,FALSE)+F286*VLOOKUP(F$279,'FX RATES'!$E$1:$F$50,2,FALSE)+G286*VLOOKUP(G$279,'FX RATES'!$E$1:$F$50,2,FALSE)+H286*VLOOKUP(H$279,'FX RATES'!$E$1:$F$50,2,FALSE)</f>
        <v>0</v>
      </c>
      <c r="K286" s="28">
        <f t="shared" si="114"/>
        <v>0</v>
      </c>
      <c r="L286" s="29" cm="1">
        <f t="array" ref="L286">SUMIFS(FLOWS!$C:$C,FLOWS!$A:$A,$B$275,FLOWS!$E:$E,$K286,FLOWS!$D:$D,L$279,FLOWS!$H:$H,"&gt;="&amp;$C$277,FLOWS!$H:$H,"&lt;="&amp;$U$277)+SUM(SUMIFS(DEALS!$J:$J,DEALS!$A:$A,{"*REFUND*","*EXECUTED*"},DEALS!$G:$G,$B$275,DEALS!$E:$E,"&gt;="&amp;$C$277,DEALS!$E:$E,"&lt;="&amp;$U$277,DEALS!$K:$K,L$279,DEALS!$M:$M,$K286,DEALS!$N:$N,"&lt;&gt;*RECEIVED*",DEALS!$N:$N,"&lt;&gt;*EXECUTED*"))+SUM(SUMIFS(DEALS!$R:$R,DEALS!$A:$A,{"*REFUND*","*EXECUTED*"},DEALS!$O:$O,$B$275,DEALS!$E:$E,"&gt;="&amp;$C$277,DEALS!$E:$E,"&lt;="&amp;$U$277,DEALS!$S:$S,L$279,DEALS!$U:$U,$K286,DEALS!$V:$V,"&lt;&gt;*RECEIVED*",DEALS!$V:$V,"&lt;&gt;*EXECUTED*"))</f>
        <v>0</v>
      </c>
      <c r="M286" s="29" cm="1">
        <f t="array" ref="M286">SUMIFS(FLOWS!$C:$C,FLOWS!$A:$A,$B$275,FLOWS!$E:$E,$K286,FLOWS!$D:$D,M$279,FLOWS!$H:$H,"&gt;="&amp;$C$277,FLOWS!$H:$H,"&lt;="&amp;$U$277)+SUM(SUMIFS(DEALS!$J:$J,DEALS!$A:$A,{"*REFUND*","*EXECUTED*"},DEALS!$G:$G,$B$275,DEALS!$E:$E,"&gt;="&amp;$C$277,DEALS!$E:$E,"&lt;="&amp;$U$277,DEALS!$K:$K,M$279,DEALS!$M:$M,$K286,DEALS!$N:$N,"&lt;&gt;*RECEIVED*",DEALS!$N:$N,"&lt;&gt;*EXECUTED*"))+SUM(SUMIFS(DEALS!$R:$R,DEALS!$A:$A,{"*REFUND*","*EXECUTED*"},DEALS!$O:$O,$B$275,DEALS!$E:$E,"&gt;="&amp;$C$277,DEALS!$E:$E,"&lt;="&amp;$U$277,DEALS!$S:$S,M$279,DEALS!$U:$U,$K286,DEALS!$V:$V,"&lt;&gt;*RECEIVED*",DEALS!$V:$V,"&lt;&gt;*EXECUTED*"))</f>
        <v>0</v>
      </c>
      <c r="N286" s="29" cm="1">
        <f t="array" ref="N286">SUMIFS(FLOWS!$C:$C,FLOWS!$A:$A,$B$275,FLOWS!$E:$E,$K286,FLOWS!$D:$D,N$279,FLOWS!$H:$H,"&gt;="&amp;$C$277,FLOWS!$H:$H,"&lt;="&amp;$U$277)+SUM(SUMIFS(DEALS!$J:$J,DEALS!$A:$A,{"*REFUND*","*EXECUTED*"},DEALS!$G:$G,$B$275,DEALS!$E:$E,"&gt;="&amp;$C$277,DEALS!$E:$E,"&lt;="&amp;$U$277,DEALS!$K:$K,N$279,DEALS!$M:$M,$K286,DEALS!$N:$N,"&lt;&gt;*RECEIVED*",DEALS!$N:$N,"&lt;&gt;*EXECUTED*"))+SUM(SUMIFS(DEALS!$R:$R,DEALS!$A:$A,{"*REFUND*","*EXECUTED*"},DEALS!$O:$O,$B$275,DEALS!$E:$E,"&gt;="&amp;$C$277,DEALS!$E:$E,"&lt;="&amp;$U$277,DEALS!$S:$S,N$279,DEALS!$U:$U,$K286,DEALS!$V:$V,"&lt;&gt;*RECEIVED*",DEALS!$V:$V,"&lt;&gt;*EXECUTED*"))</f>
        <v>0</v>
      </c>
      <c r="O286" s="29" cm="1">
        <f t="array" ref="O286">SUMIFS(FLOWS!$C:$C,FLOWS!$A:$A,$B$275,FLOWS!$E:$E,$K286,FLOWS!$D:$D,O$279,FLOWS!$H:$H,"&gt;="&amp;$C$277,FLOWS!$H:$H,"&lt;="&amp;$U$277)+SUM(SUMIFS(DEALS!$J:$J,DEALS!$A:$A,{"*REFUND*","*EXECUTED*"},DEALS!$G:$G,$B$275,DEALS!$E:$E,"&gt;="&amp;$C$277,DEALS!$E:$E,"&lt;="&amp;$U$277,DEALS!$K:$K,O$279,DEALS!$M:$M,$K286,DEALS!$N:$N,"&lt;&gt;*RECEIVED*",DEALS!$N:$N,"&lt;&gt;*EXECUTED*"))+SUM(SUMIFS(DEALS!$R:$R,DEALS!$A:$A,{"*REFUND*","*EXECUTED*"},DEALS!$O:$O,$B$275,DEALS!$E:$E,"&gt;="&amp;$C$277,DEALS!$E:$E,"&lt;="&amp;$U$277,DEALS!$S:$S,O$279,DEALS!$U:$U,$K286,DEALS!$V:$V,"&lt;&gt;*RECEIVED*",DEALS!$V:$V,"&lt;&gt;*EXECUTED*"))</f>
        <v>0</v>
      </c>
      <c r="P286" s="29" cm="1">
        <f t="array" ref="P286">SUMIFS(FLOWS!$C:$C,FLOWS!$A:$A,$B$275,FLOWS!$E:$E,$K286,FLOWS!$D:$D,P$279,FLOWS!$H:$H,"&gt;="&amp;$C$277,FLOWS!$H:$H,"&lt;="&amp;$U$277)+SUM(SUMIFS(DEALS!$J:$J,DEALS!$A:$A,{"*REFUND*","*EXECUTED*"},DEALS!$G:$G,$B$275,DEALS!$E:$E,"&gt;="&amp;$C$277,DEALS!$E:$E,"&lt;="&amp;$U$277,DEALS!$K:$K,P$279,DEALS!$M:$M,$K286,DEALS!$N:$N,"&lt;&gt;*RECEIVED*",DEALS!$N:$N,"&lt;&gt;*EXECUTED*"))+SUM(SUMIFS(DEALS!$R:$R,DEALS!$A:$A,{"*REFUND*","*EXECUTED*"},DEALS!$O:$O,$B$275,DEALS!$E:$E,"&gt;="&amp;$C$277,DEALS!$E:$E,"&lt;="&amp;$U$277,DEALS!$S:$S,P$279,DEALS!$U:$U,$K286,DEALS!$V:$V,"&lt;&gt;*RECEIVED*",DEALS!$V:$V,"&lt;&gt;*EXECUTED*"))</f>
        <v>0</v>
      </c>
      <c r="Q286" s="29" cm="1">
        <f t="array" ref="Q286">SUMIFS(FLOWS!$C:$C,FLOWS!$A:$A,$B$275,FLOWS!$E:$E,$K286,FLOWS!$D:$D,Q$279,FLOWS!$H:$H,"&gt;="&amp;$C$277,FLOWS!$H:$H,"&lt;="&amp;$U$277)+SUM(SUMIFS(DEALS!$J:$J,DEALS!$A:$A,{"*REFUND*","*EXECUTED*"},DEALS!$G:$G,$B$275,DEALS!$E:$E,"&gt;="&amp;$C$277,DEALS!$E:$E,"&lt;="&amp;$U$277,DEALS!$K:$K,Q$279,DEALS!$M:$M,$K286,DEALS!$N:$N,"&lt;&gt;*RECEIVED*",DEALS!$N:$N,"&lt;&gt;*EXECUTED*"))+SUM(SUMIFS(DEALS!$R:$R,DEALS!$A:$A,{"*REFUND*","*EXECUTED*"},DEALS!$O:$O,$B$275,DEALS!$E:$E,"&gt;="&amp;$C$277,DEALS!$E:$E,"&lt;="&amp;$U$277,DEALS!$S:$S,Q$279,DEALS!$U:$U,$K286,DEALS!$V:$V,"&lt;&gt;*RECEIVED*",DEALS!$V:$V,"&lt;&gt;*EXECUTED*"))</f>
        <v>0</v>
      </c>
      <c r="R286" s="30">
        <f ca="1">L286*VLOOKUP(L$279,'FX RATES'!$E$1:$F$50,2,FALSE)+M286*VLOOKUP(M$279,'FX RATES'!$E$1:$F$50,2,FALSE)+N286*VLOOKUP(N$279,'FX RATES'!$E$1:$F$50,2,FALSE)+O286*VLOOKUP(O$279,'FX RATES'!$E$1:$F$50,2,FALSE)+P286*VLOOKUP(P$279,'FX RATES'!$E$1:$F$50,2,FALSE)+Q286*VLOOKUP(Q$279,'FX RATES'!$E$1:$F$50,2,FALSE)</f>
        <v>0</v>
      </c>
      <c r="T286" s="28">
        <f t="shared" si="115"/>
        <v>0</v>
      </c>
      <c r="U286" s="29" cm="1">
        <f t="array" ref="U286">SUMIFS(BALANCES!$C:$C,BALANCES!$A:$A,$B$275,BALANCES!$B:$B,$T286,BALANCES!$D:$D,U$279)+SUMIFS(FLOWS!$C:$C,FLOWS!$A:$A,$B$275,FLOWS!$E:$E,$T286,FLOWS!$D:$D,U$279,FLOWS!$H:$H,"&lt;="&amp;$U$277)+SUM(SUMIFS(DEALS!$J:$J,DEALS!$A:$A,{"*REFUND*","*EXECUTED*"},DEALS!$G:$G,$B$275,DEALS!$E:$E,"&lt;="&amp;$U$277,DEALS!$K:$K,U$279,DEALS!$M:$M,$T286,DEALS!$N:$N,"&lt;&gt;*RECEIVED*",DEALS!$N:$N,"&lt;&gt;*EXECUTED*"))+SUM(SUMIFS(DEALS!$R:$R,DEALS!$A:$A,{"*REFUND*","*EXECUTED*"},DEALS!$O:$O,$B$275,DEALS!$E:$E,"&lt;="&amp;$U$277,DEALS!$S:$S,U$279,DEALS!$U:$U,$T286,DEALS!$V:$V,"&lt;&gt;*RECEIVED*",DEALS!$V:$V,"&lt;&gt;*EXECUTED*"))</f>
        <v>0</v>
      </c>
      <c r="V286" s="29" cm="1">
        <f t="array" ref="V286">SUMIFS(BALANCES!$C:$C,BALANCES!$A:$A,$B$275,BALANCES!$B:$B,$T286,BALANCES!$D:$D,V$279)+SUMIFS(FLOWS!$C:$C,FLOWS!$A:$A,$B$275,FLOWS!$E:$E,$T286,FLOWS!$D:$D,V$279,FLOWS!$H:$H,"&lt;="&amp;$U$277)+SUM(SUMIFS(DEALS!$J:$J,DEALS!$A:$A,{"*REFUND*","*EXECUTED*"},DEALS!$G:$G,$B$275,DEALS!$E:$E,"&lt;="&amp;$U$277,DEALS!$K:$K,V$279,DEALS!$M:$M,$T286,DEALS!$N:$N,"&lt;&gt;*RECEIVED*",DEALS!$N:$N,"&lt;&gt;*EXECUTED*"))+SUM(SUMIFS(DEALS!$R:$R,DEALS!$A:$A,{"*REFUND*","*EXECUTED*"},DEALS!$O:$O,$B$275,DEALS!$E:$E,"&lt;="&amp;$U$277,DEALS!$S:$S,V$279,DEALS!$U:$U,$T286,DEALS!$V:$V,"&lt;&gt;*RECEIVED*",DEALS!$V:$V,"&lt;&gt;*EXECUTED*"))</f>
        <v>0</v>
      </c>
      <c r="W286" s="29" cm="1">
        <f t="array" ref="W286">SUMIFS(BALANCES!$C:$C,BALANCES!$A:$A,$B$275,BALANCES!$B:$B,$T286,BALANCES!$D:$D,W$279)+SUMIFS(FLOWS!$C:$C,FLOWS!$A:$A,$B$275,FLOWS!$E:$E,$T286,FLOWS!$D:$D,W$279,FLOWS!$H:$H,"&lt;="&amp;$U$277)+SUM(SUMIFS(DEALS!$J:$J,DEALS!$A:$A,{"*REFUND*","*EXECUTED*"},DEALS!$G:$G,$B$275,DEALS!$E:$E,"&lt;="&amp;$U$277,DEALS!$K:$K,W$279,DEALS!$M:$M,$T286,DEALS!$N:$N,"&lt;&gt;*RECEIVED*",DEALS!$N:$N,"&lt;&gt;*EXECUTED*"))+SUM(SUMIFS(DEALS!$R:$R,DEALS!$A:$A,{"*REFUND*","*EXECUTED*"},DEALS!$O:$O,$B$275,DEALS!$E:$E,"&lt;="&amp;$U$277,DEALS!$S:$S,W$279,DEALS!$U:$U,$T286,DEALS!$V:$V,"&lt;&gt;*RECEIVED*",DEALS!$V:$V,"&lt;&gt;*EXECUTED*"))</f>
        <v>0</v>
      </c>
      <c r="X286" s="29" cm="1">
        <f t="array" ref="X286">SUMIFS(BALANCES!$C:$C,BALANCES!$A:$A,$B$275,BALANCES!$B:$B,$T286,BALANCES!$D:$D,X$279)+SUMIFS(FLOWS!$C:$C,FLOWS!$A:$A,$B$275,FLOWS!$E:$E,$T286,FLOWS!$D:$D,X$279,FLOWS!$H:$H,"&lt;="&amp;$U$277)+SUM(SUMIFS(DEALS!$J:$J,DEALS!$A:$A,{"*REFUND*","*EXECUTED*"},DEALS!$G:$G,$B$275,DEALS!$E:$E,"&lt;="&amp;$U$277,DEALS!$K:$K,X$279,DEALS!$M:$M,$T286,DEALS!$N:$N,"&lt;&gt;*RECEIVED*",DEALS!$N:$N,"&lt;&gt;*EXECUTED*"))+SUM(SUMIFS(DEALS!$R:$R,DEALS!$A:$A,{"*REFUND*","*EXECUTED*"},DEALS!$O:$O,$B$275,DEALS!$E:$E,"&lt;="&amp;$U$277,DEALS!$S:$S,X$279,DEALS!$U:$U,$T286,DEALS!$V:$V,"&lt;&gt;*RECEIVED*",DEALS!$V:$V,"&lt;&gt;*EXECUTED*"))</f>
        <v>0</v>
      </c>
      <c r="Y286" s="29" cm="1">
        <f t="array" ref="Y286">SUMIFS(BALANCES!$C:$C,BALANCES!$A:$A,$B$275,BALANCES!$B:$B,$T286,BALANCES!$D:$D,Y$279)+SUMIFS(FLOWS!$C:$C,FLOWS!$A:$A,$B$275,FLOWS!$E:$E,$T286,FLOWS!$D:$D,Y$279,FLOWS!$H:$H,"&lt;="&amp;$U$277)+SUM(SUMIFS(DEALS!$J:$J,DEALS!$A:$A,{"*REFUND*","*EXECUTED*"},DEALS!$G:$G,$B$275,DEALS!$E:$E,"&lt;="&amp;$U$277,DEALS!$K:$K,Y$279,DEALS!$M:$M,$T286,DEALS!$N:$N,"&lt;&gt;*RECEIVED*",DEALS!$N:$N,"&lt;&gt;*EXECUTED*"))+SUM(SUMIFS(DEALS!$R:$R,DEALS!$A:$A,{"*REFUND*","*EXECUTED*"},DEALS!$O:$O,$B$275,DEALS!$E:$E,"&lt;="&amp;$U$277,DEALS!$S:$S,Y$279,DEALS!$U:$U,$T286,DEALS!$V:$V,"&lt;&gt;*RECEIVED*",DEALS!$V:$V,"&lt;&gt;*EXECUTED*"))</f>
        <v>0</v>
      </c>
      <c r="Z286" s="29" cm="1">
        <f t="array" ref="Z286">SUMIFS(BALANCES!$C:$C,BALANCES!$A:$A,$B$275,BALANCES!$B:$B,$T286,BALANCES!$D:$D,Z$279)+SUMIFS(FLOWS!$C:$C,FLOWS!$A:$A,$B$275,FLOWS!$E:$E,$T286,FLOWS!$D:$D,Z$279,FLOWS!$H:$H,"&lt;="&amp;$U$277)+SUM(SUMIFS(DEALS!$J:$J,DEALS!$A:$A,{"*REFUND*","*EXECUTED*"},DEALS!$G:$G,$B$275,DEALS!$E:$E,"&lt;="&amp;$U$277,DEALS!$K:$K,Z$279,DEALS!$M:$M,$T286,DEALS!$N:$N,"&lt;&gt;*RECEIVED*",DEALS!$N:$N,"&lt;&gt;*EXECUTED*"))+SUM(SUMIFS(DEALS!$R:$R,DEALS!$A:$A,{"*REFUND*","*EXECUTED*"},DEALS!$O:$O,$B$275,DEALS!$E:$E,"&lt;="&amp;$U$277,DEALS!$S:$S,Z$279,DEALS!$U:$U,$T286,DEALS!$V:$V,"&lt;&gt;*RECEIVED*",DEALS!$V:$V,"&lt;&gt;*EXECUTED*"))</f>
        <v>0</v>
      </c>
      <c r="AA286" s="30">
        <f ca="1">U286*VLOOKUP(U$279,'FX RATES'!$E$1:$F$50,2,FALSE)+V286*VLOOKUP(V$279,'FX RATES'!$E$1:$F$50,2,FALSE)+W286*VLOOKUP(W$279,'FX RATES'!$E$1:$F$50,2,FALSE)+X286*VLOOKUP(X$279,'FX RATES'!$E$1:$F$50,2,FALSE)+Y286*VLOOKUP(Y$279,'FX RATES'!$E$1:$F$50,2,FALSE)+Z286*VLOOKUP(Z$279,'FX RATES'!$E$1:$F$50,2,FALSE)</f>
        <v>0</v>
      </c>
      <c r="AC286" s="139">
        <f t="shared" ca="1" si="116"/>
        <v>0</v>
      </c>
    </row>
    <row r="287" spans="2:29" ht="19" hidden="1">
      <c r="B287" s="31"/>
      <c r="C287" s="32" cm="1">
        <f t="array" ref="C287">SUMIFS(BALANCES!$C:$C,BALANCES!$A:$A,$B$275,BALANCES!$B:$B,$B287,BALANCES!$D:$D,C$279)+SUMIFS(FLOWS!$C:$C,FLOWS!$A:$A,$B$275,FLOWS!$E:$E,$B287,FLOWS!$D:$D,C$279,FLOWS!$H:$H,"&lt;"&amp;$C$277)+SUM(SUMIFS(DEALS!$J:$J,DEALS!$A:$A,{"*REFUND*","*EXECUTED*"},DEALS!$G:$G,$B$275,DEALS!$E:$E,"&lt;"&amp;$C$277,DEALS!$K:$K,C$279,DEALS!$M:$M,$B287,DEALS!$N:$N,"&lt;&gt;*RECEIVED*",DEALS!$N:$N,"&lt;&gt;*EXECUTED*"))+SUM(SUMIFS(DEALS!$R:$R,DEALS!$A:$A,{"*REFUND*","*EXECUTED*"},DEALS!$O:$O,$B$275,DEALS!$E:$E,"&lt;"&amp;$C$277,DEALS!$S:$S,C$279,DEALS!$U:$U,$B287,DEALS!$V:$V,"&lt;&gt;*RECEIVED*",DEALS!$V:$V,"&lt;&gt;*EXECUTED*"))</f>
        <v>0</v>
      </c>
      <c r="D287" s="32" cm="1">
        <f t="array" ref="D287">SUMIFS(BALANCES!$C:$C,BALANCES!$A:$A,$B$275,BALANCES!$B:$B,$B287,BALANCES!$D:$D,D$279)+SUMIFS(FLOWS!$C:$C,FLOWS!$A:$A,$B$275,FLOWS!$E:$E,$B287,FLOWS!$D:$D,D$279,FLOWS!$H:$H,"&lt;"&amp;$C$277)+SUM(SUMIFS(DEALS!$J:$J,DEALS!$A:$A,{"*REFUND*","*EXECUTED*"},DEALS!$G:$G,$B$275,DEALS!$E:$E,"&lt;"&amp;$C$277,DEALS!$K:$K,D$279,DEALS!$M:$M,$B287,DEALS!$N:$N,"&lt;&gt;*RECEIVED*",DEALS!$N:$N,"&lt;&gt;*EXECUTED*"))+SUM(SUMIFS(DEALS!$R:$R,DEALS!$A:$A,{"*REFUND*","*EXECUTED*"},DEALS!$O:$O,$B$275,DEALS!$E:$E,"&lt;"&amp;$C$277,DEALS!$S:$S,D$279,DEALS!$U:$U,$B287,DEALS!$V:$V,"&lt;&gt;*RECEIVED*",DEALS!$V:$V,"&lt;&gt;*EXECUTED*"))</f>
        <v>0</v>
      </c>
      <c r="E287" s="32" cm="1">
        <f t="array" ref="E287">SUMIFS(BALANCES!$C:$C,BALANCES!$A:$A,$B$275,BALANCES!$B:$B,$B287,BALANCES!$D:$D,E$279)+SUMIFS(FLOWS!$C:$C,FLOWS!$A:$A,$B$275,FLOWS!$E:$E,$B287,FLOWS!$D:$D,E$279,FLOWS!$H:$H,"&lt;"&amp;$C$277)+SUM(SUMIFS(DEALS!$J:$J,DEALS!$A:$A,{"*REFUND*","*EXECUTED*"},DEALS!$G:$G,$B$275,DEALS!$E:$E,"&lt;"&amp;$C$277,DEALS!$K:$K,E$279,DEALS!$M:$M,$B287,DEALS!$N:$N,"&lt;&gt;*RECEIVED*",DEALS!$N:$N,"&lt;&gt;*EXECUTED*"))+SUM(SUMIFS(DEALS!$R:$R,DEALS!$A:$A,{"*REFUND*","*EXECUTED*"},DEALS!$O:$O,$B$275,DEALS!$E:$E,"&lt;"&amp;$C$277,DEALS!$S:$S,E$279,DEALS!$U:$U,$B287,DEALS!$V:$V,"&lt;&gt;*RECEIVED*",DEALS!$V:$V,"&lt;&gt;*EXECUTED*"))</f>
        <v>0</v>
      </c>
      <c r="F287" s="32" cm="1">
        <f t="array" ref="F287">SUMIFS(BALANCES!$C:$C,BALANCES!$A:$A,$B$275,BALANCES!$B:$B,$B287,BALANCES!$D:$D,F$279)+SUMIFS(FLOWS!$C:$C,FLOWS!$A:$A,$B$275,FLOWS!$E:$E,$B287,FLOWS!$D:$D,F$279,FLOWS!$H:$H,"&lt;"&amp;$C$277)+SUM(SUMIFS(DEALS!$J:$J,DEALS!$A:$A,{"*REFUND*","*EXECUTED*"},DEALS!$G:$G,$B$275,DEALS!$E:$E,"&lt;"&amp;$C$277,DEALS!$K:$K,F$279,DEALS!$M:$M,$B287,DEALS!$N:$N,"&lt;&gt;*RECEIVED*",DEALS!$N:$N,"&lt;&gt;*EXECUTED*"))+SUM(SUMIFS(DEALS!$R:$R,DEALS!$A:$A,{"*REFUND*","*EXECUTED*"},DEALS!$O:$O,$B$275,DEALS!$E:$E,"&lt;"&amp;$C$277,DEALS!$S:$S,F$279,DEALS!$U:$U,$B287,DEALS!$V:$V,"&lt;&gt;*RECEIVED*",DEALS!$V:$V,"&lt;&gt;*EXECUTED*"))</f>
        <v>0</v>
      </c>
      <c r="G287" s="32" cm="1">
        <f t="array" ref="G287">SUMIFS(BALANCES!$C:$C,BALANCES!$A:$A,$B$275,BALANCES!$B:$B,$B287,BALANCES!$D:$D,G$279)+SUMIFS(FLOWS!$C:$C,FLOWS!$A:$A,$B$275,FLOWS!$E:$E,$B287,FLOWS!$D:$D,G$279,FLOWS!$H:$H,"&lt;"&amp;$C$277)+SUM(SUMIFS(DEALS!$J:$J,DEALS!$A:$A,{"*REFUND*","*EXECUTED*"},DEALS!$G:$G,$B$275,DEALS!$E:$E,"&lt;"&amp;$C$277,DEALS!$K:$K,G$279,DEALS!$M:$M,$B287,DEALS!$N:$N,"&lt;&gt;*RECEIVED*",DEALS!$N:$N,"&lt;&gt;*EXECUTED*"))+SUM(SUMIFS(DEALS!$R:$R,DEALS!$A:$A,{"*REFUND*","*EXECUTED*"},DEALS!$O:$O,$B$275,DEALS!$E:$E,"&lt;"&amp;$C$277,DEALS!$S:$S,G$279,DEALS!$U:$U,$B287,DEALS!$V:$V,"&lt;&gt;*RECEIVED*",DEALS!$V:$V,"&lt;&gt;*EXECUTED*"))</f>
        <v>0</v>
      </c>
      <c r="H287" s="32" cm="1">
        <f t="array" ref="H287">SUMIFS(BALANCES!$C:$C,BALANCES!$A:$A,$B$275,BALANCES!$B:$B,$B287,BALANCES!$D:$D,H$279)+SUMIFS(FLOWS!$C:$C,FLOWS!$A:$A,$B$275,FLOWS!$E:$E,$B287,FLOWS!$D:$D,H$279,FLOWS!$H:$H,"&lt;"&amp;$C$277)+SUM(SUMIFS(DEALS!$J:$J,DEALS!$A:$A,{"*REFUND*","*EXECUTED*"},DEALS!$G:$G,$B$275,DEALS!$E:$E,"&lt;"&amp;$C$277,DEALS!$K:$K,H$279,DEALS!$M:$M,$B287,DEALS!$N:$N,"&lt;&gt;*RECEIVED*",DEALS!$N:$N,"&lt;&gt;*EXECUTED*"))+SUM(SUMIFS(DEALS!$R:$R,DEALS!$A:$A,{"*REFUND*","*EXECUTED*"},DEALS!$O:$O,$B$275,DEALS!$E:$E,"&lt;"&amp;$C$277,DEALS!$S:$S,H$279,DEALS!$U:$U,$B287,DEALS!$V:$V,"&lt;&gt;*RECEIVED*",DEALS!$V:$V,"&lt;&gt;*EXECUTED*"))</f>
        <v>0</v>
      </c>
      <c r="I287" s="33">
        <f ca="1">C287*VLOOKUP(C$279,'FX RATES'!$E$1:$F$50,2,FALSE)+D287*VLOOKUP(D$279,'FX RATES'!$E$1:$F$50,2,FALSE)+E287*VLOOKUP(E$279,'FX RATES'!$E$1:$F$50,2,FALSE)+F287*VLOOKUP(F$279,'FX RATES'!$E$1:$F$50,2,FALSE)+G287*VLOOKUP(G$279,'FX RATES'!$E$1:$F$50,2,FALSE)+H287*VLOOKUP(H$279,'FX RATES'!$E$1:$F$50,2,FALSE)</f>
        <v>0</v>
      </c>
      <c r="K287" s="31">
        <f t="shared" si="114"/>
        <v>0</v>
      </c>
      <c r="L287" s="32" cm="1">
        <f t="array" ref="L287">SUMIFS(FLOWS!$C:$C,FLOWS!$A:$A,$B$275,FLOWS!$E:$E,$K287,FLOWS!$D:$D,L$279,FLOWS!$H:$H,"&gt;="&amp;$C$277,FLOWS!$H:$H,"&lt;="&amp;$U$277)+SUM(SUMIFS(DEALS!$J:$J,DEALS!$A:$A,{"*REFUND*","*EXECUTED*"},DEALS!$G:$G,$B$275,DEALS!$E:$E,"&gt;="&amp;$C$277,DEALS!$E:$E,"&lt;="&amp;$U$277,DEALS!$K:$K,L$279,DEALS!$M:$M,$K287,DEALS!$N:$N,"&lt;&gt;*RECEIVED*",DEALS!$N:$N,"&lt;&gt;*EXECUTED*"))+SUM(SUMIFS(DEALS!$R:$R,DEALS!$A:$A,{"*REFUND*","*EXECUTED*"},DEALS!$O:$O,$B$275,DEALS!$E:$E,"&gt;="&amp;$C$277,DEALS!$E:$E,"&lt;="&amp;$U$277,DEALS!$S:$S,L$279,DEALS!$U:$U,$K287,DEALS!$V:$V,"&lt;&gt;*RECEIVED*",DEALS!$V:$V,"&lt;&gt;*EXECUTED*"))</f>
        <v>0</v>
      </c>
      <c r="M287" s="32" cm="1">
        <f t="array" ref="M287">SUMIFS(FLOWS!$C:$C,FLOWS!$A:$A,$B$275,FLOWS!$E:$E,$K287,FLOWS!$D:$D,M$279,FLOWS!$H:$H,"&gt;="&amp;$C$277,FLOWS!$H:$H,"&lt;="&amp;$U$277)+SUM(SUMIFS(DEALS!$J:$J,DEALS!$A:$A,{"*REFUND*","*EXECUTED*"},DEALS!$G:$G,$B$275,DEALS!$E:$E,"&gt;="&amp;$C$277,DEALS!$E:$E,"&lt;="&amp;$U$277,DEALS!$K:$K,M$279,DEALS!$M:$M,$K287,DEALS!$N:$N,"&lt;&gt;*RECEIVED*",DEALS!$N:$N,"&lt;&gt;*EXECUTED*"))+SUM(SUMIFS(DEALS!$R:$R,DEALS!$A:$A,{"*REFUND*","*EXECUTED*"},DEALS!$O:$O,$B$275,DEALS!$E:$E,"&gt;="&amp;$C$277,DEALS!$E:$E,"&lt;="&amp;$U$277,DEALS!$S:$S,M$279,DEALS!$U:$U,$K287,DEALS!$V:$V,"&lt;&gt;*RECEIVED*",DEALS!$V:$V,"&lt;&gt;*EXECUTED*"))</f>
        <v>0</v>
      </c>
      <c r="N287" s="32" cm="1">
        <f t="array" ref="N287">SUMIFS(FLOWS!$C:$C,FLOWS!$A:$A,$B$275,FLOWS!$E:$E,$K287,FLOWS!$D:$D,N$279,FLOWS!$H:$H,"&gt;="&amp;$C$277,FLOWS!$H:$H,"&lt;="&amp;$U$277)+SUM(SUMIFS(DEALS!$J:$J,DEALS!$A:$A,{"*REFUND*","*EXECUTED*"},DEALS!$G:$G,$B$275,DEALS!$E:$E,"&gt;="&amp;$C$277,DEALS!$E:$E,"&lt;="&amp;$U$277,DEALS!$K:$K,N$279,DEALS!$M:$M,$K287,DEALS!$N:$N,"&lt;&gt;*RECEIVED*",DEALS!$N:$N,"&lt;&gt;*EXECUTED*"))+SUM(SUMIFS(DEALS!$R:$R,DEALS!$A:$A,{"*REFUND*","*EXECUTED*"},DEALS!$O:$O,$B$275,DEALS!$E:$E,"&gt;="&amp;$C$277,DEALS!$E:$E,"&lt;="&amp;$U$277,DEALS!$S:$S,N$279,DEALS!$U:$U,$K287,DEALS!$V:$V,"&lt;&gt;*RECEIVED*",DEALS!$V:$V,"&lt;&gt;*EXECUTED*"))</f>
        <v>0</v>
      </c>
      <c r="O287" s="32" cm="1">
        <f t="array" ref="O287">SUMIFS(FLOWS!$C:$C,FLOWS!$A:$A,$B$275,FLOWS!$E:$E,$K287,FLOWS!$D:$D,O$279,FLOWS!$H:$H,"&gt;="&amp;$C$277,FLOWS!$H:$H,"&lt;="&amp;$U$277)+SUM(SUMIFS(DEALS!$J:$J,DEALS!$A:$A,{"*REFUND*","*EXECUTED*"},DEALS!$G:$G,$B$275,DEALS!$E:$E,"&gt;="&amp;$C$277,DEALS!$E:$E,"&lt;="&amp;$U$277,DEALS!$K:$K,O$279,DEALS!$M:$M,$K287,DEALS!$N:$N,"&lt;&gt;*RECEIVED*",DEALS!$N:$N,"&lt;&gt;*EXECUTED*"))+SUM(SUMIFS(DEALS!$R:$R,DEALS!$A:$A,{"*REFUND*","*EXECUTED*"},DEALS!$O:$O,$B$275,DEALS!$E:$E,"&gt;="&amp;$C$277,DEALS!$E:$E,"&lt;="&amp;$U$277,DEALS!$S:$S,O$279,DEALS!$U:$U,$K287,DEALS!$V:$V,"&lt;&gt;*RECEIVED*",DEALS!$V:$V,"&lt;&gt;*EXECUTED*"))</f>
        <v>0</v>
      </c>
      <c r="P287" s="32" cm="1">
        <f t="array" ref="P287">SUMIFS(FLOWS!$C:$C,FLOWS!$A:$A,$B$275,FLOWS!$E:$E,$K287,FLOWS!$D:$D,P$279,FLOWS!$H:$H,"&gt;="&amp;$C$277,FLOWS!$H:$H,"&lt;="&amp;$U$277)+SUM(SUMIFS(DEALS!$J:$J,DEALS!$A:$A,{"*REFUND*","*EXECUTED*"},DEALS!$G:$G,$B$275,DEALS!$E:$E,"&gt;="&amp;$C$277,DEALS!$E:$E,"&lt;="&amp;$U$277,DEALS!$K:$K,P$279,DEALS!$M:$M,$K287,DEALS!$N:$N,"&lt;&gt;*RECEIVED*",DEALS!$N:$N,"&lt;&gt;*EXECUTED*"))+SUM(SUMIFS(DEALS!$R:$R,DEALS!$A:$A,{"*REFUND*","*EXECUTED*"},DEALS!$O:$O,$B$275,DEALS!$E:$E,"&gt;="&amp;$C$277,DEALS!$E:$E,"&lt;="&amp;$U$277,DEALS!$S:$S,P$279,DEALS!$U:$U,$K287,DEALS!$V:$V,"&lt;&gt;*RECEIVED*",DEALS!$V:$V,"&lt;&gt;*EXECUTED*"))</f>
        <v>0</v>
      </c>
      <c r="Q287" s="32" cm="1">
        <f t="array" ref="Q287">SUMIFS(FLOWS!$C:$C,FLOWS!$A:$A,$B$275,FLOWS!$E:$E,$K287,FLOWS!$D:$D,Q$279,FLOWS!$H:$H,"&gt;="&amp;$C$277,FLOWS!$H:$H,"&lt;="&amp;$U$277)+SUM(SUMIFS(DEALS!$J:$J,DEALS!$A:$A,{"*REFUND*","*EXECUTED*"},DEALS!$G:$G,$B$275,DEALS!$E:$E,"&gt;="&amp;$C$277,DEALS!$E:$E,"&lt;="&amp;$U$277,DEALS!$K:$K,Q$279,DEALS!$M:$M,$K287,DEALS!$N:$N,"&lt;&gt;*RECEIVED*",DEALS!$N:$N,"&lt;&gt;*EXECUTED*"))+SUM(SUMIFS(DEALS!$R:$R,DEALS!$A:$A,{"*REFUND*","*EXECUTED*"},DEALS!$O:$O,$B$275,DEALS!$E:$E,"&gt;="&amp;$C$277,DEALS!$E:$E,"&lt;="&amp;$U$277,DEALS!$S:$S,Q$279,DEALS!$U:$U,$K287,DEALS!$V:$V,"&lt;&gt;*RECEIVED*",DEALS!$V:$V,"&lt;&gt;*EXECUTED*"))</f>
        <v>0</v>
      </c>
      <c r="R287" s="33">
        <f ca="1">L287*VLOOKUP(L$279,'FX RATES'!$E$1:$F$50,2,FALSE)+M287*VLOOKUP(M$279,'FX RATES'!$E$1:$F$50,2,FALSE)+N287*VLOOKUP(N$279,'FX RATES'!$E$1:$F$50,2,FALSE)+O287*VLOOKUP(O$279,'FX RATES'!$E$1:$F$50,2,FALSE)+P287*VLOOKUP(P$279,'FX RATES'!$E$1:$F$50,2,FALSE)+Q287*VLOOKUP(Q$279,'FX RATES'!$E$1:$F$50,2,FALSE)</f>
        <v>0</v>
      </c>
      <c r="T287" s="31">
        <f t="shared" si="115"/>
        <v>0</v>
      </c>
      <c r="U287" s="32" cm="1">
        <f t="array" ref="U287">SUMIFS(BALANCES!$C:$C,BALANCES!$A:$A,$B$275,BALANCES!$B:$B,$T287,BALANCES!$D:$D,U$279)+SUMIFS(FLOWS!$C:$C,FLOWS!$A:$A,$B$275,FLOWS!$E:$E,$T287,FLOWS!$D:$D,U$279,FLOWS!$H:$H,"&lt;="&amp;$U$277)+SUM(SUMIFS(DEALS!$J:$J,DEALS!$A:$A,{"*REFUND*","*EXECUTED*"},DEALS!$G:$G,$B$275,DEALS!$E:$E,"&lt;="&amp;$U$277,DEALS!$K:$K,U$279,DEALS!$M:$M,$T287,DEALS!$N:$N,"&lt;&gt;*RECEIVED*",DEALS!$N:$N,"&lt;&gt;*EXECUTED*"))+SUM(SUMIFS(DEALS!$R:$R,DEALS!$A:$A,{"*REFUND*","*EXECUTED*"},DEALS!$O:$O,$B$275,DEALS!$E:$E,"&lt;="&amp;$U$277,DEALS!$S:$S,U$279,DEALS!$U:$U,$T287,DEALS!$V:$V,"&lt;&gt;*RECEIVED*",DEALS!$V:$V,"&lt;&gt;*EXECUTED*"))</f>
        <v>0</v>
      </c>
      <c r="V287" s="32" cm="1">
        <f t="array" ref="V287">SUMIFS(BALANCES!$C:$C,BALANCES!$A:$A,$B$275,BALANCES!$B:$B,$T287,BALANCES!$D:$D,V$279)+SUMIFS(FLOWS!$C:$C,FLOWS!$A:$A,$B$275,FLOWS!$E:$E,$T287,FLOWS!$D:$D,V$279,FLOWS!$H:$H,"&lt;="&amp;$U$277)+SUM(SUMIFS(DEALS!$J:$J,DEALS!$A:$A,{"*REFUND*","*EXECUTED*"},DEALS!$G:$G,$B$275,DEALS!$E:$E,"&lt;="&amp;$U$277,DEALS!$K:$K,V$279,DEALS!$M:$M,$T287,DEALS!$N:$N,"&lt;&gt;*RECEIVED*",DEALS!$N:$N,"&lt;&gt;*EXECUTED*"))+SUM(SUMIFS(DEALS!$R:$R,DEALS!$A:$A,{"*REFUND*","*EXECUTED*"},DEALS!$O:$O,$B$275,DEALS!$E:$E,"&lt;="&amp;$U$277,DEALS!$S:$S,V$279,DEALS!$U:$U,$T287,DEALS!$V:$V,"&lt;&gt;*RECEIVED*",DEALS!$V:$V,"&lt;&gt;*EXECUTED*"))</f>
        <v>0</v>
      </c>
      <c r="W287" s="32" cm="1">
        <f t="array" ref="W287">SUMIFS(BALANCES!$C:$C,BALANCES!$A:$A,$B$275,BALANCES!$B:$B,$T287,BALANCES!$D:$D,W$279)+SUMIFS(FLOWS!$C:$C,FLOWS!$A:$A,$B$275,FLOWS!$E:$E,$T287,FLOWS!$D:$D,W$279,FLOWS!$H:$H,"&lt;="&amp;$U$277)+SUM(SUMIFS(DEALS!$J:$J,DEALS!$A:$A,{"*REFUND*","*EXECUTED*"},DEALS!$G:$G,$B$275,DEALS!$E:$E,"&lt;="&amp;$U$277,DEALS!$K:$K,W$279,DEALS!$M:$M,$T287,DEALS!$N:$N,"&lt;&gt;*RECEIVED*",DEALS!$N:$N,"&lt;&gt;*EXECUTED*"))+SUM(SUMIFS(DEALS!$R:$R,DEALS!$A:$A,{"*REFUND*","*EXECUTED*"},DEALS!$O:$O,$B$275,DEALS!$E:$E,"&lt;="&amp;$U$277,DEALS!$S:$S,W$279,DEALS!$U:$U,$T287,DEALS!$V:$V,"&lt;&gt;*RECEIVED*",DEALS!$V:$V,"&lt;&gt;*EXECUTED*"))</f>
        <v>0</v>
      </c>
      <c r="X287" s="32" cm="1">
        <f t="array" ref="X287">SUMIFS(BALANCES!$C:$C,BALANCES!$A:$A,$B$275,BALANCES!$B:$B,$T287,BALANCES!$D:$D,X$279)+SUMIFS(FLOWS!$C:$C,FLOWS!$A:$A,$B$275,FLOWS!$E:$E,$T287,FLOWS!$D:$D,X$279,FLOWS!$H:$H,"&lt;="&amp;$U$277)+SUM(SUMIFS(DEALS!$J:$J,DEALS!$A:$A,{"*REFUND*","*EXECUTED*"},DEALS!$G:$G,$B$275,DEALS!$E:$E,"&lt;="&amp;$U$277,DEALS!$K:$K,X$279,DEALS!$M:$M,$T287,DEALS!$N:$N,"&lt;&gt;*RECEIVED*",DEALS!$N:$N,"&lt;&gt;*EXECUTED*"))+SUM(SUMIFS(DEALS!$R:$R,DEALS!$A:$A,{"*REFUND*","*EXECUTED*"},DEALS!$O:$O,$B$275,DEALS!$E:$E,"&lt;="&amp;$U$277,DEALS!$S:$S,X$279,DEALS!$U:$U,$T287,DEALS!$V:$V,"&lt;&gt;*RECEIVED*",DEALS!$V:$V,"&lt;&gt;*EXECUTED*"))</f>
        <v>0</v>
      </c>
      <c r="Y287" s="32" cm="1">
        <f t="array" ref="Y287">SUMIFS(BALANCES!$C:$C,BALANCES!$A:$A,$B$275,BALANCES!$B:$B,$T287,BALANCES!$D:$D,Y$279)+SUMIFS(FLOWS!$C:$C,FLOWS!$A:$A,$B$275,FLOWS!$E:$E,$T287,FLOWS!$D:$D,Y$279,FLOWS!$H:$H,"&lt;="&amp;$U$277)+SUM(SUMIFS(DEALS!$J:$J,DEALS!$A:$A,{"*REFUND*","*EXECUTED*"},DEALS!$G:$G,$B$275,DEALS!$E:$E,"&lt;="&amp;$U$277,DEALS!$K:$K,Y$279,DEALS!$M:$M,$T287,DEALS!$N:$N,"&lt;&gt;*RECEIVED*",DEALS!$N:$N,"&lt;&gt;*EXECUTED*"))+SUM(SUMIFS(DEALS!$R:$R,DEALS!$A:$A,{"*REFUND*","*EXECUTED*"},DEALS!$O:$O,$B$275,DEALS!$E:$E,"&lt;="&amp;$U$277,DEALS!$S:$S,Y$279,DEALS!$U:$U,$T287,DEALS!$V:$V,"&lt;&gt;*RECEIVED*",DEALS!$V:$V,"&lt;&gt;*EXECUTED*"))</f>
        <v>0</v>
      </c>
      <c r="Z287" s="32" cm="1">
        <f t="array" ref="Z287">SUMIFS(BALANCES!$C:$C,BALANCES!$A:$A,$B$275,BALANCES!$B:$B,$T287,BALANCES!$D:$D,Z$279)+SUMIFS(FLOWS!$C:$C,FLOWS!$A:$A,$B$275,FLOWS!$E:$E,$T287,FLOWS!$D:$D,Z$279,FLOWS!$H:$H,"&lt;="&amp;$U$277)+SUM(SUMIFS(DEALS!$J:$J,DEALS!$A:$A,{"*REFUND*","*EXECUTED*"},DEALS!$G:$G,$B$275,DEALS!$E:$E,"&lt;="&amp;$U$277,DEALS!$K:$K,Z$279,DEALS!$M:$M,$T287,DEALS!$N:$N,"&lt;&gt;*RECEIVED*",DEALS!$N:$N,"&lt;&gt;*EXECUTED*"))+SUM(SUMIFS(DEALS!$R:$R,DEALS!$A:$A,{"*REFUND*","*EXECUTED*"},DEALS!$O:$O,$B$275,DEALS!$E:$E,"&lt;="&amp;$U$277,DEALS!$S:$S,Z$279,DEALS!$U:$U,$T287,DEALS!$V:$V,"&lt;&gt;*RECEIVED*",DEALS!$V:$V,"&lt;&gt;*EXECUTED*"))</f>
        <v>0</v>
      </c>
      <c r="AA287" s="33">
        <f ca="1">U287*VLOOKUP(U$279,'FX RATES'!$E$1:$F$50,2,FALSE)+V287*VLOOKUP(V$279,'FX RATES'!$E$1:$F$50,2,FALSE)+W287*VLOOKUP(W$279,'FX RATES'!$E$1:$F$50,2,FALSE)+X287*VLOOKUP(X$279,'FX RATES'!$E$1:$F$50,2,FALSE)+Y287*VLOOKUP(Y$279,'FX RATES'!$E$1:$F$50,2,FALSE)+Z287*VLOOKUP(Z$279,'FX RATES'!$E$1:$F$50,2,FALSE)</f>
        <v>0</v>
      </c>
      <c r="AC287" s="139">
        <f t="shared" ca="1" si="116"/>
        <v>0</v>
      </c>
    </row>
    <row r="288" spans="2:29" ht="19" hidden="1">
      <c r="B288" s="28"/>
      <c r="C288" s="29" cm="1">
        <f t="array" ref="C288">SUMIFS(BALANCES!$C:$C,BALANCES!$A:$A,$B$275,BALANCES!$B:$B,$B288,BALANCES!$D:$D,C$279)+SUMIFS(FLOWS!$C:$C,FLOWS!$A:$A,$B$275,FLOWS!$E:$E,$B288,FLOWS!$D:$D,C$279,FLOWS!$H:$H,"&lt;"&amp;$C$277)+SUM(SUMIFS(DEALS!$J:$J,DEALS!$A:$A,{"*REFUND*","*EXECUTED*"},DEALS!$G:$G,$B$275,DEALS!$E:$E,"&lt;"&amp;$C$277,DEALS!$K:$K,C$279,DEALS!$M:$M,$B288,DEALS!$N:$N,"&lt;&gt;*RECEIVED*",DEALS!$N:$N,"&lt;&gt;*EXECUTED*"))+SUM(SUMIFS(DEALS!$R:$R,DEALS!$A:$A,{"*REFUND*","*EXECUTED*"},DEALS!$O:$O,$B$275,DEALS!$E:$E,"&lt;"&amp;$C$277,DEALS!$S:$S,C$279,DEALS!$U:$U,$B288,DEALS!$V:$V,"&lt;&gt;*RECEIVED*",DEALS!$V:$V,"&lt;&gt;*EXECUTED*"))</f>
        <v>0</v>
      </c>
      <c r="D288" s="29" cm="1">
        <f t="array" ref="D288">SUMIFS(BALANCES!$C:$C,BALANCES!$A:$A,$B$275,BALANCES!$B:$B,$B288,BALANCES!$D:$D,D$279)+SUMIFS(FLOWS!$C:$C,FLOWS!$A:$A,$B$275,FLOWS!$E:$E,$B288,FLOWS!$D:$D,D$279,FLOWS!$H:$H,"&lt;"&amp;$C$277)+SUM(SUMIFS(DEALS!$J:$J,DEALS!$A:$A,{"*REFUND*","*EXECUTED*"},DEALS!$G:$G,$B$275,DEALS!$E:$E,"&lt;"&amp;$C$277,DEALS!$K:$K,D$279,DEALS!$M:$M,$B288,DEALS!$N:$N,"&lt;&gt;*RECEIVED*",DEALS!$N:$N,"&lt;&gt;*EXECUTED*"))+SUM(SUMIFS(DEALS!$R:$R,DEALS!$A:$A,{"*REFUND*","*EXECUTED*"},DEALS!$O:$O,$B$275,DEALS!$E:$E,"&lt;"&amp;$C$277,DEALS!$S:$S,D$279,DEALS!$U:$U,$B288,DEALS!$V:$V,"&lt;&gt;*RECEIVED*",DEALS!$V:$V,"&lt;&gt;*EXECUTED*"))</f>
        <v>0</v>
      </c>
      <c r="E288" s="29" cm="1">
        <f t="array" ref="E288">SUMIFS(BALANCES!$C:$C,BALANCES!$A:$A,$B$275,BALANCES!$B:$B,$B288,BALANCES!$D:$D,E$279)+SUMIFS(FLOWS!$C:$C,FLOWS!$A:$A,$B$275,FLOWS!$E:$E,$B288,FLOWS!$D:$D,E$279,FLOWS!$H:$H,"&lt;"&amp;$C$277)+SUM(SUMIFS(DEALS!$J:$J,DEALS!$A:$A,{"*REFUND*","*EXECUTED*"},DEALS!$G:$G,$B$275,DEALS!$E:$E,"&lt;"&amp;$C$277,DEALS!$K:$K,E$279,DEALS!$M:$M,$B288,DEALS!$N:$N,"&lt;&gt;*RECEIVED*",DEALS!$N:$N,"&lt;&gt;*EXECUTED*"))+SUM(SUMIFS(DEALS!$R:$R,DEALS!$A:$A,{"*REFUND*","*EXECUTED*"},DEALS!$O:$O,$B$275,DEALS!$E:$E,"&lt;"&amp;$C$277,DEALS!$S:$S,E$279,DEALS!$U:$U,$B288,DEALS!$V:$V,"&lt;&gt;*RECEIVED*",DEALS!$V:$V,"&lt;&gt;*EXECUTED*"))</f>
        <v>0</v>
      </c>
      <c r="F288" s="29" cm="1">
        <f t="array" ref="F288">SUMIFS(BALANCES!$C:$C,BALANCES!$A:$A,$B$275,BALANCES!$B:$B,$B288,BALANCES!$D:$D,F$279)+SUMIFS(FLOWS!$C:$C,FLOWS!$A:$A,$B$275,FLOWS!$E:$E,$B288,FLOWS!$D:$D,F$279,FLOWS!$H:$H,"&lt;"&amp;$C$277)+SUM(SUMIFS(DEALS!$J:$J,DEALS!$A:$A,{"*REFUND*","*EXECUTED*"},DEALS!$G:$G,$B$275,DEALS!$E:$E,"&lt;"&amp;$C$277,DEALS!$K:$K,F$279,DEALS!$M:$M,$B288,DEALS!$N:$N,"&lt;&gt;*RECEIVED*",DEALS!$N:$N,"&lt;&gt;*EXECUTED*"))+SUM(SUMIFS(DEALS!$R:$R,DEALS!$A:$A,{"*REFUND*","*EXECUTED*"},DEALS!$O:$O,$B$275,DEALS!$E:$E,"&lt;"&amp;$C$277,DEALS!$S:$S,F$279,DEALS!$U:$U,$B288,DEALS!$V:$V,"&lt;&gt;*RECEIVED*",DEALS!$V:$V,"&lt;&gt;*EXECUTED*"))</f>
        <v>0</v>
      </c>
      <c r="G288" s="29" cm="1">
        <f t="array" ref="G288">SUMIFS(BALANCES!$C:$C,BALANCES!$A:$A,$B$275,BALANCES!$B:$B,$B288,BALANCES!$D:$D,G$279)+SUMIFS(FLOWS!$C:$C,FLOWS!$A:$A,$B$275,FLOWS!$E:$E,$B288,FLOWS!$D:$D,G$279,FLOWS!$H:$H,"&lt;"&amp;$C$277)+SUM(SUMIFS(DEALS!$J:$J,DEALS!$A:$A,{"*REFUND*","*EXECUTED*"},DEALS!$G:$G,$B$275,DEALS!$E:$E,"&lt;"&amp;$C$277,DEALS!$K:$K,G$279,DEALS!$M:$M,$B288,DEALS!$N:$N,"&lt;&gt;*RECEIVED*",DEALS!$N:$N,"&lt;&gt;*EXECUTED*"))+SUM(SUMIFS(DEALS!$R:$R,DEALS!$A:$A,{"*REFUND*","*EXECUTED*"},DEALS!$O:$O,$B$275,DEALS!$E:$E,"&lt;"&amp;$C$277,DEALS!$S:$S,G$279,DEALS!$U:$U,$B288,DEALS!$V:$V,"&lt;&gt;*RECEIVED*",DEALS!$V:$V,"&lt;&gt;*EXECUTED*"))</f>
        <v>0</v>
      </c>
      <c r="H288" s="29" cm="1">
        <f t="array" ref="H288">SUMIFS(BALANCES!$C:$C,BALANCES!$A:$A,$B$275,BALANCES!$B:$B,$B288,BALANCES!$D:$D,H$279)+SUMIFS(FLOWS!$C:$C,FLOWS!$A:$A,$B$275,FLOWS!$E:$E,$B288,FLOWS!$D:$D,H$279,FLOWS!$H:$H,"&lt;"&amp;$C$277)+SUM(SUMIFS(DEALS!$J:$J,DEALS!$A:$A,{"*REFUND*","*EXECUTED*"},DEALS!$G:$G,$B$275,DEALS!$E:$E,"&lt;"&amp;$C$277,DEALS!$K:$K,H$279,DEALS!$M:$M,$B288,DEALS!$N:$N,"&lt;&gt;*RECEIVED*",DEALS!$N:$N,"&lt;&gt;*EXECUTED*"))+SUM(SUMIFS(DEALS!$R:$R,DEALS!$A:$A,{"*REFUND*","*EXECUTED*"},DEALS!$O:$O,$B$275,DEALS!$E:$E,"&lt;"&amp;$C$277,DEALS!$S:$S,H$279,DEALS!$U:$U,$B288,DEALS!$V:$V,"&lt;&gt;*RECEIVED*",DEALS!$V:$V,"&lt;&gt;*EXECUTED*"))</f>
        <v>0</v>
      </c>
      <c r="I288" s="30">
        <f ca="1">C288*VLOOKUP(C$279,'FX RATES'!$E$1:$F$50,2,FALSE)+D288*VLOOKUP(D$279,'FX RATES'!$E$1:$F$50,2,FALSE)+E288*VLOOKUP(E$279,'FX RATES'!$E$1:$F$50,2,FALSE)+F288*VLOOKUP(F$279,'FX RATES'!$E$1:$F$50,2,FALSE)+G288*VLOOKUP(G$279,'FX RATES'!$E$1:$F$50,2,FALSE)+H288*VLOOKUP(H$279,'FX RATES'!$E$1:$F$50,2,FALSE)</f>
        <v>0</v>
      </c>
      <c r="K288" s="28">
        <f t="shared" si="114"/>
        <v>0</v>
      </c>
      <c r="L288" s="29" cm="1">
        <f t="array" ref="L288">SUMIFS(FLOWS!$C:$C,FLOWS!$A:$A,$B$275,FLOWS!$E:$E,$K288,FLOWS!$D:$D,L$279,FLOWS!$H:$H,"&gt;="&amp;$C$277,FLOWS!$H:$H,"&lt;="&amp;$U$277)+SUM(SUMIFS(DEALS!$J:$J,DEALS!$A:$A,{"*REFUND*","*EXECUTED*"},DEALS!$G:$G,$B$275,DEALS!$E:$E,"&gt;="&amp;$C$277,DEALS!$E:$E,"&lt;="&amp;$U$277,DEALS!$K:$K,L$279,DEALS!$M:$M,$K288,DEALS!$N:$N,"&lt;&gt;*RECEIVED*",DEALS!$N:$N,"&lt;&gt;*EXECUTED*"))+SUM(SUMIFS(DEALS!$R:$R,DEALS!$A:$A,{"*REFUND*","*EXECUTED*"},DEALS!$O:$O,$B$275,DEALS!$E:$E,"&gt;="&amp;$C$277,DEALS!$E:$E,"&lt;="&amp;$U$277,DEALS!$S:$S,L$279,DEALS!$U:$U,$K288,DEALS!$V:$V,"&lt;&gt;*RECEIVED*",DEALS!$V:$V,"&lt;&gt;*EXECUTED*"))</f>
        <v>0</v>
      </c>
      <c r="M288" s="29" cm="1">
        <f t="array" ref="M288">SUMIFS(FLOWS!$C:$C,FLOWS!$A:$A,$B$275,FLOWS!$E:$E,$K288,FLOWS!$D:$D,M$279,FLOWS!$H:$H,"&gt;="&amp;$C$277,FLOWS!$H:$H,"&lt;="&amp;$U$277)+SUM(SUMIFS(DEALS!$J:$J,DEALS!$A:$A,{"*REFUND*","*EXECUTED*"},DEALS!$G:$G,$B$275,DEALS!$E:$E,"&gt;="&amp;$C$277,DEALS!$E:$E,"&lt;="&amp;$U$277,DEALS!$K:$K,M$279,DEALS!$M:$M,$K288,DEALS!$N:$N,"&lt;&gt;*RECEIVED*",DEALS!$N:$N,"&lt;&gt;*EXECUTED*"))+SUM(SUMIFS(DEALS!$R:$R,DEALS!$A:$A,{"*REFUND*","*EXECUTED*"},DEALS!$O:$O,$B$275,DEALS!$E:$E,"&gt;="&amp;$C$277,DEALS!$E:$E,"&lt;="&amp;$U$277,DEALS!$S:$S,M$279,DEALS!$U:$U,$K288,DEALS!$V:$V,"&lt;&gt;*RECEIVED*",DEALS!$V:$V,"&lt;&gt;*EXECUTED*"))</f>
        <v>0</v>
      </c>
      <c r="N288" s="29" cm="1">
        <f t="array" ref="N288">SUMIFS(FLOWS!$C:$C,FLOWS!$A:$A,$B$275,FLOWS!$E:$E,$K288,FLOWS!$D:$D,N$279,FLOWS!$H:$H,"&gt;="&amp;$C$277,FLOWS!$H:$H,"&lt;="&amp;$U$277)+SUM(SUMIFS(DEALS!$J:$J,DEALS!$A:$A,{"*REFUND*","*EXECUTED*"},DEALS!$G:$G,$B$275,DEALS!$E:$E,"&gt;="&amp;$C$277,DEALS!$E:$E,"&lt;="&amp;$U$277,DEALS!$K:$K,N$279,DEALS!$M:$M,$K288,DEALS!$N:$N,"&lt;&gt;*RECEIVED*",DEALS!$N:$N,"&lt;&gt;*EXECUTED*"))+SUM(SUMIFS(DEALS!$R:$R,DEALS!$A:$A,{"*REFUND*","*EXECUTED*"},DEALS!$O:$O,$B$275,DEALS!$E:$E,"&gt;="&amp;$C$277,DEALS!$E:$E,"&lt;="&amp;$U$277,DEALS!$S:$S,N$279,DEALS!$U:$U,$K288,DEALS!$V:$V,"&lt;&gt;*RECEIVED*",DEALS!$V:$V,"&lt;&gt;*EXECUTED*"))</f>
        <v>0</v>
      </c>
      <c r="O288" s="29" cm="1">
        <f t="array" ref="O288">SUMIFS(FLOWS!$C:$C,FLOWS!$A:$A,$B$275,FLOWS!$E:$E,$K288,FLOWS!$D:$D,O$279,FLOWS!$H:$H,"&gt;="&amp;$C$277,FLOWS!$H:$H,"&lt;="&amp;$U$277)+SUM(SUMIFS(DEALS!$J:$J,DEALS!$A:$A,{"*REFUND*","*EXECUTED*"},DEALS!$G:$G,$B$275,DEALS!$E:$E,"&gt;="&amp;$C$277,DEALS!$E:$E,"&lt;="&amp;$U$277,DEALS!$K:$K,O$279,DEALS!$M:$M,$K288,DEALS!$N:$N,"&lt;&gt;*RECEIVED*",DEALS!$N:$N,"&lt;&gt;*EXECUTED*"))+SUM(SUMIFS(DEALS!$R:$R,DEALS!$A:$A,{"*REFUND*","*EXECUTED*"},DEALS!$O:$O,$B$275,DEALS!$E:$E,"&gt;="&amp;$C$277,DEALS!$E:$E,"&lt;="&amp;$U$277,DEALS!$S:$S,O$279,DEALS!$U:$U,$K288,DEALS!$V:$V,"&lt;&gt;*RECEIVED*",DEALS!$V:$V,"&lt;&gt;*EXECUTED*"))</f>
        <v>0</v>
      </c>
      <c r="P288" s="29" cm="1">
        <f t="array" ref="P288">SUMIFS(FLOWS!$C:$C,FLOWS!$A:$A,$B$275,FLOWS!$E:$E,$K288,FLOWS!$D:$D,P$279,FLOWS!$H:$H,"&gt;="&amp;$C$277,FLOWS!$H:$H,"&lt;="&amp;$U$277)+SUM(SUMIFS(DEALS!$J:$J,DEALS!$A:$A,{"*REFUND*","*EXECUTED*"},DEALS!$G:$G,$B$275,DEALS!$E:$E,"&gt;="&amp;$C$277,DEALS!$E:$E,"&lt;="&amp;$U$277,DEALS!$K:$K,P$279,DEALS!$M:$M,$K288,DEALS!$N:$N,"&lt;&gt;*RECEIVED*",DEALS!$N:$N,"&lt;&gt;*EXECUTED*"))+SUM(SUMIFS(DEALS!$R:$R,DEALS!$A:$A,{"*REFUND*","*EXECUTED*"},DEALS!$O:$O,$B$275,DEALS!$E:$E,"&gt;="&amp;$C$277,DEALS!$E:$E,"&lt;="&amp;$U$277,DEALS!$S:$S,P$279,DEALS!$U:$U,$K288,DEALS!$V:$V,"&lt;&gt;*RECEIVED*",DEALS!$V:$V,"&lt;&gt;*EXECUTED*"))</f>
        <v>0</v>
      </c>
      <c r="Q288" s="29" cm="1">
        <f t="array" ref="Q288">SUMIFS(FLOWS!$C:$C,FLOWS!$A:$A,$B$275,FLOWS!$E:$E,$K288,FLOWS!$D:$D,Q$279,FLOWS!$H:$H,"&gt;="&amp;$C$277,FLOWS!$H:$H,"&lt;="&amp;$U$277)+SUM(SUMIFS(DEALS!$J:$J,DEALS!$A:$A,{"*REFUND*","*EXECUTED*"},DEALS!$G:$G,$B$275,DEALS!$E:$E,"&gt;="&amp;$C$277,DEALS!$E:$E,"&lt;="&amp;$U$277,DEALS!$K:$K,Q$279,DEALS!$M:$M,$K288,DEALS!$N:$N,"&lt;&gt;*RECEIVED*",DEALS!$N:$N,"&lt;&gt;*EXECUTED*"))+SUM(SUMIFS(DEALS!$R:$R,DEALS!$A:$A,{"*REFUND*","*EXECUTED*"},DEALS!$O:$O,$B$275,DEALS!$E:$E,"&gt;="&amp;$C$277,DEALS!$E:$E,"&lt;="&amp;$U$277,DEALS!$S:$S,Q$279,DEALS!$U:$U,$K288,DEALS!$V:$V,"&lt;&gt;*RECEIVED*",DEALS!$V:$V,"&lt;&gt;*EXECUTED*"))</f>
        <v>0</v>
      </c>
      <c r="R288" s="30">
        <f ca="1">L288*VLOOKUP(L$279,'FX RATES'!$E$1:$F$50,2,FALSE)+M288*VLOOKUP(M$279,'FX RATES'!$E$1:$F$50,2,FALSE)+N288*VLOOKUP(N$279,'FX RATES'!$E$1:$F$50,2,FALSE)+O288*VLOOKUP(O$279,'FX RATES'!$E$1:$F$50,2,FALSE)+P288*VLOOKUP(P$279,'FX RATES'!$E$1:$F$50,2,FALSE)+Q288*VLOOKUP(Q$279,'FX RATES'!$E$1:$F$50,2,FALSE)</f>
        <v>0</v>
      </c>
      <c r="T288" s="28">
        <f t="shared" si="115"/>
        <v>0</v>
      </c>
      <c r="U288" s="29" cm="1">
        <f t="array" ref="U288">SUMIFS(BALANCES!$C:$C,BALANCES!$A:$A,$B$275,BALANCES!$B:$B,$T288,BALANCES!$D:$D,U$279)+SUMIFS(FLOWS!$C:$C,FLOWS!$A:$A,$B$275,FLOWS!$E:$E,$T288,FLOWS!$D:$D,U$279,FLOWS!$H:$H,"&lt;="&amp;$U$277)+SUM(SUMIFS(DEALS!$J:$J,DEALS!$A:$A,{"*REFUND*","*EXECUTED*"},DEALS!$G:$G,$B$275,DEALS!$E:$E,"&lt;="&amp;$U$277,DEALS!$K:$K,U$279,DEALS!$M:$M,$T288,DEALS!$N:$N,"&lt;&gt;*RECEIVED*",DEALS!$N:$N,"&lt;&gt;*EXECUTED*"))+SUM(SUMIFS(DEALS!$R:$R,DEALS!$A:$A,{"*REFUND*","*EXECUTED*"},DEALS!$O:$O,$B$275,DEALS!$E:$E,"&lt;="&amp;$U$277,DEALS!$S:$S,U$279,DEALS!$U:$U,$T288,DEALS!$V:$V,"&lt;&gt;*RECEIVED*",DEALS!$V:$V,"&lt;&gt;*EXECUTED*"))</f>
        <v>0</v>
      </c>
      <c r="V288" s="29" cm="1">
        <f t="array" ref="V288">SUMIFS(BALANCES!$C:$C,BALANCES!$A:$A,$B$275,BALANCES!$B:$B,$T288,BALANCES!$D:$D,V$279)+SUMIFS(FLOWS!$C:$C,FLOWS!$A:$A,$B$275,FLOWS!$E:$E,$T288,FLOWS!$D:$D,V$279,FLOWS!$H:$H,"&lt;="&amp;$U$277)+SUM(SUMIFS(DEALS!$J:$J,DEALS!$A:$A,{"*REFUND*","*EXECUTED*"},DEALS!$G:$G,$B$275,DEALS!$E:$E,"&lt;="&amp;$U$277,DEALS!$K:$K,V$279,DEALS!$M:$M,$T288,DEALS!$N:$N,"&lt;&gt;*RECEIVED*",DEALS!$N:$N,"&lt;&gt;*EXECUTED*"))+SUM(SUMIFS(DEALS!$R:$R,DEALS!$A:$A,{"*REFUND*","*EXECUTED*"},DEALS!$O:$O,$B$275,DEALS!$E:$E,"&lt;="&amp;$U$277,DEALS!$S:$S,V$279,DEALS!$U:$U,$T288,DEALS!$V:$V,"&lt;&gt;*RECEIVED*",DEALS!$V:$V,"&lt;&gt;*EXECUTED*"))</f>
        <v>0</v>
      </c>
      <c r="W288" s="29" cm="1">
        <f t="array" ref="W288">SUMIFS(BALANCES!$C:$C,BALANCES!$A:$A,$B$275,BALANCES!$B:$B,$T288,BALANCES!$D:$D,W$279)+SUMIFS(FLOWS!$C:$C,FLOWS!$A:$A,$B$275,FLOWS!$E:$E,$T288,FLOWS!$D:$D,W$279,FLOWS!$H:$H,"&lt;="&amp;$U$277)+SUM(SUMIFS(DEALS!$J:$J,DEALS!$A:$A,{"*REFUND*","*EXECUTED*"},DEALS!$G:$G,$B$275,DEALS!$E:$E,"&lt;="&amp;$U$277,DEALS!$K:$K,W$279,DEALS!$M:$M,$T288,DEALS!$N:$N,"&lt;&gt;*RECEIVED*",DEALS!$N:$N,"&lt;&gt;*EXECUTED*"))+SUM(SUMIFS(DEALS!$R:$R,DEALS!$A:$A,{"*REFUND*","*EXECUTED*"},DEALS!$O:$O,$B$275,DEALS!$E:$E,"&lt;="&amp;$U$277,DEALS!$S:$S,W$279,DEALS!$U:$U,$T288,DEALS!$V:$V,"&lt;&gt;*RECEIVED*",DEALS!$V:$V,"&lt;&gt;*EXECUTED*"))</f>
        <v>0</v>
      </c>
      <c r="X288" s="29" cm="1">
        <f t="array" ref="X288">SUMIFS(BALANCES!$C:$C,BALANCES!$A:$A,$B$275,BALANCES!$B:$B,$T288,BALANCES!$D:$D,X$279)+SUMIFS(FLOWS!$C:$C,FLOWS!$A:$A,$B$275,FLOWS!$E:$E,$T288,FLOWS!$D:$D,X$279,FLOWS!$H:$H,"&lt;="&amp;$U$277)+SUM(SUMIFS(DEALS!$J:$J,DEALS!$A:$A,{"*REFUND*","*EXECUTED*"},DEALS!$G:$G,$B$275,DEALS!$E:$E,"&lt;="&amp;$U$277,DEALS!$K:$K,X$279,DEALS!$M:$M,$T288,DEALS!$N:$N,"&lt;&gt;*RECEIVED*",DEALS!$N:$N,"&lt;&gt;*EXECUTED*"))+SUM(SUMIFS(DEALS!$R:$R,DEALS!$A:$A,{"*REFUND*","*EXECUTED*"},DEALS!$O:$O,$B$275,DEALS!$E:$E,"&lt;="&amp;$U$277,DEALS!$S:$S,X$279,DEALS!$U:$U,$T288,DEALS!$V:$V,"&lt;&gt;*RECEIVED*",DEALS!$V:$V,"&lt;&gt;*EXECUTED*"))</f>
        <v>0</v>
      </c>
      <c r="Y288" s="29" cm="1">
        <f t="array" ref="Y288">SUMIFS(BALANCES!$C:$C,BALANCES!$A:$A,$B$275,BALANCES!$B:$B,$T288,BALANCES!$D:$D,Y$279)+SUMIFS(FLOWS!$C:$C,FLOWS!$A:$A,$B$275,FLOWS!$E:$E,$T288,FLOWS!$D:$D,Y$279,FLOWS!$H:$H,"&lt;="&amp;$U$277)+SUM(SUMIFS(DEALS!$J:$J,DEALS!$A:$A,{"*REFUND*","*EXECUTED*"},DEALS!$G:$G,$B$275,DEALS!$E:$E,"&lt;="&amp;$U$277,DEALS!$K:$K,Y$279,DEALS!$M:$M,$T288,DEALS!$N:$N,"&lt;&gt;*RECEIVED*",DEALS!$N:$N,"&lt;&gt;*EXECUTED*"))+SUM(SUMIFS(DEALS!$R:$R,DEALS!$A:$A,{"*REFUND*","*EXECUTED*"},DEALS!$O:$O,$B$275,DEALS!$E:$E,"&lt;="&amp;$U$277,DEALS!$S:$S,Y$279,DEALS!$U:$U,$T288,DEALS!$V:$V,"&lt;&gt;*RECEIVED*",DEALS!$V:$V,"&lt;&gt;*EXECUTED*"))</f>
        <v>0</v>
      </c>
      <c r="Z288" s="29" cm="1">
        <f t="array" ref="Z288">SUMIFS(BALANCES!$C:$C,BALANCES!$A:$A,$B$275,BALANCES!$B:$B,$T288,BALANCES!$D:$D,Z$279)+SUMIFS(FLOWS!$C:$C,FLOWS!$A:$A,$B$275,FLOWS!$E:$E,$T288,FLOWS!$D:$D,Z$279,FLOWS!$H:$H,"&lt;="&amp;$U$277)+SUM(SUMIFS(DEALS!$J:$J,DEALS!$A:$A,{"*REFUND*","*EXECUTED*"},DEALS!$G:$G,$B$275,DEALS!$E:$E,"&lt;="&amp;$U$277,DEALS!$K:$K,Z$279,DEALS!$M:$M,$T288,DEALS!$N:$N,"&lt;&gt;*RECEIVED*",DEALS!$N:$N,"&lt;&gt;*EXECUTED*"))+SUM(SUMIFS(DEALS!$R:$R,DEALS!$A:$A,{"*REFUND*","*EXECUTED*"},DEALS!$O:$O,$B$275,DEALS!$E:$E,"&lt;="&amp;$U$277,DEALS!$S:$S,Z$279,DEALS!$U:$U,$T288,DEALS!$V:$V,"&lt;&gt;*RECEIVED*",DEALS!$V:$V,"&lt;&gt;*EXECUTED*"))</f>
        <v>0</v>
      </c>
      <c r="AA288" s="30">
        <f ca="1">U288*VLOOKUP(U$279,'FX RATES'!$E$1:$F$50,2,FALSE)+V288*VLOOKUP(V$279,'FX RATES'!$E$1:$F$50,2,FALSE)+W288*VLOOKUP(W$279,'FX RATES'!$E$1:$F$50,2,FALSE)+X288*VLOOKUP(X$279,'FX RATES'!$E$1:$F$50,2,FALSE)+Y288*VLOOKUP(Y$279,'FX RATES'!$E$1:$F$50,2,FALSE)+Z288*VLOOKUP(Z$279,'FX RATES'!$E$1:$F$50,2,FALSE)</f>
        <v>0</v>
      </c>
      <c r="AC288" s="139">
        <f t="shared" ca="1" si="116"/>
        <v>0</v>
      </c>
    </row>
    <row r="289" spans="2:29" ht="19" hidden="1">
      <c r="B289" s="31"/>
      <c r="C289" s="32" cm="1">
        <f t="array" ref="C289">SUMIFS(BALANCES!$C:$C,BALANCES!$A:$A,$B$275,BALANCES!$B:$B,$B289,BALANCES!$D:$D,C$279)+SUMIFS(FLOWS!$C:$C,FLOWS!$A:$A,$B$275,FLOWS!$E:$E,$B289,FLOWS!$D:$D,C$279,FLOWS!$H:$H,"&lt;"&amp;$C$277)+SUM(SUMIFS(DEALS!$J:$J,DEALS!$A:$A,{"*REFUND*","*EXECUTED*"},DEALS!$G:$G,$B$275,DEALS!$E:$E,"&lt;"&amp;$C$277,DEALS!$K:$K,C$279,DEALS!$M:$M,$B289,DEALS!$N:$N,"&lt;&gt;*RECEIVED*",DEALS!$N:$N,"&lt;&gt;*EXECUTED*"))+SUM(SUMIFS(DEALS!$R:$R,DEALS!$A:$A,{"*REFUND*","*EXECUTED*"},DEALS!$O:$O,$B$275,DEALS!$E:$E,"&lt;"&amp;$C$277,DEALS!$S:$S,C$279,DEALS!$U:$U,$B289,DEALS!$V:$V,"&lt;&gt;*RECEIVED*",DEALS!$V:$V,"&lt;&gt;*EXECUTED*"))</f>
        <v>0</v>
      </c>
      <c r="D289" s="32" cm="1">
        <f t="array" ref="D289">SUMIFS(BALANCES!$C:$C,BALANCES!$A:$A,$B$275,BALANCES!$B:$B,$B289,BALANCES!$D:$D,D$279)+SUMIFS(FLOWS!$C:$C,FLOWS!$A:$A,$B$275,FLOWS!$E:$E,$B289,FLOWS!$D:$D,D$279,FLOWS!$H:$H,"&lt;"&amp;$C$277)+SUM(SUMIFS(DEALS!$J:$J,DEALS!$A:$A,{"*REFUND*","*EXECUTED*"},DEALS!$G:$G,$B$275,DEALS!$E:$E,"&lt;"&amp;$C$277,DEALS!$K:$K,D$279,DEALS!$M:$M,$B289,DEALS!$N:$N,"&lt;&gt;*RECEIVED*",DEALS!$N:$N,"&lt;&gt;*EXECUTED*"))+SUM(SUMIFS(DEALS!$R:$R,DEALS!$A:$A,{"*REFUND*","*EXECUTED*"},DEALS!$O:$O,$B$275,DEALS!$E:$E,"&lt;"&amp;$C$277,DEALS!$S:$S,D$279,DEALS!$U:$U,$B289,DEALS!$V:$V,"&lt;&gt;*RECEIVED*",DEALS!$V:$V,"&lt;&gt;*EXECUTED*"))</f>
        <v>0</v>
      </c>
      <c r="E289" s="32" cm="1">
        <f t="array" ref="E289">SUMIFS(BALANCES!$C:$C,BALANCES!$A:$A,$B$275,BALANCES!$B:$B,$B289,BALANCES!$D:$D,E$279)+SUMIFS(FLOWS!$C:$C,FLOWS!$A:$A,$B$275,FLOWS!$E:$E,$B289,FLOWS!$D:$D,E$279,FLOWS!$H:$H,"&lt;"&amp;$C$277)+SUM(SUMIFS(DEALS!$J:$J,DEALS!$A:$A,{"*REFUND*","*EXECUTED*"},DEALS!$G:$G,$B$275,DEALS!$E:$E,"&lt;"&amp;$C$277,DEALS!$K:$K,E$279,DEALS!$M:$M,$B289,DEALS!$N:$N,"&lt;&gt;*RECEIVED*",DEALS!$N:$N,"&lt;&gt;*EXECUTED*"))+SUM(SUMIFS(DEALS!$R:$R,DEALS!$A:$A,{"*REFUND*","*EXECUTED*"},DEALS!$O:$O,$B$275,DEALS!$E:$E,"&lt;"&amp;$C$277,DEALS!$S:$S,E$279,DEALS!$U:$U,$B289,DEALS!$V:$V,"&lt;&gt;*RECEIVED*",DEALS!$V:$V,"&lt;&gt;*EXECUTED*"))</f>
        <v>0</v>
      </c>
      <c r="F289" s="32" cm="1">
        <f t="array" ref="F289">SUMIFS(BALANCES!$C:$C,BALANCES!$A:$A,$B$275,BALANCES!$B:$B,$B289,BALANCES!$D:$D,F$279)+SUMIFS(FLOWS!$C:$C,FLOWS!$A:$A,$B$275,FLOWS!$E:$E,$B289,FLOWS!$D:$D,F$279,FLOWS!$H:$H,"&lt;"&amp;$C$277)+SUM(SUMIFS(DEALS!$J:$J,DEALS!$A:$A,{"*REFUND*","*EXECUTED*"},DEALS!$G:$G,$B$275,DEALS!$E:$E,"&lt;"&amp;$C$277,DEALS!$K:$K,F$279,DEALS!$M:$M,$B289,DEALS!$N:$N,"&lt;&gt;*RECEIVED*",DEALS!$N:$N,"&lt;&gt;*EXECUTED*"))+SUM(SUMIFS(DEALS!$R:$R,DEALS!$A:$A,{"*REFUND*","*EXECUTED*"},DEALS!$O:$O,$B$275,DEALS!$E:$E,"&lt;"&amp;$C$277,DEALS!$S:$S,F$279,DEALS!$U:$U,$B289,DEALS!$V:$V,"&lt;&gt;*RECEIVED*",DEALS!$V:$V,"&lt;&gt;*EXECUTED*"))</f>
        <v>0</v>
      </c>
      <c r="G289" s="32" cm="1">
        <f t="array" ref="G289">SUMIFS(BALANCES!$C:$C,BALANCES!$A:$A,$B$275,BALANCES!$B:$B,$B289,BALANCES!$D:$D,G$279)+SUMIFS(FLOWS!$C:$C,FLOWS!$A:$A,$B$275,FLOWS!$E:$E,$B289,FLOWS!$D:$D,G$279,FLOWS!$H:$H,"&lt;"&amp;$C$277)+SUM(SUMIFS(DEALS!$J:$J,DEALS!$A:$A,{"*REFUND*","*EXECUTED*"},DEALS!$G:$G,$B$275,DEALS!$E:$E,"&lt;"&amp;$C$277,DEALS!$K:$K,G$279,DEALS!$M:$M,$B289,DEALS!$N:$N,"&lt;&gt;*RECEIVED*",DEALS!$N:$N,"&lt;&gt;*EXECUTED*"))+SUM(SUMIFS(DEALS!$R:$R,DEALS!$A:$A,{"*REFUND*","*EXECUTED*"},DEALS!$O:$O,$B$275,DEALS!$E:$E,"&lt;"&amp;$C$277,DEALS!$S:$S,G$279,DEALS!$U:$U,$B289,DEALS!$V:$V,"&lt;&gt;*RECEIVED*",DEALS!$V:$V,"&lt;&gt;*EXECUTED*"))</f>
        <v>0</v>
      </c>
      <c r="H289" s="32" cm="1">
        <f t="array" ref="H289">SUMIFS(BALANCES!$C:$C,BALANCES!$A:$A,$B$275,BALANCES!$B:$B,$B289,BALANCES!$D:$D,H$279)+SUMIFS(FLOWS!$C:$C,FLOWS!$A:$A,$B$275,FLOWS!$E:$E,$B289,FLOWS!$D:$D,H$279,FLOWS!$H:$H,"&lt;"&amp;$C$277)+SUM(SUMIFS(DEALS!$J:$J,DEALS!$A:$A,{"*REFUND*","*EXECUTED*"},DEALS!$G:$G,$B$275,DEALS!$E:$E,"&lt;"&amp;$C$277,DEALS!$K:$K,H$279,DEALS!$M:$M,$B289,DEALS!$N:$N,"&lt;&gt;*RECEIVED*",DEALS!$N:$N,"&lt;&gt;*EXECUTED*"))+SUM(SUMIFS(DEALS!$R:$R,DEALS!$A:$A,{"*REFUND*","*EXECUTED*"},DEALS!$O:$O,$B$275,DEALS!$E:$E,"&lt;"&amp;$C$277,DEALS!$S:$S,H$279,DEALS!$U:$U,$B289,DEALS!$V:$V,"&lt;&gt;*RECEIVED*",DEALS!$V:$V,"&lt;&gt;*EXECUTED*"))</f>
        <v>0</v>
      </c>
      <c r="I289" s="33">
        <f ca="1">C289*VLOOKUP(C$279,'FX RATES'!$E$1:$F$50,2,FALSE)+D289*VLOOKUP(D$279,'FX RATES'!$E$1:$F$50,2,FALSE)+E289*VLOOKUP(E$279,'FX RATES'!$E$1:$F$50,2,FALSE)+F289*VLOOKUP(F$279,'FX RATES'!$E$1:$F$50,2,FALSE)+G289*VLOOKUP(G$279,'FX RATES'!$E$1:$F$50,2,FALSE)+H289*VLOOKUP(H$279,'FX RATES'!$E$1:$F$50,2,FALSE)</f>
        <v>0</v>
      </c>
      <c r="K289" s="31">
        <f t="shared" si="114"/>
        <v>0</v>
      </c>
      <c r="L289" s="32" cm="1">
        <f t="array" ref="L289">SUMIFS(FLOWS!$C:$C,FLOWS!$A:$A,$B$275,FLOWS!$E:$E,$K289,FLOWS!$D:$D,L$279,FLOWS!$H:$H,"&gt;="&amp;$C$277,FLOWS!$H:$H,"&lt;="&amp;$U$277)+SUM(SUMIFS(DEALS!$J:$J,DEALS!$A:$A,{"*REFUND*","*EXECUTED*"},DEALS!$G:$G,$B$275,DEALS!$E:$E,"&gt;="&amp;$C$277,DEALS!$E:$E,"&lt;="&amp;$U$277,DEALS!$K:$K,L$279,DEALS!$M:$M,$K289,DEALS!$N:$N,"&lt;&gt;*RECEIVED*",DEALS!$N:$N,"&lt;&gt;*EXECUTED*"))+SUM(SUMIFS(DEALS!$R:$R,DEALS!$A:$A,{"*REFUND*","*EXECUTED*"},DEALS!$O:$O,$B$275,DEALS!$E:$E,"&gt;="&amp;$C$277,DEALS!$E:$E,"&lt;="&amp;$U$277,DEALS!$S:$S,L$279,DEALS!$U:$U,$K289,DEALS!$V:$V,"&lt;&gt;*RECEIVED*",DEALS!$V:$V,"&lt;&gt;*EXECUTED*"))</f>
        <v>0</v>
      </c>
      <c r="M289" s="32" cm="1">
        <f t="array" ref="M289">SUMIFS(FLOWS!$C:$C,FLOWS!$A:$A,$B$275,FLOWS!$E:$E,$K289,FLOWS!$D:$D,M$279,FLOWS!$H:$H,"&gt;="&amp;$C$277,FLOWS!$H:$H,"&lt;="&amp;$U$277)+SUM(SUMIFS(DEALS!$J:$J,DEALS!$A:$A,{"*REFUND*","*EXECUTED*"},DEALS!$G:$G,$B$275,DEALS!$E:$E,"&gt;="&amp;$C$277,DEALS!$E:$E,"&lt;="&amp;$U$277,DEALS!$K:$K,M$279,DEALS!$M:$M,$K289,DEALS!$N:$N,"&lt;&gt;*RECEIVED*",DEALS!$N:$N,"&lt;&gt;*EXECUTED*"))+SUM(SUMIFS(DEALS!$R:$R,DEALS!$A:$A,{"*REFUND*","*EXECUTED*"},DEALS!$O:$O,$B$275,DEALS!$E:$E,"&gt;="&amp;$C$277,DEALS!$E:$E,"&lt;="&amp;$U$277,DEALS!$S:$S,M$279,DEALS!$U:$U,$K289,DEALS!$V:$V,"&lt;&gt;*RECEIVED*",DEALS!$V:$V,"&lt;&gt;*EXECUTED*"))</f>
        <v>0</v>
      </c>
      <c r="N289" s="32" cm="1">
        <f t="array" ref="N289">SUMIFS(FLOWS!$C:$C,FLOWS!$A:$A,$B$275,FLOWS!$E:$E,$K289,FLOWS!$D:$D,N$279,FLOWS!$H:$H,"&gt;="&amp;$C$277,FLOWS!$H:$H,"&lt;="&amp;$U$277)+SUM(SUMIFS(DEALS!$J:$J,DEALS!$A:$A,{"*REFUND*","*EXECUTED*"},DEALS!$G:$G,$B$275,DEALS!$E:$E,"&gt;="&amp;$C$277,DEALS!$E:$E,"&lt;="&amp;$U$277,DEALS!$K:$K,N$279,DEALS!$M:$M,$K289,DEALS!$N:$N,"&lt;&gt;*RECEIVED*",DEALS!$N:$N,"&lt;&gt;*EXECUTED*"))+SUM(SUMIFS(DEALS!$R:$R,DEALS!$A:$A,{"*REFUND*","*EXECUTED*"},DEALS!$O:$O,$B$275,DEALS!$E:$E,"&gt;="&amp;$C$277,DEALS!$E:$E,"&lt;="&amp;$U$277,DEALS!$S:$S,N$279,DEALS!$U:$U,$K289,DEALS!$V:$V,"&lt;&gt;*RECEIVED*",DEALS!$V:$V,"&lt;&gt;*EXECUTED*"))</f>
        <v>0</v>
      </c>
      <c r="O289" s="32" cm="1">
        <f t="array" ref="O289">SUMIFS(FLOWS!$C:$C,FLOWS!$A:$A,$B$275,FLOWS!$E:$E,$K289,FLOWS!$D:$D,O$279,FLOWS!$H:$H,"&gt;="&amp;$C$277,FLOWS!$H:$H,"&lt;="&amp;$U$277)+SUM(SUMIFS(DEALS!$J:$J,DEALS!$A:$A,{"*REFUND*","*EXECUTED*"},DEALS!$G:$G,$B$275,DEALS!$E:$E,"&gt;="&amp;$C$277,DEALS!$E:$E,"&lt;="&amp;$U$277,DEALS!$K:$K,O$279,DEALS!$M:$M,$K289,DEALS!$N:$N,"&lt;&gt;*RECEIVED*",DEALS!$N:$N,"&lt;&gt;*EXECUTED*"))+SUM(SUMIFS(DEALS!$R:$R,DEALS!$A:$A,{"*REFUND*","*EXECUTED*"},DEALS!$O:$O,$B$275,DEALS!$E:$E,"&gt;="&amp;$C$277,DEALS!$E:$E,"&lt;="&amp;$U$277,DEALS!$S:$S,O$279,DEALS!$U:$U,$K289,DEALS!$V:$V,"&lt;&gt;*RECEIVED*",DEALS!$V:$V,"&lt;&gt;*EXECUTED*"))</f>
        <v>0</v>
      </c>
      <c r="P289" s="32" cm="1">
        <f t="array" ref="P289">SUMIFS(FLOWS!$C:$C,FLOWS!$A:$A,$B$275,FLOWS!$E:$E,$K289,FLOWS!$D:$D,P$279,FLOWS!$H:$H,"&gt;="&amp;$C$277,FLOWS!$H:$H,"&lt;="&amp;$U$277)+SUM(SUMIFS(DEALS!$J:$J,DEALS!$A:$A,{"*REFUND*","*EXECUTED*"},DEALS!$G:$G,$B$275,DEALS!$E:$E,"&gt;="&amp;$C$277,DEALS!$E:$E,"&lt;="&amp;$U$277,DEALS!$K:$K,P$279,DEALS!$M:$M,$K289,DEALS!$N:$N,"&lt;&gt;*RECEIVED*",DEALS!$N:$N,"&lt;&gt;*EXECUTED*"))+SUM(SUMIFS(DEALS!$R:$R,DEALS!$A:$A,{"*REFUND*","*EXECUTED*"},DEALS!$O:$O,$B$275,DEALS!$E:$E,"&gt;="&amp;$C$277,DEALS!$E:$E,"&lt;="&amp;$U$277,DEALS!$S:$S,P$279,DEALS!$U:$U,$K289,DEALS!$V:$V,"&lt;&gt;*RECEIVED*",DEALS!$V:$V,"&lt;&gt;*EXECUTED*"))</f>
        <v>0</v>
      </c>
      <c r="Q289" s="32" cm="1">
        <f t="array" ref="Q289">SUMIFS(FLOWS!$C:$C,FLOWS!$A:$A,$B$275,FLOWS!$E:$E,$K289,FLOWS!$D:$D,Q$279,FLOWS!$H:$H,"&gt;="&amp;$C$277,FLOWS!$H:$H,"&lt;="&amp;$U$277)+SUM(SUMIFS(DEALS!$J:$J,DEALS!$A:$A,{"*REFUND*","*EXECUTED*"},DEALS!$G:$G,$B$275,DEALS!$E:$E,"&gt;="&amp;$C$277,DEALS!$E:$E,"&lt;="&amp;$U$277,DEALS!$K:$K,Q$279,DEALS!$M:$M,$K289,DEALS!$N:$N,"&lt;&gt;*RECEIVED*",DEALS!$N:$N,"&lt;&gt;*EXECUTED*"))+SUM(SUMIFS(DEALS!$R:$R,DEALS!$A:$A,{"*REFUND*","*EXECUTED*"},DEALS!$O:$O,$B$275,DEALS!$E:$E,"&gt;="&amp;$C$277,DEALS!$E:$E,"&lt;="&amp;$U$277,DEALS!$S:$S,Q$279,DEALS!$U:$U,$K289,DEALS!$V:$V,"&lt;&gt;*RECEIVED*",DEALS!$V:$V,"&lt;&gt;*EXECUTED*"))</f>
        <v>0</v>
      </c>
      <c r="R289" s="33">
        <f ca="1">L289*VLOOKUP(L$279,'FX RATES'!$E$1:$F$50,2,FALSE)+M289*VLOOKUP(M$279,'FX RATES'!$E$1:$F$50,2,FALSE)+N289*VLOOKUP(N$279,'FX RATES'!$E$1:$F$50,2,FALSE)+O289*VLOOKUP(O$279,'FX RATES'!$E$1:$F$50,2,FALSE)+P289*VLOOKUP(P$279,'FX RATES'!$E$1:$F$50,2,FALSE)+Q289*VLOOKUP(Q$279,'FX RATES'!$E$1:$F$50,2,FALSE)</f>
        <v>0</v>
      </c>
      <c r="T289" s="31">
        <f t="shared" si="115"/>
        <v>0</v>
      </c>
      <c r="U289" s="32" cm="1">
        <f t="array" ref="U289">SUMIFS(BALANCES!$C:$C,BALANCES!$A:$A,$B$275,BALANCES!$B:$B,$T289,BALANCES!$D:$D,U$279)+SUMIFS(FLOWS!$C:$C,FLOWS!$A:$A,$B$275,FLOWS!$E:$E,$T289,FLOWS!$D:$D,U$279,FLOWS!$H:$H,"&lt;="&amp;$U$277)+SUM(SUMIFS(DEALS!$J:$J,DEALS!$A:$A,{"*REFUND*","*EXECUTED*"},DEALS!$G:$G,$B$275,DEALS!$E:$E,"&lt;="&amp;$U$277,DEALS!$K:$K,U$279,DEALS!$M:$M,$T289,DEALS!$N:$N,"&lt;&gt;*RECEIVED*",DEALS!$N:$N,"&lt;&gt;*EXECUTED*"))+SUM(SUMIFS(DEALS!$R:$R,DEALS!$A:$A,{"*REFUND*","*EXECUTED*"},DEALS!$O:$O,$B$275,DEALS!$E:$E,"&lt;="&amp;$U$277,DEALS!$S:$S,U$279,DEALS!$U:$U,$T289,DEALS!$V:$V,"&lt;&gt;*RECEIVED*",DEALS!$V:$V,"&lt;&gt;*EXECUTED*"))</f>
        <v>0</v>
      </c>
      <c r="V289" s="32" cm="1">
        <f t="array" ref="V289">SUMIFS(BALANCES!$C:$C,BALANCES!$A:$A,$B$275,BALANCES!$B:$B,$T289,BALANCES!$D:$D,V$279)+SUMIFS(FLOWS!$C:$C,FLOWS!$A:$A,$B$275,FLOWS!$E:$E,$T289,FLOWS!$D:$D,V$279,FLOWS!$H:$H,"&lt;="&amp;$U$277)+SUM(SUMIFS(DEALS!$J:$J,DEALS!$A:$A,{"*REFUND*","*EXECUTED*"},DEALS!$G:$G,$B$275,DEALS!$E:$E,"&lt;="&amp;$U$277,DEALS!$K:$K,V$279,DEALS!$M:$M,$T289,DEALS!$N:$N,"&lt;&gt;*RECEIVED*",DEALS!$N:$N,"&lt;&gt;*EXECUTED*"))+SUM(SUMIFS(DEALS!$R:$R,DEALS!$A:$A,{"*REFUND*","*EXECUTED*"},DEALS!$O:$O,$B$275,DEALS!$E:$E,"&lt;="&amp;$U$277,DEALS!$S:$S,V$279,DEALS!$U:$U,$T289,DEALS!$V:$V,"&lt;&gt;*RECEIVED*",DEALS!$V:$V,"&lt;&gt;*EXECUTED*"))</f>
        <v>0</v>
      </c>
      <c r="W289" s="32" cm="1">
        <f t="array" ref="W289">SUMIFS(BALANCES!$C:$C,BALANCES!$A:$A,$B$275,BALANCES!$B:$B,$T289,BALANCES!$D:$D,W$279)+SUMIFS(FLOWS!$C:$C,FLOWS!$A:$A,$B$275,FLOWS!$E:$E,$T289,FLOWS!$D:$D,W$279,FLOWS!$H:$H,"&lt;="&amp;$U$277)+SUM(SUMIFS(DEALS!$J:$J,DEALS!$A:$A,{"*REFUND*","*EXECUTED*"},DEALS!$G:$G,$B$275,DEALS!$E:$E,"&lt;="&amp;$U$277,DEALS!$K:$K,W$279,DEALS!$M:$M,$T289,DEALS!$N:$N,"&lt;&gt;*RECEIVED*",DEALS!$N:$N,"&lt;&gt;*EXECUTED*"))+SUM(SUMIFS(DEALS!$R:$R,DEALS!$A:$A,{"*REFUND*","*EXECUTED*"},DEALS!$O:$O,$B$275,DEALS!$E:$E,"&lt;="&amp;$U$277,DEALS!$S:$S,W$279,DEALS!$U:$U,$T289,DEALS!$V:$V,"&lt;&gt;*RECEIVED*",DEALS!$V:$V,"&lt;&gt;*EXECUTED*"))</f>
        <v>0</v>
      </c>
      <c r="X289" s="32" cm="1">
        <f t="array" ref="X289">SUMIFS(BALANCES!$C:$C,BALANCES!$A:$A,$B$275,BALANCES!$B:$B,$T289,BALANCES!$D:$D,X$279)+SUMIFS(FLOWS!$C:$C,FLOWS!$A:$A,$B$275,FLOWS!$E:$E,$T289,FLOWS!$D:$D,X$279,FLOWS!$H:$H,"&lt;="&amp;$U$277)+SUM(SUMIFS(DEALS!$J:$J,DEALS!$A:$A,{"*REFUND*","*EXECUTED*"},DEALS!$G:$G,$B$275,DEALS!$E:$E,"&lt;="&amp;$U$277,DEALS!$K:$K,X$279,DEALS!$M:$M,$T289,DEALS!$N:$N,"&lt;&gt;*RECEIVED*",DEALS!$N:$N,"&lt;&gt;*EXECUTED*"))+SUM(SUMIFS(DEALS!$R:$R,DEALS!$A:$A,{"*REFUND*","*EXECUTED*"},DEALS!$O:$O,$B$275,DEALS!$E:$E,"&lt;="&amp;$U$277,DEALS!$S:$S,X$279,DEALS!$U:$U,$T289,DEALS!$V:$V,"&lt;&gt;*RECEIVED*",DEALS!$V:$V,"&lt;&gt;*EXECUTED*"))</f>
        <v>0</v>
      </c>
      <c r="Y289" s="32" cm="1">
        <f t="array" ref="Y289">SUMIFS(BALANCES!$C:$C,BALANCES!$A:$A,$B$275,BALANCES!$B:$B,$T289,BALANCES!$D:$D,Y$279)+SUMIFS(FLOWS!$C:$C,FLOWS!$A:$A,$B$275,FLOWS!$E:$E,$T289,FLOWS!$D:$D,Y$279,FLOWS!$H:$H,"&lt;="&amp;$U$277)+SUM(SUMIFS(DEALS!$J:$J,DEALS!$A:$A,{"*REFUND*","*EXECUTED*"},DEALS!$G:$G,$B$275,DEALS!$E:$E,"&lt;="&amp;$U$277,DEALS!$K:$K,Y$279,DEALS!$M:$M,$T289,DEALS!$N:$N,"&lt;&gt;*RECEIVED*",DEALS!$N:$N,"&lt;&gt;*EXECUTED*"))+SUM(SUMIFS(DEALS!$R:$R,DEALS!$A:$A,{"*REFUND*","*EXECUTED*"},DEALS!$O:$O,$B$275,DEALS!$E:$E,"&lt;="&amp;$U$277,DEALS!$S:$S,Y$279,DEALS!$U:$U,$T289,DEALS!$V:$V,"&lt;&gt;*RECEIVED*",DEALS!$V:$V,"&lt;&gt;*EXECUTED*"))</f>
        <v>0</v>
      </c>
      <c r="Z289" s="32" cm="1">
        <f t="array" ref="Z289">SUMIFS(BALANCES!$C:$C,BALANCES!$A:$A,$B$275,BALANCES!$B:$B,$T289,BALANCES!$D:$D,Z$279)+SUMIFS(FLOWS!$C:$C,FLOWS!$A:$A,$B$275,FLOWS!$E:$E,$T289,FLOWS!$D:$D,Z$279,FLOWS!$H:$H,"&lt;="&amp;$U$277)+SUM(SUMIFS(DEALS!$J:$J,DEALS!$A:$A,{"*REFUND*","*EXECUTED*"},DEALS!$G:$G,$B$275,DEALS!$E:$E,"&lt;="&amp;$U$277,DEALS!$K:$K,Z$279,DEALS!$M:$M,$T289,DEALS!$N:$N,"&lt;&gt;*RECEIVED*",DEALS!$N:$N,"&lt;&gt;*EXECUTED*"))+SUM(SUMIFS(DEALS!$R:$R,DEALS!$A:$A,{"*REFUND*","*EXECUTED*"},DEALS!$O:$O,$B$275,DEALS!$E:$E,"&lt;="&amp;$U$277,DEALS!$S:$S,Z$279,DEALS!$U:$U,$T289,DEALS!$V:$V,"&lt;&gt;*RECEIVED*",DEALS!$V:$V,"&lt;&gt;*EXECUTED*"))</f>
        <v>0</v>
      </c>
      <c r="AA289" s="33">
        <f ca="1">U289*VLOOKUP(U$279,'FX RATES'!$E$1:$F$50,2,FALSE)+V289*VLOOKUP(V$279,'FX RATES'!$E$1:$F$50,2,FALSE)+W289*VLOOKUP(W$279,'FX RATES'!$E$1:$F$50,2,FALSE)+X289*VLOOKUP(X$279,'FX RATES'!$E$1:$F$50,2,FALSE)+Y289*VLOOKUP(Y$279,'FX RATES'!$E$1:$F$50,2,FALSE)+Z289*VLOOKUP(Z$279,'FX RATES'!$E$1:$F$50,2,FALSE)</f>
        <v>0</v>
      </c>
      <c r="AC289" s="139">
        <f t="shared" ca="1" si="116"/>
        <v>0</v>
      </c>
    </row>
    <row r="290" spans="2:29" ht="19" hidden="1">
      <c r="B290" s="28"/>
      <c r="C290" s="29" cm="1">
        <f t="array" ref="C290">SUMIFS(BALANCES!$C:$C,BALANCES!$A:$A,$B$275,BALANCES!$B:$B,$B290,BALANCES!$D:$D,C$279)+SUMIFS(FLOWS!$C:$C,FLOWS!$A:$A,$B$275,FLOWS!$E:$E,$B290,FLOWS!$D:$D,C$279,FLOWS!$H:$H,"&lt;"&amp;$C$277)+SUM(SUMIFS(DEALS!$J:$J,DEALS!$A:$A,{"*REFUND*","*EXECUTED*"},DEALS!$G:$G,$B$275,DEALS!$E:$E,"&lt;"&amp;$C$277,DEALS!$K:$K,C$279,DEALS!$M:$M,$B290,DEALS!$N:$N,"&lt;&gt;*RECEIVED*",DEALS!$N:$N,"&lt;&gt;*EXECUTED*"))+SUM(SUMIFS(DEALS!$R:$R,DEALS!$A:$A,{"*REFUND*","*EXECUTED*"},DEALS!$O:$O,$B$275,DEALS!$E:$E,"&lt;"&amp;$C$277,DEALS!$S:$S,C$279,DEALS!$U:$U,$B290,DEALS!$V:$V,"&lt;&gt;*RECEIVED*",DEALS!$V:$V,"&lt;&gt;*EXECUTED*"))</f>
        <v>0</v>
      </c>
      <c r="D290" s="29" cm="1">
        <f t="array" ref="D290">SUMIFS(BALANCES!$C:$C,BALANCES!$A:$A,$B$275,BALANCES!$B:$B,$B290,BALANCES!$D:$D,D$279)+SUMIFS(FLOWS!$C:$C,FLOWS!$A:$A,$B$275,FLOWS!$E:$E,$B290,FLOWS!$D:$D,D$279,FLOWS!$H:$H,"&lt;"&amp;$C$277)+SUM(SUMIFS(DEALS!$J:$J,DEALS!$A:$A,{"*REFUND*","*EXECUTED*"},DEALS!$G:$G,$B$275,DEALS!$E:$E,"&lt;"&amp;$C$277,DEALS!$K:$K,D$279,DEALS!$M:$M,$B290,DEALS!$N:$N,"&lt;&gt;*RECEIVED*",DEALS!$N:$N,"&lt;&gt;*EXECUTED*"))+SUM(SUMIFS(DEALS!$R:$R,DEALS!$A:$A,{"*REFUND*","*EXECUTED*"},DEALS!$O:$O,$B$275,DEALS!$E:$E,"&lt;"&amp;$C$277,DEALS!$S:$S,D$279,DEALS!$U:$U,$B290,DEALS!$V:$V,"&lt;&gt;*RECEIVED*",DEALS!$V:$V,"&lt;&gt;*EXECUTED*"))</f>
        <v>0</v>
      </c>
      <c r="E290" s="29" cm="1">
        <f t="array" ref="E290">SUMIFS(BALANCES!$C:$C,BALANCES!$A:$A,$B$275,BALANCES!$B:$B,$B290,BALANCES!$D:$D,E$279)+SUMIFS(FLOWS!$C:$C,FLOWS!$A:$A,$B$275,FLOWS!$E:$E,$B290,FLOWS!$D:$D,E$279,FLOWS!$H:$H,"&lt;"&amp;$C$277)+SUM(SUMIFS(DEALS!$J:$J,DEALS!$A:$A,{"*REFUND*","*EXECUTED*"},DEALS!$G:$G,$B$275,DEALS!$E:$E,"&lt;"&amp;$C$277,DEALS!$K:$K,E$279,DEALS!$M:$M,$B290,DEALS!$N:$N,"&lt;&gt;*RECEIVED*",DEALS!$N:$N,"&lt;&gt;*EXECUTED*"))+SUM(SUMIFS(DEALS!$R:$R,DEALS!$A:$A,{"*REFUND*","*EXECUTED*"},DEALS!$O:$O,$B$275,DEALS!$E:$E,"&lt;"&amp;$C$277,DEALS!$S:$S,E$279,DEALS!$U:$U,$B290,DEALS!$V:$V,"&lt;&gt;*RECEIVED*",DEALS!$V:$V,"&lt;&gt;*EXECUTED*"))</f>
        <v>0</v>
      </c>
      <c r="F290" s="29" cm="1">
        <f t="array" ref="F290">SUMIFS(BALANCES!$C:$C,BALANCES!$A:$A,$B$275,BALANCES!$B:$B,$B290,BALANCES!$D:$D,F$279)+SUMIFS(FLOWS!$C:$C,FLOWS!$A:$A,$B$275,FLOWS!$E:$E,$B290,FLOWS!$D:$D,F$279,FLOWS!$H:$H,"&lt;"&amp;$C$277)+SUM(SUMIFS(DEALS!$J:$J,DEALS!$A:$A,{"*REFUND*","*EXECUTED*"},DEALS!$G:$G,$B$275,DEALS!$E:$E,"&lt;"&amp;$C$277,DEALS!$K:$K,F$279,DEALS!$M:$M,$B290,DEALS!$N:$N,"&lt;&gt;*RECEIVED*",DEALS!$N:$N,"&lt;&gt;*EXECUTED*"))+SUM(SUMIFS(DEALS!$R:$R,DEALS!$A:$A,{"*REFUND*","*EXECUTED*"},DEALS!$O:$O,$B$275,DEALS!$E:$E,"&lt;"&amp;$C$277,DEALS!$S:$S,F$279,DEALS!$U:$U,$B290,DEALS!$V:$V,"&lt;&gt;*RECEIVED*",DEALS!$V:$V,"&lt;&gt;*EXECUTED*"))</f>
        <v>0</v>
      </c>
      <c r="G290" s="29" cm="1">
        <f t="array" ref="G290">SUMIFS(BALANCES!$C:$C,BALANCES!$A:$A,$B$275,BALANCES!$B:$B,$B290,BALANCES!$D:$D,G$279)+SUMIFS(FLOWS!$C:$C,FLOWS!$A:$A,$B$275,FLOWS!$E:$E,$B290,FLOWS!$D:$D,G$279,FLOWS!$H:$H,"&lt;"&amp;$C$277)+SUM(SUMIFS(DEALS!$J:$J,DEALS!$A:$A,{"*REFUND*","*EXECUTED*"},DEALS!$G:$G,$B$275,DEALS!$E:$E,"&lt;"&amp;$C$277,DEALS!$K:$K,G$279,DEALS!$M:$M,$B290,DEALS!$N:$N,"&lt;&gt;*RECEIVED*",DEALS!$N:$N,"&lt;&gt;*EXECUTED*"))+SUM(SUMIFS(DEALS!$R:$R,DEALS!$A:$A,{"*REFUND*","*EXECUTED*"},DEALS!$O:$O,$B$275,DEALS!$E:$E,"&lt;"&amp;$C$277,DEALS!$S:$S,G$279,DEALS!$U:$U,$B290,DEALS!$V:$V,"&lt;&gt;*RECEIVED*",DEALS!$V:$V,"&lt;&gt;*EXECUTED*"))</f>
        <v>0</v>
      </c>
      <c r="H290" s="29" cm="1">
        <f t="array" ref="H290">SUMIFS(BALANCES!$C:$C,BALANCES!$A:$A,$B$275,BALANCES!$B:$B,$B290,BALANCES!$D:$D,H$279)+SUMIFS(FLOWS!$C:$C,FLOWS!$A:$A,$B$275,FLOWS!$E:$E,$B290,FLOWS!$D:$D,H$279,FLOWS!$H:$H,"&lt;"&amp;$C$277)+SUM(SUMIFS(DEALS!$J:$J,DEALS!$A:$A,{"*REFUND*","*EXECUTED*"},DEALS!$G:$G,$B$275,DEALS!$E:$E,"&lt;"&amp;$C$277,DEALS!$K:$K,H$279,DEALS!$M:$M,$B290,DEALS!$N:$N,"&lt;&gt;*RECEIVED*",DEALS!$N:$N,"&lt;&gt;*EXECUTED*"))+SUM(SUMIFS(DEALS!$R:$R,DEALS!$A:$A,{"*REFUND*","*EXECUTED*"},DEALS!$O:$O,$B$275,DEALS!$E:$E,"&lt;"&amp;$C$277,DEALS!$S:$S,H$279,DEALS!$U:$U,$B290,DEALS!$V:$V,"&lt;&gt;*RECEIVED*",DEALS!$V:$V,"&lt;&gt;*EXECUTED*"))</f>
        <v>0</v>
      </c>
      <c r="I290" s="30">
        <f ca="1">C290*VLOOKUP(C$279,'FX RATES'!$E$1:$F$50,2,FALSE)+D290*VLOOKUP(D$279,'FX RATES'!$E$1:$F$50,2,FALSE)+E290*VLOOKUP(E$279,'FX RATES'!$E$1:$F$50,2,FALSE)+F290*VLOOKUP(F$279,'FX RATES'!$E$1:$F$50,2,FALSE)+G290*VLOOKUP(G$279,'FX RATES'!$E$1:$F$50,2,FALSE)+H290*VLOOKUP(H$279,'FX RATES'!$E$1:$F$50,2,FALSE)</f>
        <v>0</v>
      </c>
      <c r="K290" s="28">
        <f t="shared" si="114"/>
        <v>0</v>
      </c>
      <c r="L290" s="29" cm="1">
        <f t="array" ref="L290">SUMIFS(FLOWS!$C:$C,FLOWS!$A:$A,$B$275,FLOWS!$E:$E,$K290,FLOWS!$D:$D,L$279,FLOWS!$H:$H,"&gt;="&amp;$C$277,FLOWS!$H:$H,"&lt;="&amp;$U$277)+SUM(SUMIFS(DEALS!$J:$J,DEALS!$A:$A,{"*REFUND*","*EXECUTED*"},DEALS!$G:$G,$B$275,DEALS!$E:$E,"&gt;="&amp;$C$277,DEALS!$E:$E,"&lt;="&amp;$U$277,DEALS!$K:$K,L$279,DEALS!$M:$M,$K290,DEALS!$N:$N,"&lt;&gt;*RECEIVED*",DEALS!$N:$N,"&lt;&gt;*EXECUTED*"))+SUM(SUMIFS(DEALS!$R:$R,DEALS!$A:$A,{"*REFUND*","*EXECUTED*"},DEALS!$O:$O,$B$275,DEALS!$E:$E,"&gt;="&amp;$C$277,DEALS!$E:$E,"&lt;="&amp;$U$277,DEALS!$S:$S,L$279,DEALS!$U:$U,$K290,DEALS!$V:$V,"&lt;&gt;*RECEIVED*",DEALS!$V:$V,"&lt;&gt;*EXECUTED*"))</f>
        <v>0</v>
      </c>
      <c r="M290" s="29" cm="1">
        <f t="array" ref="M290">SUMIFS(FLOWS!$C:$C,FLOWS!$A:$A,$B$275,FLOWS!$E:$E,$K290,FLOWS!$D:$D,M$279,FLOWS!$H:$H,"&gt;="&amp;$C$277,FLOWS!$H:$H,"&lt;="&amp;$U$277)+SUM(SUMIFS(DEALS!$J:$J,DEALS!$A:$A,{"*REFUND*","*EXECUTED*"},DEALS!$G:$G,$B$275,DEALS!$E:$E,"&gt;="&amp;$C$277,DEALS!$E:$E,"&lt;="&amp;$U$277,DEALS!$K:$K,M$279,DEALS!$M:$M,$K290,DEALS!$N:$N,"&lt;&gt;*RECEIVED*",DEALS!$N:$N,"&lt;&gt;*EXECUTED*"))+SUM(SUMIFS(DEALS!$R:$R,DEALS!$A:$A,{"*REFUND*","*EXECUTED*"},DEALS!$O:$O,$B$275,DEALS!$E:$E,"&gt;="&amp;$C$277,DEALS!$E:$E,"&lt;="&amp;$U$277,DEALS!$S:$S,M$279,DEALS!$U:$U,$K290,DEALS!$V:$V,"&lt;&gt;*RECEIVED*",DEALS!$V:$V,"&lt;&gt;*EXECUTED*"))</f>
        <v>0</v>
      </c>
      <c r="N290" s="29" cm="1">
        <f t="array" ref="N290">SUMIFS(FLOWS!$C:$C,FLOWS!$A:$A,$B$275,FLOWS!$E:$E,$K290,FLOWS!$D:$D,N$279,FLOWS!$H:$H,"&gt;="&amp;$C$277,FLOWS!$H:$H,"&lt;="&amp;$U$277)+SUM(SUMIFS(DEALS!$J:$J,DEALS!$A:$A,{"*REFUND*","*EXECUTED*"},DEALS!$G:$G,$B$275,DEALS!$E:$E,"&gt;="&amp;$C$277,DEALS!$E:$E,"&lt;="&amp;$U$277,DEALS!$K:$K,N$279,DEALS!$M:$M,$K290,DEALS!$N:$N,"&lt;&gt;*RECEIVED*",DEALS!$N:$N,"&lt;&gt;*EXECUTED*"))+SUM(SUMIFS(DEALS!$R:$R,DEALS!$A:$A,{"*REFUND*","*EXECUTED*"},DEALS!$O:$O,$B$275,DEALS!$E:$E,"&gt;="&amp;$C$277,DEALS!$E:$E,"&lt;="&amp;$U$277,DEALS!$S:$S,N$279,DEALS!$U:$U,$K290,DEALS!$V:$V,"&lt;&gt;*RECEIVED*",DEALS!$V:$V,"&lt;&gt;*EXECUTED*"))</f>
        <v>0</v>
      </c>
      <c r="O290" s="29" cm="1">
        <f t="array" ref="O290">SUMIFS(FLOWS!$C:$C,FLOWS!$A:$A,$B$275,FLOWS!$E:$E,$K290,FLOWS!$D:$D,O$279,FLOWS!$H:$H,"&gt;="&amp;$C$277,FLOWS!$H:$H,"&lt;="&amp;$U$277)+SUM(SUMIFS(DEALS!$J:$J,DEALS!$A:$A,{"*REFUND*","*EXECUTED*"},DEALS!$G:$G,$B$275,DEALS!$E:$E,"&gt;="&amp;$C$277,DEALS!$E:$E,"&lt;="&amp;$U$277,DEALS!$K:$K,O$279,DEALS!$M:$M,$K290,DEALS!$N:$N,"&lt;&gt;*RECEIVED*",DEALS!$N:$N,"&lt;&gt;*EXECUTED*"))+SUM(SUMIFS(DEALS!$R:$R,DEALS!$A:$A,{"*REFUND*","*EXECUTED*"},DEALS!$O:$O,$B$275,DEALS!$E:$E,"&gt;="&amp;$C$277,DEALS!$E:$E,"&lt;="&amp;$U$277,DEALS!$S:$S,O$279,DEALS!$U:$U,$K290,DEALS!$V:$V,"&lt;&gt;*RECEIVED*",DEALS!$V:$V,"&lt;&gt;*EXECUTED*"))</f>
        <v>0</v>
      </c>
      <c r="P290" s="29" cm="1">
        <f t="array" ref="P290">SUMIFS(FLOWS!$C:$C,FLOWS!$A:$A,$B$275,FLOWS!$E:$E,$K290,FLOWS!$D:$D,P$279,FLOWS!$H:$H,"&gt;="&amp;$C$277,FLOWS!$H:$H,"&lt;="&amp;$U$277)+SUM(SUMIFS(DEALS!$J:$J,DEALS!$A:$A,{"*REFUND*","*EXECUTED*"},DEALS!$G:$G,$B$275,DEALS!$E:$E,"&gt;="&amp;$C$277,DEALS!$E:$E,"&lt;="&amp;$U$277,DEALS!$K:$K,P$279,DEALS!$M:$M,$K290,DEALS!$N:$N,"&lt;&gt;*RECEIVED*",DEALS!$N:$N,"&lt;&gt;*EXECUTED*"))+SUM(SUMIFS(DEALS!$R:$R,DEALS!$A:$A,{"*REFUND*","*EXECUTED*"},DEALS!$O:$O,$B$275,DEALS!$E:$E,"&gt;="&amp;$C$277,DEALS!$E:$E,"&lt;="&amp;$U$277,DEALS!$S:$S,P$279,DEALS!$U:$U,$K290,DEALS!$V:$V,"&lt;&gt;*RECEIVED*",DEALS!$V:$V,"&lt;&gt;*EXECUTED*"))</f>
        <v>0</v>
      </c>
      <c r="Q290" s="29" cm="1">
        <f t="array" ref="Q290">SUMIFS(FLOWS!$C:$C,FLOWS!$A:$A,$B$275,FLOWS!$E:$E,$K290,FLOWS!$D:$D,Q$279,FLOWS!$H:$H,"&gt;="&amp;$C$277,FLOWS!$H:$H,"&lt;="&amp;$U$277)+SUM(SUMIFS(DEALS!$J:$J,DEALS!$A:$A,{"*REFUND*","*EXECUTED*"},DEALS!$G:$G,$B$275,DEALS!$E:$E,"&gt;="&amp;$C$277,DEALS!$E:$E,"&lt;="&amp;$U$277,DEALS!$K:$K,Q$279,DEALS!$M:$M,$K290,DEALS!$N:$N,"&lt;&gt;*RECEIVED*",DEALS!$N:$N,"&lt;&gt;*EXECUTED*"))+SUM(SUMIFS(DEALS!$R:$R,DEALS!$A:$A,{"*REFUND*","*EXECUTED*"},DEALS!$O:$O,$B$275,DEALS!$E:$E,"&gt;="&amp;$C$277,DEALS!$E:$E,"&lt;="&amp;$U$277,DEALS!$S:$S,Q$279,DEALS!$U:$U,$K290,DEALS!$V:$V,"&lt;&gt;*RECEIVED*",DEALS!$V:$V,"&lt;&gt;*EXECUTED*"))</f>
        <v>0</v>
      </c>
      <c r="R290" s="30">
        <f ca="1">L290*VLOOKUP(L$279,'FX RATES'!$E$1:$F$50,2,FALSE)+M290*VLOOKUP(M$279,'FX RATES'!$E$1:$F$50,2,FALSE)+N290*VLOOKUP(N$279,'FX RATES'!$E$1:$F$50,2,FALSE)+O290*VLOOKUP(O$279,'FX RATES'!$E$1:$F$50,2,FALSE)+P290*VLOOKUP(P$279,'FX RATES'!$E$1:$F$50,2,FALSE)+Q290*VLOOKUP(Q$279,'FX RATES'!$E$1:$F$50,2,FALSE)</f>
        <v>0</v>
      </c>
      <c r="T290" s="28">
        <f t="shared" si="115"/>
        <v>0</v>
      </c>
      <c r="U290" s="29" cm="1">
        <f t="array" ref="U290">SUMIFS(BALANCES!$C:$C,BALANCES!$A:$A,$B$275,BALANCES!$B:$B,$T290,BALANCES!$D:$D,U$279)+SUMIFS(FLOWS!$C:$C,FLOWS!$A:$A,$B$275,FLOWS!$E:$E,$T290,FLOWS!$D:$D,U$279,FLOWS!$H:$H,"&lt;="&amp;$U$277)+SUM(SUMIFS(DEALS!$J:$J,DEALS!$A:$A,{"*REFUND*","*EXECUTED*"},DEALS!$G:$G,$B$275,DEALS!$E:$E,"&lt;="&amp;$U$277,DEALS!$K:$K,U$279,DEALS!$M:$M,$T290,DEALS!$N:$N,"&lt;&gt;*RECEIVED*",DEALS!$N:$N,"&lt;&gt;*EXECUTED*"))+SUM(SUMIFS(DEALS!$R:$R,DEALS!$A:$A,{"*REFUND*","*EXECUTED*"},DEALS!$O:$O,$B$275,DEALS!$E:$E,"&lt;="&amp;$U$277,DEALS!$S:$S,U$279,DEALS!$U:$U,$T290,DEALS!$V:$V,"&lt;&gt;*RECEIVED*",DEALS!$V:$V,"&lt;&gt;*EXECUTED*"))</f>
        <v>0</v>
      </c>
      <c r="V290" s="29" cm="1">
        <f t="array" ref="V290">SUMIFS(BALANCES!$C:$C,BALANCES!$A:$A,$B$275,BALANCES!$B:$B,$T290,BALANCES!$D:$D,V$279)+SUMIFS(FLOWS!$C:$C,FLOWS!$A:$A,$B$275,FLOWS!$E:$E,$T290,FLOWS!$D:$D,V$279,FLOWS!$H:$H,"&lt;="&amp;$U$277)+SUM(SUMIFS(DEALS!$J:$J,DEALS!$A:$A,{"*REFUND*","*EXECUTED*"},DEALS!$G:$G,$B$275,DEALS!$E:$E,"&lt;="&amp;$U$277,DEALS!$K:$K,V$279,DEALS!$M:$M,$T290,DEALS!$N:$N,"&lt;&gt;*RECEIVED*",DEALS!$N:$N,"&lt;&gt;*EXECUTED*"))+SUM(SUMIFS(DEALS!$R:$R,DEALS!$A:$A,{"*REFUND*","*EXECUTED*"},DEALS!$O:$O,$B$275,DEALS!$E:$E,"&lt;="&amp;$U$277,DEALS!$S:$S,V$279,DEALS!$U:$U,$T290,DEALS!$V:$V,"&lt;&gt;*RECEIVED*",DEALS!$V:$V,"&lt;&gt;*EXECUTED*"))</f>
        <v>0</v>
      </c>
      <c r="W290" s="29" cm="1">
        <f t="array" ref="W290">SUMIFS(BALANCES!$C:$C,BALANCES!$A:$A,$B$275,BALANCES!$B:$B,$T290,BALANCES!$D:$D,W$279)+SUMIFS(FLOWS!$C:$C,FLOWS!$A:$A,$B$275,FLOWS!$E:$E,$T290,FLOWS!$D:$D,W$279,FLOWS!$H:$H,"&lt;="&amp;$U$277)+SUM(SUMIFS(DEALS!$J:$J,DEALS!$A:$A,{"*REFUND*","*EXECUTED*"},DEALS!$G:$G,$B$275,DEALS!$E:$E,"&lt;="&amp;$U$277,DEALS!$K:$K,W$279,DEALS!$M:$M,$T290,DEALS!$N:$N,"&lt;&gt;*RECEIVED*",DEALS!$N:$N,"&lt;&gt;*EXECUTED*"))+SUM(SUMIFS(DEALS!$R:$R,DEALS!$A:$A,{"*REFUND*","*EXECUTED*"},DEALS!$O:$O,$B$275,DEALS!$E:$E,"&lt;="&amp;$U$277,DEALS!$S:$S,W$279,DEALS!$U:$U,$T290,DEALS!$V:$V,"&lt;&gt;*RECEIVED*",DEALS!$V:$V,"&lt;&gt;*EXECUTED*"))</f>
        <v>0</v>
      </c>
      <c r="X290" s="29" cm="1">
        <f t="array" ref="X290">SUMIFS(BALANCES!$C:$C,BALANCES!$A:$A,$B$275,BALANCES!$B:$B,$T290,BALANCES!$D:$D,X$279)+SUMIFS(FLOWS!$C:$C,FLOWS!$A:$A,$B$275,FLOWS!$E:$E,$T290,FLOWS!$D:$D,X$279,FLOWS!$H:$H,"&lt;="&amp;$U$277)+SUM(SUMIFS(DEALS!$J:$J,DEALS!$A:$A,{"*REFUND*","*EXECUTED*"},DEALS!$G:$G,$B$275,DEALS!$E:$E,"&lt;="&amp;$U$277,DEALS!$K:$K,X$279,DEALS!$M:$M,$T290,DEALS!$N:$N,"&lt;&gt;*RECEIVED*",DEALS!$N:$N,"&lt;&gt;*EXECUTED*"))+SUM(SUMIFS(DEALS!$R:$R,DEALS!$A:$A,{"*REFUND*","*EXECUTED*"},DEALS!$O:$O,$B$275,DEALS!$E:$E,"&lt;="&amp;$U$277,DEALS!$S:$S,X$279,DEALS!$U:$U,$T290,DEALS!$V:$V,"&lt;&gt;*RECEIVED*",DEALS!$V:$V,"&lt;&gt;*EXECUTED*"))</f>
        <v>0</v>
      </c>
      <c r="Y290" s="29" cm="1">
        <f t="array" ref="Y290">SUMIFS(BALANCES!$C:$C,BALANCES!$A:$A,$B$275,BALANCES!$B:$B,$T290,BALANCES!$D:$D,Y$279)+SUMIFS(FLOWS!$C:$C,FLOWS!$A:$A,$B$275,FLOWS!$E:$E,$T290,FLOWS!$D:$D,Y$279,FLOWS!$H:$H,"&lt;="&amp;$U$277)+SUM(SUMIFS(DEALS!$J:$J,DEALS!$A:$A,{"*REFUND*","*EXECUTED*"},DEALS!$G:$G,$B$275,DEALS!$E:$E,"&lt;="&amp;$U$277,DEALS!$K:$K,Y$279,DEALS!$M:$M,$T290,DEALS!$N:$N,"&lt;&gt;*RECEIVED*",DEALS!$N:$N,"&lt;&gt;*EXECUTED*"))+SUM(SUMIFS(DEALS!$R:$R,DEALS!$A:$A,{"*REFUND*","*EXECUTED*"},DEALS!$O:$O,$B$275,DEALS!$E:$E,"&lt;="&amp;$U$277,DEALS!$S:$S,Y$279,DEALS!$U:$U,$T290,DEALS!$V:$V,"&lt;&gt;*RECEIVED*",DEALS!$V:$V,"&lt;&gt;*EXECUTED*"))</f>
        <v>0</v>
      </c>
      <c r="Z290" s="29" cm="1">
        <f t="array" ref="Z290">SUMIFS(BALANCES!$C:$C,BALANCES!$A:$A,$B$275,BALANCES!$B:$B,$T290,BALANCES!$D:$D,Z$279)+SUMIFS(FLOWS!$C:$C,FLOWS!$A:$A,$B$275,FLOWS!$E:$E,$T290,FLOWS!$D:$D,Z$279,FLOWS!$H:$H,"&lt;="&amp;$U$277)+SUM(SUMIFS(DEALS!$J:$J,DEALS!$A:$A,{"*REFUND*","*EXECUTED*"},DEALS!$G:$G,$B$275,DEALS!$E:$E,"&lt;="&amp;$U$277,DEALS!$K:$K,Z$279,DEALS!$M:$M,$T290,DEALS!$N:$N,"&lt;&gt;*RECEIVED*",DEALS!$N:$N,"&lt;&gt;*EXECUTED*"))+SUM(SUMIFS(DEALS!$R:$R,DEALS!$A:$A,{"*REFUND*","*EXECUTED*"},DEALS!$O:$O,$B$275,DEALS!$E:$E,"&lt;="&amp;$U$277,DEALS!$S:$S,Z$279,DEALS!$U:$U,$T290,DEALS!$V:$V,"&lt;&gt;*RECEIVED*",DEALS!$V:$V,"&lt;&gt;*EXECUTED*"))</f>
        <v>0</v>
      </c>
      <c r="AA290" s="30">
        <f ca="1">U290*VLOOKUP(U$279,'FX RATES'!$E$1:$F$50,2,FALSE)+V290*VLOOKUP(V$279,'FX RATES'!$E$1:$F$50,2,FALSE)+W290*VLOOKUP(W$279,'FX RATES'!$E$1:$F$50,2,FALSE)+X290*VLOOKUP(X$279,'FX RATES'!$E$1:$F$50,2,FALSE)+Y290*VLOOKUP(Y$279,'FX RATES'!$E$1:$F$50,2,FALSE)+Z290*VLOOKUP(Z$279,'FX RATES'!$E$1:$F$50,2,FALSE)</f>
        <v>0</v>
      </c>
      <c r="AC290" s="139">
        <f t="shared" ca="1" si="116"/>
        <v>0</v>
      </c>
    </row>
    <row r="291" spans="2:29" ht="19" hidden="1">
      <c r="B291" s="31"/>
      <c r="C291" s="32" cm="1">
        <f t="array" ref="C291">SUMIFS(BALANCES!$C:$C,BALANCES!$A:$A,$B$275,BALANCES!$B:$B,$B291,BALANCES!$D:$D,C$279)+SUMIFS(FLOWS!$C:$C,FLOWS!$A:$A,$B$275,FLOWS!$E:$E,$B291,FLOWS!$D:$D,C$279,FLOWS!$H:$H,"&lt;"&amp;$C$277)+SUM(SUMIFS(DEALS!$J:$J,DEALS!$A:$A,{"*REFUND*","*EXECUTED*"},DEALS!$G:$G,$B$275,DEALS!$E:$E,"&lt;"&amp;$C$277,DEALS!$K:$K,C$279,DEALS!$M:$M,$B291,DEALS!$N:$N,"&lt;&gt;*RECEIVED*",DEALS!$N:$N,"&lt;&gt;*EXECUTED*"))+SUM(SUMIFS(DEALS!$R:$R,DEALS!$A:$A,{"*REFUND*","*EXECUTED*"},DEALS!$O:$O,$B$275,DEALS!$E:$E,"&lt;"&amp;$C$277,DEALS!$S:$S,C$279,DEALS!$U:$U,$B291,DEALS!$V:$V,"&lt;&gt;*RECEIVED*",DEALS!$V:$V,"&lt;&gt;*EXECUTED*"))</f>
        <v>0</v>
      </c>
      <c r="D291" s="32" cm="1">
        <f t="array" ref="D291">SUMIFS(BALANCES!$C:$C,BALANCES!$A:$A,$B$275,BALANCES!$B:$B,$B291,BALANCES!$D:$D,D$279)+SUMIFS(FLOWS!$C:$C,FLOWS!$A:$A,$B$275,FLOWS!$E:$E,$B291,FLOWS!$D:$D,D$279,FLOWS!$H:$H,"&lt;"&amp;$C$277)+SUM(SUMIFS(DEALS!$J:$J,DEALS!$A:$A,{"*REFUND*","*EXECUTED*"},DEALS!$G:$G,$B$275,DEALS!$E:$E,"&lt;"&amp;$C$277,DEALS!$K:$K,D$279,DEALS!$M:$M,$B291,DEALS!$N:$N,"&lt;&gt;*RECEIVED*",DEALS!$N:$N,"&lt;&gt;*EXECUTED*"))+SUM(SUMIFS(DEALS!$R:$R,DEALS!$A:$A,{"*REFUND*","*EXECUTED*"},DEALS!$O:$O,$B$275,DEALS!$E:$E,"&lt;"&amp;$C$277,DEALS!$S:$S,D$279,DEALS!$U:$U,$B291,DEALS!$V:$V,"&lt;&gt;*RECEIVED*",DEALS!$V:$V,"&lt;&gt;*EXECUTED*"))</f>
        <v>0</v>
      </c>
      <c r="E291" s="32" cm="1">
        <f t="array" ref="E291">SUMIFS(BALANCES!$C:$C,BALANCES!$A:$A,$B$275,BALANCES!$B:$B,$B291,BALANCES!$D:$D,E$279)+SUMIFS(FLOWS!$C:$C,FLOWS!$A:$A,$B$275,FLOWS!$E:$E,$B291,FLOWS!$D:$D,E$279,FLOWS!$H:$H,"&lt;"&amp;$C$277)+SUM(SUMIFS(DEALS!$J:$J,DEALS!$A:$A,{"*REFUND*","*EXECUTED*"},DEALS!$G:$G,$B$275,DEALS!$E:$E,"&lt;"&amp;$C$277,DEALS!$K:$K,E$279,DEALS!$M:$M,$B291,DEALS!$N:$N,"&lt;&gt;*RECEIVED*",DEALS!$N:$N,"&lt;&gt;*EXECUTED*"))+SUM(SUMIFS(DEALS!$R:$R,DEALS!$A:$A,{"*REFUND*","*EXECUTED*"},DEALS!$O:$O,$B$275,DEALS!$E:$E,"&lt;"&amp;$C$277,DEALS!$S:$S,E$279,DEALS!$U:$U,$B291,DEALS!$V:$V,"&lt;&gt;*RECEIVED*",DEALS!$V:$V,"&lt;&gt;*EXECUTED*"))</f>
        <v>0</v>
      </c>
      <c r="F291" s="32" cm="1">
        <f t="array" ref="F291">SUMIFS(BALANCES!$C:$C,BALANCES!$A:$A,$B$275,BALANCES!$B:$B,$B291,BALANCES!$D:$D,F$279)+SUMIFS(FLOWS!$C:$C,FLOWS!$A:$A,$B$275,FLOWS!$E:$E,$B291,FLOWS!$D:$D,F$279,FLOWS!$H:$H,"&lt;"&amp;$C$277)+SUM(SUMIFS(DEALS!$J:$J,DEALS!$A:$A,{"*REFUND*","*EXECUTED*"},DEALS!$G:$G,$B$275,DEALS!$E:$E,"&lt;"&amp;$C$277,DEALS!$K:$K,F$279,DEALS!$M:$M,$B291,DEALS!$N:$N,"&lt;&gt;*RECEIVED*",DEALS!$N:$N,"&lt;&gt;*EXECUTED*"))+SUM(SUMIFS(DEALS!$R:$R,DEALS!$A:$A,{"*REFUND*","*EXECUTED*"},DEALS!$O:$O,$B$275,DEALS!$E:$E,"&lt;"&amp;$C$277,DEALS!$S:$S,F$279,DEALS!$U:$U,$B291,DEALS!$V:$V,"&lt;&gt;*RECEIVED*",DEALS!$V:$V,"&lt;&gt;*EXECUTED*"))</f>
        <v>0</v>
      </c>
      <c r="G291" s="32" cm="1">
        <f t="array" ref="G291">SUMIFS(BALANCES!$C:$C,BALANCES!$A:$A,$B$275,BALANCES!$B:$B,$B291,BALANCES!$D:$D,G$279)+SUMIFS(FLOWS!$C:$C,FLOWS!$A:$A,$B$275,FLOWS!$E:$E,$B291,FLOWS!$D:$D,G$279,FLOWS!$H:$H,"&lt;"&amp;$C$277)+SUM(SUMIFS(DEALS!$J:$J,DEALS!$A:$A,{"*REFUND*","*EXECUTED*"},DEALS!$G:$G,$B$275,DEALS!$E:$E,"&lt;"&amp;$C$277,DEALS!$K:$K,G$279,DEALS!$M:$M,$B291,DEALS!$N:$N,"&lt;&gt;*RECEIVED*",DEALS!$N:$N,"&lt;&gt;*EXECUTED*"))+SUM(SUMIFS(DEALS!$R:$R,DEALS!$A:$A,{"*REFUND*","*EXECUTED*"},DEALS!$O:$O,$B$275,DEALS!$E:$E,"&lt;"&amp;$C$277,DEALS!$S:$S,G$279,DEALS!$U:$U,$B291,DEALS!$V:$V,"&lt;&gt;*RECEIVED*",DEALS!$V:$V,"&lt;&gt;*EXECUTED*"))</f>
        <v>0</v>
      </c>
      <c r="H291" s="32" cm="1">
        <f t="array" ref="H291">SUMIFS(BALANCES!$C:$C,BALANCES!$A:$A,$B$275,BALANCES!$B:$B,$B291,BALANCES!$D:$D,H$279)+SUMIFS(FLOWS!$C:$C,FLOWS!$A:$A,$B$275,FLOWS!$E:$E,$B291,FLOWS!$D:$D,H$279,FLOWS!$H:$H,"&lt;"&amp;$C$277)+SUM(SUMIFS(DEALS!$J:$J,DEALS!$A:$A,{"*REFUND*","*EXECUTED*"},DEALS!$G:$G,$B$275,DEALS!$E:$E,"&lt;"&amp;$C$277,DEALS!$K:$K,H$279,DEALS!$M:$M,$B291,DEALS!$N:$N,"&lt;&gt;*RECEIVED*",DEALS!$N:$N,"&lt;&gt;*EXECUTED*"))+SUM(SUMIFS(DEALS!$R:$R,DEALS!$A:$A,{"*REFUND*","*EXECUTED*"},DEALS!$O:$O,$B$275,DEALS!$E:$E,"&lt;"&amp;$C$277,DEALS!$S:$S,H$279,DEALS!$U:$U,$B291,DEALS!$V:$V,"&lt;&gt;*RECEIVED*",DEALS!$V:$V,"&lt;&gt;*EXECUTED*"))</f>
        <v>0</v>
      </c>
      <c r="I291" s="33">
        <f ca="1">C291*VLOOKUP(C$279,'FX RATES'!$E$1:$F$50,2,FALSE)+D291*VLOOKUP(D$279,'FX RATES'!$E$1:$F$50,2,FALSE)+E291*VLOOKUP(E$279,'FX RATES'!$E$1:$F$50,2,FALSE)+F291*VLOOKUP(F$279,'FX RATES'!$E$1:$F$50,2,FALSE)+G291*VLOOKUP(G$279,'FX RATES'!$E$1:$F$50,2,FALSE)+H291*VLOOKUP(H$279,'FX RATES'!$E$1:$F$50,2,FALSE)</f>
        <v>0</v>
      </c>
      <c r="K291" s="31">
        <f t="shared" si="114"/>
        <v>0</v>
      </c>
      <c r="L291" s="32" cm="1">
        <f t="array" ref="L291">SUMIFS(FLOWS!$C:$C,FLOWS!$A:$A,$B$275,FLOWS!$E:$E,$K291,FLOWS!$D:$D,L$279,FLOWS!$H:$H,"&gt;="&amp;$C$277,FLOWS!$H:$H,"&lt;="&amp;$U$277)+SUM(SUMIFS(DEALS!$J:$J,DEALS!$A:$A,{"*REFUND*","*EXECUTED*"},DEALS!$G:$G,$B$275,DEALS!$E:$E,"&gt;="&amp;$C$277,DEALS!$E:$E,"&lt;="&amp;$U$277,DEALS!$K:$K,L$279,DEALS!$M:$M,$K291,DEALS!$N:$N,"&lt;&gt;*RECEIVED*",DEALS!$N:$N,"&lt;&gt;*EXECUTED*"))+SUM(SUMIFS(DEALS!$R:$R,DEALS!$A:$A,{"*REFUND*","*EXECUTED*"},DEALS!$O:$O,$B$275,DEALS!$E:$E,"&gt;="&amp;$C$277,DEALS!$E:$E,"&lt;="&amp;$U$277,DEALS!$S:$S,L$279,DEALS!$U:$U,$K291,DEALS!$V:$V,"&lt;&gt;*RECEIVED*",DEALS!$V:$V,"&lt;&gt;*EXECUTED*"))</f>
        <v>0</v>
      </c>
      <c r="M291" s="32" cm="1">
        <f t="array" ref="M291">SUMIFS(FLOWS!$C:$C,FLOWS!$A:$A,$B$275,FLOWS!$E:$E,$K291,FLOWS!$D:$D,M$279,FLOWS!$H:$H,"&gt;="&amp;$C$277,FLOWS!$H:$H,"&lt;="&amp;$U$277)+SUM(SUMIFS(DEALS!$J:$J,DEALS!$A:$A,{"*REFUND*","*EXECUTED*"},DEALS!$G:$G,$B$275,DEALS!$E:$E,"&gt;="&amp;$C$277,DEALS!$E:$E,"&lt;="&amp;$U$277,DEALS!$K:$K,M$279,DEALS!$M:$M,$K291,DEALS!$N:$N,"&lt;&gt;*RECEIVED*",DEALS!$N:$N,"&lt;&gt;*EXECUTED*"))+SUM(SUMIFS(DEALS!$R:$R,DEALS!$A:$A,{"*REFUND*","*EXECUTED*"},DEALS!$O:$O,$B$275,DEALS!$E:$E,"&gt;="&amp;$C$277,DEALS!$E:$E,"&lt;="&amp;$U$277,DEALS!$S:$S,M$279,DEALS!$U:$U,$K291,DEALS!$V:$V,"&lt;&gt;*RECEIVED*",DEALS!$V:$V,"&lt;&gt;*EXECUTED*"))</f>
        <v>0</v>
      </c>
      <c r="N291" s="32" cm="1">
        <f t="array" ref="N291">SUMIFS(FLOWS!$C:$C,FLOWS!$A:$A,$B$275,FLOWS!$E:$E,$K291,FLOWS!$D:$D,N$279,FLOWS!$H:$H,"&gt;="&amp;$C$277,FLOWS!$H:$H,"&lt;="&amp;$U$277)+SUM(SUMIFS(DEALS!$J:$J,DEALS!$A:$A,{"*REFUND*","*EXECUTED*"},DEALS!$G:$G,$B$275,DEALS!$E:$E,"&gt;="&amp;$C$277,DEALS!$E:$E,"&lt;="&amp;$U$277,DEALS!$K:$K,N$279,DEALS!$M:$M,$K291,DEALS!$N:$N,"&lt;&gt;*RECEIVED*",DEALS!$N:$N,"&lt;&gt;*EXECUTED*"))+SUM(SUMIFS(DEALS!$R:$R,DEALS!$A:$A,{"*REFUND*","*EXECUTED*"},DEALS!$O:$O,$B$275,DEALS!$E:$E,"&gt;="&amp;$C$277,DEALS!$E:$E,"&lt;="&amp;$U$277,DEALS!$S:$S,N$279,DEALS!$U:$U,$K291,DEALS!$V:$V,"&lt;&gt;*RECEIVED*",DEALS!$V:$V,"&lt;&gt;*EXECUTED*"))</f>
        <v>0</v>
      </c>
      <c r="O291" s="32" cm="1">
        <f t="array" ref="O291">SUMIFS(FLOWS!$C:$C,FLOWS!$A:$A,$B$275,FLOWS!$E:$E,$K291,FLOWS!$D:$D,O$279,FLOWS!$H:$H,"&gt;="&amp;$C$277,FLOWS!$H:$H,"&lt;="&amp;$U$277)+SUM(SUMIFS(DEALS!$J:$J,DEALS!$A:$A,{"*REFUND*","*EXECUTED*"},DEALS!$G:$G,$B$275,DEALS!$E:$E,"&gt;="&amp;$C$277,DEALS!$E:$E,"&lt;="&amp;$U$277,DEALS!$K:$K,O$279,DEALS!$M:$M,$K291,DEALS!$N:$N,"&lt;&gt;*RECEIVED*",DEALS!$N:$N,"&lt;&gt;*EXECUTED*"))+SUM(SUMIFS(DEALS!$R:$R,DEALS!$A:$A,{"*REFUND*","*EXECUTED*"},DEALS!$O:$O,$B$275,DEALS!$E:$E,"&gt;="&amp;$C$277,DEALS!$E:$E,"&lt;="&amp;$U$277,DEALS!$S:$S,O$279,DEALS!$U:$U,$K291,DEALS!$V:$V,"&lt;&gt;*RECEIVED*",DEALS!$V:$V,"&lt;&gt;*EXECUTED*"))</f>
        <v>0</v>
      </c>
      <c r="P291" s="32" cm="1">
        <f t="array" ref="P291">SUMIFS(FLOWS!$C:$C,FLOWS!$A:$A,$B$275,FLOWS!$E:$E,$K291,FLOWS!$D:$D,P$279,FLOWS!$H:$H,"&gt;="&amp;$C$277,FLOWS!$H:$H,"&lt;="&amp;$U$277)+SUM(SUMIFS(DEALS!$J:$J,DEALS!$A:$A,{"*REFUND*","*EXECUTED*"},DEALS!$G:$G,$B$275,DEALS!$E:$E,"&gt;="&amp;$C$277,DEALS!$E:$E,"&lt;="&amp;$U$277,DEALS!$K:$K,P$279,DEALS!$M:$M,$K291,DEALS!$N:$N,"&lt;&gt;*RECEIVED*",DEALS!$N:$N,"&lt;&gt;*EXECUTED*"))+SUM(SUMIFS(DEALS!$R:$R,DEALS!$A:$A,{"*REFUND*","*EXECUTED*"},DEALS!$O:$O,$B$275,DEALS!$E:$E,"&gt;="&amp;$C$277,DEALS!$E:$E,"&lt;="&amp;$U$277,DEALS!$S:$S,P$279,DEALS!$U:$U,$K291,DEALS!$V:$V,"&lt;&gt;*RECEIVED*",DEALS!$V:$V,"&lt;&gt;*EXECUTED*"))</f>
        <v>0</v>
      </c>
      <c r="Q291" s="32" cm="1">
        <f t="array" ref="Q291">SUMIFS(FLOWS!$C:$C,FLOWS!$A:$A,$B$275,FLOWS!$E:$E,$K291,FLOWS!$D:$D,Q$279,FLOWS!$H:$H,"&gt;="&amp;$C$277,FLOWS!$H:$H,"&lt;="&amp;$U$277)+SUM(SUMIFS(DEALS!$J:$J,DEALS!$A:$A,{"*REFUND*","*EXECUTED*"},DEALS!$G:$G,$B$275,DEALS!$E:$E,"&gt;="&amp;$C$277,DEALS!$E:$E,"&lt;="&amp;$U$277,DEALS!$K:$K,Q$279,DEALS!$M:$M,$K291,DEALS!$N:$N,"&lt;&gt;*RECEIVED*",DEALS!$N:$N,"&lt;&gt;*EXECUTED*"))+SUM(SUMIFS(DEALS!$R:$R,DEALS!$A:$A,{"*REFUND*","*EXECUTED*"},DEALS!$O:$O,$B$275,DEALS!$E:$E,"&gt;="&amp;$C$277,DEALS!$E:$E,"&lt;="&amp;$U$277,DEALS!$S:$S,Q$279,DEALS!$U:$U,$K291,DEALS!$V:$V,"&lt;&gt;*RECEIVED*",DEALS!$V:$V,"&lt;&gt;*EXECUTED*"))</f>
        <v>0</v>
      </c>
      <c r="R291" s="33">
        <f ca="1">L291*VLOOKUP(L$279,'FX RATES'!$E$1:$F$50,2,FALSE)+M291*VLOOKUP(M$279,'FX RATES'!$E$1:$F$50,2,FALSE)+N291*VLOOKUP(N$279,'FX RATES'!$E$1:$F$50,2,FALSE)+O291*VLOOKUP(O$279,'FX RATES'!$E$1:$F$50,2,FALSE)+P291*VLOOKUP(P$279,'FX RATES'!$E$1:$F$50,2,FALSE)+Q291*VLOOKUP(Q$279,'FX RATES'!$E$1:$F$50,2,FALSE)</f>
        <v>0</v>
      </c>
      <c r="T291" s="31">
        <f t="shared" si="115"/>
        <v>0</v>
      </c>
      <c r="U291" s="32" cm="1">
        <f t="array" ref="U291">SUMIFS(BALANCES!$C:$C,BALANCES!$A:$A,$B$275,BALANCES!$B:$B,$T291,BALANCES!$D:$D,U$279)+SUMIFS(FLOWS!$C:$C,FLOWS!$A:$A,$B$275,FLOWS!$E:$E,$T291,FLOWS!$D:$D,U$279,FLOWS!$H:$H,"&lt;="&amp;$U$277)+SUM(SUMIFS(DEALS!$J:$J,DEALS!$A:$A,{"*REFUND*","*EXECUTED*"},DEALS!$G:$G,$B$275,DEALS!$E:$E,"&lt;="&amp;$U$277,DEALS!$K:$K,U$279,DEALS!$M:$M,$T291,DEALS!$N:$N,"&lt;&gt;*RECEIVED*",DEALS!$N:$N,"&lt;&gt;*EXECUTED*"))+SUM(SUMIFS(DEALS!$R:$R,DEALS!$A:$A,{"*REFUND*","*EXECUTED*"},DEALS!$O:$O,$B$275,DEALS!$E:$E,"&lt;="&amp;$U$277,DEALS!$S:$S,U$279,DEALS!$U:$U,$T291,DEALS!$V:$V,"&lt;&gt;*RECEIVED*",DEALS!$V:$V,"&lt;&gt;*EXECUTED*"))</f>
        <v>0</v>
      </c>
      <c r="V291" s="32" cm="1">
        <f t="array" ref="V291">SUMIFS(BALANCES!$C:$C,BALANCES!$A:$A,$B$275,BALANCES!$B:$B,$T291,BALANCES!$D:$D,V$279)+SUMIFS(FLOWS!$C:$C,FLOWS!$A:$A,$B$275,FLOWS!$E:$E,$T291,FLOWS!$D:$D,V$279,FLOWS!$H:$H,"&lt;="&amp;$U$277)+SUM(SUMIFS(DEALS!$J:$J,DEALS!$A:$A,{"*REFUND*","*EXECUTED*"},DEALS!$G:$G,$B$275,DEALS!$E:$E,"&lt;="&amp;$U$277,DEALS!$K:$K,V$279,DEALS!$M:$M,$T291,DEALS!$N:$N,"&lt;&gt;*RECEIVED*",DEALS!$N:$N,"&lt;&gt;*EXECUTED*"))+SUM(SUMIFS(DEALS!$R:$R,DEALS!$A:$A,{"*REFUND*","*EXECUTED*"},DEALS!$O:$O,$B$275,DEALS!$E:$E,"&lt;="&amp;$U$277,DEALS!$S:$S,V$279,DEALS!$U:$U,$T291,DEALS!$V:$V,"&lt;&gt;*RECEIVED*",DEALS!$V:$V,"&lt;&gt;*EXECUTED*"))</f>
        <v>0</v>
      </c>
      <c r="W291" s="32" cm="1">
        <f t="array" ref="W291">SUMIFS(BALANCES!$C:$C,BALANCES!$A:$A,$B$275,BALANCES!$B:$B,$T291,BALANCES!$D:$D,W$279)+SUMIFS(FLOWS!$C:$C,FLOWS!$A:$A,$B$275,FLOWS!$E:$E,$T291,FLOWS!$D:$D,W$279,FLOWS!$H:$H,"&lt;="&amp;$U$277)+SUM(SUMIFS(DEALS!$J:$J,DEALS!$A:$A,{"*REFUND*","*EXECUTED*"},DEALS!$G:$G,$B$275,DEALS!$E:$E,"&lt;="&amp;$U$277,DEALS!$K:$K,W$279,DEALS!$M:$M,$T291,DEALS!$N:$N,"&lt;&gt;*RECEIVED*",DEALS!$N:$N,"&lt;&gt;*EXECUTED*"))+SUM(SUMIFS(DEALS!$R:$R,DEALS!$A:$A,{"*REFUND*","*EXECUTED*"},DEALS!$O:$O,$B$275,DEALS!$E:$E,"&lt;="&amp;$U$277,DEALS!$S:$S,W$279,DEALS!$U:$U,$T291,DEALS!$V:$V,"&lt;&gt;*RECEIVED*",DEALS!$V:$V,"&lt;&gt;*EXECUTED*"))</f>
        <v>0</v>
      </c>
      <c r="X291" s="32" cm="1">
        <f t="array" ref="X291">SUMIFS(BALANCES!$C:$C,BALANCES!$A:$A,$B$275,BALANCES!$B:$B,$T291,BALANCES!$D:$D,X$279)+SUMIFS(FLOWS!$C:$C,FLOWS!$A:$A,$B$275,FLOWS!$E:$E,$T291,FLOWS!$D:$D,X$279,FLOWS!$H:$H,"&lt;="&amp;$U$277)+SUM(SUMIFS(DEALS!$J:$J,DEALS!$A:$A,{"*REFUND*","*EXECUTED*"},DEALS!$G:$G,$B$275,DEALS!$E:$E,"&lt;="&amp;$U$277,DEALS!$K:$K,X$279,DEALS!$M:$M,$T291,DEALS!$N:$N,"&lt;&gt;*RECEIVED*",DEALS!$N:$N,"&lt;&gt;*EXECUTED*"))+SUM(SUMIFS(DEALS!$R:$R,DEALS!$A:$A,{"*REFUND*","*EXECUTED*"},DEALS!$O:$O,$B$275,DEALS!$E:$E,"&lt;="&amp;$U$277,DEALS!$S:$S,X$279,DEALS!$U:$U,$T291,DEALS!$V:$V,"&lt;&gt;*RECEIVED*",DEALS!$V:$V,"&lt;&gt;*EXECUTED*"))</f>
        <v>0</v>
      </c>
      <c r="Y291" s="32" cm="1">
        <f t="array" ref="Y291">SUMIFS(BALANCES!$C:$C,BALANCES!$A:$A,$B$275,BALANCES!$B:$B,$T291,BALANCES!$D:$D,Y$279)+SUMIFS(FLOWS!$C:$C,FLOWS!$A:$A,$B$275,FLOWS!$E:$E,$T291,FLOWS!$D:$D,Y$279,FLOWS!$H:$H,"&lt;="&amp;$U$277)+SUM(SUMIFS(DEALS!$J:$J,DEALS!$A:$A,{"*REFUND*","*EXECUTED*"},DEALS!$G:$G,$B$275,DEALS!$E:$E,"&lt;="&amp;$U$277,DEALS!$K:$K,Y$279,DEALS!$M:$M,$T291,DEALS!$N:$N,"&lt;&gt;*RECEIVED*",DEALS!$N:$N,"&lt;&gt;*EXECUTED*"))+SUM(SUMIFS(DEALS!$R:$R,DEALS!$A:$A,{"*REFUND*","*EXECUTED*"},DEALS!$O:$O,$B$275,DEALS!$E:$E,"&lt;="&amp;$U$277,DEALS!$S:$S,Y$279,DEALS!$U:$U,$T291,DEALS!$V:$V,"&lt;&gt;*RECEIVED*",DEALS!$V:$V,"&lt;&gt;*EXECUTED*"))</f>
        <v>0</v>
      </c>
      <c r="Z291" s="32" cm="1">
        <f t="array" ref="Z291">SUMIFS(BALANCES!$C:$C,BALANCES!$A:$A,$B$275,BALANCES!$B:$B,$T291,BALANCES!$D:$D,Z$279)+SUMIFS(FLOWS!$C:$C,FLOWS!$A:$A,$B$275,FLOWS!$E:$E,$T291,FLOWS!$D:$D,Z$279,FLOWS!$H:$H,"&lt;="&amp;$U$277)+SUM(SUMIFS(DEALS!$J:$J,DEALS!$A:$A,{"*REFUND*","*EXECUTED*"},DEALS!$G:$G,$B$275,DEALS!$E:$E,"&lt;="&amp;$U$277,DEALS!$K:$K,Z$279,DEALS!$M:$M,$T291,DEALS!$N:$N,"&lt;&gt;*RECEIVED*",DEALS!$N:$N,"&lt;&gt;*EXECUTED*"))+SUM(SUMIFS(DEALS!$R:$R,DEALS!$A:$A,{"*REFUND*","*EXECUTED*"},DEALS!$O:$O,$B$275,DEALS!$E:$E,"&lt;="&amp;$U$277,DEALS!$S:$S,Z$279,DEALS!$U:$U,$T291,DEALS!$V:$V,"&lt;&gt;*RECEIVED*",DEALS!$V:$V,"&lt;&gt;*EXECUTED*"))</f>
        <v>0</v>
      </c>
      <c r="AA291" s="33">
        <f ca="1">U291*VLOOKUP(U$279,'FX RATES'!$E$1:$F$50,2,FALSE)+V291*VLOOKUP(V$279,'FX RATES'!$E$1:$F$50,2,FALSE)+W291*VLOOKUP(W$279,'FX RATES'!$E$1:$F$50,2,FALSE)+X291*VLOOKUP(X$279,'FX RATES'!$E$1:$F$50,2,FALSE)+Y291*VLOOKUP(Y$279,'FX RATES'!$E$1:$F$50,2,FALSE)+Z291*VLOOKUP(Z$279,'FX RATES'!$E$1:$F$50,2,FALSE)</f>
        <v>0</v>
      </c>
      <c r="AC291" s="139">
        <f t="shared" ca="1" si="116"/>
        <v>0</v>
      </c>
    </row>
    <row r="292" spans="2:29" ht="19" hidden="1">
      <c r="B292" s="28"/>
      <c r="C292" s="29" cm="1">
        <f t="array" ref="C292">SUMIFS(BALANCES!$C:$C,BALANCES!$A:$A,$B$275,BALANCES!$B:$B,$B292,BALANCES!$D:$D,C$279)+SUMIFS(FLOWS!$C:$C,FLOWS!$A:$A,$B$275,FLOWS!$E:$E,$B292,FLOWS!$D:$D,C$279,FLOWS!$H:$H,"&lt;"&amp;$C$277)+SUM(SUMIFS(DEALS!$J:$J,DEALS!$A:$A,{"*REFUND*","*EXECUTED*"},DEALS!$G:$G,$B$275,DEALS!$E:$E,"&lt;"&amp;$C$277,DEALS!$K:$K,C$279,DEALS!$M:$M,$B292,DEALS!$N:$N,"&lt;&gt;*RECEIVED*",DEALS!$N:$N,"&lt;&gt;*EXECUTED*"))+SUM(SUMIFS(DEALS!$R:$R,DEALS!$A:$A,{"*REFUND*","*EXECUTED*"},DEALS!$O:$O,$B$275,DEALS!$E:$E,"&lt;"&amp;$C$277,DEALS!$S:$S,C$279,DEALS!$U:$U,$B292,DEALS!$V:$V,"&lt;&gt;*RECEIVED*",DEALS!$V:$V,"&lt;&gt;*EXECUTED*"))</f>
        <v>0</v>
      </c>
      <c r="D292" s="29" cm="1">
        <f t="array" ref="D292">SUMIFS(BALANCES!$C:$C,BALANCES!$A:$A,$B$275,BALANCES!$B:$B,$B292,BALANCES!$D:$D,D$279)+SUMIFS(FLOWS!$C:$C,FLOWS!$A:$A,$B$275,FLOWS!$E:$E,$B292,FLOWS!$D:$D,D$279,FLOWS!$H:$H,"&lt;"&amp;$C$277)+SUM(SUMIFS(DEALS!$J:$J,DEALS!$A:$A,{"*REFUND*","*EXECUTED*"},DEALS!$G:$G,$B$275,DEALS!$E:$E,"&lt;"&amp;$C$277,DEALS!$K:$K,D$279,DEALS!$M:$M,$B292,DEALS!$N:$N,"&lt;&gt;*RECEIVED*",DEALS!$N:$N,"&lt;&gt;*EXECUTED*"))+SUM(SUMIFS(DEALS!$R:$R,DEALS!$A:$A,{"*REFUND*","*EXECUTED*"},DEALS!$O:$O,$B$275,DEALS!$E:$E,"&lt;"&amp;$C$277,DEALS!$S:$S,D$279,DEALS!$U:$U,$B292,DEALS!$V:$V,"&lt;&gt;*RECEIVED*",DEALS!$V:$V,"&lt;&gt;*EXECUTED*"))</f>
        <v>0</v>
      </c>
      <c r="E292" s="29" cm="1">
        <f t="array" ref="E292">SUMIFS(BALANCES!$C:$C,BALANCES!$A:$A,$B$275,BALANCES!$B:$B,$B292,BALANCES!$D:$D,E$279)+SUMIFS(FLOWS!$C:$C,FLOWS!$A:$A,$B$275,FLOWS!$E:$E,$B292,FLOWS!$D:$D,E$279,FLOWS!$H:$H,"&lt;"&amp;$C$277)+SUM(SUMIFS(DEALS!$J:$J,DEALS!$A:$A,{"*REFUND*","*EXECUTED*"},DEALS!$G:$G,$B$275,DEALS!$E:$E,"&lt;"&amp;$C$277,DEALS!$K:$K,E$279,DEALS!$M:$M,$B292,DEALS!$N:$N,"&lt;&gt;*RECEIVED*",DEALS!$N:$N,"&lt;&gt;*EXECUTED*"))+SUM(SUMIFS(DEALS!$R:$R,DEALS!$A:$A,{"*REFUND*","*EXECUTED*"},DEALS!$O:$O,$B$275,DEALS!$E:$E,"&lt;"&amp;$C$277,DEALS!$S:$S,E$279,DEALS!$U:$U,$B292,DEALS!$V:$V,"&lt;&gt;*RECEIVED*",DEALS!$V:$V,"&lt;&gt;*EXECUTED*"))</f>
        <v>0</v>
      </c>
      <c r="F292" s="29" cm="1">
        <f t="array" ref="F292">SUMIFS(BALANCES!$C:$C,BALANCES!$A:$A,$B$275,BALANCES!$B:$B,$B292,BALANCES!$D:$D,F$279)+SUMIFS(FLOWS!$C:$C,FLOWS!$A:$A,$B$275,FLOWS!$E:$E,$B292,FLOWS!$D:$D,F$279,FLOWS!$H:$H,"&lt;"&amp;$C$277)+SUM(SUMIFS(DEALS!$J:$J,DEALS!$A:$A,{"*REFUND*","*EXECUTED*"},DEALS!$G:$G,$B$275,DEALS!$E:$E,"&lt;"&amp;$C$277,DEALS!$K:$K,F$279,DEALS!$M:$M,$B292,DEALS!$N:$N,"&lt;&gt;*RECEIVED*",DEALS!$N:$N,"&lt;&gt;*EXECUTED*"))+SUM(SUMIFS(DEALS!$R:$R,DEALS!$A:$A,{"*REFUND*","*EXECUTED*"},DEALS!$O:$O,$B$275,DEALS!$E:$E,"&lt;"&amp;$C$277,DEALS!$S:$S,F$279,DEALS!$U:$U,$B292,DEALS!$V:$V,"&lt;&gt;*RECEIVED*",DEALS!$V:$V,"&lt;&gt;*EXECUTED*"))</f>
        <v>0</v>
      </c>
      <c r="G292" s="29" cm="1">
        <f t="array" ref="G292">SUMIFS(BALANCES!$C:$C,BALANCES!$A:$A,$B$275,BALANCES!$B:$B,$B292,BALANCES!$D:$D,G$279)+SUMIFS(FLOWS!$C:$C,FLOWS!$A:$A,$B$275,FLOWS!$E:$E,$B292,FLOWS!$D:$D,G$279,FLOWS!$H:$H,"&lt;"&amp;$C$277)+SUM(SUMIFS(DEALS!$J:$J,DEALS!$A:$A,{"*REFUND*","*EXECUTED*"},DEALS!$G:$G,$B$275,DEALS!$E:$E,"&lt;"&amp;$C$277,DEALS!$K:$K,G$279,DEALS!$M:$M,$B292,DEALS!$N:$N,"&lt;&gt;*RECEIVED*",DEALS!$N:$N,"&lt;&gt;*EXECUTED*"))+SUM(SUMIFS(DEALS!$R:$R,DEALS!$A:$A,{"*REFUND*","*EXECUTED*"},DEALS!$O:$O,$B$275,DEALS!$E:$E,"&lt;"&amp;$C$277,DEALS!$S:$S,G$279,DEALS!$U:$U,$B292,DEALS!$V:$V,"&lt;&gt;*RECEIVED*",DEALS!$V:$V,"&lt;&gt;*EXECUTED*"))</f>
        <v>0</v>
      </c>
      <c r="H292" s="29" cm="1">
        <f t="array" ref="H292">SUMIFS(BALANCES!$C:$C,BALANCES!$A:$A,$B$275,BALANCES!$B:$B,$B292,BALANCES!$D:$D,H$279)+SUMIFS(FLOWS!$C:$C,FLOWS!$A:$A,$B$275,FLOWS!$E:$E,$B292,FLOWS!$D:$D,H$279,FLOWS!$H:$H,"&lt;"&amp;$C$277)+SUM(SUMIFS(DEALS!$J:$J,DEALS!$A:$A,{"*REFUND*","*EXECUTED*"},DEALS!$G:$G,$B$275,DEALS!$E:$E,"&lt;"&amp;$C$277,DEALS!$K:$K,H$279,DEALS!$M:$M,$B292,DEALS!$N:$N,"&lt;&gt;*RECEIVED*",DEALS!$N:$N,"&lt;&gt;*EXECUTED*"))+SUM(SUMIFS(DEALS!$R:$R,DEALS!$A:$A,{"*REFUND*","*EXECUTED*"},DEALS!$O:$O,$B$275,DEALS!$E:$E,"&lt;"&amp;$C$277,DEALS!$S:$S,H$279,DEALS!$U:$U,$B292,DEALS!$V:$V,"&lt;&gt;*RECEIVED*",DEALS!$V:$V,"&lt;&gt;*EXECUTED*"))</f>
        <v>0</v>
      </c>
      <c r="I292" s="30">
        <f ca="1">C292*VLOOKUP(C$279,'FX RATES'!$E$1:$F$50,2,FALSE)+D292*VLOOKUP(D$279,'FX RATES'!$E$1:$F$50,2,FALSE)+E292*VLOOKUP(E$279,'FX RATES'!$E$1:$F$50,2,FALSE)+F292*VLOOKUP(F$279,'FX RATES'!$E$1:$F$50,2,FALSE)+G292*VLOOKUP(G$279,'FX RATES'!$E$1:$F$50,2,FALSE)+H292*VLOOKUP(H$279,'FX RATES'!$E$1:$F$50,2,FALSE)</f>
        <v>0</v>
      </c>
      <c r="J292" s="18"/>
      <c r="K292" s="28">
        <f t="shared" si="114"/>
        <v>0</v>
      </c>
      <c r="L292" s="29" cm="1">
        <f t="array" ref="L292">SUMIFS(FLOWS!$C:$C,FLOWS!$A:$A,$B$275,FLOWS!$E:$E,$K292,FLOWS!$D:$D,L$279,FLOWS!$H:$H,"&gt;="&amp;$C$277,FLOWS!$H:$H,"&lt;="&amp;$U$277)+SUM(SUMIFS(DEALS!$J:$J,DEALS!$A:$A,{"*REFUND*","*EXECUTED*"},DEALS!$G:$G,$B$275,DEALS!$E:$E,"&gt;="&amp;$C$277,DEALS!$E:$E,"&lt;="&amp;$U$277,DEALS!$K:$K,L$279,DEALS!$M:$M,$K292,DEALS!$N:$N,"&lt;&gt;*RECEIVED*",DEALS!$N:$N,"&lt;&gt;*EXECUTED*"))+SUM(SUMIFS(DEALS!$R:$R,DEALS!$A:$A,{"*REFUND*","*EXECUTED*"},DEALS!$O:$O,$B$275,DEALS!$E:$E,"&gt;="&amp;$C$277,DEALS!$E:$E,"&lt;="&amp;$U$277,DEALS!$S:$S,L$279,DEALS!$U:$U,$K292,DEALS!$V:$V,"&lt;&gt;*RECEIVED*",DEALS!$V:$V,"&lt;&gt;*EXECUTED*"))</f>
        <v>0</v>
      </c>
      <c r="M292" s="29" cm="1">
        <f t="array" ref="M292">SUMIFS(FLOWS!$C:$C,FLOWS!$A:$A,$B$275,FLOWS!$E:$E,$K292,FLOWS!$D:$D,M$279,FLOWS!$H:$H,"&gt;="&amp;$C$277,FLOWS!$H:$H,"&lt;="&amp;$U$277)+SUM(SUMIFS(DEALS!$J:$J,DEALS!$A:$A,{"*REFUND*","*EXECUTED*"},DEALS!$G:$G,$B$275,DEALS!$E:$E,"&gt;="&amp;$C$277,DEALS!$E:$E,"&lt;="&amp;$U$277,DEALS!$K:$K,M$279,DEALS!$M:$M,$K292,DEALS!$N:$N,"&lt;&gt;*RECEIVED*",DEALS!$N:$N,"&lt;&gt;*EXECUTED*"))+SUM(SUMIFS(DEALS!$R:$R,DEALS!$A:$A,{"*REFUND*","*EXECUTED*"},DEALS!$O:$O,$B$275,DEALS!$E:$E,"&gt;="&amp;$C$277,DEALS!$E:$E,"&lt;="&amp;$U$277,DEALS!$S:$S,M$279,DEALS!$U:$U,$K292,DEALS!$V:$V,"&lt;&gt;*RECEIVED*",DEALS!$V:$V,"&lt;&gt;*EXECUTED*"))</f>
        <v>0</v>
      </c>
      <c r="N292" s="29" cm="1">
        <f t="array" ref="N292">SUMIFS(FLOWS!$C:$C,FLOWS!$A:$A,$B$275,FLOWS!$E:$E,$K292,FLOWS!$D:$D,N$279,FLOWS!$H:$H,"&gt;="&amp;$C$277,FLOWS!$H:$H,"&lt;="&amp;$U$277)+SUM(SUMIFS(DEALS!$J:$J,DEALS!$A:$A,{"*REFUND*","*EXECUTED*"},DEALS!$G:$G,$B$275,DEALS!$E:$E,"&gt;="&amp;$C$277,DEALS!$E:$E,"&lt;="&amp;$U$277,DEALS!$K:$K,N$279,DEALS!$M:$M,$K292,DEALS!$N:$N,"&lt;&gt;*RECEIVED*",DEALS!$N:$N,"&lt;&gt;*EXECUTED*"))+SUM(SUMIFS(DEALS!$R:$R,DEALS!$A:$A,{"*REFUND*","*EXECUTED*"},DEALS!$O:$O,$B$275,DEALS!$E:$E,"&gt;="&amp;$C$277,DEALS!$E:$E,"&lt;="&amp;$U$277,DEALS!$S:$S,N$279,DEALS!$U:$U,$K292,DEALS!$V:$V,"&lt;&gt;*RECEIVED*",DEALS!$V:$V,"&lt;&gt;*EXECUTED*"))</f>
        <v>0</v>
      </c>
      <c r="O292" s="29" cm="1">
        <f t="array" ref="O292">SUMIFS(FLOWS!$C:$C,FLOWS!$A:$A,$B$275,FLOWS!$E:$E,$K292,FLOWS!$D:$D,O$279,FLOWS!$H:$H,"&gt;="&amp;$C$277,FLOWS!$H:$H,"&lt;="&amp;$U$277)+SUM(SUMIFS(DEALS!$J:$J,DEALS!$A:$A,{"*REFUND*","*EXECUTED*"},DEALS!$G:$G,$B$275,DEALS!$E:$E,"&gt;="&amp;$C$277,DEALS!$E:$E,"&lt;="&amp;$U$277,DEALS!$K:$K,O$279,DEALS!$M:$M,$K292,DEALS!$N:$N,"&lt;&gt;*RECEIVED*",DEALS!$N:$N,"&lt;&gt;*EXECUTED*"))+SUM(SUMIFS(DEALS!$R:$R,DEALS!$A:$A,{"*REFUND*","*EXECUTED*"},DEALS!$O:$O,$B$275,DEALS!$E:$E,"&gt;="&amp;$C$277,DEALS!$E:$E,"&lt;="&amp;$U$277,DEALS!$S:$S,O$279,DEALS!$U:$U,$K292,DEALS!$V:$V,"&lt;&gt;*RECEIVED*",DEALS!$V:$V,"&lt;&gt;*EXECUTED*"))</f>
        <v>0</v>
      </c>
      <c r="P292" s="29" cm="1">
        <f t="array" ref="P292">SUMIFS(FLOWS!$C:$C,FLOWS!$A:$A,$B$275,FLOWS!$E:$E,$K292,FLOWS!$D:$D,P$279,FLOWS!$H:$H,"&gt;="&amp;$C$277,FLOWS!$H:$H,"&lt;="&amp;$U$277)+SUM(SUMIFS(DEALS!$J:$J,DEALS!$A:$A,{"*REFUND*","*EXECUTED*"},DEALS!$G:$G,$B$275,DEALS!$E:$E,"&gt;="&amp;$C$277,DEALS!$E:$E,"&lt;="&amp;$U$277,DEALS!$K:$K,P$279,DEALS!$M:$M,$K292,DEALS!$N:$N,"&lt;&gt;*RECEIVED*",DEALS!$N:$N,"&lt;&gt;*EXECUTED*"))+SUM(SUMIFS(DEALS!$R:$R,DEALS!$A:$A,{"*REFUND*","*EXECUTED*"},DEALS!$O:$O,$B$275,DEALS!$E:$E,"&gt;="&amp;$C$277,DEALS!$E:$E,"&lt;="&amp;$U$277,DEALS!$S:$S,P$279,DEALS!$U:$U,$K292,DEALS!$V:$V,"&lt;&gt;*RECEIVED*",DEALS!$V:$V,"&lt;&gt;*EXECUTED*"))</f>
        <v>0</v>
      </c>
      <c r="Q292" s="29" cm="1">
        <f t="array" ref="Q292">SUMIFS(FLOWS!$C:$C,FLOWS!$A:$A,$B$275,FLOWS!$E:$E,$K292,FLOWS!$D:$D,Q$279,FLOWS!$H:$H,"&gt;="&amp;$C$277,FLOWS!$H:$H,"&lt;="&amp;$U$277)+SUM(SUMIFS(DEALS!$J:$J,DEALS!$A:$A,{"*REFUND*","*EXECUTED*"},DEALS!$G:$G,$B$275,DEALS!$E:$E,"&gt;="&amp;$C$277,DEALS!$E:$E,"&lt;="&amp;$U$277,DEALS!$K:$K,Q$279,DEALS!$M:$M,$K292,DEALS!$N:$N,"&lt;&gt;*RECEIVED*",DEALS!$N:$N,"&lt;&gt;*EXECUTED*"))+SUM(SUMIFS(DEALS!$R:$R,DEALS!$A:$A,{"*REFUND*","*EXECUTED*"},DEALS!$O:$O,$B$275,DEALS!$E:$E,"&gt;="&amp;$C$277,DEALS!$E:$E,"&lt;="&amp;$U$277,DEALS!$S:$S,Q$279,DEALS!$U:$U,$K292,DEALS!$V:$V,"&lt;&gt;*RECEIVED*",DEALS!$V:$V,"&lt;&gt;*EXECUTED*"))</f>
        <v>0</v>
      </c>
      <c r="R292" s="30">
        <f ca="1">L292*VLOOKUP(L$279,'FX RATES'!$E$1:$F$50,2,FALSE)+M292*VLOOKUP(M$279,'FX RATES'!$E$1:$F$50,2,FALSE)+N292*VLOOKUP(N$279,'FX RATES'!$E$1:$F$50,2,FALSE)+O292*VLOOKUP(O$279,'FX RATES'!$E$1:$F$50,2,FALSE)+P292*VLOOKUP(P$279,'FX RATES'!$E$1:$F$50,2,FALSE)+Q292*VLOOKUP(Q$279,'FX RATES'!$E$1:$F$50,2,FALSE)</f>
        <v>0</v>
      </c>
      <c r="T292" s="28">
        <f t="shared" si="115"/>
        <v>0</v>
      </c>
      <c r="U292" s="29" cm="1">
        <f t="array" ref="U292">SUMIFS(BALANCES!$C:$C,BALANCES!$A:$A,$B$275,BALANCES!$B:$B,$T292,BALANCES!$D:$D,U$279)+SUMIFS(FLOWS!$C:$C,FLOWS!$A:$A,$B$275,FLOWS!$E:$E,$T292,FLOWS!$D:$D,U$279,FLOWS!$H:$H,"&lt;="&amp;$U$277)+SUM(SUMIFS(DEALS!$J:$J,DEALS!$A:$A,{"*REFUND*","*EXECUTED*"},DEALS!$G:$G,$B$275,DEALS!$E:$E,"&lt;="&amp;$U$277,DEALS!$K:$K,U$279,DEALS!$M:$M,$T292,DEALS!$N:$N,"&lt;&gt;*RECEIVED*",DEALS!$N:$N,"&lt;&gt;*EXECUTED*"))+SUM(SUMIFS(DEALS!$R:$R,DEALS!$A:$A,{"*REFUND*","*EXECUTED*"},DEALS!$O:$O,$B$275,DEALS!$E:$E,"&lt;="&amp;$U$277,DEALS!$S:$S,U$279,DEALS!$U:$U,$T292,DEALS!$V:$V,"&lt;&gt;*RECEIVED*",DEALS!$V:$V,"&lt;&gt;*EXECUTED*"))</f>
        <v>0</v>
      </c>
      <c r="V292" s="29" cm="1">
        <f t="array" ref="V292">SUMIFS(BALANCES!$C:$C,BALANCES!$A:$A,$B$275,BALANCES!$B:$B,$T292,BALANCES!$D:$D,V$279)+SUMIFS(FLOWS!$C:$C,FLOWS!$A:$A,$B$275,FLOWS!$E:$E,$T292,FLOWS!$D:$D,V$279,FLOWS!$H:$H,"&lt;="&amp;$U$277)+SUM(SUMIFS(DEALS!$J:$J,DEALS!$A:$A,{"*REFUND*","*EXECUTED*"},DEALS!$G:$G,$B$275,DEALS!$E:$E,"&lt;="&amp;$U$277,DEALS!$K:$K,V$279,DEALS!$M:$M,$T292,DEALS!$N:$N,"&lt;&gt;*RECEIVED*",DEALS!$N:$N,"&lt;&gt;*EXECUTED*"))+SUM(SUMIFS(DEALS!$R:$R,DEALS!$A:$A,{"*REFUND*","*EXECUTED*"},DEALS!$O:$O,$B$275,DEALS!$E:$E,"&lt;="&amp;$U$277,DEALS!$S:$S,V$279,DEALS!$U:$U,$T292,DEALS!$V:$V,"&lt;&gt;*RECEIVED*",DEALS!$V:$V,"&lt;&gt;*EXECUTED*"))</f>
        <v>0</v>
      </c>
      <c r="W292" s="29" cm="1">
        <f t="array" ref="W292">SUMIFS(BALANCES!$C:$C,BALANCES!$A:$A,$B$275,BALANCES!$B:$B,$T292,BALANCES!$D:$D,W$279)+SUMIFS(FLOWS!$C:$C,FLOWS!$A:$A,$B$275,FLOWS!$E:$E,$T292,FLOWS!$D:$D,W$279,FLOWS!$H:$H,"&lt;="&amp;$U$277)+SUM(SUMIFS(DEALS!$J:$J,DEALS!$A:$A,{"*REFUND*","*EXECUTED*"},DEALS!$G:$G,$B$275,DEALS!$E:$E,"&lt;="&amp;$U$277,DEALS!$K:$K,W$279,DEALS!$M:$M,$T292,DEALS!$N:$N,"&lt;&gt;*RECEIVED*",DEALS!$N:$N,"&lt;&gt;*EXECUTED*"))+SUM(SUMIFS(DEALS!$R:$R,DEALS!$A:$A,{"*REFUND*","*EXECUTED*"},DEALS!$O:$O,$B$275,DEALS!$E:$E,"&lt;="&amp;$U$277,DEALS!$S:$S,W$279,DEALS!$U:$U,$T292,DEALS!$V:$V,"&lt;&gt;*RECEIVED*",DEALS!$V:$V,"&lt;&gt;*EXECUTED*"))</f>
        <v>0</v>
      </c>
      <c r="X292" s="29" cm="1">
        <f t="array" ref="X292">SUMIFS(BALANCES!$C:$C,BALANCES!$A:$A,$B$275,BALANCES!$B:$B,$T292,BALANCES!$D:$D,X$279)+SUMIFS(FLOWS!$C:$C,FLOWS!$A:$A,$B$275,FLOWS!$E:$E,$T292,FLOWS!$D:$D,X$279,FLOWS!$H:$H,"&lt;="&amp;$U$277)+SUM(SUMIFS(DEALS!$J:$J,DEALS!$A:$A,{"*REFUND*","*EXECUTED*"},DEALS!$G:$G,$B$275,DEALS!$E:$E,"&lt;="&amp;$U$277,DEALS!$K:$K,X$279,DEALS!$M:$M,$T292,DEALS!$N:$N,"&lt;&gt;*RECEIVED*",DEALS!$N:$N,"&lt;&gt;*EXECUTED*"))+SUM(SUMIFS(DEALS!$R:$R,DEALS!$A:$A,{"*REFUND*","*EXECUTED*"},DEALS!$O:$O,$B$275,DEALS!$E:$E,"&lt;="&amp;$U$277,DEALS!$S:$S,X$279,DEALS!$U:$U,$T292,DEALS!$V:$V,"&lt;&gt;*RECEIVED*",DEALS!$V:$V,"&lt;&gt;*EXECUTED*"))</f>
        <v>0</v>
      </c>
      <c r="Y292" s="29" cm="1">
        <f t="array" ref="Y292">SUMIFS(BALANCES!$C:$C,BALANCES!$A:$A,$B$275,BALANCES!$B:$B,$T292,BALANCES!$D:$D,Y$279)+SUMIFS(FLOWS!$C:$C,FLOWS!$A:$A,$B$275,FLOWS!$E:$E,$T292,FLOWS!$D:$D,Y$279,FLOWS!$H:$H,"&lt;="&amp;$U$277)+SUM(SUMIFS(DEALS!$J:$J,DEALS!$A:$A,{"*REFUND*","*EXECUTED*"},DEALS!$G:$G,$B$275,DEALS!$E:$E,"&lt;="&amp;$U$277,DEALS!$K:$K,Y$279,DEALS!$M:$M,$T292,DEALS!$N:$N,"&lt;&gt;*RECEIVED*",DEALS!$N:$N,"&lt;&gt;*EXECUTED*"))+SUM(SUMIFS(DEALS!$R:$R,DEALS!$A:$A,{"*REFUND*","*EXECUTED*"},DEALS!$O:$O,$B$275,DEALS!$E:$E,"&lt;="&amp;$U$277,DEALS!$S:$S,Y$279,DEALS!$U:$U,$T292,DEALS!$V:$V,"&lt;&gt;*RECEIVED*",DEALS!$V:$V,"&lt;&gt;*EXECUTED*"))</f>
        <v>0</v>
      </c>
      <c r="Z292" s="29" cm="1">
        <f t="array" ref="Z292">SUMIFS(BALANCES!$C:$C,BALANCES!$A:$A,$B$275,BALANCES!$B:$B,$T292,BALANCES!$D:$D,Z$279)+SUMIFS(FLOWS!$C:$C,FLOWS!$A:$A,$B$275,FLOWS!$E:$E,$T292,FLOWS!$D:$D,Z$279,FLOWS!$H:$H,"&lt;="&amp;$U$277)+SUM(SUMIFS(DEALS!$J:$J,DEALS!$A:$A,{"*REFUND*","*EXECUTED*"},DEALS!$G:$G,$B$275,DEALS!$E:$E,"&lt;="&amp;$U$277,DEALS!$K:$K,Z$279,DEALS!$M:$M,$T292,DEALS!$N:$N,"&lt;&gt;*RECEIVED*",DEALS!$N:$N,"&lt;&gt;*EXECUTED*"))+SUM(SUMIFS(DEALS!$R:$R,DEALS!$A:$A,{"*REFUND*","*EXECUTED*"},DEALS!$O:$O,$B$275,DEALS!$E:$E,"&lt;="&amp;$U$277,DEALS!$S:$S,Z$279,DEALS!$U:$U,$T292,DEALS!$V:$V,"&lt;&gt;*RECEIVED*",DEALS!$V:$V,"&lt;&gt;*EXECUTED*"))</f>
        <v>0</v>
      </c>
      <c r="AA292" s="30">
        <f ca="1">U292*VLOOKUP(U$279,'FX RATES'!$E$1:$F$50,2,FALSE)+V292*VLOOKUP(V$279,'FX RATES'!$E$1:$F$50,2,FALSE)+W292*VLOOKUP(W$279,'FX RATES'!$E$1:$F$50,2,FALSE)+X292*VLOOKUP(X$279,'FX RATES'!$E$1:$F$50,2,FALSE)+Y292*VLOOKUP(Y$279,'FX RATES'!$E$1:$F$50,2,FALSE)+Z292*VLOOKUP(Z$279,'FX RATES'!$E$1:$F$50,2,FALSE)</f>
        <v>0</v>
      </c>
      <c r="AC292" s="139">
        <f t="shared" ca="1" si="116"/>
        <v>0</v>
      </c>
    </row>
    <row r="293" spans="2:29" ht="19" hidden="1">
      <c r="B293" s="31"/>
      <c r="C293" s="32" cm="1">
        <f t="array" ref="C293">SUMIFS(BALANCES!$C:$C,BALANCES!$A:$A,$B$275,BALANCES!$B:$B,$B293,BALANCES!$D:$D,C$279)+SUMIFS(FLOWS!$C:$C,FLOWS!$A:$A,$B$275,FLOWS!$E:$E,$B293,FLOWS!$D:$D,C$279,FLOWS!$H:$H,"&lt;"&amp;$C$277)+SUM(SUMIFS(DEALS!$J:$J,DEALS!$A:$A,{"*REFUND*","*EXECUTED*"},DEALS!$G:$G,$B$275,DEALS!$E:$E,"&lt;"&amp;$C$277,DEALS!$K:$K,C$279,DEALS!$M:$M,$B293,DEALS!$N:$N,"&lt;&gt;*RECEIVED*",DEALS!$N:$N,"&lt;&gt;*EXECUTED*"))+SUM(SUMIFS(DEALS!$R:$R,DEALS!$A:$A,{"*REFUND*","*EXECUTED*"},DEALS!$O:$O,$B$275,DEALS!$E:$E,"&lt;"&amp;$C$277,DEALS!$S:$S,C$279,DEALS!$U:$U,$B293,DEALS!$V:$V,"&lt;&gt;*RECEIVED*",DEALS!$V:$V,"&lt;&gt;*EXECUTED*"))</f>
        <v>0</v>
      </c>
      <c r="D293" s="32" cm="1">
        <f t="array" ref="D293">SUMIFS(BALANCES!$C:$C,BALANCES!$A:$A,$B$275,BALANCES!$B:$B,$B293,BALANCES!$D:$D,D$279)+SUMIFS(FLOWS!$C:$C,FLOWS!$A:$A,$B$275,FLOWS!$E:$E,$B293,FLOWS!$D:$D,D$279,FLOWS!$H:$H,"&lt;"&amp;$C$277)+SUM(SUMIFS(DEALS!$J:$J,DEALS!$A:$A,{"*REFUND*","*EXECUTED*"},DEALS!$G:$G,$B$275,DEALS!$E:$E,"&lt;"&amp;$C$277,DEALS!$K:$K,D$279,DEALS!$M:$M,$B293,DEALS!$N:$N,"&lt;&gt;*RECEIVED*",DEALS!$N:$N,"&lt;&gt;*EXECUTED*"))+SUM(SUMIFS(DEALS!$R:$R,DEALS!$A:$A,{"*REFUND*","*EXECUTED*"},DEALS!$O:$O,$B$275,DEALS!$E:$E,"&lt;"&amp;$C$277,DEALS!$S:$S,D$279,DEALS!$U:$U,$B293,DEALS!$V:$V,"&lt;&gt;*RECEIVED*",DEALS!$V:$V,"&lt;&gt;*EXECUTED*"))</f>
        <v>0</v>
      </c>
      <c r="E293" s="32" cm="1">
        <f t="array" ref="E293">SUMIFS(BALANCES!$C:$C,BALANCES!$A:$A,$B$275,BALANCES!$B:$B,$B293,BALANCES!$D:$D,E$279)+SUMIFS(FLOWS!$C:$C,FLOWS!$A:$A,$B$275,FLOWS!$E:$E,$B293,FLOWS!$D:$D,E$279,FLOWS!$H:$H,"&lt;"&amp;$C$277)+SUM(SUMIFS(DEALS!$J:$J,DEALS!$A:$A,{"*REFUND*","*EXECUTED*"},DEALS!$G:$G,$B$275,DEALS!$E:$E,"&lt;"&amp;$C$277,DEALS!$K:$K,E$279,DEALS!$M:$M,$B293,DEALS!$N:$N,"&lt;&gt;*RECEIVED*",DEALS!$N:$N,"&lt;&gt;*EXECUTED*"))+SUM(SUMIFS(DEALS!$R:$R,DEALS!$A:$A,{"*REFUND*","*EXECUTED*"},DEALS!$O:$O,$B$275,DEALS!$E:$E,"&lt;"&amp;$C$277,DEALS!$S:$S,E$279,DEALS!$U:$U,$B293,DEALS!$V:$V,"&lt;&gt;*RECEIVED*",DEALS!$V:$V,"&lt;&gt;*EXECUTED*"))</f>
        <v>0</v>
      </c>
      <c r="F293" s="32" cm="1">
        <f t="array" ref="F293">SUMIFS(BALANCES!$C:$C,BALANCES!$A:$A,$B$275,BALANCES!$B:$B,$B293,BALANCES!$D:$D,F$279)+SUMIFS(FLOWS!$C:$C,FLOWS!$A:$A,$B$275,FLOWS!$E:$E,$B293,FLOWS!$D:$D,F$279,FLOWS!$H:$H,"&lt;"&amp;$C$277)+SUM(SUMIFS(DEALS!$J:$J,DEALS!$A:$A,{"*REFUND*","*EXECUTED*"},DEALS!$G:$G,$B$275,DEALS!$E:$E,"&lt;"&amp;$C$277,DEALS!$K:$K,F$279,DEALS!$M:$M,$B293,DEALS!$N:$N,"&lt;&gt;*RECEIVED*",DEALS!$N:$N,"&lt;&gt;*EXECUTED*"))+SUM(SUMIFS(DEALS!$R:$R,DEALS!$A:$A,{"*REFUND*","*EXECUTED*"},DEALS!$O:$O,$B$275,DEALS!$E:$E,"&lt;"&amp;$C$277,DEALS!$S:$S,F$279,DEALS!$U:$U,$B293,DEALS!$V:$V,"&lt;&gt;*RECEIVED*",DEALS!$V:$V,"&lt;&gt;*EXECUTED*"))</f>
        <v>0</v>
      </c>
      <c r="G293" s="32" cm="1">
        <f t="array" ref="G293">SUMIFS(BALANCES!$C:$C,BALANCES!$A:$A,$B$275,BALANCES!$B:$B,$B293,BALANCES!$D:$D,G$279)+SUMIFS(FLOWS!$C:$C,FLOWS!$A:$A,$B$275,FLOWS!$E:$E,$B293,FLOWS!$D:$D,G$279,FLOWS!$H:$H,"&lt;"&amp;$C$277)+SUM(SUMIFS(DEALS!$J:$J,DEALS!$A:$A,{"*REFUND*","*EXECUTED*"},DEALS!$G:$G,$B$275,DEALS!$E:$E,"&lt;"&amp;$C$277,DEALS!$K:$K,G$279,DEALS!$M:$M,$B293,DEALS!$N:$N,"&lt;&gt;*RECEIVED*",DEALS!$N:$N,"&lt;&gt;*EXECUTED*"))+SUM(SUMIFS(DEALS!$R:$R,DEALS!$A:$A,{"*REFUND*","*EXECUTED*"},DEALS!$O:$O,$B$275,DEALS!$E:$E,"&lt;"&amp;$C$277,DEALS!$S:$S,G$279,DEALS!$U:$U,$B293,DEALS!$V:$V,"&lt;&gt;*RECEIVED*",DEALS!$V:$V,"&lt;&gt;*EXECUTED*"))</f>
        <v>0</v>
      </c>
      <c r="H293" s="32" cm="1">
        <f t="array" ref="H293">SUMIFS(BALANCES!$C:$C,BALANCES!$A:$A,$B$275,BALANCES!$B:$B,$B293,BALANCES!$D:$D,H$279)+SUMIFS(FLOWS!$C:$C,FLOWS!$A:$A,$B$275,FLOWS!$E:$E,$B293,FLOWS!$D:$D,H$279,FLOWS!$H:$H,"&lt;"&amp;$C$277)+SUM(SUMIFS(DEALS!$J:$J,DEALS!$A:$A,{"*REFUND*","*EXECUTED*"},DEALS!$G:$G,$B$275,DEALS!$E:$E,"&lt;"&amp;$C$277,DEALS!$K:$K,H$279,DEALS!$M:$M,$B293,DEALS!$N:$N,"&lt;&gt;*RECEIVED*",DEALS!$N:$N,"&lt;&gt;*EXECUTED*"))+SUM(SUMIFS(DEALS!$R:$R,DEALS!$A:$A,{"*REFUND*","*EXECUTED*"},DEALS!$O:$O,$B$275,DEALS!$E:$E,"&lt;"&amp;$C$277,DEALS!$S:$S,H$279,DEALS!$U:$U,$B293,DEALS!$V:$V,"&lt;&gt;*RECEIVED*",DEALS!$V:$V,"&lt;&gt;*EXECUTED*"))</f>
        <v>0</v>
      </c>
      <c r="I293" s="33">
        <f ca="1">C293*VLOOKUP(C$279,'FX RATES'!$E$1:$F$50,2,FALSE)+D293*VLOOKUP(D$279,'FX RATES'!$E$1:$F$50,2,FALSE)+E293*VLOOKUP(E$279,'FX RATES'!$E$1:$F$50,2,FALSE)+F293*VLOOKUP(F$279,'FX RATES'!$E$1:$F$50,2,FALSE)+G293*VLOOKUP(G$279,'FX RATES'!$E$1:$F$50,2,FALSE)+H293*VLOOKUP(H$279,'FX RATES'!$E$1:$F$50,2,FALSE)</f>
        <v>0</v>
      </c>
      <c r="J293" s="18"/>
      <c r="K293" s="31">
        <f t="shared" si="114"/>
        <v>0</v>
      </c>
      <c r="L293" s="32" cm="1">
        <f t="array" ref="L293">SUMIFS(FLOWS!$C:$C,FLOWS!$A:$A,$B$275,FLOWS!$E:$E,$K293,FLOWS!$D:$D,L$279,FLOWS!$H:$H,"&gt;="&amp;$C$277,FLOWS!$H:$H,"&lt;="&amp;$U$277)+SUM(SUMIFS(DEALS!$J:$J,DEALS!$A:$A,{"*REFUND*","*EXECUTED*"},DEALS!$G:$G,$B$275,DEALS!$E:$E,"&gt;="&amp;$C$277,DEALS!$E:$E,"&lt;="&amp;$U$277,DEALS!$K:$K,L$279,DEALS!$M:$M,$K293,DEALS!$N:$N,"&lt;&gt;*RECEIVED*",DEALS!$N:$N,"&lt;&gt;*EXECUTED*"))+SUM(SUMIFS(DEALS!$R:$R,DEALS!$A:$A,{"*REFUND*","*EXECUTED*"},DEALS!$O:$O,$B$275,DEALS!$E:$E,"&gt;="&amp;$C$277,DEALS!$E:$E,"&lt;="&amp;$U$277,DEALS!$S:$S,L$279,DEALS!$U:$U,$K293,DEALS!$V:$V,"&lt;&gt;*RECEIVED*",DEALS!$V:$V,"&lt;&gt;*EXECUTED*"))</f>
        <v>0</v>
      </c>
      <c r="M293" s="32" cm="1">
        <f t="array" ref="M293">SUMIFS(FLOWS!$C:$C,FLOWS!$A:$A,$B$275,FLOWS!$E:$E,$K293,FLOWS!$D:$D,M$279,FLOWS!$H:$H,"&gt;="&amp;$C$277,FLOWS!$H:$H,"&lt;="&amp;$U$277)+SUM(SUMIFS(DEALS!$J:$J,DEALS!$A:$A,{"*REFUND*","*EXECUTED*"},DEALS!$G:$G,$B$275,DEALS!$E:$E,"&gt;="&amp;$C$277,DEALS!$E:$E,"&lt;="&amp;$U$277,DEALS!$K:$K,M$279,DEALS!$M:$M,$K293,DEALS!$N:$N,"&lt;&gt;*RECEIVED*",DEALS!$N:$N,"&lt;&gt;*EXECUTED*"))+SUM(SUMIFS(DEALS!$R:$R,DEALS!$A:$A,{"*REFUND*","*EXECUTED*"},DEALS!$O:$O,$B$275,DEALS!$E:$E,"&gt;="&amp;$C$277,DEALS!$E:$E,"&lt;="&amp;$U$277,DEALS!$S:$S,M$279,DEALS!$U:$U,$K293,DEALS!$V:$V,"&lt;&gt;*RECEIVED*",DEALS!$V:$V,"&lt;&gt;*EXECUTED*"))</f>
        <v>0</v>
      </c>
      <c r="N293" s="32" cm="1">
        <f t="array" ref="N293">SUMIFS(FLOWS!$C:$C,FLOWS!$A:$A,$B$275,FLOWS!$E:$E,$K293,FLOWS!$D:$D,N$279,FLOWS!$H:$H,"&gt;="&amp;$C$277,FLOWS!$H:$H,"&lt;="&amp;$U$277)+SUM(SUMIFS(DEALS!$J:$J,DEALS!$A:$A,{"*REFUND*","*EXECUTED*"},DEALS!$G:$G,$B$275,DEALS!$E:$E,"&gt;="&amp;$C$277,DEALS!$E:$E,"&lt;="&amp;$U$277,DEALS!$K:$K,N$279,DEALS!$M:$M,$K293,DEALS!$N:$N,"&lt;&gt;*RECEIVED*",DEALS!$N:$N,"&lt;&gt;*EXECUTED*"))+SUM(SUMIFS(DEALS!$R:$R,DEALS!$A:$A,{"*REFUND*","*EXECUTED*"},DEALS!$O:$O,$B$275,DEALS!$E:$E,"&gt;="&amp;$C$277,DEALS!$E:$E,"&lt;="&amp;$U$277,DEALS!$S:$S,N$279,DEALS!$U:$U,$K293,DEALS!$V:$V,"&lt;&gt;*RECEIVED*",DEALS!$V:$V,"&lt;&gt;*EXECUTED*"))</f>
        <v>0</v>
      </c>
      <c r="O293" s="32" cm="1">
        <f t="array" ref="O293">SUMIFS(FLOWS!$C:$C,FLOWS!$A:$A,$B$275,FLOWS!$E:$E,$K293,FLOWS!$D:$D,O$279,FLOWS!$H:$H,"&gt;="&amp;$C$277,FLOWS!$H:$H,"&lt;="&amp;$U$277)+SUM(SUMIFS(DEALS!$J:$J,DEALS!$A:$A,{"*REFUND*","*EXECUTED*"},DEALS!$G:$G,$B$275,DEALS!$E:$E,"&gt;="&amp;$C$277,DEALS!$E:$E,"&lt;="&amp;$U$277,DEALS!$K:$K,O$279,DEALS!$M:$M,$K293,DEALS!$N:$N,"&lt;&gt;*RECEIVED*",DEALS!$N:$N,"&lt;&gt;*EXECUTED*"))+SUM(SUMIFS(DEALS!$R:$R,DEALS!$A:$A,{"*REFUND*","*EXECUTED*"},DEALS!$O:$O,$B$275,DEALS!$E:$E,"&gt;="&amp;$C$277,DEALS!$E:$E,"&lt;="&amp;$U$277,DEALS!$S:$S,O$279,DEALS!$U:$U,$K293,DEALS!$V:$V,"&lt;&gt;*RECEIVED*",DEALS!$V:$V,"&lt;&gt;*EXECUTED*"))</f>
        <v>0</v>
      </c>
      <c r="P293" s="32" cm="1">
        <f t="array" ref="P293">SUMIFS(FLOWS!$C:$C,FLOWS!$A:$A,$B$275,FLOWS!$E:$E,$K293,FLOWS!$D:$D,P$279,FLOWS!$H:$H,"&gt;="&amp;$C$277,FLOWS!$H:$H,"&lt;="&amp;$U$277)+SUM(SUMIFS(DEALS!$J:$J,DEALS!$A:$A,{"*REFUND*","*EXECUTED*"},DEALS!$G:$G,$B$275,DEALS!$E:$E,"&gt;="&amp;$C$277,DEALS!$E:$E,"&lt;="&amp;$U$277,DEALS!$K:$K,P$279,DEALS!$M:$M,$K293,DEALS!$N:$N,"&lt;&gt;*RECEIVED*",DEALS!$N:$N,"&lt;&gt;*EXECUTED*"))+SUM(SUMIFS(DEALS!$R:$R,DEALS!$A:$A,{"*REFUND*","*EXECUTED*"},DEALS!$O:$O,$B$275,DEALS!$E:$E,"&gt;="&amp;$C$277,DEALS!$E:$E,"&lt;="&amp;$U$277,DEALS!$S:$S,P$279,DEALS!$U:$U,$K293,DEALS!$V:$V,"&lt;&gt;*RECEIVED*",DEALS!$V:$V,"&lt;&gt;*EXECUTED*"))</f>
        <v>0</v>
      </c>
      <c r="Q293" s="32" cm="1">
        <f t="array" ref="Q293">SUMIFS(FLOWS!$C:$C,FLOWS!$A:$A,$B$275,FLOWS!$E:$E,$K293,FLOWS!$D:$D,Q$279,FLOWS!$H:$H,"&gt;="&amp;$C$277,FLOWS!$H:$H,"&lt;="&amp;$U$277)+SUM(SUMIFS(DEALS!$J:$J,DEALS!$A:$A,{"*REFUND*","*EXECUTED*"},DEALS!$G:$G,$B$275,DEALS!$E:$E,"&gt;="&amp;$C$277,DEALS!$E:$E,"&lt;="&amp;$U$277,DEALS!$K:$K,Q$279,DEALS!$M:$M,$K293,DEALS!$N:$N,"&lt;&gt;*RECEIVED*",DEALS!$N:$N,"&lt;&gt;*EXECUTED*"))+SUM(SUMIFS(DEALS!$R:$R,DEALS!$A:$A,{"*REFUND*","*EXECUTED*"},DEALS!$O:$O,$B$275,DEALS!$E:$E,"&gt;="&amp;$C$277,DEALS!$E:$E,"&lt;="&amp;$U$277,DEALS!$S:$S,Q$279,DEALS!$U:$U,$K293,DEALS!$V:$V,"&lt;&gt;*RECEIVED*",DEALS!$V:$V,"&lt;&gt;*EXECUTED*"))</f>
        <v>0</v>
      </c>
      <c r="R293" s="33">
        <f ca="1">L293*VLOOKUP(L$279,'FX RATES'!$E$1:$F$50,2,FALSE)+M293*VLOOKUP(M$279,'FX RATES'!$E$1:$F$50,2,FALSE)+N293*VLOOKUP(N$279,'FX RATES'!$E$1:$F$50,2,FALSE)+O293*VLOOKUP(O$279,'FX RATES'!$E$1:$F$50,2,FALSE)+P293*VLOOKUP(P$279,'FX RATES'!$E$1:$F$50,2,FALSE)+Q293*VLOOKUP(Q$279,'FX RATES'!$E$1:$F$50,2,FALSE)</f>
        <v>0</v>
      </c>
      <c r="T293" s="31">
        <f t="shared" si="115"/>
        <v>0</v>
      </c>
      <c r="U293" s="32" cm="1">
        <f t="array" ref="U293">SUMIFS(BALANCES!$C:$C,BALANCES!$A:$A,$B$275,BALANCES!$B:$B,$T293,BALANCES!$D:$D,U$279)+SUMIFS(FLOWS!$C:$C,FLOWS!$A:$A,$B$275,FLOWS!$E:$E,$T293,FLOWS!$D:$D,U$279,FLOWS!$H:$H,"&lt;="&amp;$U$277)+SUM(SUMIFS(DEALS!$J:$J,DEALS!$A:$A,{"*REFUND*","*EXECUTED*"},DEALS!$G:$G,$B$275,DEALS!$E:$E,"&lt;="&amp;$U$277,DEALS!$K:$K,U$279,DEALS!$M:$M,$T293,DEALS!$N:$N,"&lt;&gt;*RECEIVED*",DEALS!$N:$N,"&lt;&gt;*EXECUTED*"))+SUM(SUMIFS(DEALS!$R:$R,DEALS!$A:$A,{"*REFUND*","*EXECUTED*"},DEALS!$O:$O,$B$275,DEALS!$E:$E,"&lt;="&amp;$U$277,DEALS!$S:$S,U$279,DEALS!$U:$U,$T293,DEALS!$V:$V,"&lt;&gt;*RECEIVED*",DEALS!$V:$V,"&lt;&gt;*EXECUTED*"))</f>
        <v>0</v>
      </c>
      <c r="V293" s="32" cm="1">
        <f t="array" ref="V293">SUMIFS(BALANCES!$C:$C,BALANCES!$A:$A,$B$275,BALANCES!$B:$B,$T293,BALANCES!$D:$D,V$279)+SUMIFS(FLOWS!$C:$C,FLOWS!$A:$A,$B$275,FLOWS!$E:$E,$T293,FLOWS!$D:$D,V$279,FLOWS!$H:$H,"&lt;="&amp;$U$277)+SUM(SUMIFS(DEALS!$J:$J,DEALS!$A:$A,{"*REFUND*","*EXECUTED*"},DEALS!$G:$G,$B$275,DEALS!$E:$E,"&lt;="&amp;$U$277,DEALS!$K:$K,V$279,DEALS!$M:$M,$T293,DEALS!$N:$N,"&lt;&gt;*RECEIVED*",DEALS!$N:$N,"&lt;&gt;*EXECUTED*"))+SUM(SUMIFS(DEALS!$R:$R,DEALS!$A:$A,{"*REFUND*","*EXECUTED*"},DEALS!$O:$O,$B$275,DEALS!$E:$E,"&lt;="&amp;$U$277,DEALS!$S:$S,V$279,DEALS!$U:$U,$T293,DEALS!$V:$V,"&lt;&gt;*RECEIVED*",DEALS!$V:$V,"&lt;&gt;*EXECUTED*"))</f>
        <v>0</v>
      </c>
      <c r="W293" s="32" cm="1">
        <f t="array" ref="W293">SUMIFS(BALANCES!$C:$C,BALANCES!$A:$A,$B$275,BALANCES!$B:$B,$T293,BALANCES!$D:$D,W$279)+SUMIFS(FLOWS!$C:$C,FLOWS!$A:$A,$B$275,FLOWS!$E:$E,$T293,FLOWS!$D:$D,W$279,FLOWS!$H:$H,"&lt;="&amp;$U$277)+SUM(SUMIFS(DEALS!$J:$J,DEALS!$A:$A,{"*REFUND*","*EXECUTED*"},DEALS!$G:$G,$B$275,DEALS!$E:$E,"&lt;="&amp;$U$277,DEALS!$K:$K,W$279,DEALS!$M:$M,$T293,DEALS!$N:$N,"&lt;&gt;*RECEIVED*",DEALS!$N:$N,"&lt;&gt;*EXECUTED*"))+SUM(SUMIFS(DEALS!$R:$R,DEALS!$A:$A,{"*REFUND*","*EXECUTED*"},DEALS!$O:$O,$B$275,DEALS!$E:$E,"&lt;="&amp;$U$277,DEALS!$S:$S,W$279,DEALS!$U:$U,$T293,DEALS!$V:$V,"&lt;&gt;*RECEIVED*",DEALS!$V:$V,"&lt;&gt;*EXECUTED*"))</f>
        <v>0</v>
      </c>
      <c r="X293" s="32" cm="1">
        <f t="array" ref="X293">SUMIFS(BALANCES!$C:$C,BALANCES!$A:$A,$B$275,BALANCES!$B:$B,$T293,BALANCES!$D:$D,X$279)+SUMIFS(FLOWS!$C:$C,FLOWS!$A:$A,$B$275,FLOWS!$E:$E,$T293,FLOWS!$D:$D,X$279,FLOWS!$H:$H,"&lt;="&amp;$U$277)+SUM(SUMIFS(DEALS!$J:$J,DEALS!$A:$A,{"*REFUND*","*EXECUTED*"},DEALS!$G:$G,$B$275,DEALS!$E:$E,"&lt;="&amp;$U$277,DEALS!$K:$K,X$279,DEALS!$M:$M,$T293,DEALS!$N:$N,"&lt;&gt;*RECEIVED*",DEALS!$N:$N,"&lt;&gt;*EXECUTED*"))+SUM(SUMIFS(DEALS!$R:$R,DEALS!$A:$A,{"*REFUND*","*EXECUTED*"},DEALS!$O:$O,$B$275,DEALS!$E:$E,"&lt;="&amp;$U$277,DEALS!$S:$S,X$279,DEALS!$U:$U,$T293,DEALS!$V:$V,"&lt;&gt;*RECEIVED*",DEALS!$V:$V,"&lt;&gt;*EXECUTED*"))</f>
        <v>0</v>
      </c>
      <c r="Y293" s="32" cm="1">
        <f t="array" ref="Y293">SUMIFS(BALANCES!$C:$C,BALANCES!$A:$A,$B$275,BALANCES!$B:$B,$T293,BALANCES!$D:$D,Y$279)+SUMIFS(FLOWS!$C:$C,FLOWS!$A:$A,$B$275,FLOWS!$E:$E,$T293,FLOWS!$D:$D,Y$279,FLOWS!$H:$H,"&lt;="&amp;$U$277)+SUM(SUMIFS(DEALS!$J:$J,DEALS!$A:$A,{"*REFUND*","*EXECUTED*"},DEALS!$G:$G,$B$275,DEALS!$E:$E,"&lt;="&amp;$U$277,DEALS!$K:$K,Y$279,DEALS!$M:$M,$T293,DEALS!$N:$N,"&lt;&gt;*RECEIVED*",DEALS!$N:$N,"&lt;&gt;*EXECUTED*"))+SUM(SUMIFS(DEALS!$R:$R,DEALS!$A:$A,{"*REFUND*","*EXECUTED*"},DEALS!$O:$O,$B$275,DEALS!$E:$E,"&lt;="&amp;$U$277,DEALS!$S:$S,Y$279,DEALS!$U:$U,$T293,DEALS!$V:$V,"&lt;&gt;*RECEIVED*",DEALS!$V:$V,"&lt;&gt;*EXECUTED*"))</f>
        <v>0</v>
      </c>
      <c r="Z293" s="32" cm="1">
        <f t="array" ref="Z293">SUMIFS(BALANCES!$C:$C,BALANCES!$A:$A,$B$275,BALANCES!$B:$B,$T293,BALANCES!$D:$D,Z$279)+SUMIFS(FLOWS!$C:$C,FLOWS!$A:$A,$B$275,FLOWS!$E:$E,$T293,FLOWS!$D:$D,Z$279,FLOWS!$H:$H,"&lt;="&amp;$U$277)+SUM(SUMIFS(DEALS!$J:$J,DEALS!$A:$A,{"*REFUND*","*EXECUTED*"},DEALS!$G:$G,$B$275,DEALS!$E:$E,"&lt;="&amp;$U$277,DEALS!$K:$K,Z$279,DEALS!$M:$M,$T293,DEALS!$N:$N,"&lt;&gt;*RECEIVED*",DEALS!$N:$N,"&lt;&gt;*EXECUTED*"))+SUM(SUMIFS(DEALS!$R:$R,DEALS!$A:$A,{"*REFUND*","*EXECUTED*"},DEALS!$O:$O,$B$275,DEALS!$E:$E,"&lt;="&amp;$U$277,DEALS!$S:$S,Z$279,DEALS!$U:$U,$T293,DEALS!$V:$V,"&lt;&gt;*RECEIVED*",DEALS!$V:$V,"&lt;&gt;*EXECUTED*"))</f>
        <v>0</v>
      </c>
      <c r="AA293" s="33">
        <f ca="1">U293*VLOOKUP(U$279,'FX RATES'!$E$1:$F$50,2,FALSE)+V293*VLOOKUP(V$279,'FX RATES'!$E$1:$F$50,2,FALSE)+W293*VLOOKUP(W$279,'FX RATES'!$E$1:$F$50,2,FALSE)+X293*VLOOKUP(X$279,'FX RATES'!$E$1:$F$50,2,FALSE)+Y293*VLOOKUP(Y$279,'FX RATES'!$E$1:$F$50,2,FALSE)+Z293*VLOOKUP(Z$279,'FX RATES'!$E$1:$F$50,2,FALSE)</f>
        <v>0</v>
      </c>
      <c r="AC293" s="139">
        <f t="shared" ca="1" si="116"/>
        <v>0</v>
      </c>
    </row>
    <row r="294" spans="2:29" ht="19" hidden="1">
      <c r="B294" s="28"/>
      <c r="C294" s="29" cm="1">
        <f t="array" ref="C294">SUMIFS(BALANCES!$C:$C,BALANCES!$A:$A,$B$275,BALANCES!$B:$B,$B294,BALANCES!$D:$D,C$279)+SUMIFS(FLOWS!$C:$C,FLOWS!$A:$A,$B$275,FLOWS!$E:$E,$B294,FLOWS!$D:$D,C$279,FLOWS!$H:$H,"&lt;"&amp;$C$277)+SUM(SUMIFS(DEALS!$J:$J,DEALS!$A:$A,{"*REFUND*","*EXECUTED*"},DEALS!$G:$G,$B$275,DEALS!$E:$E,"&lt;"&amp;$C$277,DEALS!$K:$K,C$279,DEALS!$M:$M,$B294,DEALS!$N:$N,"&lt;&gt;*RECEIVED*",DEALS!$N:$N,"&lt;&gt;*EXECUTED*"))+SUM(SUMIFS(DEALS!$R:$R,DEALS!$A:$A,{"*REFUND*","*EXECUTED*"},DEALS!$O:$O,$B$275,DEALS!$E:$E,"&lt;"&amp;$C$277,DEALS!$S:$S,C$279,DEALS!$U:$U,$B294,DEALS!$V:$V,"&lt;&gt;*RECEIVED*",DEALS!$V:$V,"&lt;&gt;*EXECUTED*"))</f>
        <v>0</v>
      </c>
      <c r="D294" s="29" cm="1">
        <f t="array" ref="D294">SUMIFS(BALANCES!$C:$C,BALANCES!$A:$A,$B$275,BALANCES!$B:$B,$B294,BALANCES!$D:$D,D$279)+SUMIFS(FLOWS!$C:$C,FLOWS!$A:$A,$B$275,FLOWS!$E:$E,$B294,FLOWS!$D:$D,D$279,FLOWS!$H:$H,"&lt;"&amp;$C$277)+SUM(SUMIFS(DEALS!$J:$J,DEALS!$A:$A,{"*REFUND*","*EXECUTED*"},DEALS!$G:$G,$B$275,DEALS!$E:$E,"&lt;"&amp;$C$277,DEALS!$K:$K,D$279,DEALS!$M:$M,$B294,DEALS!$N:$N,"&lt;&gt;*RECEIVED*",DEALS!$N:$N,"&lt;&gt;*EXECUTED*"))+SUM(SUMIFS(DEALS!$R:$R,DEALS!$A:$A,{"*REFUND*","*EXECUTED*"},DEALS!$O:$O,$B$275,DEALS!$E:$E,"&lt;"&amp;$C$277,DEALS!$S:$S,D$279,DEALS!$U:$U,$B294,DEALS!$V:$V,"&lt;&gt;*RECEIVED*",DEALS!$V:$V,"&lt;&gt;*EXECUTED*"))</f>
        <v>0</v>
      </c>
      <c r="E294" s="29" cm="1">
        <f t="array" ref="E294">SUMIFS(BALANCES!$C:$C,BALANCES!$A:$A,$B$275,BALANCES!$B:$B,$B294,BALANCES!$D:$D,E$279)+SUMIFS(FLOWS!$C:$C,FLOWS!$A:$A,$B$275,FLOWS!$E:$E,$B294,FLOWS!$D:$D,E$279,FLOWS!$H:$H,"&lt;"&amp;$C$277)+SUM(SUMIFS(DEALS!$J:$J,DEALS!$A:$A,{"*REFUND*","*EXECUTED*"},DEALS!$G:$G,$B$275,DEALS!$E:$E,"&lt;"&amp;$C$277,DEALS!$K:$K,E$279,DEALS!$M:$M,$B294,DEALS!$N:$N,"&lt;&gt;*RECEIVED*",DEALS!$N:$N,"&lt;&gt;*EXECUTED*"))+SUM(SUMIFS(DEALS!$R:$R,DEALS!$A:$A,{"*REFUND*","*EXECUTED*"},DEALS!$O:$O,$B$275,DEALS!$E:$E,"&lt;"&amp;$C$277,DEALS!$S:$S,E$279,DEALS!$U:$U,$B294,DEALS!$V:$V,"&lt;&gt;*RECEIVED*",DEALS!$V:$V,"&lt;&gt;*EXECUTED*"))</f>
        <v>0</v>
      </c>
      <c r="F294" s="29" cm="1">
        <f t="array" ref="F294">SUMIFS(BALANCES!$C:$C,BALANCES!$A:$A,$B$275,BALANCES!$B:$B,$B294,BALANCES!$D:$D,F$279)+SUMIFS(FLOWS!$C:$C,FLOWS!$A:$A,$B$275,FLOWS!$E:$E,$B294,FLOWS!$D:$D,F$279,FLOWS!$H:$H,"&lt;"&amp;$C$277)+SUM(SUMIFS(DEALS!$J:$J,DEALS!$A:$A,{"*REFUND*","*EXECUTED*"},DEALS!$G:$G,$B$275,DEALS!$E:$E,"&lt;"&amp;$C$277,DEALS!$K:$K,F$279,DEALS!$M:$M,$B294,DEALS!$N:$N,"&lt;&gt;*RECEIVED*",DEALS!$N:$N,"&lt;&gt;*EXECUTED*"))+SUM(SUMIFS(DEALS!$R:$R,DEALS!$A:$A,{"*REFUND*","*EXECUTED*"},DEALS!$O:$O,$B$275,DEALS!$E:$E,"&lt;"&amp;$C$277,DEALS!$S:$S,F$279,DEALS!$U:$U,$B294,DEALS!$V:$V,"&lt;&gt;*RECEIVED*",DEALS!$V:$V,"&lt;&gt;*EXECUTED*"))</f>
        <v>0</v>
      </c>
      <c r="G294" s="29" cm="1">
        <f t="array" ref="G294">SUMIFS(BALANCES!$C:$C,BALANCES!$A:$A,$B$275,BALANCES!$B:$B,$B294,BALANCES!$D:$D,G$279)+SUMIFS(FLOWS!$C:$C,FLOWS!$A:$A,$B$275,FLOWS!$E:$E,$B294,FLOWS!$D:$D,G$279,FLOWS!$H:$H,"&lt;"&amp;$C$277)+SUM(SUMIFS(DEALS!$J:$J,DEALS!$A:$A,{"*REFUND*","*EXECUTED*"},DEALS!$G:$G,$B$275,DEALS!$E:$E,"&lt;"&amp;$C$277,DEALS!$K:$K,G$279,DEALS!$M:$M,$B294,DEALS!$N:$N,"&lt;&gt;*RECEIVED*",DEALS!$N:$N,"&lt;&gt;*EXECUTED*"))+SUM(SUMIFS(DEALS!$R:$R,DEALS!$A:$A,{"*REFUND*","*EXECUTED*"},DEALS!$O:$O,$B$275,DEALS!$E:$E,"&lt;"&amp;$C$277,DEALS!$S:$S,G$279,DEALS!$U:$U,$B294,DEALS!$V:$V,"&lt;&gt;*RECEIVED*",DEALS!$V:$V,"&lt;&gt;*EXECUTED*"))</f>
        <v>0</v>
      </c>
      <c r="H294" s="29" cm="1">
        <f t="array" ref="H294">SUMIFS(BALANCES!$C:$C,BALANCES!$A:$A,$B$275,BALANCES!$B:$B,$B294,BALANCES!$D:$D,H$279)+SUMIFS(FLOWS!$C:$C,FLOWS!$A:$A,$B$275,FLOWS!$E:$E,$B294,FLOWS!$D:$D,H$279,FLOWS!$H:$H,"&lt;"&amp;$C$277)+SUM(SUMIFS(DEALS!$J:$J,DEALS!$A:$A,{"*REFUND*","*EXECUTED*"},DEALS!$G:$G,$B$275,DEALS!$E:$E,"&lt;"&amp;$C$277,DEALS!$K:$K,H$279,DEALS!$M:$M,$B294,DEALS!$N:$N,"&lt;&gt;*RECEIVED*",DEALS!$N:$N,"&lt;&gt;*EXECUTED*"))+SUM(SUMIFS(DEALS!$R:$R,DEALS!$A:$A,{"*REFUND*","*EXECUTED*"},DEALS!$O:$O,$B$275,DEALS!$E:$E,"&lt;"&amp;$C$277,DEALS!$S:$S,H$279,DEALS!$U:$U,$B294,DEALS!$V:$V,"&lt;&gt;*RECEIVED*",DEALS!$V:$V,"&lt;&gt;*EXECUTED*"))</f>
        <v>0</v>
      </c>
      <c r="I294" s="30">
        <f ca="1">C294*VLOOKUP(C$279,'FX RATES'!$E$1:$F$50,2,FALSE)+D294*VLOOKUP(D$279,'FX RATES'!$E$1:$F$50,2,FALSE)+E294*VLOOKUP(E$279,'FX RATES'!$E$1:$F$50,2,FALSE)+F294*VLOOKUP(F$279,'FX RATES'!$E$1:$F$50,2,FALSE)+G294*VLOOKUP(G$279,'FX RATES'!$E$1:$F$50,2,FALSE)+H294*VLOOKUP(H$279,'FX RATES'!$E$1:$F$50,2,FALSE)</f>
        <v>0</v>
      </c>
      <c r="K294" s="28">
        <f t="shared" si="114"/>
        <v>0</v>
      </c>
      <c r="L294" s="29" cm="1">
        <f t="array" ref="L294">SUMIFS(FLOWS!$C:$C,FLOWS!$A:$A,$B$275,FLOWS!$E:$E,$K294,FLOWS!$D:$D,L$279,FLOWS!$H:$H,"&gt;="&amp;$C$277,FLOWS!$H:$H,"&lt;="&amp;$U$277)+SUM(SUMIFS(DEALS!$J:$J,DEALS!$A:$A,{"*REFUND*","*EXECUTED*"},DEALS!$G:$G,$B$275,DEALS!$E:$E,"&gt;="&amp;$C$277,DEALS!$E:$E,"&lt;="&amp;$U$277,DEALS!$K:$K,L$279,DEALS!$M:$M,$K294,DEALS!$N:$N,"&lt;&gt;*RECEIVED*",DEALS!$N:$N,"&lt;&gt;*EXECUTED*"))+SUM(SUMIFS(DEALS!$R:$R,DEALS!$A:$A,{"*REFUND*","*EXECUTED*"},DEALS!$O:$O,$B$275,DEALS!$E:$E,"&gt;="&amp;$C$277,DEALS!$E:$E,"&lt;="&amp;$U$277,DEALS!$S:$S,L$279,DEALS!$U:$U,$K294,DEALS!$V:$V,"&lt;&gt;*RECEIVED*",DEALS!$V:$V,"&lt;&gt;*EXECUTED*"))</f>
        <v>0</v>
      </c>
      <c r="M294" s="29" cm="1">
        <f t="array" ref="M294">SUMIFS(FLOWS!$C:$C,FLOWS!$A:$A,$B$275,FLOWS!$E:$E,$K294,FLOWS!$D:$D,M$279,FLOWS!$H:$H,"&gt;="&amp;$C$277,FLOWS!$H:$H,"&lt;="&amp;$U$277)+SUM(SUMIFS(DEALS!$J:$J,DEALS!$A:$A,{"*REFUND*","*EXECUTED*"},DEALS!$G:$G,$B$275,DEALS!$E:$E,"&gt;="&amp;$C$277,DEALS!$E:$E,"&lt;="&amp;$U$277,DEALS!$K:$K,M$279,DEALS!$M:$M,$K294,DEALS!$N:$N,"&lt;&gt;*RECEIVED*",DEALS!$N:$N,"&lt;&gt;*EXECUTED*"))+SUM(SUMIFS(DEALS!$R:$R,DEALS!$A:$A,{"*REFUND*","*EXECUTED*"},DEALS!$O:$O,$B$275,DEALS!$E:$E,"&gt;="&amp;$C$277,DEALS!$E:$E,"&lt;="&amp;$U$277,DEALS!$S:$S,M$279,DEALS!$U:$U,$K294,DEALS!$V:$V,"&lt;&gt;*RECEIVED*",DEALS!$V:$V,"&lt;&gt;*EXECUTED*"))</f>
        <v>0</v>
      </c>
      <c r="N294" s="29" cm="1">
        <f t="array" ref="N294">SUMIFS(FLOWS!$C:$C,FLOWS!$A:$A,$B$275,FLOWS!$E:$E,$K294,FLOWS!$D:$D,N$279,FLOWS!$H:$H,"&gt;="&amp;$C$277,FLOWS!$H:$H,"&lt;="&amp;$U$277)+SUM(SUMIFS(DEALS!$J:$J,DEALS!$A:$A,{"*REFUND*","*EXECUTED*"},DEALS!$G:$G,$B$275,DEALS!$E:$E,"&gt;="&amp;$C$277,DEALS!$E:$E,"&lt;="&amp;$U$277,DEALS!$K:$K,N$279,DEALS!$M:$M,$K294,DEALS!$N:$N,"&lt;&gt;*RECEIVED*",DEALS!$N:$N,"&lt;&gt;*EXECUTED*"))+SUM(SUMIFS(DEALS!$R:$R,DEALS!$A:$A,{"*REFUND*","*EXECUTED*"},DEALS!$O:$O,$B$275,DEALS!$E:$E,"&gt;="&amp;$C$277,DEALS!$E:$E,"&lt;="&amp;$U$277,DEALS!$S:$S,N$279,DEALS!$U:$U,$K294,DEALS!$V:$V,"&lt;&gt;*RECEIVED*",DEALS!$V:$V,"&lt;&gt;*EXECUTED*"))</f>
        <v>0</v>
      </c>
      <c r="O294" s="29" cm="1">
        <f t="array" ref="O294">SUMIFS(FLOWS!$C:$C,FLOWS!$A:$A,$B$275,FLOWS!$E:$E,$K294,FLOWS!$D:$D,O$279,FLOWS!$H:$H,"&gt;="&amp;$C$277,FLOWS!$H:$H,"&lt;="&amp;$U$277)+SUM(SUMIFS(DEALS!$J:$J,DEALS!$A:$A,{"*REFUND*","*EXECUTED*"},DEALS!$G:$G,$B$275,DEALS!$E:$E,"&gt;="&amp;$C$277,DEALS!$E:$E,"&lt;="&amp;$U$277,DEALS!$K:$K,O$279,DEALS!$M:$M,$K294,DEALS!$N:$N,"&lt;&gt;*RECEIVED*",DEALS!$N:$N,"&lt;&gt;*EXECUTED*"))+SUM(SUMIFS(DEALS!$R:$R,DEALS!$A:$A,{"*REFUND*","*EXECUTED*"},DEALS!$O:$O,$B$275,DEALS!$E:$E,"&gt;="&amp;$C$277,DEALS!$E:$E,"&lt;="&amp;$U$277,DEALS!$S:$S,O$279,DEALS!$U:$U,$K294,DEALS!$V:$V,"&lt;&gt;*RECEIVED*",DEALS!$V:$V,"&lt;&gt;*EXECUTED*"))</f>
        <v>0</v>
      </c>
      <c r="P294" s="29" cm="1">
        <f t="array" ref="P294">SUMIFS(FLOWS!$C:$C,FLOWS!$A:$A,$B$275,FLOWS!$E:$E,$K294,FLOWS!$D:$D,P$279,FLOWS!$H:$H,"&gt;="&amp;$C$277,FLOWS!$H:$H,"&lt;="&amp;$U$277)+SUM(SUMIFS(DEALS!$J:$J,DEALS!$A:$A,{"*REFUND*","*EXECUTED*"},DEALS!$G:$G,$B$275,DEALS!$E:$E,"&gt;="&amp;$C$277,DEALS!$E:$E,"&lt;="&amp;$U$277,DEALS!$K:$K,P$279,DEALS!$M:$M,$K294,DEALS!$N:$N,"&lt;&gt;*RECEIVED*",DEALS!$N:$N,"&lt;&gt;*EXECUTED*"))+SUM(SUMIFS(DEALS!$R:$R,DEALS!$A:$A,{"*REFUND*","*EXECUTED*"},DEALS!$O:$O,$B$275,DEALS!$E:$E,"&gt;="&amp;$C$277,DEALS!$E:$E,"&lt;="&amp;$U$277,DEALS!$S:$S,P$279,DEALS!$U:$U,$K294,DEALS!$V:$V,"&lt;&gt;*RECEIVED*",DEALS!$V:$V,"&lt;&gt;*EXECUTED*"))</f>
        <v>0</v>
      </c>
      <c r="Q294" s="29" cm="1">
        <f t="array" ref="Q294">SUMIFS(FLOWS!$C:$C,FLOWS!$A:$A,$B$275,FLOWS!$E:$E,$K294,FLOWS!$D:$D,Q$279,FLOWS!$H:$H,"&gt;="&amp;$C$277,FLOWS!$H:$H,"&lt;="&amp;$U$277)+SUM(SUMIFS(DEALS!$J:$J,DEALS!$A:$A,{"*REFUND*","*EXECUTED*"},DEALS!$G:$G,$B$275,DEALS!$E:$E,"&gt;="&amp;$C$277,DEALS!$E:$E,"&lt;="&amp;$U$277,DEALS!$K:$K,Q$279,DEALS!$M:$M,$K294,DEALS!$N:$N,"&lt;&gt;*RECEIVED*",DEALS!$N:$N,"&lt;&gt;*EXECUTED*"))+SUM(SUMIFS(DEALS!$R:$R,DEALS!$A:$A,{"*REFUND*","*EXECUTED*"},DEALS!$O:$O,$B$275,DEALS!$E:$E,"&gt;="&amp;$C$277,DEALS!$E:$E,"&lt;="&amp;$U$277,DEALS!$S:$S,Q$279,DEALS!$U:$U,$K294,DEALS!$V:$V,"&lt;&gt;*RECEIVED*",DEALS!$V:$V,"&lt;&gt;*EXECUTED*"))</f>
        <v>0</v>
      </c>
      <c r="R294" s="30">
        <f ca="1">L294*VLOOKUP(L$279,'FX RATES'!$E$1:$F$50,2,FALSE)+M294*VLOOKUP(M$279,'FX RATES'!$E$1:$F$50,2,FALSE)+N294*VLOOKUP(N$279,'FX RATES'!$E$1:$F$50,2,FALSE)+O294*VLOOKUP(O$279,'FX RATES'!$E$1:$F$50,2,FALSE)+P294*VLOOKUP(P$279,'FX RATES'!$E$1:$F$50,2,FALSE)+Q294*VLOOKUP(Q$279,'FX RATES'!$E$1:$F$50,2,FALSE)</f>
        <v>0</v>
      </c>
      <c r="T294" s="28">
        <f t="shared" si="115"/>
        <v>0</v>
      </c>
      <c r="U294" s="29" cm="1">
        <f t="array" ref="U294">SUMIFS(BALANCES!$C:$C,BALANCES!$A:$A,$B$275,BALANCES!$B:$B,$T294,BALANCES!$D:$D,U$279)+SUMIFS(FLOWS!$C:$C,FLOWS!$A:$A,$B$275,FLOWS!$E:$E,$T294,FLOWS!$D:$D,U$279,FLOWS!$H:$H,"&lt;="&amp;$U$277)+SUM(SUMIFS(DEALS!$J:$J,DEALS!$A:$A,{"*REFUND*","*EXECUTED*"},DEALS!$G:$G,$B$275,DEALS!$E:$E,"&lt;="&amp;$U$277,DEALS!$K:$K,U$279,DEALS!$M:$M,$T294,DEALS!$N:$N,"&lt;&gt;*RECEIVED*",DEALS!$N:$N,"&lt;&gt;*EXECUTED*"))+SUM(SUMIFS(DEALS!$R:$R,DEALS!$A:$A,{"*REFUND*","*EXECUTED*"},DEALS!$O:$O,$B$275,DEALS!$E:$E,"&lt;="&amp;$U$277,DEALS!$S:$S,U$279,DEALS!$U:$U,$T294,DEALS!$V:$V,"&lt;&gt;*RECEIVED*",DEALS!$V:$V,"&lt;&gt;*EXECUTED*"))</f>
        <v>0</v>
      </c>
      <c r="V294" s="29" cm="1">
        <f t="array" ref="V294">SUMIFS(BALANCES!$C:$C,BALANCES!$A:$A,$B$275,BALANCES!$B:$B,$T294,BALANCES!$D:$D,V$279)+SUMIFS(FLOWS!$C:$C,FLOWS!$A:$A,$B$275,FLOWS!$E:$E,$T294,FLOWS!$D:$D,V$279,FLOWS!$H:$H,"&lt;="&amp;$U$277)+SUM(SUMIFS(DEALS!$J:$J,DEALS!$A:$A,{"*REFUND*","*EXECUTED*"},DEALS!$G:$G,$B$275,DEALS!$E:$E,"&lt;="&amp;$U$277,DEALS!$K:$K,V$279,DEALS!$M:$M,$T294,DEALS!$N:$N,"&lt;&gt;*RECEIVED*",DEALS!$N:$N,"&lt;&gt;*EXECUTED*"))+SUM(SUMIFS(DEALS!$R:$R,DEALS!$A:$A,{"*REFUND*","*EXECUTED*"},DEALS!$O:$O,$B$275,DEALS!$E:$E,"&lt;="&amp;$U$277,DEALS!$S:$S,V$279,DEALS!$U:$U,$T294,DEALS!$V:$V,"&lt;&gt;*RECEIVED*",DEALS!$V:$V,"&lt;&gt;*EXECUTED*"))</f>
        <v>0</v>
      </c>
      <c r="W294" s="29" cm="1">
        <f t="array" ref="W294">SUMIFS(BALANCES!$C:$C,BALANCES!$A:$A,$B$275,BALANCES!$B:$B,$T294,BALANCES!$D:$D,W$279)+SUMIFS(FLOWS!$C:$C,FLOWS!$A:$A,$B$275,FLOWS!$E:$E,$T294,FLOWS!$D:$D,W$279,FLOWS!$H:$H,"&lt;="&amp;$U$277)+SUM(SUMIFS(DEALS!$J:$J,DEALS!$A:$A,{"*REFUND*","*EXECUTED*"},DEALS!$G:$G,$B$275,DEALS!$E:$E,"&lt;="&amp;$U$277,DEALS!$K:$K,W$279,DEALS!$M:$M,$T294,DEALS!$N:$N,"&lt;&gt;*RECEIVED*",DEALS!$N:$N,"&lt;&gt;*EXECUTED*"))+SUM(SUMIFS(DEALS!$R:$R,DEALS!$A:$A,{"*REFUND*","*EXECUTED*"},DEALS!$O:$O,$B$275,DEALS!$E:$E,"&lt;="&amp;$U$277,DEALS!$S:$S,W$279,DEALS!$U:$U,$T294,DEALS!$V:$V,"&lt;&gt;*RECEIVED*",DEALS!$V:$V,"&lt;&gt;*EXECUTED*"))</f>
        <v>0</v>
      </c>
      <c r="X294" s="29" cm="1">
        <f t="array" ref="X294">SUMIFS(BALANCES!$C:$C,BALANCES!$A:$A,$B$275,BALANCES!$B:$B,$T294,BALANCES!$D:$D,X$279)+SUMIFS(FLOWS!$C:$C,FLOWS!$A:$A,$B$275,FLOWS!$E:$E,$T294,FLOWS!$D:$D,X$279,FLOWS!$H:$H,"&lt;="&amp;$U$277)+SUM(SUMIFS(DEALS!$J:$J,DEALS!$A:$A,{"*REFUND*","*EXECUTED*"},DEALS!$G:$G,$B$275,DEALS!$E:$E,"&lt;="&amp;$U$277,DEALS!$K:$K,X$279,DEALS!$M:$M,$T294,DEALS!$N:$N,"&lt;&gt;*RECEIVED*",DEALS!$N:$N,"&lt;&gt;*EXECUTED*"))+SUM(SUMIFS(DEALS!$R:$R,DEALS!$A:$A,{"*REFUND*","*EXECUTED*"},DEALS!$O:$O,$B$275,DEALS!$E:$E,"&lt;="&amp;$U$277,DEALS!$S:$S,X$279,DEALS!$U:$U,$T294,DEALS!$V:$V,"&lt;&gt;*RECEIVED*",DEALS!$V:$V,"&lt;&gt;*EXECUTED*"))</f>
        <v>0</v>
      </c>
      <c r="Y294" s="29" cm="1">
        <f t="array" ref="Y294">SUMIFS(BALANCES!$C:$C,BALANCES!$A:$A,$B$275,BALANCES!$B:$B,$T294,BALANCES!$D:$D,Y$279)+SUMIFS(FLOWS!$C:$C,FLOWS!$A:$A,$B$275,FLOWS!$E:$E,$T294,FLOWS!$D:$D,Y$279,FLOWS!$H:$H,"&lt;="&amp;$U$277)+SUM(SUMIFS(DEALS!$J:$J,DEALS!$A:$A,{"*REFUND*","*EXECUTED*"},DEALS!$G:$G,$B$275,DEALS!$E:$E,"&lt;="&amp;$U$277,DEALS!$K:$K,Y$279,DEALS!$M:$M,$T294,DEALS!$N:$N,"&lt;&gt;*RECEIVED*",DEALS!$N:$N,"&lt;&gt;*EXECUTED*"))+SUM(SUMIFS(DEALS!$R:$R,DEALS!$A:$A,{"*REFUND*","*EXECUTED*"},DEALS!$O:$O,$B$275,DEALS!$E:$E,"&lt;="&amp;$U$277,DEALS!$S:$S,Y$279,DEALS!$U:$U,$T294,DEALS!$V:$V,"&lt;&gt;*RECEIVED*",DEALS!$V:$V,"&lt;&gt;*EXECUTED*"))</f>
        <v>0</v>
      </c>
      <c r="Z294" s="29" cm="1">
        <f t="array" ref="Z294">SUMIFS(BALANCES!$C:$C,BALANCES!$A:$A,$B$275,BALANCES!$B:$B,$T294,BALANCES!$D:$D,Z$279)+SUMIFS(FLOWS!$C:$C,FLOWS!$A:$A,$B$275,FLOWS!$E:$E,$T294,FLOWS!$D:$D,Z$279,FLOWS!$H:$H,"&lt;="&amp;$U$277)+SUM(SUMIFS(DEALS!$J:$J,DEALS!$A:$A,{"*REFUND*","*EXECUTED*"},DEALS!$G:$G,$B$275,DEALS!$E:$E,"&lt;="&amp;$U$277,DEALS!$K:$K,Z$279,DEALS!$M:$M,$T294,DEALS!$N:$N,"&lt;&gt;*RECEIVED*",DEALS!$N:$N,"&lt;&gt;*EXECUTED*"))+SUM(SUMIFS(DEALS!$R:$R,DEALS!$A:$A,{"*REFUND*","*EXECUTED*"},DEALS!$O:$O,$B$275,DEALS!$E:$E,"&lt;="&amp;$U$277,DEALS!$S:$S,Z$279,DEALS!$U:$U,$T294,DEALS!$V:$V,"&lt;&gt;*RECEIVED*",DEALS!$V:$V,"&lt;&gt;*EXECUTED*"))</f>
        <v>0</v>
      </c>
      <c r="AA294" s="30">
        <f ca="1">U294*VLOOKUP(U$279,'FX RATES'!$E$1:$F$50,2,FALSE)+V294*VLOOKUP(V$279,'FX RATES'!$E$1:$F$50,2,FALSE)+W294*VLOOKUP(W$279,'FX RATES'!$E$1:$F$50,2,FALSE)+X294*VLOOKUP(X$279,'FX RATES'!$E$1:$F$50,2,FALSE)+Y294*VLOOKUP(Y$279,'FX RATES'!$E$1:$F$50,2,FALSE)+Z294*VLOOKUP(Z$279,'FX RATES'!$E$1:$F$50,2,FALSE)</f>
        <v>0</v>
      </c>
      <c r="AC294" s="139">
        <f t="shared" ca="1" si="116"/>
        <v>0</v>
      </c>
    </row>
    <row r="295" spans="2:29" ht="19" hidden="1">
      <c r="B295" s="31"/>
      <c r="C295" s="32" cm="1">
        <f t="array" ref="C295">SUMIFS(BALANCES!$C:$C,BALANCES!$A:$A,$B$275,BALANCES!$B:$B,$B295,BALANCES!$D:$D,C$279)+SUMIFS(FLOWS!$C:$C,FLOWS!$A:$A,$B$275,FLOWS!$E:$E,$B295,FLOWS!$D:$D,C$279,FLOWS!$H:$H,"&lt;"&amp;$C$277)+SUM(SUMIFS(DEALS!$J:$J,DEALS!$A:$A,{"*REFUND*","*EXECUTED*"},DEALS!$G:$G,$B$275,DEALS!$E:$E,"&lt;"&amp;$C$277,DEALS!$K:$K,C$279,DEALS!$M:$M,$B295,DEALS!$N:$N,"&lt;&gt;*RECEIVED*",DEALS!$N:$N,"&lt;&gt;*EXECUTED*"))+SUM(SUMIFS(DEALS!$R:$R,DEALS!$A:$A,{"*REFUND*","*EXECUTED*"},DEALS!$O:$O,$B$275,DEALS!$E:$E,"&lt;"&amp;$C$277,DEALS!$S:$S,C$279,DEALS!$U:$U,$B295,DEALS!$V:$V,"&lt;&gt;*RECEIVED*",DEALS!$V:$V,"&lt;&gt;*EXECUTED*"))</f>
        <v>0</v>
      </c>
      <c r="D295" s="32" cm="1">
        <f t="array" ref="D295">SUMIFS(BALANCES!$C:$C,BALANCES!$A:$A,$B$275,BALANCES!$B:$B,$B295,BALANCES!$D:$D,D$279)+SUMIFS(FLOWS!$C:$C,FLOWS!$A:$A,$B$275,FLOWS!$E:$E,$B295,FLOWS!$D:$D,D$279,FLOWS!$H:$H,"&lt;"&amp;$C$277)+SUM(SUMIFS(DEALS!$J:$J,DEALS!$A:$A,{"*REFUND*","*EXECUTED*"},DEALS!$G:$G,$B$275,DEALS!$E:$E,"&lt;"&amp;$C$277,DEALS!$K:$K,D$279,DEALS!$M:$M,$B295,DEALS!$N:$N,"&lt;&gt;*RECEIVED*",DEALS!$N:$N,"&lt;&gt;*EXECUTED*"))+SUM(SUMIFS(DEALS!$R:$R,DEALS!$A:$A,{"*REFUND*","*EXECUTED*"},DEALS!$O:$O,$B$275,DEALS!$E:$E,"&lt;"&amp;$C$277,DEALS!$S:$S,D$279,DEALS!$U:$U,$B295,DEALS!$V:$V,"&lt;&gt;*RECEIVED*",DEALS!$V:$V,"&lt;&gt;*EXECUTED*"))</f>
        <v>0</v>
      </c>
      <c r="E295" s="32" cm="1">
        <f t="array" ref="E295">SUMIFS(BALANCES!$C:$C,BALANCES!$A:$A,$B$275,BALANCES!$B:$B,$B295,BALANCES!$D:$D,E$279)+SUMIFS(FLOWS!$C:$C,FLOWS!$A:$A,$B$275,FLOWS!$E:$E,$B295,FLOWS!$D:$D,E$279,FLOWS!$H:$H,"&lt;"&amp;$C$277)+SUM(SUMIFS(DEALS!$J:$J,DEALS!$A:$A,{"*REFUND*","*EXECUTED*"},DEALS!$G:$G,$B$275,DEALS!$E:$E,"&lt;"&amp;$C$277,DEALS!$K:$K,E$279,DEALS!$M:$M,$B295,DEALS!$N:$N,"&lt;&gt;*RECEIVED*",DEALS!$N:$N,"&lt;&gt;*EXECUTED*"))+SUM(SUMIFS(DEALS!$R:$R,DEALS!$A:$A,{"*REFUND*","*EXECUTED*"},DEALS!$O:$O,$B$275,DEALS!$E:$E,"&lt;"&amp;$C$277,DEALS!$S:$S,E$279,DEALS!$U:$U,$B295,DEALS!$V:$V,"&lt;&gt;*RECEIVED*",DEALS!$V:$V,"&lt;&gt;*EXECUTED*"))</f>
        <v>0</v>
      </c>
      <c r="F295" s="32" cm="1">
        <f t="array" ref="F295">SUMIFS(BALANCES!$C:$C,BALANCES!$A:$A,$B$275,BALANCES!$B:$B,$B295,BALANCES!$D:$D,F$279)+SUMIFS(FLOWS!$C:$C,FLOWS!$A:$A,$B$275,FLOWS!$E:$E,$B295,FLOWS!$D:$D,F$279,FLOWS!$H:$H,"&lt;"&amp;$C$277)+SUM(SUMIFS(DEALS!$J:$J,DEALS!$A:$A,{"*REFUND*","*EXECUTED*"},DEALS!$G:$G,$B$275,DEALS!$E:$E,"&lt;"&amp;$C$277,DEALS!$K:$K,F$279,DEALS!$M:$M,$B295,DEALS!$N:$N,"&lt;&gt;*RECEIVED*",DEALS!$N:$N,"&lt;&gt;*EXECUTED*"))+SUM(SUMIFS(DEALS!$R:$R,DEALS!$A:$A,{"*REFUND*","*EXECUTED*"},DEALS!$O:$O,$B$275,DEALS!$E:$E,"&lt;"&amp;$C$277,DEALS!$S:$S,F$279,DEALS!$U:$U,$B295,DEALS!$V:$V,"&lt;&gt;*RECEIVED*",DEALS!$V:$V,"&lt;&gt;*EXECUTED*"))</f>
        <v>0</v>
      </c>
      <c r="G295" s="32" cm="1">
        <f t="array" ref="G295">SUMIFS(BALANCES!$C:$C,BALANCES!$A:$A,$B$275,BALANCES!$B:$B,$B295,BALANCES!$D:$D,G$279)+SUMIFS(FLOWS!$C:$C,FLOWS!$A:$A,$B$275,FLOWS!$E:$E,$B295,FLOWS!$D:$D,G$279,FLOWS!$H:$H,"&lt;"&amp;$C$277)+SUM(SUMIFS(DEALS!$J:$J,DEALS!$A:$A,{"*REFUND*","*EXECUTED*"},DEALS!$G:$G,$B$275,DEALS!$E:$E,"&lt;"&amp;$C$277,DEALS!$K:$K,G$279,DEALS!$M:$M,$B295,DEALS!$N:$N,"&lt;&gt;*RECEIVED*",DEALS!$N:$N,"&lt;&gt;*EXECUTED*"))+SUM(SUMIFS(DEALS!$R:$R,DEALS!$A:$A,{"*REFUND*","*EXECUTED*"},DEALS!$O:$O,$B$275,DEALS!$E:$E,"&lt;"&amp;$C$277,DEALS!$S:$S,G$279,DEALS!$U:$U,$B295,DEALS!$V:$V,"&lt;&gt;*RECEIVED*",DEALS!$V:$V,"&lt;&gt;*EXECUTED*"))</f>
        <v>0</v>
      </c>
      <c r="H295" s="32" cm="1">
        <f t="array" ref="H295">SUMIFS(BALANCES!$C:$C,BALANCES!$A:$A,$B$275,BALANCES!$B:$B,$B295,BALANCES!$D:$D,H$279)+SUMIFS(FLOWS!$C:$C,FLOWS!$A:$A,$B$275,FLOWS!$E:$E,$B295,FLOWS!$D:$D,H$279,FLOWS!$H:$H,"&lt;"&amp;$C$277)+SUM(SUMIFS(DEALS!$J:$J,DEALS!$A:$A,{"*REFUND*","*EXECUTED*"},DEALS!$G:$G,$B$275,DEALS!$E:$E,"&lt;"&amp;$C$277,DEALS!$K:$K,H$279,DEALS!$M:$M,$B295,DEALS!$N:$N,"&lt;&gt;*RECEIVED*",DEALS!$N:$N,"&lt;&gt;*EXECUTED*"))+SUM(SUMIFS(DEALS!$R:$R,DEALS!$A:$A,{"*REFUND*","*EXECUTED*"},DEALS!$O:$O,$B$275,DEALS!$E:$E,"&lt;"&amp;$C$277,DEALS!$S:$S,H$279,DEALS!$U:$U,$B295,DEALS!$V:$V,"&lt;&gt;*RECEIVED*",DEALS!$V:$V,"&lt;&gt;*EXECUTED*"))</f>
        <v>0</v>
      </c>
      <c r="I295" s="33">
        <f ca="1">C295*VLOOKUP(C$279,'FX RATES'!$E$1:$F$50,2,FALSE)+D295*VLOOKUP(D$279,'FX RATES'!$E$1:$F$50,2,FALSE)+E295*VLOOKUP(E$279,'FX RATES'!$E$1:$F$50,2,FALSE)+F295*VLOOKUP(F$279,'FX RATES'!$E$1:$F$50,2,FALSE)+G295*VLOOKUP(G$279,'FX RATES'!$E$1:$F$50,2,FALSE)+H295*VLOOKUP(H$279,'FX RATES'!$E$1:$F$50,2,FALSE)</f>
        <v>0</v>
      </c>
      <c r="K295" s="31">
        <f t="shared" si="114"/>
        <v>0</v>
      </c>
      <c r="L295" s="32" cm="1">
        <f t="array" ref="L295">SUMIFS(FLOWS!$C:$C,FLOWS!$A:$A,$B$275,FLOWS!$E:$E,$K295,FLOWS!$D:$D,L$279,FLOWS!$H:$H,"&gt;="&amp;$C$277,FLOWS!$H:$H,"&lt;="&amp;$U$277)+SUM(SUMIFS(DEALS!$J:$J,DEALS!$A:$A,{"*REFUND*","*EXECUTED*"},DEALS!$G:$G,$B$275,DEALS!$E:$E,"&gt;="&amp;$C$277,DEALS!$E:$E,"&lt;="&amp;$U$277,DEALS!$K:$K,L$279,DEALS!$M:$M,$K295,DEALS!$N:$N,"&lt;&gt;*RECEIVED*",DEALS!$N:$N,"&lt;&gt;*EXECUTED*"))+SUM(SUMIFS(DEALS!$R:$R,DEALS!$A:$A,{"*REFUND*","*EXECUTED*"},DEALS!$O:$O,$B$275,DEALS!$E:$E,"&gt;="&amp;$C$277,DEALS!$E:$E,"&lt;="&amp;$U$277,DEALS!$S:$S,L$279,DEALS!$U:$U,$K295,DEALS!$V:$V,"&lt;&gt;*RECEIVED*",DEALS!$V:$V,"&lt;&gt;*EXECUTED*"))</f>
        <v>0</v>
      </c>
      <c r="M295" s="32" cm="1">
        <f t="array" ref="M295">SUMIFS(FLOWS!$C:$C,FLOWS!$A:$A,$B$275,FLOWS!$E:$E,$K295,FLOWS!$D:$D,M$279,FLOWS!$H:$H,"&gt;="&amp;$C$277,FLOWS!$H:$H,"&lt;="&amp;$U$277)+SUM(SUMIFS(DEALS!$J:$J,DEALS!$A:$A,{"*REFUND*","*EXECUTED*"},DEALS!$G:$G,$B$275,DEALS!$E:$E,"&gt;="&amp;$C$277,DEALS!$E:$E,"&lt;="&amp;$U$277,DEALS!$K:$K,M$279,DEALS!$M:$M,$K295,DEALS!$N:$N,"&lt;&gt;*RECEIVED*",DEALS!$N:$N,"&lt;&gt;*EXECUTED*"))+SUM(SUMIFS(DEALS!$R:$R,DEALS!$A:$A,{"*REFUND*","*EXECUTED*"},DEALS!$O:$O,$B$275,DEALS!$E:$E,"&gt;="&amp;$C$277,DEALS!$E:$E,"&lt;="&amp;$U$277,DEALS!$S:$S,M$279,DEALS!$U:$U,$K295,DEALS!$V:$V,"&lt;&gt;*RECEIVED*",DEALS!$V:$V,"&lt;&gt;*EXECUTED*"))</f>
        <v>0</v>
      </c>
      <c r="N295" s="32" cm="1">
        <f t="array" ref="N295">SUMIFS(FLOWS!$C:$C,FLOWS!$A:$A,$B$275,FLOWS!$E:$E,$K295,FLOWS!$D:$D,N$279,FLOWS!$H:$H,"&gt;="&amp;$C$277,FLOWS!$H:$H,"&lt;="&amp;$U$277)+SUM(SUMIFS(DEALS!$J:$J,DEALS!$A:$A,{"*REFUND*","*EXECUTED*"},DEALS!$G:$G,$B$275,DEALS!$E:$E,"&gt;="&amp;$C$277,DEALS!$E:$E,"&lt;="&amp;$U$277,DEALS!$K:$K,N$279,DEALS!$M:$M,$K295,DEALS!$N:$N,"&lt;&gt;*RECEIVED*",DEALS!$N:$N,"&lt;&gt;*EXECUTED*"))+SUM(SUMIFS(DEALS!$R:$R,DEALS!$A:$A,{"*REFUND*","*EXECUTED*"},DEALS!$O:$O,$B$275,DEALS!$E:$E,"&gt;="&amp;$C$277,DEALS!$E:$E,"&lt;="&amp;$U$277,DEALS!$S:$S,N$279,DEALS!$U:$U,$K295,DEALS!$V:$V,"&lt;&gt;*RECEIVED*",DEALS!$V:$V,"&lt;&gt;*EXECUTED*"))</f>
        <v>0</v>
      </c>
      <c r="O295" s="32" cm="1">
        <f t="array" ref="O295">SUMIFS(FLOWS!$C:$C,FLOWS!$A:$A,$B$275,FLOWS!$E:$E,$K295,FLOWS!$D:$D,O$279,FLOWS!$H:$H,"&gt;="&amp;$C$277,FLOWS!$H:$H,"&lt;="&amp;$U$277)+SUM(SUMIFS(DEALS!$J:$J,DEALS!$A:$A,{"*REFUND*","*EXECUTED*"},DEALS!$G:$G,$B$275,DEALS!$E:$E,"&gt;="&amp;$C$277,DEALS!$E:$E,"&lt;="&amp;$U$277,DEALS!$K:$K,O$279,DEALS!$M:$M,$K295,DEALS!$N:$N,"&lt;&gt;*RECEIVED*",DEALS!$N:$N,"&lt;&gt;*EXECUTED*"))+SUM(SUMIFS(DEALS!$R:$R,DEALS!$A:$A,{"*REFUND*","*EXECUTED*"},DEALS!$O:$O,$B$275,DEALS!$E:$E,"&gt;="&amp;$C$277,DEALS!$E:$E,"&lt;="&amp;$U$277,DEALS!$S:$S,O$279,DEALS!$U:$U,$K295,DEALS!$V:$V,"&lt;&gt;*RECEIVED*",DEALS!$V:$V,"&lt;&gt;*EXECUTED*"))</f>
        <v>0</v>
      </c>
      <c r="P295" s="32" cm="1">
        <f t="array" ref="P295">SUMIFS(FLOWS!$C:$C,FLOWS!$A:$A,$B$275,FLOWS!$E:$E,$K295,FLOWS!$D:$D,P$279,FLOWS!$H:$H,"&gt;="&amp;$C$277,FLOWS!$H:$H,"&lt;="&amp;$U$277)+SUM(SUMIFS(DEALS!$J:$J,DEALS!$A:$A,{"*REFUND*","*EXECUTED*"},DEALS!$G:$G,$B$275,DEALS!$E:$E,"&gt;="&amp;$C$277,DEALS!$E:$E,"&lt;="&amp;$U$277,DEALS!$K:$K,P$279,DEALS!$M:$M,$K295,DEALS!$N:$N,"&lt;&gt;*RECEIVED*",DEALS!$N:$N,"&lt;&gt;*EXECUTED*"))+SUM(SUMIFS(DEALS!$R:$R,DEALS!$A:$A,{"*REFUND*","*EXECUTED*"},DEALS!$O:$O,$B$275,DEALS!$E:$E,"&gt;="&amp;$C$277,DEALS!$E:$E,"&lt;="&amp;$U$277,DEALS!$S:$S,P$279,DEALS!$U:$U,$K295,DEALS!$V:$V,"&lt;&gt;*RECEIVED*",DEALS!$V:$V,"&lt;&gt;*EXECUTED*"))</f>
        <v>0</v>
      </c>
      <c r="Q295" s="32" cm="1">
        <f t="array" ref="Q295">SUMIFS(FLOWS!$C:$C,FLOWS!$A:$A,$B$275,FLOWS!$E:$E,$K295,FLOWS!$D:$D,Q$279,FLOWS!$H:$H,"&gt;="&amp;$C$277,FLOWS!$H:$H,"&lt;="&amp;$U$277)+SUM(SUMIFS(DEALS!$J:$J,DEALS!$A:$A,{"*REFUND*","*EXECUTED*"},DEALS!$G:$G,$B$275,DEALS!$E:$E,"&gt;="&amp;$C$277,DEALS!$E:$E,"&lt;="&amp;$U$277,DEALS!$K:$K,Q$279,DEALS!$M:$M,$K295,DEALS!$N:$N,"&lt;&gt;*RECEIVED*",DEALS!$N:$N,"&lt;&gt;*EXECUTED*"))+SUM(SUMIFS(DEALS!$R:$R,DEALS!$A:$A,{"*REFUND*","*EXECUTED*"},DEALS!$O:$O,$B$275,DEALS!$E:$E,"&gt;="&amp;$C$277,DEALS!$E:$E,"&lt;="&amp;$U$277,DEALS!$S:$S,Q$279,DEALS!$U:$U,$K295,DEALS!$V:$V,"&lt;&gt;*RECEIVED*",DEALS!$V:$V,"&lt;&gt;*EXECUTED*"))</f>
        <v>0</v>
      </c>
      <c r="R295" s="33">
        <f ca="1">L295*VLOOKUP(L$279,'FX RATES'!$E$1:$F$50,2,FALSE)+M295*VLOOKUP(M$279,'FX RATES'!$E$1:$F$50,2,FALSE)+N295*VLOOKUP(N$279,'FX RATES'!$E$1:$F$50,2,FALSE)+O295*VLOOKUP(O$279,'FX RATES'!$E$1:$F$50,2,FALSE)+P295*VLOOKUP(P$279,'FX RATES'!$E$1:$F$50,2,FALSE)+Q295*VLOOKUP(Q$279,'FX RATES'!$E$1:$F$50,2,FALSE)</f>
        <v>0</v>
      </c>
      <c r="T295" s="31">
        <f t="shared" si="115"/>
        <v>0</v>
      </c>
      <c r="U295" s="32" cm="1">
        <f t="array" ref="U295">SUMIFS(BALANCES!$C:$C,BALANCES!$A:$A,$B$275,BALANCES!$B:$B,$T295,BALANCES!$D:$D,U$279)+SUMIFS(FLOWS!$C:$C,FLOWS!$A:$A,$B$275,FLOWS!$E:$E,$T295,FLOWS!$D:$D,U$279,FLOWS!$H:$H,"&lt;="&amp;$U$277)+SUM(SUMIFS(DEALS!$J:$J,DEALS!$A:$A,{"*REFUND*","*EXECUTED*"},DEALS!$G:$G,$B$275,DEALS!$E:$E,"&lt;="&amp;$U$277,DEALS!$K:$K,U$279,DEALS!$M:$M,$T295,DEALS!$N:$N,"&lt;&gt;*RECEIVED*",DEALS!$N:$N,"&lt;&gt;*EXECUTED*"))+SUM(SUMIFS(DEALS!$R:$R,DEALS!$A:$A,{"*REFUND*","*EXECUTED*"},DEALS!$O:$O,$B$275,DEALS!$E:$E,"&lt;="&amp;$U$277,DEALS!$S:$S,U$279,DEALS!$U:$U,$T295,DEALS!$V:$V,"&lt;&gt;*RECEIVED*",DEALS!$V:$V,"&lt;&gt;*EXECUTED*"))</f>
        <v>0</v>
      </c>
      <c r="V295" s="32" cm="1">
        <f t="array" ref="V295">SUMIFS(BALANCES!$C:$C,BALANCES!$A:$A,$B$275,BALANCES!$B:$B,$T295,BALANCES!$D:$D,V$279)+SUMIFS(FLOWS!$C:$C,FLOWS!$A:$A,$B$275,FLOWS!$E:$E,$T295,FLOWS!$D:$D,V$279,FLOWS!$H:$H,"&lt;="&amp;$U$277)+SUM(SUMIFS(DEALS!$J:$J,DEALS!$A:$A,{"*REFUND*","*EXECUTED*"},DEALS!$G:$G,$B$275,DEALS!$E:$E,"&lt;="&amp;$U$277,DEALS!$K:$K,V$279,DEALS!$M:$M,$T295,DEALS!$N:$N,"&lt;&gt;*RECEIVED*",DEALS!$N:$N,"&lt;&gt;*EXECUTED*"))+SUM(SUMIFS(DEALS!$R:$R,DEALS!$A:$A,{"*REFUND*","*EXECUTED*"},DEALS!$O:$O,$B$275,DEALS!$E:$E,"&lt;="&amp;$U$277,DEALS!$S:$S,V$279,DEALS!$U:$U,$T295,DEALS!$V:$V,"&lt;&gt;*RECEIVED*",DEALS!$V:$V,"&lt;&gt;*EXECUTED*"))</f>
        <v>0</v>
      </c>
      <c r="W295" s="32" cm="1">
        <f t="array" ref="W295">SUMIFS(BALANCES!$C:$C,BALANCES!$A:$A,$B$275,BALANCES!$B:$B,$T295,BALANCES!$D:$D,W$279)+SUMIFS(FLOWS!$C:$C,FLOWS!$A:$A,$B$275,FLOWS!$E:$E,$T295,FLOWS!$D:$D,W$279,FLOWS!$H:$H,"&lt;="&amp;$U$277)+SUM(SUMIFS(DEALS!$J:$J,DEALS!$A:$A,{"*REFUND*","*EXECUTED*"},DEALS!$G:$G,$B$275,DEALS!$E:$E,"&lt;="&amp;$U$277,DEALS!$K:$K,W$279,DEALS!$M:$M,$T295,DEALS!$N:$N,"&lt;&gt;*RECEIVED*",DEALS!$N:$N,"&lt;&gt;*EXECUTED*"))+SUM(SUMIFS(DEALS!$R:$R,DEALS!$A:$A,{"*REFUND*","*EXECUTED*"},DEALS!$O:$O,$B$275,DEALS!$E:$E,"&lt;="&amp;$U$277,DEALS!$S:$S,W$279,DEALS!$U:$U,$T295,DEALS!$V:$V,"&lt;&gt;*RECEIVED*",DEALS!$V:$V,"&lt;&gt;*EXECUTED*"))</f>
        <v>0</v>
      </c>
      <c r="X295" s="32" cm="1">
        <f t="array" ref="X295">SUMIFS(BALANCES!$C:$C,BALANCES!$A:$A,$B$275,BALANCES!$B:$B,$T295,BALANCES!$D:$D,X$279)+SUMIFS(FLOWS!$C:$C,FLOWS!$A:$A,$B$275,FLOWS!$E:$E,$T295,FLOWS!$D:$D,X$279,FLOWS!$H:$H,"&lt;="&amp;$U$277)+SUM(SUMIFS(DEALS!$J:$J,DEALS!$A:$A,{"*REFUND*","*EXECUTED*"},DEALS!$G:$G,$B$275,DEALS!$E:$E,"&lt;="&amp;$U$277,DEALS!$K:$K,X$279,DEALS!$M:$M,$T295,DEALS!$N:$N,"&lt;&gt;*RECEIVED*",DEALS!$N:$N,"&lt;&gt;*EXECUTED*"))+SUM(SUMIFS(DEALS!$R:$R,DEALS!$A:$A,{"*REFUND*","*EXECUTED*"},DEALS!$O:$O,$B$275,DEALS!$E:$E,"&lt;="&amp;$U$277,DEALS!$S:$S,X$279,DEALS!$U:$U,$T295,DEALS!$V:$V,"&lt;&gt;*RECEIVED*",DEALS!$V:$V,"&lt;&gt;*EXECUTED*"))</f>
        <v>0</v>
      </c>
      <c r="Y295" s="32" cm="1">
        <f t="array" ref="Y295">SUMIFS(BALANCES!$C:$C,BALANCES!$A:$A,$B$275,BALANCES!$B:$B,$T295,BALANCES!$D:$D,Y$279)+SUMIFS(FLOWS!$C:$C,FLOWS!$A:$A,$B$275,FLOWS!$E:$E,$T295,FLOWS!$D:$D,Y$279,FLOWS!$H:$H,"&lt;="&amp;$U$277)+SUM(SUMIFS(DEALS!$J:$J,DEALS!$A:$A,{"*REFUND*","*EXECUTED*"},DEALS!$G:$G,$B$275,DEALS!$E:$E,"&lt;="&amp;$U$277,DEALS!$K:$K,Y$279,DEALS!$M:$M,$T295,DEALS!$N:$N,"&lt;&gt;*RECEIVED*",DEALS!$N:$N,"&lt;&gt;*EXECUTED*"))+SUM(SUMIFS(DEALS!$R:$R,DEALS!$A:$A,{"*REFUND*","*EXECUTED*"},DEALS!$O:$O,$B$275,DEALS!$E:$E,"&lt;="&amp;$U$277,DEALS!$S:$S,Y$279,DEALS!$U:$U,$T295,DEALS!$V:$V,"&lt;&gt;*RECEIVED*",DEALS!$V:$V,"&lt;&gt;*EXECUTED*"))</f>
        <v>0</v>
      </c>
      <c r="Z295" s="32" cm="1">
        <f t="array" ref="Z295">SUMIFS(BALANCES!$C:$C,BALANCES!$A:$A,$B$275,BALANCES!$B:$B,$T295,BALANCES!$D:$D,Z$279)+SUMIFS(FLOWS!$C:$C,FLOWS!$A:$A,$B$275,FLOWS!$E:$E,$T295,FLOWS!$D:$D,Z$279,FLOWS!$H:$H,"&lt;="&amp;$U$277)+SUM(SUMIFS(DEALS!$J:$J,DEALS!$A:$A,{"*REFUND*","*EXECUTED*"},DEALS!$G:$G,$B$275,DEALS!$E:$E,"&lt;="&amp;$U$277,DEALS!$K:$K,Z$279,DEALS!$M:$M,$T295,DEALS!$N:$N,"&lt;&gt;*RECEIVED*",DEALS!$N:$N,"&lt;&gt;*EXECUTED*"))+SUM(SUMIFS(DEALS!$R:$R,DEALS!$A:$A,{"*REFUND*","*EXECUTED*"},DEALS!$O:$O,$B$275,DEALS!$E:$E,"&lt;="&amp;$U$277,DEALS!$S:$S,Z$279,DEALS!$U:$U,$T295,DEALS!$V:$V,"&lt;&gt;*RECEIVED*",DEALS!$V:$V,"&lt;&gt;*EXECUTED*"))</f>
        <v>0</v>
      </c>
      <c r="AA295" s="33">
        <f ca="1">U295*VLOOKUP(U$279,'FX RATES'!$E$1:$F$50,2,FALSE)+V295*VLOOKUP(V$279,'FX RATES'!$E$1:$F$50,2,FALSE)+W295*VLOOKUP(W$279,'FX RATES'!$E$1:$F$50,2,FALSE)+X295*VLOOKUP(X$279,'FX RATES'!$E$1:$F$50,2,FALSE)+Y295*VLOOKUP(Y$279,'FX RATES'!$E$1:$F$50,2,FALSE)+Z295*VLOOKUP(Z$279,'FX RATES'!$E$1:$F$50,2,FALSE)</f>
        <v>0</v>
      </c>
      <c r="AC295" s="139">
        <f t="shared" ca="1" si="116"/>
        <v>0</v>
      </c>
    </row>
    <row r="296" spans="2:29" ht="19" hidden="1">
      <c r="B296" s="28"/>
      <c r="C296" s="29" cm="1">
        <f t="array" ref="C296">SUMIFS(BALANCES!$C:$C,BALANCES!$A:$A,$B$275,BALANCES!$B:$B,$B296,BALANCES!$D:$D,C$279)+SUMIFS(FLOWS!$C:$C,FLOWS!$A:$A,$B$275,FLOWS!$E:$E,$B296,FLOWS!$D:$D,C$279,FLOWS!$H:$H,"&lt;"&amp;$C$277)+SUM(SUMIFS(DEALS!$J:$J,DEALS!$A:$A,{"*REFUND*","*EXECUTED*"},DEALS!$G:$G,$B$275,DEALS!$E:$E,"&lt;"&amp;$C$277,DEALS!$K:$K,C$279,DEALS!$M:$M,$B296,DEALS!$N:$N,"&lt;&gt;*RECEIVED*",DEALS!$N:$N,"&lt;&gt;*EXECUTED*"))+SUM(SUMIFS(DEALS!$R:$R,DEALS!$A:$A,{"*REFUND*","*EXECUTED*"},DEALS!$O:$O,$B$275,DEALS!$E:$E,"&lt;"&amp;$C$277,DEALS!$S:$S,C$279,DEALS!$U:$U,$B296,DEALS!$V:$V,"&lt;&gt;*RECEIVED*",DEALS!$V:$V,"&lt;&gt;*EXECUTED*"))</f>
        <v>0</v>
      </c>
      <c r="D296" s="29" cm="1">
        <f t="array" ref="D296">SUMIFS(BALANCES!$C:$C,BALANCES!$A:$A,$B$275,BALANCES!$B:$B,$B296,BALANCES!$D:$D,D$279)+SUMIFS(FLOWS!$C:$C,FLOWS!$A:$A,$B$275,FLOWS!$E:$E,$B296,FLOWS!$D:$D,D$279,FLOWS!$H:$H,"&lt;"&amp;$C$277)+SUM(SUMIFS(DEALS!$J:$J,DEALS!$A:$A,{"*REFUND*","*EXECUTED*"},DEALS!$G:$G,$B$275,DEALS!$E:$E,"&lt;"&amp;$C$277,DEALS!$K:$K,D$279,DEALS!$M:$M,$B296,DEALS!$N:$N,"&lt;&gt;*RECEIVED*",DEALS!$N:$N,"&lt;&gt;*EXECUTED*"))+SUM(SUMIFS(DEALS!$R:$R,DEALS!$A:$A,{"*REFUND*","*EXECUTED*"},DEALS!$O:$O,$B$275,DEALS!$E:$E,"&lt;"&amp;$C$277,DEALS!$S:$S,D$279,DEALS!$U:$U,$B296,DEALS!$V:$V,"&lt;&gt;*RECEIVED*",DEALS!$V:$V,"&lt;&gt;*EXECUTED*"))</f>
        <v>0</v>
      </c>
      <c r="E296" s="29" cm="1">
        <f t="array" ref="E296">SUMIFS(BALANCES!$C:$C,BALANCES!$A:$A,$B$275,BALANCES!$B:$B,$B296,BALANCES!$D:$D,E$279)+SUMIFS(FLOWS!$C:$C,FLOWS!$A:$A,$B$275,FLOWS!$E:$E,$B296,FLOWS!$D:$D,E$279,FLOWS!$H:$H,"&lt;"&amp;$C$277)+SUM(SUMIFS(DEALS!$J:$J,DEALS!$A:$A,{"*REFUND*","*EXECUTED*"},DEALS!$G:$G,$B$275,DEALS!$E:$E,"&lt;"&amp;$C$277,DEALS!$K:$K,E$279,DEALS!$M:$M,$B296,DEALS!$N:$N,"&lt;&gt;*RECEIVED*",DEALS!$N:$N,"&lt;&gt;*EXECUTED*"))+SUM(SUMIFS(DEALS!$R:$R,DEALS!$A:$A,{"*REFUND*","*EXECUTED*"},DEALS!$O:$O,$B$275,DEALS!$E:$E,"&lt;"&amp;$C$277,DEALS!$S:$S,E$279,DEALS!$U:$U,$B296,DEALS!$V:$V,"&lt;&gt;*RECEIVED*",DEALS!$V:$V,"&lt;&gt;*EXECUTED*"))</f>
        <v>0</v>
      </c>
      <c r="F296" s="29" cm="1">
        <f t="array" ref="F296">SUMIFS(BALANCES!$C:$C,BALANCES!$A:$A,$B$275,BALANCES!$B:$B,$B296,BALANCES!$D:$D,F$279)+SUMIFS(FLOWS!$C:$C,FLOWS!$A:$A,$B$275,FLOWS!$E:$E,$B296,FLOWS!$D:$D,F$279,FLOWS!$H:$H,"&lt;"&amp;$C$277)+SUM(SUMIFS(DEALS!$J:$J,DEALS!$A:$A,{"*REFUND*","*EXECUTED*"},DEALS!$G:$G,$B$275,DEALS!$E:$E,"&lt;"&amp;$C$277,DEALS!$K:$K,F$279,DEALS!$M:$M,$B296,DEALS!$N:$N,"&lt;&gt;*RECEIVED*",DEALS!$N:$N,"&lt;&gt;*EXECUTED*"))+SUM(SUMIFS(DEALS!$R:$R,DEALS!$A:$A,{"*REFUND*","*EXECUTED*"},DEALS!$O:$O,$B$275,DEALS!$E:$E,"&lt;"&amp;$C$277,DEALS!$S:$S,F$279,DEALS!$U:$U,$B296,DEALS!$V:$V,"&lt;&gt;*RECEIVED*",DEALS!$V:$V,"&lt;&gt;*EXECUTED*"))</f>
        <v>0</v>
      </c>
      <c r="G296" s="29" cm="1">
        <f t="array" ref="G296">SUMIFS(BALANCES!$C:$C,BALANCES!$A:$A,$B$275,BALANCES!$B:$B,$B296,BALANCES!$D:$D,G$279)+SUMIFS(FLOWS!$C:$C,FLOWS!$A:$A,$B$275,FLOWS!$E:$E,$B296,FLOWS!$D:$D,G$279,FLOWS!$H:$H,"&lt;"&amp;$C$277)+SUM(SUMIFS(DEALS!$J:$J,DEALS!$A:$A,{"*REFUND*","*EXECUTED*"},DEALS!$G:$G,$B$275,DEALS!$E:$E,"&lt;"&amp;$C$277,DEALS!$K:$K,G$279,DEALS!$M:$M,$B296,DEALS!$N:$N,"&lt;&gt;*RECEIVED*",DEALS!$N:$N,"&lt;&gt;*EXECUTED*"))+SUM(SUMIFS(DEALS!$R:$R,DEALS!$A:$A,{"*REFUND*","*EXECUTED*"},DEALS!$O:$O,$B$275,DEALS!$E:$E,"&lt;"&amp;$C$277,DEALS!$S:$S,G$279,DEALS!$U:$U,$B296,DEALS!$V:$V,"&lt;&gt;*RECEIVED*",DEALS!$V:$V,"&lt;&gt;*EXECUTED*"))</f>
        <v>0</v>
      </c>
      <c r="H296" s="29" cm="1">
        <f t="array" ref="H296">SUMIFS(BALANCES!$C:$C,BALANCES!$A:$A,$B$275,BALANCES!$B:$B,$B296,BALANCES!$D:$D,H$279)+SUMIFS(FLOWS!$C:$C,FLOWS!$A:$A,$B$275,FLOWS!$E:$E,$B296,FLOWS!$D:$D,H$279,FLOWS!$H:$H,"&lt;"&amp;$C$277)+SUM(SUMIFS(DEALS!$J:$J,DEALS!$A:$A,{"*REFUND*","*EXECUTED*"},DEALS!$G:$G,$B$275,DEALS!$E:$E,"&lt;"&amp;$C$277,DEALS!$K:$K,H$279,DEALS!$M:$M,$B296,DEALS!$N:$N,"&lt;&gt;*RECEIVED*",DEALS!$N:$N,"&lt;&gt;*EXECUTED*"))+SUM(SUMIFS(DEALS!$R:$R,DEALS!$A:$A,{"*REFUND*","*EXECUTED*"},DEALS!$O:$O,$B$275,DEALS!$E:$E,"&lt;"&amp;$C$277,DEALS!$S:$S,H$279,DEALS!$U:$U,$B296,DEALS!$V:$V,"&lt;&gt;*RECEIVED*",DEALS!$V:$V,"&lt;&gt;*EXECUTED*"))</f>
        <v>0</v>
      </c>
      <c r="I296" s="30">
        <f ca="1">C296*VLOOKUP(C$279,'FX RATES'!$E$1:$F$50,2,FALSE)+D296*VLOOKUP(D$279,'FX RATES'!$E$1:$F$50,2,FALSE)+E296*VLOOKUP(E$279,'FX RATES'!$E$1:$F$50,2,FALSE)+F296*VLOOKUP(F$279,'FX RATES'!$E$1:$F$50,2,FALSE)+G296*VLOOKUP(G$279,'FX RATES'!$E$1:$F$50,2,FALSE)+H296*VLOOKUP(H$279,'FX RATES'!$E$1:$F$50,2,FALSE)</f>
        <v>0</v>
      </c>
      <c r="K296" s="28">
        <f t="shared" si="114"/>
        <v>0</v>
      </c>
      <c r="L296" s="29" cm="1">
        <f t="array" ref="L296">SUMIFS(FLOWS!$C:$C,FLOWS!$A:$A,$B$275,FLOWS!$E:$E,$K296,FLOWS!$D:$D,L$279,FLOWS!$H:$H,"&gt;="&amp;$C$277,FLOWS!$H:$H,"&lt;="&amp;$U$277)+SUM(SUMIFS(DEALS!$J:$J,DEALS!$A:$A,{"*REFUND*","*EXECUTED*"},DEALS!$G:$G,$B$275,DEALS!$E:$E,"&gt;="&amp;$C$277,DEALS!$E:$E,"&lt;="&amp;$U$277,DEALS!$K:$K,L$279,DEALS!$M:$M,$K296,DEALS!$N:$N,"&lt;&gt;*RECEIVED*",DEALS!$N:$N,"&lt;&gt;*EXECUTED*"))+SUM(SUMIFS(DEALS!$R:$R,DEALS!$A:$A,{"*REFUND*","*EXECUTED*"},DEALS!$O:$O,$B$275,DEALS!$E:$E,"&gt;="&amp;$C$277,DEALS!$E:$E,"&lt;="&amp;$U$277,DEALS!$S:$S,L$279,DEALS!$U:$U,$K296,DEALS!$V:$V,"&lt;&gt;*RECEIVED*",DEALS!$V:$V,"&lt;&gt;*EXECUTED*"))</f>
        <v>0</v>
      </c>
      <c r="M296" s="29" cm="1">
        <f t="array" ref="M296">SUMIFS(FLOWS!$C:$C,FLOWS!$A:$A,$B$275,FLOWS!$E:$E,$K296,FLOWS!$D:$D,M$279,FLOWS!$H:$H,"&gt;="&amp;$C$277,FLOWS!$H:$H,"&lt;="&amp;$U$277)+SUM(SUMIFS(DEALS!$J:$J,DEALS!$A:$A,{"*REFUND*","*EXECUTED*"},DEALS!$G:$G,$B$275,DEALS!$E:$E,"&gt;="&amp;$C$277,DEALS!$E:$E,"&lt;="&amp;$U$277,DEALS!$K:$K,M$279,DEALS!$M:$M,$K296,DEALS!$N:$N,"&lt;&gt;*RECEIVED*",DEALS!$N:$N,"&lt;&gt;*EXECUTED*"))+SUM(SUMIFS(DEALS!$R:$R,DEALS!$A:$A,{"*REFUND*","*EXECUTED*"},DEALS!$O:$O,$B$275,DEALS!$E:$E,"&gt;="&amp;$C$277,DEALS!$E:$E,"&lt;="&amp;$U$277,DEALS!$S:$S,M$279,DEALS!$U:$U,$K296,DEALS!$V:$V,"&lt;&gt;*RECEIVED*",DEALS!$V:$V,"&lt;&gt;*EXECUTED*"))</f>
        <v>0</v>
      </c>
      <c r="N296" s="29" cm="1">
        <f t="array" ref="N296">SUMIFS(FLOWS!$C:$C,FLOWS!$A:$A,$B$275,FLOWS!$E:$E,$K296,FLOWS!$D:$D,N$279,FLOWS!$H:$H,"&gt;="&amp;$C$277,FLOWS!$H:$H,"&lt;="&amp;$U$277)+SUM(SUMIFS(DEALS!$J:$J,DEALS!$A:$A,{"*REFUND*","*EXECUTED*"},DEALS!$G:$G,$B$275,DEALS!$E:$E,"&gt;="&amp;$C$277,DEALS!$E:$E,"&lt;="&amp;$U$277,DEALS!$K:$K,N$279,DEALS!$M:$M,$K296,DEALS!$N:$N,"&lt;&gt;*RECEIVED*",DEALS!$N:$N,"&lt;&gt;*EXECUTED*"))+SUM(SUMIFS(DEALS!$R:$R,DEALS!$A:$A,{"*REFUND*","*EXECUTED*"},DEALS!$O:$O,$B$275,DEALS!$E:$E,"&gt;="&amp;$C$277,DEALS!$E:$E,"&lt;="&amp;$U$277,DEALS!$S:$S,N$279,DEALS!$U:$U,$K296,DEALS!$V:$V,"&lt;&gt;*RECEIVED*",DEALS!$V:$V,"&lt;&gt;*EXECUTED*"))</f>
        <v>0</v>
      </c>
      <c r="O296" s="29" cm="1">
        <f t="array" ref="O296">SUMIFS(FLOWS!$C:$C,FLOWS!$A:$A,$B$275,FLOWS!$E:$E,$K296,FLOWS!$D:$D,O$279,FLOWS!$H:$H,"&gt;="&amp;$C$277,FLOWS!$H:$H,"&lt;="&amp;$U$277)+SUM(SUMIFS(DEALS!$J:$J,DEALS!$A:$A,{"*REFUND*","*EXECUTED*"},DEALS!$G:$G,$B$275,DEALS!$E:$E,"&gt;="&amp;$C$277,DEALS!$E:$E,"&lt;="&amp;$U$277,DEALS!$K:$K,O$279,DEALS!$M:$M,$K296,DEALS!$N:$N,"&lt;&gt;*RECEIVED*",DEALS!$N:$N,"&lt;&gt;*EXECUTED*"))+SUM(SUMIFS(DEALS!$R:$R,DEALS!$A:$A,{"*REFUND*","*EXECUTED*"},DEALS!$O:$O,$B$275,DEALS!$E:$E,"&gt;="&amp;$C$277,DEALS!$E:$E,"&lt;="&amp;$U$277,DEALS!$S:$S,O$279,DEALS!$U:$U,$K296,DEALS!$V:$V,"&lt;&gt;*RECEIVED*",DEALS!$V:$V,"&lt;&gt;*EXECUTED*"))</f>
        <v>0</v>
      </c>
      <c r="P296" s="29" cm="1">
        <f t="array" ref="P296">SUMIFS(FLOWS!$C:$C,FLOWS!$A:$A,$B$275,FLOWS!$E:$E,$K296,FLOWS!$D:$D,P$279,FLOWS!$H:$H,"&gt;="&amp;$C$277,FLOWS!$H:$H,"&lt;="&amp;$U$277)+SUM(SUMIFS(DEALS!$J:$J,DEALS!$A:$A,{"*REFUND*","*EXECUTED*"},DEALS!$G:$G,$B$275,DEALS!$E:$E,"&gt;="&amp;$C$277,DEALS!$E:$E,"&lt;="&amp;$U$277,DEALS!$K:$K,P$279,DEALS!$M:$M,$K296,DEALS!$N:$N,"&lt;&gt;*RECEIVED*",DEALS!$N:$N,"&lt;&gt;*EXECUTED*"))+SUM(SUMIFS(DEALS!$R:$R,DEALS!$A:$A,{"*REFUND*","*EXECUTED*"},DEALS!$O:$O,$B$275,DEALS!$E:$E,"&gt;="&amp;$C$277,DEALS!$E:$E,"&lt;="&amp;$U$277,DEALS!$S:$S,P$279,DEALS!$U:$U,$K296,DEALS!$V:$V,"&lt;&gt;*RECEIVED*",DEALS!$V:$V,"&lt;&gt;*EXECUTED*"))</f>
        <v>0</v>
      </c>
      <c r="Q296" s="29" cm="1">
        <f t="array" ref="Q296">SUMIFS(FLOWS!$C:$C,FLOWS!$A:$A,$B$275,FLOWS!$E:$E,$K296,FLOWS!$D:$D,Q$279,FLOWS!$H:$H,"&gt;="&amp;$C$277,FLOWS!$H:$H,"&lt;="&amp;$U$277)+SUM(SUMIFS(DEALS!$J:$J,DEALS!$A:$A,{"*REFUND*","*EXECUTED*"},DEALS!$G:$G,$B$275,DEALS!$E:$E,"&gt;="&amp;$C$277,DEALS!$E:$E,"&lt;="&amp;$U$277,DEALS!$K:$K,Q$279,DEALS!$M:$M,$K296,DEALS!$N:$N,"&lt;&gt;*RECEIVED*",DEALS!$N:$N,"&lt;&gt;*EXECUTED*"))+SUM(SUMIFS(DEALS!$R:$R,DEALS!$A:$A,{"*REFUND*","*EXECUTED*"},DEALS!$O:$O,$B$275,DEALS!$E:$E,"&gt;="&amp;$C$277,DEALS!$E:$E,"&lt;="&amp;$U$277,DEALS!$S:$S,Q$279,DEALS!$U:$U,$K296,DEALS!$V:$V,"&lt;&gt;*RECEIVED*",DEALS!$V:$V,"&lt;&gt;*EXECUTED*"))</f>
        <v>0</v>
      </c>
      <c r="R296" s="30">
        <f ca="1">L296*VLOOKUP(L$279,'FX RATES'!$E$1:$F$50,2,FALSE)+M296*VLOOKUP(M$279,'FX RATES'!$E$1:$F$50,2,FALSE)+N296*VLOOKUP(N$279,'FX RATES'!$E$1:$F$50,2,FALSE)+O296*VLOOKUP(O$279,'FX RATES'!$E$1:$F$50,2,FALSE)+P296*VLOOKUP(P$279,'FX RATES'!$E$1:$F$50,2,FALSE)+Q296*VLOOKUP(Q$279,'FX RATES'!$E$1:$F$50,2,FALSE)</f>
        <v>0</v>
      </c>
      <c r="T296" s="28">
        <f t="shared" si="115"/>
        <v>0</v>
      </c>
      <c r="U296" s="29" cm="1">
        <f t="array" ref="U296">SUMIFS(BALANCES!$C:$C,BALANCES!$A:$A,$B$275,BALANCES!$B:$B,$T296,BALANCES!$D:$D,U$279)+SUMIFS(FLOWS!$C:$C,FLOWS!$A:$A,$B$275,FLOWS!$E:$E,$T296,FLOWS!$D:$D,U$279,FLOWS!$H:$H,"&lt;="&amp;$U$277)+SUM(SUMIFS(DEALS!$J:$J,DEALS!$A:$A,{"*REFUND*","*EXECUTED*"},DEALS!$G:$G,$B$275,DEALS!$E:$E,"&lt;="&amp;$U$277,DEALS!$K:$K,U$279,DEALS!$M:$M,$T296,DEALS!$N:$N,"&lt;&gt;*RECEIVED*",DEALS!$N:$N,"&lt;&gt;*EXECUTED*"))+SUM(SUMIFS(DEALS!$R:$R,DEALS!$A:$A,{"*REFUND*","*EXECUTED*"},DEALS!$O:$O,$B$275,DEALS!$E:$E,"&lt;="&amp;$U$277,DEALS!$S:$S,U$279,DEALS!$U:$U,$T296,DEALS!$V:$V,"&lt;&gt;*RECEIVED*",DEALS!$V:$V,"&lt;&gt;*EXECUTED*"))</f>
        <v>0</v>
      </c>
      <c r="V296" s="29" cm="1">
        <f t="array" ref="V296">SUMIFS(BALANCES!$C:$C,BALANCES!$A:$A,$B$275,BALANCES!$B:$B,$T296,BALANCES!$D:$D,V$279)+SUMIFS(FLOWS!$C:$C,FLOWS!$A:$A,$B$275,FLOWS!$E:$E,$T296,FLOWS!$D:$D,V$279,FLOWS!$H:$H,"&lt;="&amp;$U$277)+SUM(SUMIFS(DEALS!$J:$J,DEALS!$A:$A,{"*REFUND*","*EXECUTED*"},DEALS!$G:$G,$B$275,DEALS!$E:$E,"&lt;="&amp;$U$277,DEALS!$K:$K,V$279,DEALS!$M:$M,$T296,DEALS!$N:$N,"&lt;&gt;*RECEIVED*",DEALS!$N:$N,"&lt;&gt;*EXECUTED*"))+SUM(SUMIFS(DEALS!$R:$R,DEALS!$A:$A,{"*REFUND*","*EXECUTED*"},DEALS!$O:$O,$B$275,DEALS!$E:$E,"&lt;="&amp;$U$277,DEALS!$S:$S,V$279,DEALS!$U:$U,$T296,DEALS!$V:$V,"&lt;&gt;*RECEIVED*",DEALS!$V:$V,"&lt;&gt;*EXECUTED*"))</f>
        <v>0</v>
      </c>
      <c r="W296" s="29" cm="1">
        <f t="array" ref="W296">SUMIFS(BALANCES!$C:$C,BALANCES!$A:$A,$B$275,BALANCES!$B:$B,$T296,BALANCES!$D:$D,W$279)+SUMIFS(FLOWS!$C:$C,FLOWS!$A:$A,$B$275,FLOWS!$E:$E,$T296,FLOWS!$D:$D,W$279,FLOWS!$H:$H,"&lt;="&amp;$U$277)+SUM(SUMIFS(DEALS!$J:$J,DEALS!$A:$A,{"*REFUND*","*EXECUTED*"},DEALS!$G:$G,$B$275,DEALS!$E:$E,"&lt;="&amp;$U$277,DEALS!$K:$K,W$279,DEALS!$M:$M,$T296,DEALS!$N:$N,"&lt;&gt;*RECEIVED*",DEALS!$N:$N,"&lt;&gt;*EXECUTED*"))+SUM(SUMIFS(DEALS!$R:$R,DEALS!$A:$A,{"*REFUND*","*EXECUTED*"},DEALS!$O:$O,$B$275,DEALS!$E:$E,"&lt;="&amp;$U$277,DEALS!$S:$S,W$279,DEALS!$U:$U,$T296,DEALS!$V:$V,"&lt;&gt;*RECEIVED*",DEALS!$V:$V,"&lt;&gt;*EXECUTED*"))</f>
        <v>0</v>
      </c>
      <c r="X296" s="29" cm="1">
        <f t="array" ref="X296">SUMIFS(BALANCES!$C:$C,BALANCES!$A:$A,$B$275,BALANCES!$B:$B,$T296,BALANCES!$D:$D,X$279)+SUMIFS(FLOWS!$C:$C,FLOWS!$A:$A,$B$275,FLOWS!$E:$E,$T296,FLOWS!$D:$D,X$279,FLOWS!$H:$H,"&lt;="&amp;$U$277)+SUM(SUMIFS(DEALS!$J:$J,DEALS!$A:$A,{"*REFUND*","*EXECUTED*"},DEALS!$G:$G,$B$275,DEALS!$E:$E,"&lt;="&amp;$U$277,DEALS!$K:$K,X$279,DEALS!$M:$M,$T296,DEALS!$N:$N,"&lt;&gt;*RECEIVED*",DEALS!$N:$N,"&lt;&gt;*EXECUTED*"))+SUM(SUMIFS(DEALS!$R:$R,DEALS!$A:$A,{"*REFUND*","*EXECUTED*"},DEALS!$O:$O,$B$275,DEALS!$E:$E,"&lt;="&amp;$U$277,DEALS!$S:$S,X$279,DEALS!$U:$U,$T296,DEALS!$V:$V,"&lt;&gt;*RECEIVED*",DEALS!$V:$V,"&lt;&gt;*EXECUTED*"))</f>
        <v>0</v>
      </c>
      <c r="Y296" s="29" cm="1">
        <f t="array" ref="Y296">SUMIFS(BALANCES!$C:$C,BALANCES!$A:$A,$B$275,BALANCES!$B:$B,$T296,BALANCES!$D:$D,Y$279)+SUMIFS(FLOWS!$C:$C,FLOWS!$A:$A,$B$275,FLOWS!$E:$E,$T296,FLOWS!$D:$D,Y$279,FLOWS!$H:$H,"&lt;="&amp;$U$277)+SUM(SUMIFS(DEALS!$J:$J,DEALS!$A:$A,{"*REFUND*","*EXECUTED*"},DEALS!$G:$G,$B$275,DEALS!$E:$E,"&lt;="&amp;$U$277,DEALS!$K:$K,Y$279,DEALS!$M:$M,$T296,DEALS!$N:$N,"&lt;&gt;*RECEIVED*",DEALS!$N:$N,"&lt;&gt;*EXECUTED*"))+SUM(SUMIFS(DEALS!$R:$R,DEALS!$A:$A,{"*REFUND*","*EXECUTED*"},DEALS!$O:$O,$B$275,DEALS!$E:$E,"&lt;="&amp;$U$277,DEALS!$S:$S,Y$279,DEALS!$U:$U,$T296,DEALS!$V:$V,"&lt;&gt;*RECEIVED*",DEALS!$V:$V,"&lt;&gt;*EXECUTED*"))</f>
        <v>0</v>
      </c>
      <c r="Z296" s="29" cm="1">
        <f t="array" ref="Z296">SUMIFS(BALANCES!$C:$C,BALANCES!$A:$A,$B$275,BALANCES!$B:$B,$T296,BALANCES!$D:$D,Z$279)+SUMIFS(FLOWS!$C:$C,FLOWS!$A:$A,$B$275,FLOWS!$E:$E,$T296,FLOWS!$D:$D,Z$279,FLOWS!$H:$H,"&lt;="&amp;$U$277)+SUM(SUMIFS(DEALS!$J:$J,DEALS!$A:$A,{"*REFUND*","*EXECUTED*"},DEALS!$G:$G,$B$275,DEALS!$E:$E,"&lt;="&amp;$U$277,DEALS!$K:$K,Z$279,DEALS!$M:$M,$T296,DEALS!$N:$N,"&lt;&gt;*RECEIVED*",DEALS!$N:$N,"&lt;&gt;*EXECUTED*"))+SUM(SUMIFS(DEALS!$R:$R,DEALS!$A:$A,{"*REFUND*","*EXECUTED*"},DEALS!$O:$O,$B$275,DEALS!$E:$E,"&lt;="&amp;$U$277,DEALS!$S:$S,Z$279,DEALS!$U:$U,$T296,DEALS!$V:$V,"&lt;&gt;*RECEIVED*",DEALS!$V:$V,"&lt;&gt;*EXECUTED*"))</f>
        <v>0</v>
      </c>
      <c r="AA296" s="30">
        <f ca="1">U296*VLOOKUP(U$279,'FX RATES'!$E$1:$F$50,2,FALSE)+V296*VLOOKUP(V$279,'FX RATES'!$E$1:$F$50,2,FALSE)+W296*VLOOKUP(W$279,'FX RATES'!$E$1:$F$50,2,FALSE)+X296*VLOOKUP(X$279,'FX RATES'!$E$1:$F$50,2,FALSE)+Y296*VLOOKUP(Y$279,'FX RATES'!$E$1:$F$50,2,FALSE)+Z296*VLOOKUP(Z$279,'FX RATES'!$E$1:$F$50,2,FALSE)</f>
        <v>0</v>
      </c>
      <c r="AC296" s="139">
        <f t="shared" ca="1" si="116"/>
        <v>0</v>
      </c>
    </row>
    <row r="297" spans="2:29" ht="19" hidden="1">
      <c r="B297" s="31"/>
      <c r="C297" s="32" cm="1">
        <f t="array" ref="C297">SUMIFS(BALANCES!$C:$C,BALANCES!$A:$A,$B$275,BALANCES!$B:$B,$B297,BALANCES!$D:$D,C$279)+SUMIFS(FLOWS!$C:$C,FLOWS!$A:$A,$B$275,FLOWS!$E:$E,$B297,FLOWS!$D:$D,C$279,FLOWS!$H:$H,"&lt;"&amp;$C$277)+SUM(SUMIFS(DEALS!$J:$J,DEALS!$A:$A,{"*REFUND*","*EXECUTED*"},DEALS!$G:$G,$B$275,DEALS!$E:$E,"&lt;"&amp;$C$277,DEALS!$K:$K,C$279,DEALS!$M:$M,$B297,DEALS!$N:$N,"&lt;&gt;*RECEIVED*",DEALS!$N:$N,"&lt;&gt;*EXECUTED*"))+SUM(SUMIFS(DEALS!$R:$R,DEALS!$A:$A,{"*REFUND*","*EXECUTED*"},DEALS!$O:$O,$B$275,DEALS!$E:$E,"&lt;"&amp;$C$277,DEALS!$S:$S,C$279,DEALS!$U:$U,$B297,DEALS!$V:$V,"&lt;&gt;*RECEIVED*",DEALS!$V:$V,"&lt;&gt;*EXECUTED*"))</f>
        <v>0</v>
      </c>
      <c r="D297" s="32" cm="1">
        <f t="array" ref="D297">SUMIFS(BALANCES!$C:$C,BALANCES!$A:$A,$B$275,BALANCES!$B:$B,$B297,BALANCES!$D:$D,D$279)+SUMIFS(FLOWS!$C:$C,FLOWS!$A:$A,$B$275,FLOWS!$E:$E,$B297,FLOWS!$D:$D,D$279,FLOWS!$H:$H,"&lt;"&amp;$C$277)+SUM(SUMIFS(DEALS!$J:$J,DEALS!$A:$A,{"*REFUND*","*EXECUTED*"},DEALS!$G:$G,$B$275,DEALS!$E:$E,"&lt;"&amp;$C$277,DEALS!$K:$K,D$279,DEALS!$M:$M,$B297,DEALS!$N:$N,"&lt;&gt;*RECEIVED*",DEALS!$N:$N,"&lt;&gt;*EXECUTED*"))+SUM(SUMIFS(DEALS!$R:$R,DEALS!$A:$A,{"*REFUND*","*EXECUTED*"},DEALS!$O:$O,$B$275,DEALS!$E:$E,"&lt;"&amp;$C$277,DEALS!$S:$S,D$279,DEALS!$U:$U,$B297,DEALS!$V:$V,"&lt;&gt;*RECEIVED*",DEALS!$V:$V,"&lt;&gt;*EXECUTED*"))</f>
        <v>0</v>
      </c>
      <c r="E297" s="32" cm="1">
        <f t="array" ref="E297">SUMIFS(BALANCES!$C:$C,BALANCES!$A:$A,$B$275,BALANCES!$B:$B,$B297,BALANCES!$D:$D,E$279)+SUMIFS(FLOWS!$C:$C,FLOWS!$A:$A,$B$275,FLOWS!$E:$E,$B297,FLOWS!$D:$D,E$279,FLOWS!$H:$H,"&lt;"&amp;$C$277)+SUM(SUMIFS(DEALS!$J:$J,DEALS!$A:$A,{"*REFUND*","*EXECUTED*"},DEALS!$G:$G,$B$275,DEALS!$E:$E,"&lt;"&amp;$C$277,DEALS!$K:$K,E$279,DEALS!$M:$M,$B297,DEALS!$N:$N,"&lt;&gt;*RECEIVED*",DEALS!$N:$N,"&lt;&gt;*EXECUTED*"))+SUM(SUMIFS(DEALS!$R:$R,DEALS!$A:$A,{"*REFUND*","*EXECUTED*"},DEALS!$O:$O,$B$275,DEALS!$E:$E,"&lt;"&amp;$C$277,DEALS!$S:$S,E$279,DEALS!$U:$U,$B297,DEALS!$V:$V,"&lt;&gt;*RECEIVED*",DEALS!$V:$V,"&lt;&gt;*EXECUTED*"))</f>
        <v>0</v>
      </c>
      <c r="F297" s="32" cm="1">
        <f t="array" ref="F297">SUMIFS(BALANCES!$C:$C,BALANCES!$A:$A,$B$275,BALANCES!$B:$B,$B297,BALANCES!$D:$D,F$279)+SUMIFS(FLOWS!$C:$C,FLOWS!$A:$A,$B$275,FLOWS!$E:$E,$B297,FLOWS!$D:$D,F$279,FLOWS!$H:$H,"&lt;"&amp;$C$277)+SUM(SUMIFS(DEALS!$J:$J,DEALS!$A:$A,{"*REFUND*","*EXECUTED*"},DEALS!$G:$G,$B$275,DEALS!$E:$E,"&lt;"&amp;$C$277,DEALS!$K:$K,F$279,DEALS!$M:$M,$B297,DEALS!$N:$N,"&lt;&gt;*RECEIVED*",DEALS!$N:$N,"&lt;&gt;*EXECUTED*"))+SUM(SUMIFS(DEALS!$R:$R,DEALS!$A:$A,{"*REFUND*","*EXECUTED*"},DEALS!$O:$O,$B$275,DEALS!$E:$E,"&lt;"&amp;$C$277,DEALS!$S:$S,F$279,DEALS!$U:$U,$B297,DEALS!$V:$V,"&lt;&gt;*RECEIVED*",DEALS!$V:$V,"&lt;&gt;*EXECUTED*"))</f>
        <v>0</v>
      </c>
      <c r="G297" s="32" cm="1">
        <f t="array" ref="G297">SUMIFS(BALANCES!$C:$C,BALANCES!$A:$A,$B$275,BALANCES!$B:$B,$B297,BALANCES!$D:$D,G$279)+SUMIFS(FLOWS!$C:$C,FLOWS!$A:$A,$B$275,FLOWS!$E:$E,$B297,FLOWS!$D:$D,G$279,FLOWS!$H:$H,"&lt;"&amp;$C$277)+SUM(SUMIFS(DEALS!$J:$J,DEALS!$A:$A,{"*REFUND*","*EXECUTED*"},DEALS!$G:$G,$B$275,DEALS!$E:$E,"&lt;"&amp;$C$277,DEALS!$K:$K,G$279,DEALS!$M:$M,$B297,DEALS!$N:$N,"&lt;&gt;*RECEIVED*",DEALS!$N:$N,"&lt;&gt;*EXECUTED*"))+SUM(SUMIFS(DEALS!$R:$R,DEALS!$A:$A,{"*REFUND*","*EXECUTED*"},DEALS!$O:$O,$B$275,DEALS!$E:$E,"&lt;"&amp;$C$277,DEALS!$S:$S,G$279,DEALS!$U:$U,$B297,DEALS!$V:$V,"&lt;&gt;*RECEIVED*",DEALS!$V:$V,"&lt;&gt;*EXECUTED*"))</f>
        <v>0</v>
      </c>
      <c r="H297" s="32" cm="1">
        <f t="array" ref="H297">SUMIFS(BALANCES!$C:$C,BALANCES!$A:$A,$B$275,BALANCES!$B:$B,$B297,BALANCES!$D:$D,H$279)+SUMIFS(FLOWS!$C:$C,FLOWS!$A:$A,$B$275,FLOWS!$E:$E,$B297,FLOWS!$D:$D,H$279,FLOWS!$H:$H,"&lt;"&amp;$C$277)+SUM(SUMIFS(DEALS!$J:$J,DEALS!$A:$A,{"*REFUND*","*EXECUTED*"},DEALS!$G:$G,$B$275,DEALS!$E:$E,"&lt;"&amp;$C$277,DEALS!$K:$K,H$279,DEALS!$M:$M,$B297,DEALS!$N:$N,"&lt;&gt;*RECEIVED*",DEALS!$N:$N,"&lt;&gt;*EXECUTED*"))+SUM(SUMIFS(DEALS!$R:$R,DEALS!$A:$A,{"*REFUND*","*EXECUTED*"},DEALS!$O:$O,$B$275,DEALS!$E:$E,"&lt;"&amp;$C$277,DEALS!$S:$S,H$279,DEALS!$U:$U,$B297,DEALS!$V:$V,"&lt;&gt;*RECEIVED*",DEALS!$V:$V,"&lt;&gt;*EXECUTED*"))</f>
        <v>0</v>
      </c>
      <c r="I297" s="33">
        <f ca="1">C297*VLOOKUP(C$279,'FX RATES'!$E$1:$F$50,2,FALSE)+D297*VLOOKUP(D$279,'FX RATES'!$E$1:$F$50,2,FALSE)+E297*VLOOKUP(E$279,'FX RATES'!$E$1:$F$50,2,FALSE)+F297*VLOOKUP(F$279,'FX RATES'!$E$1:$F$50,2,FALSE)+G297*VLOOKUP(G$279,'FX RATES'!$E$1:$F$50,2,FALSE)+H297*VLOOKUP(H$279,'FX RATES'!$E$1:$F$50,2,FALSE)</f>
        <v>0</v>
      </c>
      <c r="K297" s="31">
        <f t="shared" si="114"/>
        <v>0</v>
      </c>
      <c r="L297" s="32" cm="1">
        <f t="array" ref="L297">SUMIFS(FLOWS!$C:$C,FLOWS!$A:$A,$B$275,FLOWS!$E:$E,$K297,FLOWS!$D:$D,L$279,FLOWS!$H:$H,"&gt;="&amp;$C$277,FLOWS!$H:$H,"&lt;="&amp;$U$277)+SUM(SUMIFS(DEALS!$J:$J,DEALS!$A:$A,{"*REFUND*","*EXECUTED*"},DEALS!$G:$G,$B$275,DEALS!$E:$E,"&gt;="&amp;$C$277,DEALS!$E:$E,"&lt;="&amp;$U$277,DEALS!$K:$K,L$279,DEALS!$M:$M,$K297,DEALS!$N:$N,"&lt;&gt;*RECEIVED*",DEALS!$N:$N,"&lt;&gt;*EXECUTED*"))+SUM(SUMIFS(DEALS!$R:$R,DEALS!$A:$A,{"*REFUND*","*EXECUTED*"},DEALS!$O:$O,$B$275,DEALS!$E:$E,"&gt;="&amp;$C$277,DEALS!$E:$E,"&lt;="&amp;$U$277,DEALS!$S:$S,L$279,DEALS!$U:$U,$K297,DEALS!$V:$V,"&lt;&gt;*RECEIVED*",DEALS!$V:$V,"&lt;&gt;*EXECUTED*"))</f>
        <v>0</v>
      </c>
      <c r="M297" s="32" cm="1">
        <f t="array" ref="M297">SUMIFS(FLOWS!$C:$C,FLOWS!$A:$A,$B$275,FLOWS!$E:$E,$K297,FLOWS!$D:$D,M$279,FLOWS!$H:$H,"&gt;="&amp;$C$277,FLOWS!$H:$H,"&lt;="&amp;$U$277)+SUM(SUMIFS(DEALS!$J:$J,DEALS!$A:$A,{"*REFUND*","*EXECUTED*"},DEALS!$G:$G,$B$275,DEALS!$E:$E,"&gt;="&amp;$C$277,DEALS!$E:$E,"&lt;="&amp;$U$277,DEALS!$K:$K,M$279,DEALS!$M:$M,$K297,DEALS!$N:$N,"&lt;&gt;*RECEIVED*",DEALS!$N:$N,"&lt;&gt;*EXECUTED*"))+SUM(SUMIFS(DEALS!$R:$R,DEALS!$A:$A,{"*REFUND*","*EXECUTED*"},DEALS!$O:$O,$B$275,DEALS!$E:$E,"&gt;="&amp;$C$277,DEALS!$E:$E,"&lt;="&amp;$U$277,DEALS!$S:$S,M$279,DEALS!$U:$U,$K297,DEALS!$V:$V,"&lt;&gt;*RECEIVED*",DEALS!$V:$V,"&lt;&gt;*EXECUTED*"))</f>
        <v>0</v>
      </c>
      <c r="N297" s="32" cm="1">
        <f t="array" ref="N297">SUMIFS(FLOWS!$C:$C,FLOWS!$A:$A,$B$275,FLOWS!$E:$E,$K297,FLOWS!$D:$D,N$279,FLOWS!$H:$H,"&gt;="&amp;$C$277,FLOWS!$H:$H,"&lt;="&amp;$U$277)+SUM(SUMIFS(DEALS!$J:$J,DEALS!$A:$A,{"*REFUND*","*EXECUTED*"},DEALS!$G:$G,$B$275,DEALS!$E:$E,"&gt;="&amp;$C$277,DEALS!$E:$E,"&lt;="&amp;$U$277,DEALS!$K:$K,N$279,DEALS!$M:$M,$K297,DEALS!$N:$N,"&lt;&gt;*RECEIVED*",DEALS!$N:$N,"&lt;&gt;*EXECUTED*"))+SUM(SUMIFS(DEALS!$R:$R,DEALS!$A:$A,{"*REFUND*","*EXECUTED*"},DEALS!$O:$O,$B$275,DEALS!$E:$E,"&gt;="&amp;$C$277,DEALS!$E:$E,"&lt;="&amp;$U$277,DEALS!$S:$S,N$279,DEALS!$U:$U,$K297,DEALS!$V:$V,"&lt;&gt;*RECEIVED*",DEALS!$V:$V,"&lt;&gt;*EXECUTED*"))</f>
        <v>0</v>
      </c>
      <c r="O297" s="32" cm="1">
        <f t="array" ref="O297">SUMIFS(FLOWS!$C:$C,FLOWS!$A:$A,$B$275,FLOWS!$E:$E,$K297,FLOWS!$D:$D,O$279,FLOWS!$H:$H,"&gt;="&amp;$C$277,FLOWS!$H:$H,"&lt;="&amp;$U$277)+SUM(SUMIFS(DEALS!$J:$J,DEALS!$A:$A,{"*REFUND*","*EXECUTED*"},DEALS!$G:$G,$B$275,DEALS!$E:$E,"&gt;="&amp;$C$277,DEALS!$E:$E,"&lt;="&amp;$U$277,DEALS!$K:$K,O$279,DEALS!$M:$M,$K297,DEALS!$N:$N,"&lt;&gt;*RECEIVED*",DEALS!$N:$N,"&lt;&gt;*EXECUTED*"))+SUM(SUMIFS(DEALS!$R:$R,DEALS!$A:$A,{"*REFUND*","*EXECUTED*"},DEALS!$O:$O,$B$275,DEALS!$E:$E,"&gt;="&amp;$C$277,DEALS!$E:$E,"&lt;="&amp;$U$277,DEALS!$S:$S,O$279,DEALS!$U:$U,$K297,DEALS!$V:$V,"&lt;&gt;*RECEIVED*",DEALS!$V:$V,"&lt;&gt;*EXECUTED*"))</f>
        <v>0</v>
      </c>
      <c r="P297" s="32" cm="1">
        <f t="array" ref="P297">SUMIFS(FLOWS!$C:$C,FLOWS!$A:$A,$B$275,FLOWS!$E:$E,$K297,FLOWS!$D:$D,P$279,FLOWS!$H:$H,"&gt;="&amp;$C$277,FLOWS!$H:$H,"&lt;="&amp;$U$277)+SUM(SUMIFS(DEALS!$J:$J,DEALS!$A:$A,{"*REFUND*","*EXECUTED*"},DEALS!$G:$G,$B$275,DEALS!$E:$E,"&gt;="&amp;$C$277,DEALS!$E:$E,"&lt;="&amp;$U$277,DEALS!$K:$K,P$279,DEALS!$M:$M,$K297,DEALS!$N:$N,"&lt;&gt;*RECEIVED*",DEALS!$N:$N,"&lt;&gt;*EXECUTED*"))+SUM(SUMIFS(DEALS!$R:$R,DEALS!$A:$A,{"*REFUND*","*EXECUTED*"},DEALS!$O:$O,$B$275,DEALS!$E:$E,"&gt;="&amp;$C$277,DEALS!$E:$E,"&lt;="&amp;$U$277,DEALS!$S:$S,P$279,DEALS!$U:$U,$K297,DEALS!$V:$V,"&lt;&gt;*RECEIVED*",DEALS!$V:$V,"&lt;&gt;*EXECUTED*"))</f>
        <v>0</v>
      </c>
      <c r="Q297" s="32" cm="1">
        <f t="array" ref="Q297">SUMIFS(FLOWS!$C:$C,FLOWS!$A:$A,$B$275,FLOWS!$E:$E,$K297,FLOWS!$D:$D,Q$279,FLOWS!$H:$H,"&gt;="&amp;$C$277,FLOWS!$H:$H,"&lt;="&amp;$U$277)+SUM(SUMIFS(DEALS!$J:$J,DEALS!$A:$A,{"*REFUND*","*EXECUTED*"},DEALS!$G:$G,$B$275,DEALS!$E:$E,"&gt;="&amp;$C$277,DEALS!$E:$E,"&lt;="&amp;$U$277,DEALS!$K:$K,Q$279,DEALS!$M:$M,$K297,DEALS!$N:$N,"&lt;&gt;*RECEIVED*",DEALS!$N:$N,"&lt;&gt;*EXECUTED*"))+SUM(SUMIFS(DEALS!$R:$R,DEALS!$A:$A,{"*REFUND*","*EXECUTED*"},DEALS!$O:$O,$B$275,DEALS!$E:$E,"&gt;="&amp;$C$277,DEALS!$E:$E,"&lt;="&amp;$U$277,DEALS!$S:$S,Q$279,DEALS!$U:$U,$K297,DEALS!$V:$V,"&lt;&gt;*RECEIVED*",DEALS!$V:$V,"&lt;&gt;*EXECUTED*"))</f>
        <v>0</v>
      </c>
      <c r="R297" s="33">
        <f ca="1">L297*VLOOKUP(L$279,'FX RATES'!$E$1:$F$50,2,FALSE)+M297*VLOOKUP(M$279,'FX RATES'!$E$1:$F$50,2,FALSE)+N297*VLOOKUP(N$279,'FX RATES'!$E$1:$F$50,2,FALSE)+O297*VLOOKUP(O$279,'FX RATES'!$E$1:$F$50,2,FALSE)+P297*VLOOKUP(P$279,'FX RATES'!$E$1:$F$50,2,FALSE)+Q297*VLOOKUP(Q$279,'FX RATES'!$E$1:$F$50,2,FALSE)</f>
        <v>0</v>
      </c>
      <c r="T297" s="31">
        <f t="shared" si="115"/>
        <v>0</v>
      </c>
      <c r="U297" s="32" cm="1">
        <f t="array" ref="U297">SUMIFS(BALANCES!$C:$C,BALANCES!$A:$A,$B$275,BALANCES!$B:$B,$T297,BALANCES!$D:$D,U$279)+SUMIFS(FLOWS!$C:$C,FLOWS!$A:$A,$B$275,FLOWS!$E:$E,$T297,FLOWS!$D:$D,U$279,FLOWS!$H:$H,"&lt;="&amp;$U$277)+SUM(SUMIFS(DEALS!$J:$J,DEALS!$A:$A,{"*REFUND*","*EXECUTED*"},DEALS!$G:$G,$B$275,DEALS!$E:$E,"&lt;="&amp;$U$277,DEALS!$K:$K,U$279,DEALS!$M:$M,$T297,DEALS!$N:$N,"&lt;&gt;*RECEIVED*",DEALS!$N:$N,"&lt;&gt;*EXECUTED*"))+SUM(SUMIFS(DEALS!$R:$R,DEALS!$A:$A,{"*REFUND*","*EXECUTED*"},DEALS!$O:$O,$B$275,DEALS!$E:$E,"&lt;="&amp;$U$277,DEALS!$S:$S,U$279,DEALS!$U:$U,$T297,DEALS!$V:$V,"&lt;&gt;*RECEIVED*",DEALS!$V:$V,"&lt;&gt;*EXECUTED*"))</f>
        <v>0</v>
      </c>
      <c r="V297" s="32" cm="1">
        <f t="array" ref="V297">SUMIFS(BALANCES!$C:$C,BALANCES!$A:$A,$B$275,BALANCES!$B:$B,$T297,BALANCES!$D:$D,V$279)+SUMIFS(FLOWS!$C:$C,FLOWS!$A:$A,$B$275,FLOWS!$E:$E,$T297,FLOWS!$D:$D,V$279,FLOWS!$H:$H,"&lt;="&amp;$U$277)+SUM(SUMIFS(DEALS!$J:$J,DEALS!$A:$A,{"*REFUND*","*EXECUTED*"},DEALS!$G:$G,$B$275,DEALS!$E:$E,"&lt;="&amp;$U$277,DEALS!$K:$K,V$279,DEALS!$M:$M,$T297,DEALS!$N:$N,"&lt;&gt;*RECEIVED*",DEALS!$N:$N,"&lt;&gt;*EXECUTED*"))+SUM(SUMIFS(DEALS!$R:$R,DEALS!$A:$A,{"*REFUND*","*EXECUTED*"},DEALS!$O:$O,$B$275,DEALS!$E:$E,"&lt;="&amp;$U$277,DEALS!$S:$S,V$279,DEALS!$U:$U,$T297,DEALS!$V:$V,"&lt;&gt;*RECEIVED*",DEALS!$V:$V,"&lt;&gt;*EXECUTED*"))</f>
        <v>0</v>
      </c>
      <c r="W297" s="32" cm="1">
        <f t="array" ref="W297">SUMIFS(BALANCES!$C:$C,BALANCES!$A:$A,$B$275,BALANCES!$B:$B,$T297,BALANCES!$D:$D,W$279)+SUMIFS(FLOWS!$C:$C,FLOWS!$A:$A,$B$275,FLOWS!$E:$E,$T297,FLOWS!$D:$D,W$279,FLOWS!$H:$H,"&lt;="&amp;$U$277)+SUM(SUMIFS(DEALS!$J:$J,DEALS!$A:$A,{"*REFUND*","*EXECUTED*"},DEALS!$G:$G,$B$275,DEALS!$E:$E,"&lt;="&amp;$U$277,DEALS!$K:$K,W$279,DEALS!$M:$M,$T297,DEALS!$N:$N,"&lt;&gt;*RECEIVED*",DEALS!$N:$N,"&lt;&gt;*EXECUTED*"))+SUM(SUMIFS(DEALS!$R:$R,DEALS!$A:$A,{"*REFUND*","*EXECUTED*"},DEALS!$O:$O,$B$275,DEALS!$E:$E,"&lt;="&amp;$U$277,DEALS!$S:$S,W$279,DEALS!$U:$U,$T297,DEALS!$V:$V,"&lt;&gt;*RECEIVED*",DEALS!$V:$V,"&lt;&gt;*EXECUTED*"))</f>
        <v>0</v>
      </c>
      <c r="X297" s="32" cm="1">
        <f t="array" ref="X297">SUMIFS(BALANCES!$C:$C,BALANCES!$A:$A,$B$275,BALANCES!$B:$B,$T297,BALANCES!$D:$D,X$279)+SUMIFS(FLOWS!$C:$C,FLOWS!$A:$A,$B$275,FLOWS!$E:$E,$T297,FLOWS!$D:$D,X$279,FLOWS!$H:$H,"&lt;="&amp;$U$277)+SUM(SUMIFS(DEALS!$J:$J,DEALS!$A:$A,{"*REFUND*","*EXECUTED*"},DEALS!$G:$G,$B$275,DEALS!$E:$E,"&lt;="&amp;$U$277,DEALS!$K:$K,X$279,DEALS!$M:$M,$T297,DEALS!$N:$N,"&lt;&gt;*RECEIVED*",DEALS!$N:$N,"&lt;&gt;*EXECUTED*"))+SUM(SUMIFS(DEALS!$R:$R,DEALS!$A:$A,{"*REFUND*","*EXECUTED*"},DEALS!$O:$O,$B$275,DEALS!$E:$E,"&lt;="&amp;$U$277,DEALS!$S:$S,X$279,DEALS!$U:$U,$T297,DEALS!$V:$V,"&lt;&gt;*RECEIVED*",DEALS!$V:$V,"&lt;&gt;*EXECUTED*"))</f>
        <v>0</v>
      </c>
      <c r="Y297" s="32" cm="1">
        <f t="array" ref="Y297">SUMIFS(BALANCES!$C:$C,BALANCES!$A:$A,$B$275,BALANCES!$B:$B,$T297,BALANCES!$D:$D,Y$279)+SUMIFS(FLOWS!$C:$C,FLOWS!$A:$A,$B$275,FLOWS!$E:$E,$T297,FLOWS!$D:$D,Y$279,FLOWS!$H:$H,"&lt;="&amp;$U$277)+SUM(SUMIFS(DEALS!$J:$J,DEALS!$A:$A,{"*REFUND*","*EXECUTED*"},DEALS!$G:$G,$B$275,DEALS!$E:$E,"&lt;="&amp;$U$277,DEALS!$K:$K,Y$279,DEALS!$M:$M,$T297,DEALS!$N:$N,"&lt;&gt;*RECEIVED*",DEALS!$N:$N,"&lt;&gt;*EXECUTED*"))+SUM(SUMIFS(DEALS!$R:$R,DEALS!$A:$A,{"*REFUND*","*EXECUTED*"},DEALS!$O:$O,$B$275,DEALS!$E:$E,"&lt;="&amp;$U$277,DEALS!$S:$S,Y$279,DEALS!$U:$U,$T297,DEALS!$V:$V,"&lt;&gt;*RECEIVED*",DEALS!$V:$V,"&lt;&gt;*EXECUTED*"))</f>
        <v>0</v>
      </c>
      <c r="Z297" s="32" cm="1">
        <f t="array" ref="Z297">SUMIFS(BALANCES!$C:$C,BALANCES!$A:$A,$B$275,BALANCES!$B:$B,$T297,BALANCES!$D:$D,Z$279)+SUMIFS(FLOWS!$C:$C,FLOWS!$A:$A,$B$275,FLOWS!$E:$E,$T297,FLOWS!$D:$D,Z$279,FLOWS!$H:$H,"&lt;="&amp;$U$277)+SUM(SUMIFS(DEALS!$J:$J,DEALS!$A:$A,{"*REFUND*","*EXECUTED*"},DEALS!$G:$G,$B$275,DEALS!$E:$E,"&lt;="&amp;$U$277,DEALS!$K:$K,Z$279,DEALS!$M:$M,$T297,DEALS!$N:$N,"&lt;&gt;*RECEIVED*",DEALS!$N:$N,"&lt;&gt;*EXECUTED*"))+SUM(SUMIFS(DEALS!$R:$R,DEALS!$A:$A,{"*REFUND*","*EXECUTED*"},DEALS!$O:$O,$B$275,DEALS!$E:$E,"&lt;="&amp;$U$277,DEALS!$S:$S,Z$279,DEALS!$U:$U,$T297,DEALS!$V:$V,"&lt;&gt;*RECEIVED*",DEALS!$V:$V,"&lt;&gt;*EXECUTED*"))</f>
        <v>0</v>
      </c>
      <c r="AA297" s="33">
        <f ca="1">U297*VLOOKUP(U$279,'FX RATES'!$E$1:$F$50,2,FALSE)+V297*VLOOKUP(V$279,'FX RATES'!$E$1:$F$50,2,FALSE)+W297*VLOOKUP(W$279,'FX RATES'!$E$1:$F$50,2,FALSE)+X297*VLOOKUP(X$279,'FX RATES'!$E$1:$F$50,2,FALSE)+Y297*VLOOKUP(Y$279,'FX RATES'!$E$1:$F$50,2,FALSE)+Z297*VLOOKUP(Z$279,'FX RATES'!$E$1:$F$50,2,FALSE)</f>
        <v>0</v>
      </c>
      <c r="AC297" s="139">
        <f t="shared" ca="1" si="116"/>
        <v>0</v>
      </c>
    </row>
    <row r="298" spans="2:29" ht="22" thickBot="1">
      <c r="B298" s="13" t="s">
        <v>26</v>
      </c>
      <c r="C298" s="16">
        <f t="shared" ref="C298:I298" si="117">SUM(C280:C297)</f>
        <v>68473</v>
      </c>
      <c r="D298" s="16">
        <f t="shared" si="117"/>
        <v>0</v>
      </c>
      <c r="E298" s="16">
        <f t="shared" si="117"/>
        <v>0</v>
      </c>
      <c r="F298" s="16">
        <f t="shared" si="117"/>
        <v>0</v>
      </c>
      <c r="G298" s="16">
        <f t="shared" si="117"/>
        <v>0</v>
      </c>
      <c r="H298" s="16">
        <f t="shared" si="117"/>
        <v>0</v>
      </c>
      <c r="I298" s="16">
        <f t="shared" ca="1" si="117"/>
        <v>68473</v>
      </c>
      <c r="K298" s="13" t="s">
        <v>26</v>
      </c>
      <c r="L298" s="16">
        <f t="shared" ref="L298:R298" si="118">SUM(L280:L297)</f>
        <v>323206.20555914677</v>
      </c>
      <c r="M298" s="16">
        <f t="shared" si="118"/>
        <v>0</v>
      </c>
      <c r="N298" s="16">
        <f t="shared" si="118"/>
        <v>0</v>
      </c>
      <c r="O298" s="16">
        <f t="shared" si="118"/>
        <v>0</v>
      </c>
      <c r="P298" s="16">
        <f t="shared" si="118"/>
        <v>0</v>
      </c>
      <c r="Q298" s="16">
        <f t="shared" si="118"/>
        <v>0</v>
      </c>
      <c r="R298" s="16">
        <f t="shared" ca="1" si="118"/>
        <v>323206.20555914677</v>
      </c>
      <c r="T298" s="13" t="s">
        <v>26</v>
      </c>
      <c r="U298" s="16">
        <f t="shared" ref="U298:AA298" si="119">SUM(U280:U297)</f>
        <v>391679.20555914677</v>
      </c>
      <c r="V298" s="16">
        <f t="shared" si="119"/>
        <v>0</v>
      </c>
      <c r="W298" s="16">
        <f t="shared" si="119"/>
        <v>0</v>
      </c>
      <c r="X298" s="16">
        <f t="shared" si="119"/>
        <v>0</v>
      </c>
      <c r="Y298" s="16">
        <f t="shared" si="119"/>
        <v>0</v>
      </c>
      <c r="Z298" s="16">
        <f t="shared" si="119"/>
        <v>0</v>
      </c>
      <c r="AA298" s="16">
        <f t="shared" ca="1" si="119"/>
        <v>391679.20555914677</v>
      </c>
      <c r="AC298" s="139">
        <f t="shared" ca="1" si="116"/>
        <v>0</v>
      </c>
    </row>
    <row r="299" spans="2:29" ht="22" thickBot="1">
      <c r="B299" s="10" t="s">
        <v>11</v>
      </c>
      <c r="C299" s="17">
        <f>VLOOKUP(C279,'FX RATES'!$E$1:$F$50,2,FALSE)*C298</f>
        <v>68473</v>
      </c>
      <c r="D299" s="17">
        <f ca="1">VLOOKUP(D279,'FX RATES'!$E$1:$F$50,2,FALSE)*D298</f>
        <v>0</v>
      </c>
      <c r="E299" s="17">
        <f ca="1">VLOOKUP(E279,'FX RATES'!$E$1:$F$50,2,FALSE)*E298</f>
        <v>0</v>
      </c>
      <c r="F299" s="17">
        <f ca="1">VLOOKUP(F279,'FX RATES'!$E$1:$F$50,2,FALSE)*F298</f>
        <v>0</v>
      </c>
      <c r="G299" s="17">
        <f ca="1">VLOOKUP(G279,'FX RATES'!$E$1:$F$50,2,FALSE)*G298</f>
        <v>0</v>
      </c>
      <c r="H299" s="17">
        <f ca="1">VLOOKUP(H279,'FX RATES'!$E$1:$F$50,2,FALSE)*H298</f>
        <v>0</v>
      </c>
      <c r="I299" s="16">
        <f ca="1">SUM(C299:H299)</f>
        <v>68473</v>
      </c>
      <c r="K299" s="10" t="s">
        <v>11</v>
      </c>
      <c r="L299" s="17">
        <f>VLOOKUP(L279,'FX RATES'!$E$1:$F$50,2,FALSE)*L298</f>
        <v>323206.20555914677</v>
      </c>
      <c r="M299" s="17">
        <f ca="1">VLOOKUP(M279,'FX RATES'!$E$1:$F$50,2,FALSE)*M298</f>
        <v>0</v>
      </c>
      <c r="N299" s="17">
        <f ca="1">VLOOKUP(N279,'FX RATES'!$E$1:$F$50,2,FALSE)*N298</f>
        <v>0</v>
      </c>
      <c r="O299" s="17">
        <f ca="1">VLOOKUP(O279,'FX RATES'!$E$1:$F$50,2,FALSE)*O298</f>
        <v>0</v>
      </c>
      <c r="P299" s="17">
        <f ca="1">VLOOKUP(P279,'FX RATES'!$E$1:$F$50,2,FALSE)*P298</f>
        <v>0</v>
      </c>
      <c r="Q299" s="17">
        <f ca="1">VLOOKUP(Q279,'FX RATES'!$E$1:$F$50,2,FALSE)*Q298</f>
        <v>0</v>
      </c>
      <c r="R299" s="16">
        <f ca="1">SUM(L299:Q299)</f>
        <v>323206.20555914677</v>
      </c>
      <c r="T299" s="10" t="s">
        <v>11</v>
      </c>
      <c r="U299" s="17">
        <f>VLOOKUP(U279,'FX RATES'!$E$1:$F$50,2,FALSE)*U298</f>
        <v>391679.20555914677</v>
      </c>
      <c r="V299" s="17">
        <f ca="1">VLOOKUP(V279,'FX RATES'!$E$1:$F$50,2,FALSE)*V298</f>
        <v>0</v>
      </c>
      <c r="W299" s="17">
        <f ca="1">VLOOKUP(W279,'FX RATES'!$E$1:$F$50,2,FALSE)*W298</f>
        <v>0</v>
      </c>
      <c r="X299" s="17">
        <f ca="1">VLOOKUP(X279,'FX RATES'!$E$1:$F$50,2,FALSE)*X298</f>
        <v>0</v>
      </c>
      <c r="Y299" s="17">
        <f ca="1">VLOOKUP(Y279,'FX RATES'!$E$1:$F$50,2,FALSE)*Y298</f>
        <v>0</v>
      </c>
      <c r="Z299" s="17">
        <f ca="1">VLOOKUP(Z279,'FX RATES'!$E$1:$F$50,2,FALSE)*Z298</f>
        <v>0</v>
      </c>
      <c r="AA299" s="16">
        <f ca="1">SUM(U299:Z299)</f>
        <v>391679.20555914677</v>
      </c>
      <c r="AC299" s="139">
        <f t="shared" ca="1" si="116"/>
        <v>0</v>
      </c>
    </row>
    <row r="300" spans="2:29" ht="19"/>
    <row r="301" spans="2:29" ht="19"/>
    <row r="302" spans="2:29" ht="19"/>
    <row r="303" spans="2:29" ht="18.75" customHeight="1">
      <c r="B303" s="593" t="s">
        <v>55</v>
      </c>
      <c r="C303" s="593"/>
      <c r="D303" s="593"/>
      <c r="E303" s="593"/>
      <c r="F303" s="593"/>
      <c r="G303" s="593"/>
      <c r="H303" s="593"/>
      <c r="I303" s="593"/>
      <c r="J303" s="137"/>
      <c r="K303" s="593" t="str">
        <f>B303</f>
        <v>WBS</v>
      </c>
      <c r="L303" s="593"/>
      <c r="M303" s="593"/>
      <c r="N303" s="593"/>
      <c r="O303" s="593"/>
      <c r="P303" s="593"/>
      <c r="Q303" s="593"/>
      <c r="R303" s="593"/>
      <c r="S303" s="137"/>
      <c r="T303" s="593" t="str">
        <f>B303</f>
        <v>WBS</v>
      </c>
      <c r="U303" s="593"/>
      <c r="V303" s="593"/>
      <c r="W303" s="593"/>
      <c r="X303" s="593"/>
      <c r="Y303" s="593"/>
      <c r="Z303" s="593"/>
      <c r="AA303" s="593"/>
    </row>
    <row r="305" spans="2:29" ht="18.75" customHeight="1">
      <c r="B305" s="9" t="s">
        <v>1</v>
      </c>
      <c r="C305" s="91">
        <f>BALANCES!B1</f>
        <v>46073</v>
      </c>
      <c r="K305" s="56" t="s">
        <v>2</v>
      </c>
      <c r="L305" s="110">
        <f>C305</f>
        <v>46073</v>
      </c>
      <c r="M305" s="144" t="s">
        <v>3</v>
      </c>
      <c r="N305" s="110">
        <f>U305</f>
        <v>46081</v>
      </c>
      <c r="O305" s="140"/>
      <c r="P305" s="140"/>
      <c r="Q305" s="140"/>
      <c r="R305" s="20"/>
      <c r="T305" s="9" t="s">
        <v>1</v>
      </c>
      <c r="U305" s="90">
        <f>U4</f>
        <v>46081</v>
      </c>
    </row>
    <row r="306" spans="2:29" ht="18.75" customHeight="1">
      <c r="B306" s="14"/>
      <c r="C306" s="15"/>
      <c r="D306" s="15"/>
      <c r="E306" s="15"/>
      <c r="F306" s="15"/>
      <c r="G306" s="15"/>
      <c r="H306" s="15"/>
      <c r="I306" s="15"/>
      <c r="K306" s="23"/>
      <c r="L306" s="24"/>
      <c r="M306" s="24"/>
      <c r="N306" s="24"/>
      <c r="O306" s="24"/>
      <c r="P306" s="24"/>
      <c r="Q306" s="24"/>
      <c r="R306" s="25"/>
      <c r="T306" s="14"/>
      <c r="U306" s="15"/>
      <c r="V306" s="15"/>
      <c r="W306" s="15"/>
      <c r="X306" s="15"/>
      <c r="Y306" s="15"/>
      <c r="Z306" s="15"/>
      <c r="AA306" s="15"/>
    </row>
    <row r="307" spans="2:29" ht="18.75" customHeight="1">
      <c r="B307" s="10" t="s">
        <v>4</v>
      </c>
      <c r="C307" s="11" t="s">
        <v>5</v>
      </c>
      <c r="D307" s="11" t="s">
        <v>6</v>
      </c>
      <c r="E307" s="11" t="s">
        <v>7</v>
      </c>
      <c r="F307" s="11" t="s">
        <v>8</v>
      </c>
      <c r="G307" s="11" t="s">
        <v>9</v>
      </c>
      <c r="H307" s="11" t="s">
        <v>35</v>
      </c>
      <c r="I307" s="12" t="s">
        <v>11</v>
      </c>
      <c r="K307" s="10" t="s">
        <v>4</v>
      </c>
      <c r="L307" s="11" t="str">
        <f t="shared" ref="L307" si="120">C307</f>
        <v>USD</v>
      </c>
      <c r="M307" s="11" t="str">
        <f t="shared" ref="M307" si="121">D307</f>
        <v>EUR</v>
      </c>
      <c r="N307" s="11" t="str">
        <f t="shared" ref="N307" si="122">E307</f>
        <v>CNY</v>
      </c>
      <c r="O307" s="11" t="str">
        <f t="shared" ref="O307" si="123">F307</f>
        <v>AED</v>
      </c>
      <c r="P307" s="11" t="str">
        <f t="shared" ref="P307" si="124">G307</f>
        <v>RUB</v>
      </c>
      <c r="Q307" s="11" t="str">
        <f t="shared" ref="Q307" si="125">H307</f>
        <v>HKD</v>
      </c>
      <c r="R307" s="12" t="s">
        <v>11</v>
      </c>
      <c r="T307" s="10" t="s">
        <v>4</v>
      </c>
      <c r="U307" s="11" t="str">
        <f t="shared" ref="U307" si="126">C307</f>
        <v>USD</v>
      </c>
      <c r="V307" s="11" t="str">
        <f t="shared" ref="V307" si="127">D307</f>
        <v>EUR</v>
      </c>
      <c r="W307" s="11" t="str">
        <f t="shared" ref="W307" si="128">E307</f>
        <v>CNY</v>
      </c>
      <c r="X307" s="11" t="str">
        <f t="shared" ref="X307" si="129">F307</f>
        <v>AED</v>
      </c>
      <c r="Y307" s="11" t="str">
        <f t="shared" ref="Y307" si="130">G307</f>
        <v>RUB</v>
      </c>
      <c r="Z307" s="11" t="str">
        <f t="shared" ref="Z307" si="131">H307</f>
        <v>HKD</v>
      </c>
      <c r="AA307" s="12" t="s">
        <v>11</v>
      </c>
      <c r="AC307" s="40" t="s">
        <v>12</v>
      </c>
    </row>
    <row r="308" spans="2:29" ht="18.75" customHeight="1">
      <c r="B308" s="28" t="s">
        <v>17</v>
      </c>
      <c r="C308" s="29" cm="1">
        <f t="array" ref="C308">SUMIFS(BALANCES!$C:$C,BALANCES!$A:$A,$B$303,BALANCES!$B:$B,$B308,BALANCES!$D:$D,C$307)+SUMIFS(FLOWS!$C:$C,FLOWS!$A:$A,$B$303,FLOWS!$E:$E,$B308,FLOWS!$D:$D,C$307,FLOWS!$H:$H,"&lt;"&amp;$C$305)+SUM(SUMIFS(DEALS!$J:$J,DEALS!$A:$A,{"*REFUND*","*EXECUTED*"},DEALS!$G:$G,$B$303,DEALS!$E:$E,"&lt;"&amp;$C$305,DEALS!$K:$K,C$307,DEALS!$M:$M,$B308,DEALS!$N:$N,"&lt;&gt;*RECEIVED*",DEALS!$N:$N,"&lt;&gt;*EXECUTED*"))+SUM(SUMIFS(DEALS!$R:$R,DEALS!$A:$A,{"*REFUND*","*EXECUTED*"},DEALS!$O:$O,$B$303,DEALS!$E:$E,"&lt;"&amp;$C$305,DEALS!$S:$S,C$307,DEALS!$U:$U,$B308,DEALS!$V:$V,"&lt;&gt;*RECEIVED*",DEALS!$V:$V,"&lt;&gt;*EXECUTED*"))</f>
        <v>13783.32</v>
      </c>
      <c r="D308" s="29" cm="1">
        <f t="array" ref="D308">SUMIFS(BALANCES!$C:$C,BALANCES!$A:$A,$B$303,BALANCES!$B:$B,$B308,BALANCES!$D:$D,D$307)+SUMIFS(FLOWS!$C:$C,FLOWS!$A:$A,$B$303,FLOWS!$E:$E,$B308,FLOWS!$D:$D,D$307,FLOWS!$H:$H,"&lt;"&amp;$C$305)+SUM(SUMIFS(DEALS!$J:$J,DEALS!$A:$A,{"*REFUND*","*EXECUTED*"},DEALS!$G:$G,$B$303,DEALS!$E:$E,"&lt;"&amp;$C$305,DEALS!$K:$K,D$307,DEALS!$M:$M,$B308,DEALS!$N:$N,"&lt;&gt;*RECEIVED*",DEALS!$N:$N,"&lt;&gt;*EXECUTED*"))+SUM(SUMIFS(DEALS!$R:$R,DEALS!$A:$A,{"*REFUND*","*EXECUTED*"},DEALS!$O:$O,$B$303,DEALS!$E:$E,"&lt;"&amp;$C$305,DEALS!$S:$S,D$307,DEALS!$U:$U,$B308,DEALS!$V:$V,"&lt;&gt;*RECEIVED*",DEALS!$V:$V,"&lt;&gt;*EXECUTED*"))</f>
        <v>0</v>
      </c>
      <c r="E308" s="29" cm="1">
        <f t="array" ref="E308">SUMIFS(BALANCES!$C:$C,BALANCES!$A:$A,$B$303,BALANCES!$B:$B,$B308,BALANCES!$D:$D,E$307)+SUMIFS(FLOWS!$C:$C,FLOWS!$A:$A,$B$303,FLOWS!$E:$E,$B308,FLOWS!$D:$D,E$307,FLOWS!$H:$H,"&lt;"&amp;$C$305)+SUM(SUMIFS(DEALS!$J:$J,DEALS!$A:$A,{"*REFUND*","*EXECUTED*"},DEALS!$G:$G,$B$303,DEALS!$E:$E,"&lt;"&amp;$C$305,DEALS!$K:$K,E$307,DEALS!$M:$M,$B308,DEALS!$N:$N,"&lt;&gt;*RECEIVED*",DEALS!$N:$N,"&lt;&gt;*EXECUTED*"))+SUM(SUMIFS(DEALS!$R:$R,DEALS!$A:$A,{"*REFUND*","*EXECUTED*"},DEALS!$O:$O,$B$303,DEALS!$E:$E,"&lt;"&amp;$C$305,DEALS!$S:$S,E$307,DEALS!$U:$U,$B308,DEALS!$V:$V,"&lt;&gt;*RECEIVED*",DEALS!$V:$V,"&lt;&gt;*EXECUTED*"))</f>
        <v>0</v>
      </c>
      <c r="F308" s="29" cm="1">
        <f t="array" ref="F308">SUMIFS(BALANCES!$C:$C,BALANCES!$A:$A,$B$303,BALANCES!$B:$B,$B308,BALANCES!$D:$D,F$307)+SUMIFS(FLOWS!$C:$C,FLOWS!$A:$A,$B$303,FLOWS!$E:$E,$B308,FLOWS!$D:$D,F$307,FLOWS!$H:$H,"&lt;"&amp;$C$305)+SUM(SUMIFS(DEALS!$J:$J,DEALS!$A:$A,{"*REFUND*","*EXECUTED*"},DEALS!$G:$G,$B$303,DEALS!$E:$E,"&lt;"&amp;$C$305,DEALS!$K:$K,F$307,DEALS!$M:$M,$B308,DEALS!$N:$N,"&lt;&gt;*RECEIVED*",DEALS!$N:$N,"&lt;&gt;*EXECUTED*"))+SUM(SUMIFS(DEALS!$R:$R,DEALS!$A:$A,{"*REFUND*","*EXECUTED*"},DEALS!$O:$O,$B$303,DEALS!$E:$E,"&lt;"&amp;$C$305,DEALS!$S:$S,F$307,DEALS!$U:$U,$B308,DEALS!$V:$V,"&lt;&gt;*RECEIVED*",DEALS!$V:$V,"&lt;&gt;*EXECUTED*"))</f>
        <v>813576.8</v>
      </c>
      <c r="G308" s="29" cm="1">
        <f t="array" ref="G308">SUMIFS(BALANCES!$C:$C,BALANCES!$A:$A,$B$303,BALANCES!$B:$B,$B308,BALANCES!$D:$D,G$307)+SUMIFS(FLOWS!$C:$C,FLOWS!$A:$A,$B$303,FLOWS!$E:$E,$B308,FLOWS!$D:$D,G$307,FLOWS!$H:$H,"&lt;"&amp;$C$305)+SUM(SUMIFS(DEALS!$J:$J,DEALS!$A:$A,{"*REFUND*","*EXECUTED*"},DEALS!$G:$G,$B$303,DEALS!$E:$E,"&lt;"&amp;$C$305,DEALS!$K:$K,G$307,DEALS!$M:$M,$B308,DEALS!$N:$N,"&lt;&gt;*RECEIVED*",DEALS!$N:$N,"&lt;&gt;*EXECUTED*"))+SUM(SUMIFS(DEALS!$R:$R,DEALS!$A:$A,{"*REFUND*","*EXECUTED*"},DEALS!$O:$O,$B$303,DEALS!$E:$E,"&lt;"&amp;$C$305,DEALS!$S:$S,G$307,DEALS!$U:$U,$B308,DEALS!$V:$V,"&lt;&gt;*RECEIVED*",DEALS!$V:$V,"&lt;&gt;*EXECUTED*"))</f>
        <v>0</v>
      </c>
      <c r="H308" s="29" cm="1">
        <f t="array" ref="H308">SUMIFS(BALANCES!$C:$C,BALANCES!$A:$A,$B$303,BALANCES!$B:$B,$B308,BALANCES!$D:$D,H$307)+SUMIFS(FLOWS!$C:$C,FLOWS!$A:$A,$B$303,FLOWS!$E:$E,$B308,FLOWS!$D:$D,H$307,FLOWS!$H:$H,"&lt;"&amp;$C$305)+SUM(SUMIFS(DEALS!$J:$J,DEALS!$A:$A,{"*REFUND*","*EXECUTED*"},DEALS!$G:$G,$B$303,DEALS!$E:$E,"&lt;"&amp;$C$305,DEALS!$K:$K,H$307,DEALS!$M:$M,$B308,DEALS!$N:$N,"&lt;&gt;*RECEIVED*",DEALS!$N:$N,"&lt;&gt;*EXECUTED*"))+SUM(SUMIFS(DEALS!$R:$R,DEALS!$A:$A,{"*REFUND*","*EXECUTED*"},DEALS!$O:$O,$B$303,DEALS!$E:$E,"&lt;"&amp;$C$305,DEALS!$S:$S,H$307,DEALS!$U:$U,$B308,DEALS!$V:$V,"&lt;&gt;*RECEIVED*",DEALS!$V:$V,"&lt;&gt;*EXECUTED*"))</f>
        <v>0</v>
      </c>
      <c r="I308" s="30">
        <f ca="1">C308*VLOOKUP(C$307,'FX RATES'!$E$1:$F$50,2,FALSE)+D308*VLOOKUP(D$307,'FX RATES'!$E$1:$F$50,2,FALSE)+E308*VLOOKUP(E$307,'FX RATES'!$E$1:$F$50,2,FALSE)+F308*VLOOKUP(F$307,'FX RATES'!$E$1:$F$50,2,FALSE)+G308*VLOOKUP(G$307,'FX RATES'!$E$1:$F$50,2,FALSE)+H308*VLOOKUP(H$307,'FX RATES'!$E$1:$F$50,2,FALSE)</f>
        <v>235309.43229102</v>
      </c>
      <c r="K308" s="28" t="str">
        <f t="shared" ref="K308:K325" si="132">B308</f>
        <v>UBL</v>
      </c>
      <c r="L308" s="29" cm="1">
        <f t="array" ref="L308">SUMIFS(FLOWS!$C:$C,FLOWS!$A:$A,$B$303,FLOWS!$E:$E,$K308,FLOWS!$D:$D,L$307,FLOWS!$H:$H,"&gt;="&amp;$C$305,FLOWS!$H:$H,"&lt;="&amp;$U$305)+SUM(SUMIFS(DEALS!$J:$J,DEALS!$A:$A,{"*REFUND*","*EXECUTED*"},DEALS!$G:$G,$B$303,DEALS!$E:$E,"&gt;="&amp;$C$305,DEALS!$E:$E,"&lt;="&amp;$U$305,DEALS!$K:$K,L$307,DEALS!$M:$M,$K308,DEALS!$N:$N,"&lt;&gt;*RECEIVED*",DEALS!$N:$N,"&lt;&gt;*EXECUTED*"))+SUM(SUMIFS(DEALS!$R:$R,DEALS!$A:$A,{"*REFUND*","*EXECUTED*"},DEALS!$O:$O,$B$303,DEALS!$E:$E,"&gt;="&amp;$C$305,DEALS!$E:$E,"&lt;="&amp;$U$305,DEALS!$S:$S,L$307,DEALS!$U:$U,$K308,DEALS!$V:$V,"&lt;&gt;*RECEIVED*",DEALS!$V:$V,"&lt;&gt;*EXECUTED*"))</f>
        <v>0</v>
      </c>
      <c r="M308" s="29" cm="1">
        <f t="array" ref="M308">SUMIFS(FLOWS!$C:$C,FLOWS!$A:$A,$B$303,FLOWS!$E:$E,$K308,FLOWS!$D:$D,M$307,FLOWS!$H:$H,"&gt;="&amp;$C$305,FLOWS!$H:$H,"&lt;="&amp;$U$305)+SUM(SUMIFS(DEALS!$J:$J,DEALS!$A:$A,{"*REFUND*","*EXECUTED*"},DEALS!$G:$G,$B$303,DEALS!$E:$E,"&gt;="&amp;$C$305,DEALS!$E:$E,"&lt;="&amp;$U$305,DEALS!$K:$K,M$307,DEALS!$M:$M,$K308,DEALS!$N:$N,"&lt;&gt;*RECEIVED*",DEALS!$N:$N,"&lt;&gt;*EXECUTED*"))+SUM(SUMIFS(DEALS!$R:$R,DEALS!$A:$A,{"*REFUND*","*EXECUTED*"},DEALS!$O:$O,$B$303,DEALS!$E:$E,"&gt;="&amp;$C$305,DEALS!$E:$E,"&lt;="&amp;$U$305,DEALS!$S:$S,M$307,DEALS!$U:$U,$K308,DEALS!$V:$V,"&lt;&gt;*RECEIVED*",DEALS!$V:$V,"&lt;&gt;*EXECUTED*"))</f>
        <v>0</v>
      </c>
      <c r="N308" s="29" cm="1">
        <f t="array" ref="N308">SUMIFS(FLOWS!$C:$C,FLOWS!$A:$A,$B$303,FLOWS!$E:$E,$K308,FLOWS!$D:$D,N$307,FLOWS!$H:$H,"&gt;="&amp;$C$305,FLOWS!$H:$H,"&lt;="&amp;$U$305)+SUM(SUMIFS(DEALS!$J:$J,DEALS!$A:$A,{"*REFUND*","*EXECUTED*"},DEALS!$G:$G,$B$303,DEALS!$E:$E,"&gt;="&amp;$C$305,DEALS!$E:$E,"&lt;="&amp;$U$305,DEALS!$K:$K,N$307,DEALS!$M:$M,$K308,DEALS!$N:$N,"&lt;&gt;*RECEIVED*",DEALS!$N:$N,"&lt;&gt;*EXECUTED*"))+SUM(SUMIFS(DEALS!$R:$R,DEALS!$A:$A,{"*REFUND*","*EXECUTED*"},DEALS!$O:$O,$B$303,DEALS!$E:$E,"&gt;="&amp;$C$305,DEALS!$E:$E,"&lt;="&amp;$U$305,DEALS!$S:$S,N$307,DEALS!$U:$U,$K308,DEALS!$V:$V,"&lt;&gt;*RECEIVED*",DEALS!$V:$V,"&lt;&gt;*EXECUTED*"))</f>
        <v>0</v>
      </c>
      <c r="O308" s="29" cm="1">
        <f t="array" ref="O308">SUMIFS(FLOWS!$C:$C,FLOWS!$A:$A,$B$303,FLOWS!$E:$E,$K308,FLOWS!$D:$D,O$307,FLOWS!$H:$H,"&gt;="&amp;$C$305,FLOWS!$H:$H,"&lt;="&amp;$U$305)+SUM(SUMIFS(DEALS!$J:$J,DEALS!$A:$A,{"*REFUND*","*EXECUTED*"},DEALS!$G:$G,$B$303,DEALS!$E:$E,"&gt;="&amp;$C$305,DEALS!$E:$E,"&lt;="&amp;$U$305,DEALS!$K:$K,O$307,DEALS!$M:$M,$K308,DEALS!$N:$N,"&lt;&gt;*RECEIVED*",DEALS!$N:$N,"&lt;&gt;*EXECUTED*"))+SUM(SUMIFS(DEALS!$R:$R,DEALS!$A:$A,{"*REFUND*","*EXECUTED*"},DEALS!$O:$O,$B$303,DEALS!$E:$E,"&gt;="&amp;$C$305,DEALS!$E:$E,"&lt;="&amp;$U$305,DEALS!$S:$S,O$307,DEALS!$U:$U,$K308,DEALS!$V:$V,"&lt;&gt;*RECEIVED*",DEALS!$V:$V,"&lt;&gt;*EXECUTED*"))</f>
        <v>0</v>
      </c>
      <c r="P308" s="29" cm="1">
        <f t="array" ref="P308">SUMIFS(FLOWS!$C:$C,FLOWS!$A:$A,$B$303,FLOWS!$E:$E,$K308,FLOWS!$D:$D,P$307,FLOWS!$H:$H,"&gt;="&amp;$C$305,FLOWS!$H:$H,"&lt;="&amp;$U$305)+SUM(SUMIFS(DEALS!$J:$J,DEALS!$A:$A,{"*REFUND*","*EXECUTED*"},DEALS!$G:$G,$B$303,DEALS!$E:$E,"&gt;="&amp;$C$305,DEALS!$E:$E,"&lt;="&amp;$U$305,DEALS!$K:$K,P$307,DEALS!$M:$M,$K308,DEALS!$N:$N,"&lt;&gt;*RECEIVED*",DEALS!$N:$N,"&lt;&gt;*EXECUTED*"))+SUM(SUMIFS(DEALS!$R:$R,DEALS!$A:$A,{"*REFUND*","*EXECUTED*"},DEALS!$O:$O,$B$303,DEALS!$E:$E,"&gt;="&amp;$C$305,DEALS!$E:$E,"&lt;="&amp;$U$305,DEALS!$S:$S,P$307,DEALS!$U:$U,$K308,DEALS!$V:$V,"&lt;&gt;*RECEIVED*",DEALS!$V:$V,"&lt;&gt;*EXECUTED*"))</f>
        <v>0</v>
      </c>
      <c r="Q308" s="29" cm="1">
        <f t="array" ref="Q308">SUMIFS(FLOWS!$C:$C,FLOWS!$A:$A,$B$303,FLOWS!$E:$E,$K308,FLOWS!$D:$D,Q$307,FLOWS!$H:$H,"&gt;="&amp;$C$305,FLOWS!$H:$H,"&lt;="&amp;$U$305)+SUM(SUMIFS(DEALS!$J:$J,DEALS!$A:$A,{"*REFUND*","*EXECUTED*"},DEALS!$G:$G,$B$303,DEALS!$E:$E,"&gt;="&amp;$C$305,DEALS!$E:$E,"&lt;="&amp;$U$305,DEALS!$K:$K,Q$307,DEALS!$M:$M,$K308,DEALS!$N:$N,"&lt;&gt;*RECEIVED*",DEALS!$N:$N,"&lt;&gt;*EXECUTED*"))+SUM(SUMIFS(DEALS!$R:$R,DEALS!$A:$A,{"*REFUND*","*EXECUTED*"},DEALS!$O:$O,$B$303,DEALS!$E:$E,"&gt;="&amp;$C$305,DEALS!$E:$E,"&lt;="&amp;$U$305,DEALS!$S:$S,Q$307,DEALS!$U:$U,$K308,DEALS!$V:$V,"&lt;&gt;*RECEIVED*",DEALS!$V:$V,"&lt;&gt;*EXECUTED*"))</f>
        <v>0</v>
      </c>
      <c r="R308" s="30">
        <f ca="1">L308*VLOOKUP(L$307,'FX RATES'!$E$1:$F$50,2,FALSE)+M308*VLOOKUP(M$307,'FX RATES'!$E$1:$F$50,2,FALSE)+N308*VLOOKUP(N$307,'FX RATES'!$E$1:$F$50,2,FALSE)+O308*VLOOKUP(O$307,'FX RATES'!$E$1:$F$50,2,FALSE)+P308*VLOOKUP(P$307,'FX RATES'!$E$1:$F$50,2,FALSE)+Q308*VLOOKUP(Q$307,'FX RATES'!$E$1:$F$50,2,FALSE)</f>
        <v>0</v>
      </c>
      <c r="T308" s="28" t="str">
        <f t="shared" ref="T308:T325" si="133">B308</f>
        <v>UBL</v>
      </c>
      <c r="U308" s="29" cm="1">
        <f t="array" ref="U308">SUMIFS(BALANCES!$C:$C,BALANCES!$A:$A,$B$303,BALANCES!$B:$B,$T308,BALANCES!$D:$D,U$307)+SUMIFS(FLOWS!$C:$C,FLOWS!$A:$A,$B$303,FLOWS!$E:$E,$T308,FLOWS!$D:$D,U$307,FLOWS!$H:$H,"&lt;="&amp;$U$305)+SUM(SUMIFS(DEALS!$J:$J,DEALS!$A:$A,{"*REFUND*","*EXECUTED*"},DEALS!$G:$G,$B$303,DEALS!$E:$E,"&lt;="&amp;$U$305,DEALS!$K:$K,U$307,DEALS!$M:$M,$T308,DEALS!$N:$N,"&lt;&gt;*RECEIVED*",DEALS!$N:$N,"&lt;&gt;*EXECUTED*"))+SUM(SUMIFS(DEALS!$R:$R,DEALS!$A:$A,{"*REFUND*","*EXECUTED*"},DEALS!$O:$O,$B$303,DEALS!$E:$E,"&lt;="&amp;$U$305,DEALS!$S:$S,U$307,DEALS!$U:$U,$T308,DEALS!$V:$V,"&lt;&gt;*RECEIVED*",DEALS!$V:$V,"&lt;&gt;*EXECUTED*"))</f>
        <v>13783.32</v>
      </c>
      <c r="V308" s="29" cm="1">
        <f t="array" ref="V308">SUMIFS(BALANCES!$C:$C,BALANCES!$A:$A,$B$303,BALANCES!$B:$B,$T308,BALANCES!$D:$D,V$307)+SUMIFS(FLOWS!$C:$C,FLOWS!$A:$A,$B$303,FLOWS!$E:$E,$T308,FLOWS!$D:$D,V$307,FLOWS!$H:$H,"&lt;="&amp;$U$305)+SUM(SUMIFS(DEALS!$J:$J,DEALS!$A:$A,{"*REFUND*","*EXECUTED*"},DEALS!$G:$G,$B$303,DEALS!$E:$E,"&lt;="&amp;$U$305,DEALS!$K:$K,V$307,DEALS!$M:$M,$T308,DEALS!$N:$N,"&lt;&gt;*RECEIVED*",DEALS!$N:$N,"&lt;&gt;*EXECUTED*"))+SUM(SUMIFS(DEALS!$R:$R,DEALS!$A:$A,{"*REFUND*","*EXECUTED*"},DEALS!$O:$O,$B$303,DEALS!$E:$E,"&lt;="&amp;$U$305,DEALS!$S:$S,V$307,DEALS!$U:$U,$T308,DEALS!$V:$V,"&lt;&gt;*RECEIVED*",DEALS!$V:$V,"&lt;&gt;*EXECUTED*"))</f>
        <v>0</v>
      </c>
      <c r="W308" s="29" cm="1">
        <f t="array" ref="W308">SUMIFS(BALANCES!$C:$C,BALANCES!$A:$A,$B$303,BALANCES!$B:$B,$T308,BALANCES!$D:$D,W$307)+SUMIFS(FLOWS!$C:$C,FLOWS!$A:$A,$B$303,FLOWS!$E:$E,$T308,FLOWS!$D:$D,W$307,FLOWS!$H:$H,"&lt;="&amp;$U$305)+SUM(SUMIFS(DEALS!$J:$J,DEALS!$A:$A,{"*REFUND*","*EXECUTED*"},DEALS!$G:$G,$B$303,DEALS!$E:$E,"&lt;="&amp;$U$305,DEALS!$K:$K,W$307,DEALS!$M:$M,$T308,DEALS!$N:$N,"&lt;&gt;*RECEIVED*",DEALS!$N:$N,"&lt;&gt;*EXECUTED*"))+SUM(SUMIFS(DEALS!$R:$R,DEALS!$A:$A,{"*REFUND*","*EXECUTED*"},DEALS!$O:$O,$B$303,DEALS!$E:$E,"&lt;="&amp;$U$305,DEALS!$S:$S,W$307,DEALS!$U:$U,$T308,DEALS!$V:$V,"&lt;&gt;*RECEIVED*",DEALS!$V:$V,"&lt;&gt;*EXECUTED*"))</f>
        <v>0</v>
      </c>
      <c r="X308" s="29" cm="1">
        <f t="array" ref="X308">SUMIFS(BALANCES!$C:$C,BALANCES!$A:$A,$B$303,BALANCES!$B:$B,$T308,BALANCES!$D:$D,X$307)+SUMIFS(FLOWS!$C:$C,FLOWS!$A:$A,$B$303,FLOWS!$E:$E,$T308,FLOWS!$D:$D,X$307,FLOWS!$H:$H,"&lt;="&amp;$U$305)+SUM(SUMIFS(DEALS!$J:$J,DEALS!$A:$A,{"*REFUND*","*EXECUTED*"},DEALS!$G:$G,$B$303,DEALS!$E:$E,"&lt;="&amp;$U$305,DEALS!$K:$K,X$307,DEALS!$M:$M,$T308,DEALS!$N:$N,"&lt;&gt;*RECEIVED*",DEALS!$N:$N,"&lt;&gt;*EXECUTED*"))+SUM(SUMIFS(DEALS!$R:$R,DEALS!$A:$A,{"*REFUND*","*EXECUTED*"},DEALS!$O:$O,$B$303,DEALS!$E:$E,"&lt;="&amp;$U$305,DEALS!$S:$S,X$307,DEALS!$U:$U,$T308,DEALS!$V:$V,"&lt;&gt;*RECEIVED*",DEALS!$V:$V,"&lt;&gt;*EXECUTED*"))</f>
        <v>813576.8</v>
      </c>
      <c r="Y308" s="29" cm="1">
        <f t="array" ref="Y308">SUMIFS(BALANCES!$C:$C,BALANCES!$A:$A,$B$303,BALANCES!$B:$B,$T308,BALANCES!$D:$D,Y$307)+SUMIFS(FLOWS!$C:$C,FLOWS!$A:$A,$B$303,FLOWS!$E:$E,$T308,FLOWS!$D:$D,Y$307,FLOWS!$H:$H,"&lt;="&amp;$U$305)+SUM(SUMIFS(DEALS!$J:$J,DEALS!$A:$A,{"*REFUND*","*EXECUTED*"},DEALS!$G:$G,$B$303,DEALS!$E:$E,"&lt;="&amp;$U$305,DEALS!$K:$K,Y$307,DEALS!$M:$M,$T308,DEALS!$N:$N,"&lt;&gt;*RECEIVED*",DEALS!$N:$N,"&lt;&gt;*EXECUTED*"))+SUM(SUMIFS(DEALS!$R:$R,DEALS!$A:$A,{"*REFUND*","*EXECUTED*"},DEALS!$O:$O,$B$303,DEALS!$E:$E,"&lt;="&amp;$U$305,DEALS!$S:$S,Y$307,DEALS!$U:$U,$T308,DEALS!$V:$V,"&lt;&gt;*RECEIVED*",DEALS!$V:$V,"&lt;&gt;*EXECUTED*"))</f>
        <v>0</v>
      </c>
      <c r="Z308" s="29" cm="1">
        <f t="array" ref="Z308">SUMIFS(BALANCES!$C:$C,BALANCES!$A:$A,$B$303,BALANCES!$B:$B,$T308,BALANCES!$D:$D,Z$307)+SUMIFS(FLOWS!$C:$C,FLOWS!$A:$A,$B$303,FLOWS!$E:$E,$T308,FLOWS!$D:$D,Z$307,FLOWS!$H:$H,"&lt;="&amp;$U$305)+SUM(SUMIFS(DEALS!$J:$J,DEALS!$A:$A,{"*REFUND*","*EXECUTED*"},DEALS!$G:$G,$B$303,DEALS!$E:$E,"&lt;="&amp;$U$305,DEALS!$K:$K,Z$307,DEALS!$M:$M,$T308,DEALS!$N:$N,"&lt;&gt;*RECEIVED*",DEALS!$N:$N,"&lt;&gt;*EXECUTED*"))+SUM(SUMIFS(DEALS!$R:$R,DEALS!$A:$A,{"*REFUND*","*EXECUTED*"},DEALS!$O:$O,$B$303,DEALS!$E:$E,"&lt;="&amp;$U$305,DEALS!$S:$S,Z$307,DEALS!$U:$U,$T308,DEALS!$V:$V,"&lt;&gt;*RECEIVED*",DEALS!$V:$V,"&lt;&gt;*EXECUTED*"))</f>
        <v>0</v>
      </c>
      <c r="AA308" s="30">
        <f ca="1">U308*VLOOKUP(U$307,'FX RATES'!$E$1:$F$50,2,FALSE)+V308*VLOOKUP(V$307,'FX RATES'!$E$1:$F$50,2,FALSE)+W308*VLOOKUP(W$307,'FX RATES'!$E$1:$F$50,2,FALSE)+X308*VLOOKUP(X$307,'FX RATES'!$E$1:$F$50,2,FALSE)+Y308*VLOOKUP(Y$307,'FX RATES'!$E$1:$F$50,2,FALSE)+Z308*VLOOKUP(Z$307,'FX RATES'!$E$1:$F$50,2,FALSE)</f>
        <v>235309.43229102</v>
      </c>
      <c r="AC308" s="139">
        <f t="shared" ref="AC308:AC327" ca="1" si="134">I308+R308-AA308</f>
        <v>0</v>
      </c>
    </row>
    <row r="309" spans="2:29" ht="18.75" customHeight="1">
      <c r="B309" s="31" t="s">
        <v>16</v>
      </c>
      <c r="C309" s="32" cm="1">
        <f t="array" ref="C309">SUMIFS(BALANCES!$C:$C,BALANCES!$A:$A,$B$303,BALANCES!$B:$B,$B309,BALANCES!$D:$D,C$307)+SUMIFS(FLOWS!$C:$C,FLOWS!$A:$A,$B$303,FLOWS!$E:$E,$B309,FLOWS!$D:$D,C$307,FLOWS!$H:$H,"&lt;"&amp;$C$305)+SUM(SUMIFS(DEALS!$J:$J,DEALS!$A:$A,{"*REFUND*","*EXECUTED*"},DEALS!$G:$G,$B$303,DEALS!$E:$E,"&lt;"&amp;$C$305,DEALS!$K:$K,C$307,DEALS!$M:$M,$B309,DEALS!$N:$N,"&lt;&gt;*RECEIVED*",DEALS!$N:$N,"&lt;&gt;*EXECUTED*"))+SUM(SUMIFS(DEALS!$R:$R,DEALS!$A:$A,{"*REFUND*","*EXECUTED*"},DEALS!$O:$O,$B$303,DEALS!$E:$E,"&lt;"&amp;$C$305,DEALS!$S:$S,C$307,DEALS!$U:$U,$B309,DEALS!$V:$V,"&lt;&gt;*RECEIVED*",DEALS!$V:$V,"&lt;&gt;*EXECUTED*"))</f>
        <v>0</v>
      </c>
      <c r="D309" s="32" cm="1">
        <f t="array" ref="D309">SUMIFS(BALANCES!$C:$C,BALANCES!$A:$A,$B$303,BALANCES!$B:$B,$B309,BALANCES!$D:$D,D$307)+SUMIFS(FLOWS!$C:$C,FLOWS!$A:$A,$B$303,FLOWS!$E:$E,$B309,FLOWS!$D:$D,D$307,FLOWS!$H:$H,"&lt;"&amp;$C$305)+SUM(SUMIFS(DEALS!$J:$J,DEALS!$A:$A,{"*REFUND*","*EXECUTED*"},DEALS!$G:$G,$B$303,DEALS!$E:$E,"&lt;"&amp;$C$305,DEALS!$K:$K,D$307,DEALS!$M:$M,$B309,DEALS!$N:$N,"&lt;&gt;*RECEIVED*",DEALS!$N:$N,"&lt;&gt;*EXECUTED*"))+SUM(SUMIFS(DEALS!$R:$R,DEALS!$A:$A,{"*REFUND*","*EXECUTED*"},DEALS!$O:$O,$B$303,DEALS!$E:$E,"&lt;"&amp;$C$305,DEALS!$S:$S,D$307,DEALS!$U:$U,$B309,DEALS!$V:$V,"&lt;&gt;*RECEIVED*",DEALS!$V:$V,"&lt;&gt;*EXECUTED*"))</f>
        <v>0</v>
      </c>
      <c r="E309" s="32" cm="1">
        <f t="array" ref="E309">SUMIFS(BALANCES!$C:$C,BALANCES!$A:$A,$B$303,BALANCES!$B:$B,$B309,BALANCES!$D:$D,E$307)+SUMIFS(FLOWS!$C:$C,FLOWS!$A:$A,$B$303,FLOWS!$E:$E,$B309,FLOWS!$D:$D,E$307,FLOWS!$H:$H,"&lt;"&amp;$C$305)+SUM(SUMIFS(DEALS!$J:$J,DEALS!$A:$A,{"*REFUND*","*EXECUTED*"},DEALS!$G:$G,$B$303,DEALS!$E:$E,"&lt;"&amp;$C$305,DEALS!$K:$K,E$307,DEALS!$M:$M,$B309,DEALS!$N:$N,"&lt;&gt;*RECEIVED*",DEALS!$N:$N,"&lt;&gt;*EXECUTED*"))+SUM(SUMIFS(DEALS!$R:$R,DEALS!$A:$A,{"*REFUND*","*EXECUTED*"},DEALS!$O:$O,$B$303,DEALS!$E:$E,"&lt;"&amp;$C$305,DEALS!$S:$S,E$307,DEALS!$U:$U,$B309,DEALS!$V:$V,"&lt;&gt;*RECEIVED*",DEALS!$V:$V,"&lt;&gt;*EXECUTED*"))</f>
        <v>0</v>
      </c>
      <c r="F309" s="32" cm="1">
        <f t="array" ref="F309">SUMIFS(BALANCES!$C:$C,BALANCES!$A:$A,$B$303,BALANCES!$B:$B,$B309,BALANCES!$D:$D,F$307)+SUMIFS(FLOWS!$C:$C,FLOWS!$A:$A,$B$303,FLOWS!$E:$E,$B309,FLOWS!$D:$D,F$307,FLOWS!$H:$H,"&lt;"&amp;$C$305)+SUM(SUMIFS(DEALS!$J:$J,DEALS!$A:$A,{"*REFUND*","*EXECUTED*"},DEALS!$G:$G,$B$303,DEALS!$E:$E,"&lt;"&amp;$C$305,DEALS!$K:$K,F$307,DEALS!$M:$M,$B309,DEALS!$N:$N,"&lt;&gt;*RECEIVED*",DEALS!$N:$N,"&lt;&gt;*EXECUTED*"))+SUM(SUMIFS(DEALS!$R:$R,DEALS!$A:$A,{"*REFUND*","*EXECUTED*"},DEALS!$O:$O,$B$303,DEALS!$E:$E,"&lt;"&amp;$C$305,DEALS!$S:$S,F$307,DEALS!$U:$U,$B309,DEALS!$V:$V,"&lt;&gt;*RECEIVED*",DEALS!$V:$V,"&lt;&gt;*EXECUTED*"))</f>
        <v>0</v>
      </c>
      <c r="G309" s="32" cm="1">
        <f t="array" ref="G309">SUMIFS(BALANCES!$C:$C,BALANCES!$A:$A,$B$303,BALANCES!$B:$B,$B309,BALANCES!$D:$D,G$307)+SUMIFS(FLOWS!$C:$C,FLOWS!$A:$A,$B$303,FLOWS!$E:$E,$B309,FLOWS!$D:$D,G$307,FLOWS!$H:$H,"&lt;"&amp;$C$305)+SUM(SUMIFS(DEALS!$J:$J,DEALS!$A:$A,{"*REFUND*","*EXECUTED*"},DEALS!$G:$G,$B$303,DEALS!$E:$E,"&lt;"&amp;$C$305,DEALS!$K:$K,G$307,DEALS!$M:$M,$B309,DEALS!$N:$N,"&lt;&gt;*RECEIVED*",DEALS!$N:$N,"&lt;&gt;*EXECUTED*"))+SUM(SUMIFS(DEALS!$R:$R,DEALS!$A:$A,{"*REFUND*","*EXECUTED*"},DEALS!$O:$O,$B$303,DEALS!$E:$E,"&lt;"&amp;$C$305,DEALS!$S:$S,G$307,DEALS!$U:$U,$B309,DEALS!$V:$V,"&lt;&gt;*RECEIVED*",DEALS!$V:$V,"&lt;&gt;*EXECUTED*"))</f>
        <v>0</v>
      </c>
      <c r="H309" s="32" cm="1">
        <f t="array" ref="H309">SUMIFS(BALANCES!$C:$C,BALANCES!$A:$A,$B$303,BALANCES!$B:$B,$B309,BALANCES!$D:$D,H$307)+SUMIFS(FLOWS!$C:$C,FLOWS!$A:$A,$B$303,FLOWS!$E:$E,$B309,FLOWS!$D:$D,H$307,FLOWS!$H:$H,"&lt;"&amp;$C$305)+SUM(SUMIFS(DEALS!$J:$J,DEALS!$A:$A,{"*REFUND*","*EXECUTED*"},DEALS!$G:$G,$B$303,DEALS!$E:$E,"&lt;"&amp;$C$305,DEALS!$K:$K,H$307,DEALS!$M:$M,$B309,DEALS!$N:$N,"&lt;&gt;*RECEIVED*",DEALS!$N:$N,"&lt;&gt;*EXECUTED*"))+SUM(SUMIFS(DEALS!$R:$R,DEALS!$A:$A,{"*REFUND*","*EXECUTED*"},DEALS!$O:$O,$B$303,DEALS!$E:$E,"&lt;"&amp;$C$305,DEALS!$S:$S,H$307,DEALS!$U:$U,$B309,DEALS!$V:$V,"&lt;&gt;*RECEIVED*",DEALS!$V:$V,"&lt;&gt;*EXECUTED*"))</f>
        <v>0</v>
      </c>
      <c r="I309" s="33">
        <f ca="1">C309*VLOOKUP(C$307,'FX RATES'!$E$1:$F$50,2,FALSE)+D309*VLOOKUP(D$307,'FX RATES'!$E$1:$F$50,2,FALSE)+E309*VLOOKUP(E$307,'FX RATES'!$E$1:$F$50,2,FALSE)+F309*VLOOKUP(F$307,'FX RATES'!$E$1:$F$50,2,FALSE)+G309*VLOOKUP(G$307,'FX RATES'!$E$1:$F$50,2,FALSE)+H309*VLOOKUP(H$307,'FX RATES'!$E$1:$F$50,2,FALSE)</f>
        <v>0</v>
      </c>
      <c r="K309" s="31" t="str">
        <f t="shared" si="132"/>
        <v>ADIB</v>
      </c>
      <c r="L309" s="32" cm="1">
        <f t="array" ref="L309">SUMIFS(FLOWS!$C:$C,FLOWS!$A:$A,$B$303,FLOWS!$E:$E,$K309,FLOWS!$D:$D,L$307,FLOWS!$H:$H,"&gt;="&amp;$C$305,FLOWS!$H:$H,"&lt;="&amp;$U$305)+SUM(SUMIFS(DEALS!$J:$J,DEALS!$A:$A,{"*REFUND*","*EXECUTED*"},DEALS!$G:$G,$B$303,DEALS!$E:$E,"&gt;="&amp;$C$305,DEALS!$E:$E,"&lt;="&amp;$U$305,DEALS!$K:$K,L$307,DEALS!$M:$M,$K309,DEALS!$N:$N,"&lt;&gt;*RECEIVED*",DEALS!$N:$N,"&lt;&gt;*EXECUTED*"))+SUM(SUMIFS(DEALS!$R:$R,DEALS!$A:$A,{"*REFUND*","*EXECUTED*"},DEALS!$O:$O,$B$303,DEALS!$E:$E,"&gt;="&amp;$C$305,DEALS!$E:$E,"&lt;="&amp;$U$305,DEALS!$S:$S,L$307,DEALS!$U:$U,$K309,DEALS!$V:$V,"&lt;&gt;*RECEIVED*",DEALS!$V:$V,"&lt;&gt;*EXECUTED*"))</f>
        <v>0</v>
      </c>
      <c r="M309" s="32" cm="1">
        <f t="array" ref="M309">SUMIFS(FLOWS!$C:$C,FLOWS!$A:$A,$B$303,FLOWS!$E:$E,$K309,FLOWS!$D:$D,M$307,FLOWS!$H:$H,"&gt;="&amp;$C$305,FLOWS!$H:$H,"&lt;="&amp;$U$305)+SUM(SUMIFS(DEALS!$J:$J,DEALS!$A:$A,{"*REFUND*","*EXECUTED*"},DEALS!$G:$G,$B$303,DEALS!$E:$E,"&gt;="&amp;$C$305,DEALS!$E:$E,"&lt;="&amp;$U$305,DEALS!$K:$K,M$307,DEALS!$M:$M,$K309,DEALS!$N:$N,"&lt;&gt;*RECEIVED*",DEALS!$N:$N,"&lt;&gt;*EXECUTED*"))+SUM(SUMIFS(DEALS!$R:$R,DEALS!$A:$A,{"*REFUND*","*EXECUTED*"},DEALS!$O:$O,$B$303,DEALS!$E:$E,"&gt;="&amp;$C$305,DEALS!$E:$E,"&lt;="&amp;$U$305,DEALS!$S:$S,M$307,DEALS!$U:$U,$K309,DEALS!$V:$V,"&lt;&gt;*RECEIVED*",DEALS!$V:$V,"&lt;&gt;*EXECUTED*"))</f>
        <v>0</v>
      </c>
      <c r="N309" s="32" cm="1">
        <f t="array" ref="N309">SUMIFS(FLOWS!$C:$C,FLOWS!$A:$A,$B$303,FLOWS!$E:$E,$K309,FLOWS!$D:$D,N$307,FLOWS!$H:$H,"&gt;="&amp;$C$305,FLOWS!$H:$H,"&lt;="&amp;$U$305)+SUM(SUMIFS(DEALS!$J:$J,DEALS!$A:$A,{"*REFUND*","*EXECUTED*"},DEALS!$G:$G,$B$303,DEALS!$E:$E,"&gt;="&amp;$C$305,DEALS!$E:$E,"&lt;="&amp;$U$305,DEALS!$K:$K,N$307,DEALS!$M:$M,$K309,DEALS!$N:$N,"&lt;&gt;*RECEIVED*",DEALS!$N:$N,"&lt;&gt;*EXECUTED*"))+SUM(SUMIFS(DEALS!$R:$R,DEALS!$A:$A,{"*REFUND*","*EXECUTED*"},DEALS!$O:$O,$B$303,DEALS!$E:$E,"&gt;="&amp;$C$305,DEALS!$E:$E,"&lt;="&amp;$U$305,DEALS!$S:$S,N$307,DEALS!$U:$U,$K309,DEALS!$V:$V,"&lt;&gt;*RECEIVED*",DEALS!$V:$V,"&lt;&gt;*EXECUTED*"))</f>
        <v>0</v>
      </c>
      <c r="O309" s="32" cm="1">
        <f t="array" ref="O309">SUMIFS(FLOWS!$C:$C,FLOWS!$A:$A,$B$303,FLOWS!$E:$E,$K309,FLOWS!$D:$D,O$307,FLOWS!$H:$H,"&gt;="&amp;$C$305,FLOWS!$H:$H,"&lt;="&amp;$U$305)+SUM(SUMIFS(DEALS!$J:$J,DEALS!$A:$A,{"*REFUND*","*EXECUTED*"},DEALS!$G:$G,$B$303,DEALS!$E:$E,"&gt;="&amp;$C$305,DEALS!$E:$E,"&lt;="&amp;$U$305,DEALS!$K:$K,O$307,DEALS!$M:$M,$K309,DEALS!$N:$N,"&lt;&gt;*RECEIVED*",DEALS!$N:$N,"&lt;&gt;*EXECUTED*"))+SUM(SUMIFS(DEALS!$R:$R,DEALS!$A:$A,{"*REFUND*","*EXECUTED*"},DEALS!$O:$O,$B$303,DEALS!$E:$E,"&gt;="&amp;$C$305,DEALS!$E:$E,"&lt;="&amp;$U$305,DEALS!$S:$S,O$307,DEALS!$U:$U,$K309,DEALS!$V:$V,"&lt;&gt;*RECEIVED*",DEALS!$V:$V,"&lt;&gt;*EXECUTED*"))</f>
        <v>0</v>
      </c>
      <c r="P309" s="32" cm="1">
        <f t="array" ref="P309">SUMIFS(FLOWS!$C:$C,FLOWS!$A:$A,$B$303,FLOWS!$E:$E,$K309,FLOWS!$D:$D,P$307,FLOWS!$H:$H,"&gt;="&amp;$C$305,FLOWS!$H:$H,"&lt;="&amp;$U$305)+SUM(SUMIFS(DEALS!$J:$J,DEALS!$A:$A,{"*REFUND*","*EXECUTED*"},DEALS!$G:$G,$B$303,DEALS!$E:$E,"&gt;="&amp;$C$305,DEALS!$E:$E,"&lt;="&amp;$U$305,DEALS!$K:$K,P$307,DEALS!$M:$M,$K309,DEALS!$N:$N,"&lt;&gt;*RECEIVED*",DEALS!$N:$N,"&lt;&gt;*EXECUTED*"))+SUM(SUMIFS(DEALS!$R:$R,DEALS!$A:$A,{"*REFUND*","*EXECUTED*"},DEALS!$O:$O,$B$303,DEALS!$E:$E,"&gt;="&amp;$C$305,DEALS!$E:$E,"&lt;="&amp;$U$305,DEALS!$S:$S,P$307,DEALS!$U:$U,$K309,DEALS!$V:$V,"&lt;&gt;*RECEIVED*",DEALS!$V:$V,"&lt;&gt;*EXECUTED*"))</f>
        <v>0</v>
      </c>
      <c r="Q309" s="32" cm="1">
        <f t="array" ref="Q309">SUMIFS(FLOWS!$C:$C,FLOWS!$A:$A,$B$303,FLOWS!$E:$E,$K309,FLOWS!$D:$D,Q$307,FLOWS!$H:$H,"&gt;="&amp;$C$305,FLOWS!$H:$H,"&lt;="&amp;$U$305)+SUM(SUMIFS(DEALS!$J:$J,DEALS!$A:$A,{"*REFUND*","*EXECUTED*"},DEALS!$G:$G,$B$303,DEALS!$E:$E,"&gt;="&amp;$C$305,DEALS!$E:$E,"&lt;="&amp;$U$305,DEALS!$K:$K,Q$307,DEALS!$M:$M,$K309,DEALS!$N:$N,"&lt;&gt;*RECEIVED*",DEALS!$N:$N,"&lt;&gt;*EXECUTED*"))+SUM(SUMIFS(DEALS!$R:$R,DEALS!$A:$A,{"*REFUND*","*EXECUTED*"},DEALS!$O:$O,$B$303,DEALS!$E:$E,"&gt;="&amp;$C$305,DEALS!$E:$E,"&lt;="&amp;$U$305,DEALS!$S:$S,Q$307,DEALS!$U:$U,$K309,DEALS!$V:$V,"&lt;&gt;*RECEIVED*",DEALS!$V:$V,"&lt;&gt;*EXECUTED*"))</f>
        <v>0</v>
      </c>
      <c r="R309" s="33">
        <f ca="1">L309*VLOOKUP(L$307,'FX RATES'!$E$1:$F$50,2,FALSE)+M309*VLOOKUP(M$307,'FX RATES'!$E$1:$F$50,2,FALSE)+N309*VLOOKUP(N$307,'FX RATES'!$E$1:$F$50,2,FALSE)+O309*VLOOKUP(O$307,'FX RATES'!$E$1:$F$50,2,FALSE)+P309*VLOOKUP(P$307,'FX RATES'!$E$1:$F$50,2,FALSE)+Q309*VLOOKUP(Q$307,'FX RATES'!$E$1:$F$50,2,FALSE)</f>
        <v>0</v>
      </c>
      <c r="T309" s="31" t="str">
        <f t="shared" si="133"/>
        <v>ADIB</v>
      </c>
      <c r="U309" s="32" cm="1">
        <f t="array" ref="U309">SUMIFS(BALANCES!$C:$C,BALANCES!$A:$A,$B$303,BALANCES!$B:$B,$T309,BALANCES!$D:$D,U$307)+SUMIFS(FLOWS!$C:$C,FLOWS!$A:$A,$B$303,FLOWS!$E:$E,$T309,FLOWS!$D:$D,U$307,FLOWS!$H:$H,"&lt;="&amp;$U$305)+SUM(SUMIFS(DEALS!$J:$J,DEALS!$A:$A,{"*REFUND*","*EXECUTED*"},DEALS!$G:$G,$B$303,DEALS!$E:$E,"&lt;="&amp;$U$305,DEALS!$K:$K,U$307,DEALS!$M:$M,$T309,DEALS!$N:$N,"&lt;&gt;*RECEIVED*",DEALS!$N:$N,"&lt;&gt;*EXECUTED*"))+SUM(SUMIFS(DEALS!$R:$R,DEALS!$A:$A,{"*REFUND*","*EXECUTED*"},DEALS!$O:$O,$B$303,DEALS!$E:$E,"&lt;="&amp;$U$305,DEALS!$S:$S,U$307,DEALS!$U:$U,$T309,DEALS!$V:$V,"&lt;&gt;*RECEIVED*",DEALS!$V:$V,"&lt;&gt;*EXECUTED*"))</f>
        <v>0</v>
      </c>
      <c r="V309" s="32" cm="1">
        <f t="array" ref="V309">SUMIFS(BALANCES!$C:$C,BALANCES!$A:$A,$B$303,BALANCES!$B:$B,$T309,BALANCES!$D:$D,V$307)+SUMIFS(FLOWS!$C:$C,FLOWS!$A:$A,$B$303,FLOWS!$E:$E,$T309,FLOWS!$D:$D,V$307,FLOWS!$H:$H,"&lt;="&amp;$U$305)+SUM(SUMIFS(DEALS!$J:$J,DEALS!$A:$A,{"*REFUND*","*EXECUTED*"},DEALS!$G:$G,$B$303,DEALS!$E:$E,"&lt;="&amp;$U$305,DEALS!$K:$K,V$307,DEALS!$M:$M,$T309,DEALS!$N:$N,"&lt;&gt;*RECEIVED*",DEALS!$N:$N,"&lt;&gt;*EXECUTED*"))+SUM(SUMIFS(DEALS!$R:$R,DEALS!$A:$A,{"*REFUND*","*EXECUTED*"},DEALS!$O:$O,$B$303,DEALS!$E:$E,"&lt;="&amp;$U$305,DEALS!$S:$S,V$307,DEALS!$U:$U,$T309,DEALS!$V:$V,"&lt;&gt;*RECEIVED*",DEALS!$V:$V,"&lt;&gt;*EXECUTED*"))</f>
        <v>0</v>
      </c>
      <c r="W309" s="32" cm="1">
        <f t="array" ref="W309">SUMIFS(BALANCES!$C:$C,BALANCES!$A:$A,$B$303,BALANCES!$B:$B,$T309,BALANCES!$D:$D,W$307)+SUMIFS(FLOWS!$C:$C,FLOWS!$A:$A,$B$303,FLOWS!$E:$E,$T309,FLOWS!$D:$D,W$307,FLOWS!$H:$H,"&lt;="&amp;$U$305)+SUM(SUMIFS(DEALS!$J:$J,DEALS!$A:$A,{"*REFUND*","*EXECUTED*"},DEALS!$G:$G,$B$303,DEALS!$E:$E,"&lt;="&amp;$U$305,DEALS!$K:$K,W$307,DEALS!$M:$M,$T309,DEALS!$N:$N,"&lt;&gt;*RECEIVED*",DEALS!$N:$N,"&lt;&gt;*EXECUTED*"))+SUM(SUMIFS(DEALS!$R:$R,DEALS!$A:$A,{"*REFUND*","*EXECUTED*"},DEALS!$O:$O,$B$303,DEALS!$E:$E,"&lt;="&amp;$U$305,DEALS!$S:$S,W$307,DEALS!$U:$U,$T309,DEALS!$V:$V,"&lt;&gt;*RECEIVED*",DEALS!$V:$V,"&lt;&gt;*EXECUTED*"))</f>
        <v>0</v>
      </c>
      <c r="X309" s="32" cm="1">
        <f t="array" ref="X309">SUMIFS(BALANCES!$C:$C,BALANCES!$A:$A,$B$303,BALANCES!$B:$B,$T309,BALANCES!$D:$D,X$307)+SUMIFS(FLOWS!$C:$C,FLOWS!$A:$A,$B$303,FLOWS!$E:$E,$T309,FLOWS!$D:$D,X$307,FLOWS!$H:$H,"&lt;="&amp;$U$305)+SUM(SUMIFS(DEALS!$J:$J,DEALS!$A:$A,{"*REFUND*","*EXECUTED*"},DEALS!$G:$G,$B$303,DEALS!$E:$E,"&lt;="&amp;$U$305,DEALS!$K:$K,X$307,DEALS!$M:$M,$T309,DEALS!$N:$N,"&lt;&gt;*RECEIVED*",DEALS!$N:$N,"&lt;&gt;*EXECUTED*"))+SUM(SUMIFS(DEALS!$R:$R,DEALS!$A:$A,{"*REFUND*","*EXECUTED*"},DEALS!$O:$O,$B$303,DEALS!$E:$E,"&lt;="&amp;$U$305,DEALS!$S:$S,X$307,DEALS!$U:$U,$T309,DEALS!$V:$V,"&lt;&gt;*RECEIVED*",DEALS!$V:$V,"&lt;&gt;*EXECUTED*"))</f>
        <v>0</v>
      </c>
      <c r="Y309" s="32" cm="1">
        <f t="array" ref="Y309">SUMIFS(BALANCES!$C:$C,BALANCES!$A:$A,$B$303,BALANCES!$B:$B,$T309,BALANCES!$D:$D,Y$307)+SUMIFS(FLOWS!$C:$C,FLOWS!$A:$A,$B$303,FLOWS!$E:$E,$T309,FLOWS!$D:$D,Y$307,FLOWS!$H:$H,"&lt;="&amp;$U$305)+SUM(SUMIFS(DEALS!$J:$J,DEALS!$A:$A,{"*REFUND*","*EXECUTED*"},DEALS!$G:$G,$B$303,DEALS!$E:$E,"&lt;="&amp;$U$305,DEALS!$K:$K,Y$307,DEALS!$M:$M,$T309,DEALS!$N:$N,"&lt;&gt;*RECEIVED*",DEALS!$N:$N,"&lt;&gt;*EXECUTED*"))+SUM(SUMIFS(DEALS!$R:$R,DEALS!$A:$A,{"*REFUND*","*EXECUTED*"},DEALS!$O:$O,$B$303,DEALS!$E:$E,"&lt;="&amp;$U$305,DEALS!$S:$S,Y$307,DEALS!$U:$U,$T309,DEALS!$V:$V,"&lt;&gt;*RECEIVED*",DEALS!$V:$V,"&lt;&gt;*EXECUTED*"))</f>
        <v>0</v>
      </c>
      <c r="Z309" s="32" cm="1">
        <f t="array" ref="Z309">SUMIFS(BALANCES!$C:$C,BALANCES!$A:$A,$B$303,BALANCES!$B:$B,$T309,BALANCES!$D:$D,Z$307)+SUMIFS(FLOWS!$C:$C,FLOWS!$A:$A,$B$303,FLOWS!$E:$E,$T309,FLOWS!$D:$D,Z$307,FLOWS!$H:$H,"&lt;="&amp;$U$305)+SUM(SUMIFS(DEALS!$J:$J,DEALS!$A:$A,{"*REFUND*","*EXECUTED*"},DEALS!$G:$G,$B$303,DEALS!$E:$E,"&lt;="&amp;$U$305,DEALS!$K:$K,Z$307,DEALS!$M:$M,$T309,DEALS!$N:$N,"&lt;&gt;*RECEIVED*",DEALS!$N:$N,"&lt;&gt;*EXECUTED*"))+SUM(SUMIFS(DEALS!$R:$R,DEALS!$A:$A,{"*REFUND*","*EXECUTED*"},DEALS!$O:$O,$B$303,DEALS!$E:$E,"&lt;="&amp;$U$305,DEALS!$S:$S,Z$307,DEALS!$U:$U,$T309,DEALS!$V:$V,"&lt;&gt;*RECEIVED*",DEALS!$V:$V,"&lt;&gt;*EXECUTED*"))</f>
        <v>0</v>
      </c>
      <c r="AA309" s="33">
        <f ca="1">U309*VLOOKUP(U$307,'FX RATES'!$E$1:$F$50,2,FALSE)+V309*VLOOKUP(V$307,'FX RATES'!$E$1:$F$50,2,FALSE)+W309*VLOOKUP(W$307,'FX RATES'!$E$1:$F$50,2,FALSE)+X309*VLOOKUP(X$307,'FX RATES'!$E$1:$F$50,2,FALSE)+Y309*VLOOKUP(Y$307,'FX RATES'!$E$1:$F$50,2,FALSE)+Z309*VLOOKUP(Z$307,'FX RATES'!$E$1:$F$50,2,FALSE)</f>
        <v>0</v>
      </c>
      <c r="AC309" s="139">
        <f t="shared" ca="1" si="134"/>
        <v>0</v>
      </c>
    </row>
    <row r="310" spans="2:29" ht="18.75" customHeight="1">
      <c r="B310" s="28" t="s">
        <v>56</v>
      </c>
      <c r="C310" s="29" cm="1">
        <f t="array" ref="C310">SUMIFS(BALANCES!$C:$C,BALANCES!$A:$A,$B$303,BALANCES!$B:$B,$B310,BALANCES!$D:$D,C$307)+SUMIFS(FLOWS!$C:$C,FLOWS!$A:$A,$B$303,FLOWS!$E:$E,$B310,FLOWS!$D:$D,C$307,FLOWS!$H:$H,"&lt;"&amp;$C$305)+SUM(SUMIFS(DEALS!$J:$J,DEALS!$A:$A,{"*REFUND*","*EXECUTED*"},DEALS!$G:$G,$B$303,DEALS!$E:$E,"&lt;"&amp;$C$305,DEALS!$K:$K,C$307,DEALS!$M:$M,$B310,DEALS!$N:$N,"&lt;&gt;*RECEIVED*",DEALS!$N:$N,"&lt;&gt;*EXECUTED*"))+SUM(SUMIFS(DEALS!$R:$R,DEALS!$A:$A,{"*REFUND*","*EXECUTED*"},DEALS!$O:$O,$B$303,DEALS!$E:$E,"&lt;"&amp;$C$305,DEALS!$S:$S,C$307,DEALS!$U:$U,$B310,DEALS!$V:$V,"&lt;&gt;*RECEIVED*",DEALS!$V:$V,"&lt;&gt;*EXECUTED*"))</f>
        <v>0</v>
      </c>
      <c r="D310" s="29" cm="1">
        <f t="array" ref="D310">SUMIFS(BALANCES!$C:$C,BALANCES!$A:$A,$B$303,BALANCES!$B:$B,$B310,BALANCES!$D:$D,D$307)+SUMIFS(FLOWS!$C:$C,FLOWS!$A:$A,$B$303,FLOWS!$E:$E,$B310,FLOWS!$D:$D,D$307,FLOWS!$H:$H,"&lt;"&amp;$C$305)+SUM(SUMIFS(DEALS!$J:$J,DEALS!$A:$A,{"*REFUND*","*EXECUTED*"},DEALS!$G:$G,$B$303,DEALS!$E:$E,"&lt;"&amp;$C$305,DEALS!$K:$K,D$307,DEALS!$M:$M,$B310,DEALS!$N:$N,"&lt;&gt;*RECEIVED*",DEALS!$N:$N,"&lt;&gt;*EXECUTED*"))+SUM(SUMIFS(DEALS!$R:$R,DEALS!$A:$A,{"*REFUND*","*EXECUTED*"},DEALS!$O:$O,$B$303,DEALS!$E:$E,"&lt;"&amp;$C$305,DEALS!$S:$S,D$307,DEALS!$U:$U,$B310,DEALS!$V:$V,"&lt;&gt;*RECEIVED*",DEALS!$V:$V,"&lt;&gt;*EXECUTED*"))</f>
        <v>0</v>
      </c>
      <c r="E310" s="29" cm="1">
        <f t="array" ref="E310">SUMIFS(BALANCES!$C:$C,BALANCES!$A:$A,$B$303,BALANCES!$B:$B,$B310,BALANCES!$D:$D,E$307)+SUMIFS(FLOWS!$C:$C,FLOWS!$A:$A,$B$303,FLOWS!$E:$E,$B310,FLOWS!$D:$D,E$307,FLOWS!$H:$H,"&lt;"&amp;$C$305)+SUM(SUMIFS(DEALS!$J:$J,DEALS!$A:$A,{"*REFUND*","*EXECUTED*"},DEALS!$G:$G,$B$303,DEALS!$E:$E,"&lt;"&amp;$C$305,DEALS!$K:$K,E$307,DEALS!$M:$M,$B310,DEALS!$N:$N,"&lt;&gt;*RECEIVED*",DEALS!$N:$N,"&lt;&gt;*EXECUTED*"))+SUM(SUMIFS(DEALS!$R:$R,DEALS!$A:$A,{"*REFUND*","*EXECUTED*"},DEALS!$O:$O,$B$303,DEALS!$E:$E,"&lt;"&amp;$C$305,DEALS!$S:$S,E$307,DEALS!$U:$U,$B310,DEALS!$V:$V,"&lt;&gt;*RECEIVED*",DEALS!$V:$V,"&lt;&gt;*EXECUTED*"))</f>
        <v>0</v>
      </c>
      <c r="F310" s="29" cm="1">
        <f t="array" ref="F310">SUMIFS(BALANCES!$C:$C,BALANCES!$A:$A,$B$303,BALANCES!$B:$B,$B310,BALANCES!$D:$D,F$307)+SUMIFS(FLOWS!$C:$C,FLOWS!$A:$A,$B$303,FLOWS!$E:$E,$B310,FLOWS!$D:$D,F$307,FLOWS!$H:$H,"&lt;"&amp;$C$305)+SUM(SUMIFS(DEALS!$J:$J,DEALS!$A:$A,{"*REFUND*","*EXECUTED*"},DEALS!$G:$G,$B$303,DEALS!$E:$E,"&lt;"&amp;$C$305,DEALS!$K:$K,F$307,DEALS!$M:$M,$B310,DEALS!$N:$N,"&lt;&gt;*RECEIVED*",DEALS!$N:$N,"&lt;&gt;*EXECUTED*"))+SUM(SUMIFS(DEALS!$R:$R,DEALS!$A:$A,{"*REFUND*","*EXECUTED*"},DEALS!$O:$O,$B$303,DEALS!$E:$E,"&lt;"&amp;$C$305,DEALS!$S:$S,F$307,DEALS!$U:$U,$B310,DEALS!$V:$V,"&lt;&gt;*RECEIVED*",DEALS!$V:$V,"&lt;&gt;*EXECUTED*"))</f>
        <v>20390.330000000002</v>
      </c>
      <c r="G310" s="29" cm="1">
        <f t="array" ref="G310">SUMIFS(BALANCES!$C:$C,BALANCES!$A:$A,$B$303,BALANCES!$B:$B,$B310,BALANCES!$D:$D,G$307)+SUMIFS(FLOWS!$C:$C,FLOWS!$A:$A,$B$303,FLOWS!$E:$E,$B310,FLOWS!$D:$D,G$307,FLOWS!$H:$H,"&lt;"&amp;$C$305)+SUM(SUMIFS(DEALS!$J:$J,DEALS!$A:$A,{"*REFUND*","*EXECUTED*"},DEALS!$G:$G,$B$303,DEALS!$E:$E,"&lt;"&amp;$C$305,DEALS!$K:$K,G$307,DEALS!$M:$M,$B310,DEALS!$N:$N,"&lt;&gt;*RECEIVED*",DEALS!$N:$N,"&lt;&gt;*EXECUTED*"))+SUM(SUMIFS(DEALS!$R:$R,DEALS!$A:$A,{"*REFUND*","*EXECUTED*"},DEALS!$O:$O,$B$303,DEALS!$E:$E,"&lt;"&amp;$C$305,DEALS!$S:$S,G$307,DEALS!$U:$U,$B310,DEALS!$V:$V,"&lt;&gt;*RECEIVED*",DEALS!$V:$V,"&lt;&gt;*EXECUTED*"))</f>
        <v>0</v>
      </c>
      <c r="H310" s="29" cm="1">
        <f t="array" ref="H310">SUMIFS(BALANCES!$C:$C,BALANCES!$A:$A,$B$303,BALANCES!$B:$B,$B310,BALANCES!$D:$D,H$307)+SUMIFS(FLOWS!$C:$C,FLOWS!$A:$A,$B$303,FLOWS!$E:$E,$B310,FLOWS!$D:$D,H$307,FLOWS!$H:$H,"&lt;"&amp;$C$305)+SUM(SUMIFS(DEALS!$J:$J,DEALS!$A:$A,{"*REFUND*","*EXECUTED*"},DEALS!$G:$G,$B$303,DEALS!$E:$E,"&lt;"&amp;$C$305,DEALS!$K:$K,H$307,DEALS!$M:$M,$B310,DEALS!$N:$N,"&lt;&gt;*RECEIVED*",DEALS!$N:$N,"&lt;&gt;*EXECUTED*"))+SUM(SUMIFS(DEALS!$R:$R,DEALS!$A:$A,{"*REFUND*","*EXECUTED*"},DEALS!$O:$O,$B$303,DEALS!$E:$E,"&lt;"&amp;$C$305,DEALS!$S:$S,H$307,DEALS!$U:$U,$B310,DEALS!$V:$V,"&lt;&gt;*RECEIVED*",DEALS!$V:$V,"&lt;&gt;*EXECUTED*"))</f>
        <v>0</v>
      </c>
      <c r="I310" s="30">
        <f ca="1">C310*VLOOKUP(C$307,'FX RATES'!$E$1:$F$50,2,FALSE)+D310*VLOOKUP(D$307,'FX RATES'!$E$1:$F$50,2,FALSE)+E310*VLOOKUP(E$307,'FX RATES'!$E$1:$F$50,2,FALSE)+F310*VLOOKUP(F$307,'FX RATES'!$E$1:$F$50,2,FALSE)+G310*VLOOKUP(G$307,'FX RATES'!$E$1:$F$50,2,FALSE)+H310*VLOOKUP(H$307,'FX RATES'!$E$1:$F$50,2,FALSE)</f>
        <v>5552.0149213091545</v>
      </c>
      <c r="K310" s="28" t="str">
        <f t="shared" si="132"/>
        <v>MASHRQ</v>
      </c>
      <c r="L310" s="29" cm="1">
        <f t="array" ref="L310">SUMIFS(FLOWS!$C:$C,FLOWS!$A:$A,$B$303,FLOWS!$E:$E,$K310,FLOWS!$D:$D,L$307,FLOWS!$H:$H,"&gt;="&amp;$C$305,FLOWS!$H:$H,"&lt;="&amp;$U$305)+SUM(SUMIFS(DEALS!$J:$J,DEALS!$A:$A,{"*REFUND*","*EXECUTED*"},DEALS!$G:$G,$B$303,DEALS!$E:$E,"&gt;="&amp;$C$305,DEALS!$E:$E,"&lt;="&amp;$U$305,DEALS!$K:$K,L$307,DEALS!$M:$M,$K310,DEALS!$N:$N,"&lt;&gt;*RECEIVED*",DEALS!$N:$N,"&lt;&gt;*EXECUTED*"))+SUM(SUMIFS(DEALS!$R:$R,DEALS!$A:$A,{"*REFUND*","*EXECUTED*"},DEALS!$O:$O,$B$303,DEALS!$E:$E,"&gt;="&amp;$C$305,DEALS!$E:$E,"&lt;="&amp;$U$305,DEALS!$S:$S,L$307,DEALS!$U:$U,$K310,DEALS!$V:$V,"&lt;&gt;*RECEIVED*",DEALS!$V:$V,"&lt;&gt;*EXECUTED*"))</f>
        <v>0</v>
      </c>
      <c r="M310" s="29" cm="1">
        <f t="array" ref="M310">SUMIFS(FLOWS!$C:$C,FLOWS!$A:$A,$B$303,FLOWS!$E:$E,$K310,FLOWS!$D:$D,M$307,FLOWS!$H:$H,"&gt;="&amp;$C$305,FLOWS!$H:$H,"&lt;="&amp;$U$305)+SUM(SUMIFS(DEALS!$J:$J,DEALS!$A:$A,{"*REFUND*","*EXECUTED*"},DEALS!$G:$G,$B$303,DEALS!$E:$E,"&gt;="&amp;$C$305,DEALS!$E:$E,"&lt;="&amp;$U$305,DEALS!$K:$K,M$307,DEALS!$M:$M,$K310,DEALS!$N:$N,"&lt;&gt;*RECEIVED*",DEALS!$N:$N,"&lt;&gt;*EXECUTED*"))+SUM(SUMIFS(DEALS!$R:$R,DEALS!$A:$A,{"*REFUND*","*EXECUTED*"},DEALS!$O:$O,$B$303,DEALS!$E:$E,"&gt;="&amp;$C$305,DEALS!$E:$E,"&lt;="&amp;$U$305,DEALS!$S:$S,M$307,DEALS!$U:$U,$K310,DEALS!$V:$V,"&lt;&gt;*RECEIVED*",DEALS!$V:$V,"&lt;&gt;*EXECUTED*"))</f>
        <v>0</v>
      </c>
      <c r="N310" s="29" cm="1">
        <f t="array" ref="N310">SUMIFS(FLOWS!$C:$C,FLOWS!$A:$A,$B$303,FLOWS!$E:$E,$K310,FLOWS!$D:$D,N$307,FLOWS!$H:$H,"&gt;="&amp;$C$305,FLOWS!$H:$H,"&lt;="&amp;$U$305)+SUM(SUMIFS(DEALS!$J:$J,DEALS!$A:$A,{"*REFUND*","*EXECUTED*"},DEALS!$G:$G,$B$303,DEALS!$E:$E,"&gt;="&amp;$C$305,DEALS!$E:$E,"&lt;="&amp;$U$305,DEALS!$K:$K,N$307,DEALS!$M:$M,$K310,DEALS!$N:$N,"&lt;&gt;*RECEIVED*",DEALS!$N:$N,"&lt;&gt;*EXECUTED*"))+SUM(SUMIFS(DEALS!$R:$R,DEALS!$A:$A,{"*REFUND*","*EXECUTED*"},DEALS!$O:$O,$B$303,DEALS!$E:$E,"&gt;="&amp;$C$305,DEALS!$E:$E,"&lt;="&amp;$U$305,DEALS!$S:$S,N$307,DEALS!$U:$U,$K310,DEALS!$V:$V,"&lt;&gt;*RECEIVED*",DEALS!$V:$V,"&lt;&gt;*EXECUTED*"))</f>
        <v>0</v>
      </c>
      <c r="O310" s="29" cm="1">
        <f t="array" ref="O310">SUMIFS(FLOWS!$C:$C,FLOWS!$A:$A,$B$303,FLOWS!$E:$E,$K310,FLOWS!$D:$D,O$307,FLOWS!$H:$H,"&gt;="&amp;$C$305,FLOWS!$H:$H,"&lt;="&amp;$U$305)+SUM(SUMIFS(DEALS!$J:$J,DEALS!$A:$A,{"*REFUND*","*EXECUTED*"},DEALS!$G:$G,$B$303,DEALS!$E:$E,"&gt;="&amp;$C$305,DEALS!$E:$E,"&lt;="&amp;$U$305,DEALS!$K:$K,O$307,DEALS!$M:$M,$K310,DEALS!$N:$N,"&lt;&gt;*RECEIVED*",DEALS!$N:$N,"&lt;&gt;*EXECUTED*"))+SUM(SUMIFS(DEALS!$R:$R,DEALS!$A:$A,{"*REFUND*","*EXECUTED*"},DEALS!$O:$O,$B$303,DEALS!$E:$E,"&gt;="&amp;$C$305,DEALS!$E:$E,"&lt;="&amp;$U$305,DEALS!$S:$S,O$307,DEALS!$U:$U,$K310,DEALS!$V:$V,"&lt;&gt;*RECEIVED*",DEALS!$V:$V,"&lt;&gt;*EXECUTED*"))</f>
        <v>0</v>
      </c>
      <c r="P310" s="29" cm="1">
        <f t="array" ref="P310">SUMIFS(FLOWS!$C:$C,FLOWS!$A:$A,$B$303,FLOWS!$E:$E,$K310,FLOWS!$D:$D,P$307,FLOWS!$H:$H,"&gt;="&amp;$C$305,FLOWS!$H:$H,"&lt;="&amp;$U$305)+SUM(SUMIFS(DEALS!$J:$J,DEALS!$A:$A,{"*REFUND*","*EXECUTED*"},DEALS!$G:$G,$B$303,DEALS!$E:$E,"&gt;="&amp;$C$305,DEALS!$E:$E,"&lt;="&amp;$U$305,DEALS!$K:$K,P$307,DEALS!$M:$M,$K310,DEALS!$N:$N,"&lt;&gt;*RECEIVED*",DEALS!$N:$N,"&lt;&gt;*EXECUTED*"))+SUM(SUMIFS(DEALS!$R:$R,DEALS!$A:$A,{"*REFUND*","*EXECUTED*"},DEALS!$O:$O,$B$303,DEALS!$E:$E,"&gt;="&amp;$C$305,DEALS!$E:$E,"&lt;="&amp;$U$305,DEALS!$S:$S,P$307,DEALS!$U:$U,$K310,DEALS!$V:$V,"&lt;&gt;*RECEIVED*",DEALS!$V:$V,"&lt;&gt;*EXECUTED*"))</f>
        <v>0</v>
      </c>
      <c r="Q310" s="29" cm="1">
        <f t="array" ref="Q310">SUMIFS(FLOWS!$C:$C,FLOWS!$A:$A,$B$303,FLOWS!$E:$E,$K310,FLOWS!$D:$D,Q$307,FLOWS!$H:$H,"&gt;="&amp;$C$305,FLOWS!$H:$H,"&lt;="&amp;$U$305)+SUM(SUMIFS(DEALS!$J:$J,DEALS!$A:$A,{"*REFUND*","*EXECUTED*"},DEALS!$G:$G,$B$303,DEALS!$E:$E,"&gt;="&amp;$C$305,DEALS!$E:$E,"&lt;="&amp;$U$305,DEALS!$K:$K,Q$307,DEALS!$M:$M,$K310,DEALS!$N:$N,"&lt;&gt;*RECEIVED*",DEALS!$N:$N,"&lt;&gt;*EXECUTED*"))+SUM(SUMIFS(DEALS!$R:$R,DEALS!$A:$A,{"*REFUND*","*EXECUTED*"},DEALS!$O:$O,$B$303,DEALS!$E:$E,"&gt;="&amp;$C$305,DEALS!$E:$E,"&lt;="&amp;$U$305,DEALS!$S:$S,Q$307,DEALS!$U:$U,$K310,DEALS!$V:$V,"&lt;&gt;*RECEIVED*",DEALS!$V:$V,"&lt;&gt;*EXECUTED*"))</f>
        <v>0</v>
      </c>
      <c r="R310" s="30">
        <f ca="1">L310*VLOOKUP(L$307,'FX RATES'!$E$1:$F$50,2,FALSE)+M310*VLOOKUP(M$307,'FX RATES'!$E$1:$F$50,2,FALSE)+N310*VLOOKUP(N$307,'FX RATES'!$E$1:$F$50,2,FALSE)+O310*VLOOKUP(O$307,'FX RATES'!$E$1:$F$50,2,FALSE)+P310*VLOOKUP(P$307,'FX RATES'!$E$1:$F$50,2,FALSE)+Q310*VLOOKUP(Q$307,'FX RATES'!$E$1:$F$50,2,FALSE)</f>
        <v>0</v>
      </c>
      <c r="T310" s="28" t="str">
        <f t="shared" si="133"/>
        <v>MASHRQ</v>
      </c>
      <c r="U310" s="29" cm="1">
        <f t="array" ref="U310">SUMIFS(BALANCES!$C:$C,BALANCES!$A:$A,$B$303,BALANCES!$B:$B,$T310,BALANCES!$D:$D,U$307)+SUMIFS(FLOWS!$C:$C,FLOWS!$A:$A,$B$303,FLOWS!$E:$E,$T310,FLOWS!$D:$D,U$307,FLOWS!$H:$H,"&lt;="&amp;$U$305)+SUM(SUMIFS(DEALS!$J:$J,DEALS!$A:$A,{"*REFUND*","*EXECUTED*"},DEALS!$G:$G,$B$303,DEALS!$E:$E,"&lt;="&amp;$U$305,DEALS!$K:$K,U$307,DEALS!$M:$M,$T310,DEALS!$N:$N,"&lt;&gt;*RECEIVED*",DEALS!$N:$N,"&lt;&gt;*EXECUTED*"))+SUM(SUMIFS(DEALS!$R:$R,DEALS!$A:$A,{"*REFUND*","*EXECUTED*"},DEALS!$O:$O,$B$303,DEALS!$E:$E,"&lt;="&amp;$U$305,DEALS!$S:$S,U$307,DEALS!$U:$U,$T310,DEALS!$V:$V,"&lt;&gt;*RECEIVED*",DEALS!$V:$V,"&lt;&gt;*EXECUTED*"))</f>
        <v>0</v>
      </c>
      <c r="V310" s="29" cm="1">
        <f t="array" ref="V310">SUMIFS(BALANCES!$C:$C,BALANCES!$A:$A,$B$303,BALANCES!$B:$B,$T310,BALANCES!$D:$D,V$307)+SUMIFS(FLOWS!$C:$C,FLOWS!$A:$A,$B$303,FLOWS!$E:$E,$T310,FLOWS!$D:$D,V$307,FLOWS!$H:$H,"&lt;="&amp;$U$305)+SUM(SUMIFS(DEALS!$J:$J,DEALS!$A:$A,{"*REFUND*","*EXECUTED*"},DEALS!$G:$G,$B$303,DEALS!$E:$E,"&lt;="&amp;$U$305,DEALS!$K:$K,V$307,DEALS!$M:$M,$T310,DEALS!$N:$N,"&lt;&gt;*RECEIVED*",DEALS!$N:$N,"&lt;&gt;*EXECUTED*"))+SUM(SUMIFS(DEALS!$R:$R,DEALS!$A:$A,{"*REFUND*","*EXECUTED*"},DEALS!$O:$O,$B$303,DEALS!$E:$E,"&lt;="&amp;$U$305,DEALS!$S:$S,V$307,DEALS!$U:$U,$T310,DEALS!$V:$V,"&lt;&gt;*RECEIVED*",DEALS!$V:$V,"&lt;&gt;*EXECUTED*"))</f>
        <v>0</v>
      </c>
      <c r="W310" s="29" cm="1">
        <f t="array" ref="W310">SUMIFS(BALANCES!$C:$C,BALANCES!$A:$A,$B$303,BALANCES!$B:$B,$T310,BALANCES!$D:$D,W$307)+SUMIFS(FLOWS!$C:$C,FLOWS!$A:$A,$B$303,FLOWS!$E:$E,$T310,FLOWS!$D:$D,W$307,FLOWS!$H:$H,"&lt;="&amp;$U$305)+SUM(SUMIFS(DEALS!$J:$J,DEALS!$A:$A,{"*REFUND*","*EXECUTED*"},DEALS!$G:$G,$B$303,DEALS!$E:$E,"&lt;="&amp;$U$305,DEALS!$K:$K,W$307,DEALS!$M:$M,$T310,DEALS!$N:$N,"&lt;&gt;*RECEIVED*",DEALS!$N:$N,"&lt;&gt;*EXECUTED*"))+SUM(SUMIFS(DEALS!$R:$R,DEALS!$A:$A,{"*REFUND*","*EXECUTED*"},DEALS!$O:$O,$B$303,DEALS!$E:$E,"&lt;="&amp;$U$305,DEALS!$S:$S,W$307,DEALS!$U:$U,$T310,DEALS!$V:$V,"&lt;&gt;*RECEIVED*",DEALS!$V:$V,"&lt;&gt;*EXECUTED*"))</f>
        <v>0</v>
      </c>
      <c r="X310" s="29" cm="1">
        <f t="array" ref="X310">SUMIFS(BALANCES!$C:$C,BALANCES!$A:$A,$B$303,BALANCES!$B:$B,$T310,BALANCES!$D:$D,X$307)+SUMIFS(FLOWS!$C:$C,FLOWS!$A:$A,$B$303,FLOWS!$E:$E,$T310,FLOWS!$D:$D,X$307,FLOWS!$H:$H,"&lt;="&amp;$U$305)+SUM(SUMIFS(DEALS!$J:$J,DEALS!$A:$A,{"*REFUND*","*EXECUTED*"},DEALS!$G:$G,$B$303,DEALS!$E:$E,"&lt;="&amp;$U$305,DEALS!$K:$K,X$307,DEALS!$M:$M,$T310,DEALS!$N:$N,"&lt;&gt;*RECEIVED*",DEALS!$N:$N,"&lt;&gt;*EXECUTED*"))+SUM(SUMIFS(DEALS!$R:$R,DEALS!$A:$A,{"*REFUND*","*EXECUTED*"},DEALS!$O:$O,$B$303,DEALS!$E:$E,"&lt;="&amp;$U$305,DEALS!$S:$S,X$307,DEALS!$U:$U,$T310,DEALS!$V:$V,"&lt;&gt;*RECEIVED*",DEALS!$V:$V,"&lt;&gt;*EXECUTED*"))</f>
        <v>20390.330000000002</v>
      </c>
      <c r="Y310" s="29" cm="1">
        <f t="array" ref="Y310">SUMIFS(BALANCES!$C:$C,BALANCES!$A:$A,$B$303,BALANCES!$B:$B,$T310,BALANCES!$D:$D,Y$307)+SUMIFS(FLOWS!$C:$C,FLOWS!$A:$A,$B$303,FLOWS!$E:$E,$T310,FLOWS!$D:$D,Y$307,FLOWS!$H:$H,"&lt;="&amp;$U$305)+SUM(SUMIFS(DEALS!$J:$J,DEALS!$A:$A,{"*REFUND*","*EXECUTED*"},DEALS!$G:$G,$B$303,DEALS!$E:$E,"&lt;="&amp;$U$305,DEALS!$K:$K,Y$307,DEALS!$M:$M,$T310,DEALS!$N:$N,"&lt;&gt;*RECEIVED*",DEALS!$N:$N,"&lt;&gt;*EXECUTED*"))+SUM(SUMIFS(DEALS!$R:$R,DEALS!$A:$A,{"*REFUND*","*EXECUTED*"},DEALS!$O:$O,$B$303,DEALS!$E:$E,"&lt;="&amp;$U$305,DEALS!$S:$S,Y$307,DEALS!$U:$U,$T310,DEALS!$V:$V,"&lt;&gt;*RECEIVED*",DEALS!$V:$V,"&lt;&gt;*EXECUTED*"))</f>
        <v>0</v>
      </c>
      <c r="Z310" s="29" cm="1">
        <f t="array" ref="Z310">SUMIFS(BALANCES!$C:$C,BALANCES!$A:$A,$B$303,BALANCES!$B:$B,$T310,BALANCES!$D:$D,Z$307)+SUMIFS(FLOWS!$C:$C,FLOWS!$A:$A,$B$303,FLOWS!$E:$E,$T310,FLOWS!$D:$D,Z$307,FLOWS!$H:$H,"&lt;="&amp;$U$305)+SUM(SUMIFS(DEALS!$J:$J,DEALS!$A:$A,{"*REFUND*","*EXECUTED*"},DEALS!$G:$G,$B$303,DEALS!$E:$E,"&lt;="&amp;$U$305,DEALS!$K:$K,Z$307,DEALS!$M:$M,$T310,DEALS!$N:$N,"&lt;&gt;*RECEIVED*",DEALS!$N:$N,"&lt;&gt;*EXECUTED*"))+SUM(SUMIFS(DEALS!$R:$R,DEALS!$A:$A,{"*REFUND*","*EXECUTED*"},DEALS!$O:$O,$B$303,DEALS!$E:$E,"&lt;="&amp;$U$305,DEALS!$S:$S,Z$307,DEALS!$U:$U,$T310,DEALS!$V:$V,"&lt;&gt;*RECEIVED*",DEALS!$V:$V,"&lt;&gt;*EXECUTED*"))</f>
        <v>0</v>
      </c>
      <c r="AA310" s="30">
        <f ca="1">U310*VLOOKUP(U$307,'FX RATES'!$E$1:$F$50,2,FALSE)+V310*VLOOKUP(V$307,'FX RATES'!$E$1:$F$50,2,FALSE)+W310*VLOOKUP(W$307,'FX RATES'!$E$1:$F$50,2,FALSE)+X310*VLOOKUP(X$307,'FX RATES'!$E$1:$F$50,2,FALSE)+Y310*VLOOKUP(Y$307,'FX RATES'!$E$1:$F$50,2,FALSE)+Z310*VLOOKUP(Z$307,'FX RATES'!$E$1:$F$50,2,FALSE)</f>
        <v>5552.0149213091545</v>
      </c>
      <c r="AC310" s="139">
        <f t="shared" ca="1" si="134"/>
        <v>0</v>
      </c>
    </row>
    <row r="311" spans="2:29" ht="18.75" customHeight="1" thickBot="1">
      <c r="B311" s="31" t="s">
        <v>25</v>
      </c>
      <c r="C311" s="32" cm="1">
        <f t="array" ref="C311">SUMIFS(BALANCES!$C:$C,BALANCES!$A:$A,$B$303,BALANCES!$B:$B,$B311,BALANCES!$D:$D,C$307)+SUMIFS(FLOWS!$C:$C,FLOWS!$A:$A,$B$303,FLOWS!$E:$E,$B311,FLOWS!$D:$D,C$307,FLOWS!$H:$H,"&lt;"&amp;$C$305)+SUM(SUMIFS(DEALS!$J:$J,DEALS!$A:$A,{"*REFUND*","*EXECUTED*"},DEALS!$G:$G,$B$303,DEALS!$E:$E,"&lt;"&amp;$C$305,DEALS!$K:$K,C$307,DEALS!$M:$M,$B311,DEALS!$N:$N,"&lt;&gt;*RECEIVED*",DEALS!$N:$N,"&lt;&gt;*EXECUTED*"))+SUM(SUMIFS(DEALS!$R:$R,DEALS!$A:$A,{"*REFUND*","*EXECUTED*"},DEALS!$O:$O,$B$303,DEALS!$E:$E,"&lt;"&amp;$C$305,DEALS!$S:$S,C$307,DEALS!$U:$U,$B311,DEALS!$V:$V,"&lt;&gt;*RECEIVED*",DEALS!$V:$V,"&lt;&gt;*EXECUTED*"))</f>
        <v>0</v>
      </c>
      <c r="D311" s="32" cm="1">
        <f t="array" ref="D311">SUMIFS(BALANCES!$C:$C,BALANCES!$A:$A,$B$303,BALANCES!$B:$B,$B311,BALANCES!$D:$D,D$307)+SUMIFS(FLOWS!$C:$C,FLOWS!$A:$A,$B$303,FLOWS!$E:$E,$B311,FLOWS!$D:$D,D$307,FLOWS!$H:$H,"&lt;"&amp;$C$305)+SUM(SUMIFS(DEALS!$J:$J,DEALS!$A:$A,{"*REFUND*","*EXECUTED*"},DEALS!$G:$G,$B$303,DEALS!$E:$E,"&lt;"&amp;$C$305,DEALS!$K:$K,D$307,DEALS!$M:$M,$B311,DEALS!$N:$N,"&lt;&gt;*RECEIVED*",DEALS!$N:$N,"&lt;&gt;*EXECUTED*"))+SUM(SUMIFS(DEALS!$R:$R,DEALS!$A:$A,{"*REFUND*","*EXECUTED*"},DEALS!$O:$O,$B$303,DEALS!$E:$E,"&lt;"&amp;$C$305,DEALS!$S:$S,D$307,DEALS!$U:$U,$B311,DEALS!$V:$V,"&lt;&gt;*RECEIVED*",DEALS!$V:$V,"&lt;&gt;*EXECUTED*"))</f>
        <v>0</v>
      </c>
      <c r="E311" s="32" cm="1">
        <f t="array" ref="E311">SUMIFS(BALANCES!$C:$C,BALANCES!$A:$A,$B$303,BALANCES!$B:$B,$B311,BALANCES!$D:$D,E$307)+SUMIFS(FLOWS!$C:$C,FLOWS!$A:$A,$B$303,FLOWS!$E:$E,$B311,FLOWS!$D:$D,E$307,FLOWS!$H:$H,"&lt;"&amp;$C$305)+SUM(SUMIFS(DEALS!$J:$J,DEALS!$A:$A,{"*REFUND*","*EXECUTED*"},DEALS!$G:$G,$B$303,DEALS!$E:$E,"&lt;"&amp;$C$305,DEALS!$K:$K,E$307,DEALS!$M:$M,$B311,DEALS!$N:$N,"&lt;&gt;*RECEIVED*",DEALS!$N:$N,"&lt;&gt;*EXECUTED*"))+SUM(SUMIFS(DEALS!$R:$R,DEALS!$A:$A,{"*REFUND*","*EXECUTED*"},DEALS!$O:$O,$B$303,DEALS!$E:$E,"&lt;"&amp;$C$305,DEALS!$S:$S,E$307,DEALS!$U:$U,$B311,DEALS!$V:$V,"&lt;&gt;*RECEIVED*",DEALS!$V:$V,"&lt;&gt;*EXECUTED*"))</f>
        <v>0</v>
      </c>
      <c r="F311" s="32" cm="1">
        <f t="array" ref="F311">SUMIFS(BALANCES!$C:$C,BALANCES!$A:$A,$B$303,BALANCES!$B:$B,$B311,BALANCES!$D:$D,F$307)+SUMIFS(FLOWS!$C:$C,FLOWS!$A:$A,$B$303,FLOWS!$E:$E,$B311,FLOWS!$D:$D,F$307,FLOWS!$H:$H,"&lt;"&amp;$C$305)+SUM(SUMIFS(DEALS!$J:$J,DEALS!$A:$A,{"*REFUND*","*EXECUTED*"},DEALS!$G:$G,$B$303,DEALS!$E:$E,"&lt;"&amp;$C$305,DEALS!$K:$K,F$307,DEALS!$M:$M,$B311,DEALS!$N:$N,"&lt;&gt;*RECEIVED*",DEALS!$N:$N,"&lt;&gt;*EXECUTED*"))+SUM(SUMIFS(DEALS!$R:$R,DEALS!$A:$A,{"*REFUND*","*EXECUTED*"},DEALS!$O:$O,$B$303,DEALS!$E:$E,"&lt;"&amp;$C$305,DEALS!$S:$S,F$307,DEALS!$U:$U,$B311,DEALS!$V:$V,"&lt;&gt;*RECEIVED*",DEALS!$V:$V,"&lt;&gt;*EXECUTED*"))</f>
        <v>0</v>
      </c>
      <c r="G311" s="32" cm="1">
        <f t="array" ref="G311">SUMIFS(BALANCES!$C:$C,BALANCES!$A:$A,$B$303,BALANCES!$B:$B,$B311,BALANCES!$D:$D,G$307)+SUMIFS(FLOWS!$C:$C,FLOWS!$A:$A,$B$303,FLOWS!$E:$E,$B311,FLOWS!$D:$D,G$307,FLOWS!$H:$H,"&lt;"&amp;$C$305)+SUM(SUMIFS(DEALS!$J:$J,DEALS!$A:$A,{"*REFUND*","*EXECUTED*"},DEALS!$G:$G,$B$303,DEALS!$E:$E,"&lt;"&amp;$C$305,DEALS!$K:$K,G$307,DEALS!$M:$M,$B311,DEALS!$N:$N,"&lt;&gt;*RECEIVED*",DEALS!$N:$N,"&lt;&gt;*EXECUTED*"))+SUM(SUMIFS(DEALS!$R:$R,DEALS!$A:$A,{"*REFUND*","*EXECUTED*"},DEALS!$O:$O,$B$303,DEALS!$E:$E,"&lt;"&amp;$C$305,DEALS!$S:$S,G$307,DEALS!$U:$U,$B311,DEALS!$V:$V,"&lt;&gt;*RECEIVED*",DEALS!$V:$V,"&lt;&gt;*EXECUTED*"))</f>
        <v>5018686.5</v>
      </c>
      <c r="H311" s="32" cm="1">
        <f t="array" ref="H311">SUMIFS(BALANCES!$C:$C,BALANCES!$A:$A,$B$303,BALANCES!$B:$B,$B311,BALANCES!$D:$D,H$307)+SUMIFS(FLOWS!$C:$C,FLOWS!$A:$A,$B$303,FLOWS!$E:$E,$B311,FLOWS!$D:$D,H$307,FLOWS!$H:$H,"&lt;"&amp;$C$305)+SUM(SUMIFS(DEALS!$J:$J,DEALS!$A:$A,{"*REFUND*","*EXECUTED*"},DEALS!$G:$G,$B$303,DEALS!$E:$E,"&lt;"&amp;$C$305,DEALS!$K:$K,H$307,DEALS!$M:$M,$B311,DEALS!$N:$N,"&lt;&gt;*RECEIVED*",DEALS!$N:$N,"&lt;&gt;*EXECUTED*"))+SUM(SUMIFS(DEALS!$R:$R,DEALS!$A:$A,{"*REFUND*","*EXECUTED*"},DEALS!$O:$O,$B$303,DEALS!$E:$E,"&lt;"&amp;$C$305,DEALS!$S:$S,H$307,DEALS!$U:$U,$B311,DEALS!$V:$V,"&lt;&gt;*RECEIVED*",DEALS!$V:$V,"&lt;&gt;*EXECUTED*"))</f>
        <v>0</v>
      </c>
      <c r="I311" s="33">
        <f ca="1">C311*VLOOKUP(C$307,'FX RATES'!$E$1:$F$50,2,FALSE)+D311*VLOOKUP(D$307,'FX RATES'!$E$1:$F$50,2,FALSE)+E311*VLOOKUP(E$307,'FX RATES'!$E$1:$F$50,2,FALSE)+F311*VLOOKUP(F$307,'FX RATES'!$E$1:$F$50,2,FALSE)+G311*VLOOKUP(G$307,'FX RATES'!$E$1:$F$50,2,FALSE)+H311*VLOOKUP(H$307,'FX RATES'!$E$1:$F$50,2,FALSE)</f>
        <v>65415.195417131014</v>
      </c>
      <c r="K311" s="31" t="str">
        <f t="shared" si="132"/>
        <v>CEB</v>
      </c>
      <c r="L311" s="32" cm="1">
        <f t="array" ref="L311">SUMIFS(FLOWS!$C:$C,FLOWS!$A:$A,$B$303,FLOWS!$E:$E,$K311,FLOWS!$D:$D,L$307,FLOWS!$H:$H,"&gt;="&amp;$C$305,FLOWS!$H:$H,"&lt;="&amp;$U$305)+SUM(SUMIFS(DEALS!$J:$J,DEALS!$A:$A,{"*REFUND*","*EXECUTED*"},DEALS!$G:$G,$B$303,DEALS!$E:$E,"&gt;="&amp;$C$305,DEALS!$E:$E,"&lt;="&amp;$U$305,DEALS!$K:$K,L$307,DEALS!$M:$M,$K311,DEALS!$N:$N,"&lt;&gt;*RECEIVED*",DEALS!$N:$N,"&lt;&gt;*EXECUTED*"))+SUM(SUMIFS(DEALS!$R:$R,DEALS!$A:$A,{"*REFUND*","*EXECUTED*"},DEALS!$O:$O,$B$303,DEALS!$E:$E,"&gt;="&amp;$C$305,DEALS!$E:$E,"&lt;="&amp;$U$305,DEALS!$S:$S,L$307,DEALS!$U:$U,$K311,DEALS!$V:$V,"&lt;&gt;*RECEIVED*",DEALS!$V:$V,"&lt;&gt;*EXECUTED*"))</f>
        <v>0</v>
      </c>
      <c r="M311" s="32" cm="1">
        <f t="array" ref="M311">SUMIFS(FLOWS!$C:$C,FLOWS!$A:$A,$B$303,FLOWS!$E:$E,$K311,FLOWS!$D:$D,M$307,FLOWS!$H:$H,"&gt;="&amp;$C$305,FLOWS!$H:$H,"&lt;="&amp;$U$305)+SUM(SUMIFS(DEALS!$J:$J,DEALS!$A:$A,{"*REFUND*","*EXECUTED*"},DEALS!$G:$G,$B$303,DEALS!$E:$E,"&gt;="&amp;$C$305,DEALS!$E:$E,"&lt;="&amp;$U$305,DEALS!$K:$K,M$307,DEALS!$M:$M,$K311,DEALS!$N:$N,"&lt;&gt;*RECEIVED*",DEALS!$N:$N,"&lt;&gt;*EXECUTED*"))+SUM(SUMIFS(DEALS!$R:$R,DEALS!$A:$A,{"*REFUND*","*EXECUTED*"},DEALS!$O:$O,$B$303,DEALS!$E:$E,"&gt;="&amp;$C$305,DEALS!$E:$E,"&lt;="&amp;$U$305,DEALS!$S:$S,M$307,DEALS!$U:$U,$K311,DEALS!$V:$V,"&lt;&gt;*RECEIVED*",DEALS!$V:$V,"&lt;&gt;*EXECUTED*"))</f>
        <v>0</v>
      </c>
      <c r="N311" s="32" cm="1">
        <f t="array" ref="N311">SUMIFS(FLOWS!$C:$C,FLOWS!$A:$A,$B$303,FLOWS!$E:$E,$K311,FLOWS!$D:$D,N$307,FLOWS!$H:$H,"&gt;="&amp;$C$305,FLOWS!$H:$H,"&lt;="&amp;$U$305)+SUM(SUMIFS(DEALS!$J:$J,DEALS!$A:$A,{"*REFUND*","*EXECUTED*"},DEALS!$G:$G,$B$303,DEALS!$E:$E,"&gt;="&amp;$C$305,DEALS!$E:$E,"&lt;="&amp;$U$305,DEALS!$K:$K,N$307,DEALS!$M:$M,$K311,DEALS!$N:$N,"&lt;&gt;*RECEIVED*",DEALS!$N:$N,"&lt;&gt;*EXECUTED*"))+SUM(SUMIFS(DEALS!$R:$R,DEALS!$A:$A,{"*REFUND*","*EXECUTED*"},DEALS!$O:$O,$B$303,DEALS!$E:$E,"&gt;="&amp;$C$305,DEALS!$E:$E,"&lt;="&amp;$U$305,DEALS!$S:$S,N$307,DEALS!$U:$U,$K311,DEALS!$V:$V,"&lt;&gt;*RECEIVED*",DEALS!$V:$V,"&lt;&gt;*EXECUTED*"))</f>
        <v>0</v>
      </c>
      <c r="O311" s="32" cm="1">
        <f t="array" ref="O311">SUMIFS(FLOWS!$C:$C,FLOWS!$A:$A,$B$303,FLOWS!$E:$E,$K311,FLOWS!$D:$D,O$307,FLOWS!$H:$H,"&gt;="&amp;$C$305,FLOWS!$H:$H,"&lt;="&amp;$U$305)+SUM(SUMIFS(DEALS!$J:$J,DEALS!$A:$A,{"*REFUND*","*EXECUTED*"},DEALS!$G:$G,$B$303,DEALS!$E:$E,"&gt;="&amp;$C$305,DEALS!$E:$E,"&lt;="&amp;$U$305,DEALS!$K:$K,O$307,DEALS!$M:$M,$K311,DEALS!$N:$N,"&lt;&gt;*RECEIVED*",DEALS!$N:$N,"&lt;&gt;*EXECUTED*"))+SUM(SUMIFS(DEALS!$R:$R,DEALS!$A:$A,{"*REFUND*","*EXECUTED*"},DEALS!$O:$O,$B$303,DEALS!$E:$E,"&gt;="&amp;$C$305,DEALS!$E:$E,"&lt;="&amp;$U$305,DEALS!$S:$S,O$307,DEALS!$U:$U,$K311,DEALS!$V:$V,"&lt;&gt;*RECEIVED*",DEALS!$V:$V,"&lt;&gt;*EXECUTED*"))</f>
        <v>0</v>
      </c>
      <c r="P311" s="32" cm="1">
        <f t="array" ref="P311">SUMIFS(FLOWS!$C:$C,FLOWS!$A:$A,$B$303,FLOWS!$E:$E,$K311,FLOWS!$D:$D,P$307,FLOWS!$H:$H,"&gt;="&amp;$C$305,FLOWS!$H:$H,"&lt;="&amp;$U$305)+SUM(SUMIFS(DEALS!$J:$J,DEALS!$A:$A,{"*REFUND*","*EXECUTED*"},DEALS!$G:$G,$B$303,DEALS!$E:$E,"&gt;="&amp;$C$305,DEALS!$E:$E,"&lt;="&amp;$U$305,DEALS!$K:$K,P$307,DEALS!$M:$M,$K311,DEALS!$N:$N,"&lt;&gt;*RECEIVED*",DEALS!$N:$N,"&lt;&gt;*EXECUTED*"))+SUM(SUMIFS(DEALS!$R:$R,DEALS!$A:$A,{"*REFUND*","*EXECUTED*"},DEALS!$O:$O,$B$303,DEALS!$E:$E,"&gt;="&amp;$C$305,DEALS!$E:$E,"&lt;="&amp;$U$305,DEALS!$S:$S,P$307,DEALS!$U:$U,$K311,DEALS!$V:$V,"&lt;&gt;*RECEIVED*",DEALS!$V:$V,"&lt;&gt;*EXECUTED*"))</f>
        <v>0</v>
      </c>
      <c r="Q311" s="32" cm="1">
        <f t="array" ref="Q311">SUMIFS(FLOWS!$C:$C,FLOWS!$A:$A,$B$303,FLOWS!$E:$E,$K311,FLOWS!$D:$D,Q$307,FLOWS!$H:$H,"&gt;="&amp;$C$305,FLOWS!$H:$H,"&lt;="&amp;$U$305)+SUM(SUMIFS(DEALS!$J:$J,DEALS!$A:$A,{"*REFUND*","*EXECUTED*"},DEALS!$G:$G,$B$303,DEALS!$E:$E,"&gt;="&amp;$C$305,DEALS!$E:$E,"&lt;="&amp;$U$305,DEALS!$K:$K,Q$307,DEALS!$M:$M,$K311,DEALS!$N:$N,"&lt;&gt;*RECEIVED*",DEALS!$N:$N,"&lt;&gt;*EXECUTED*"))+SUM(SUMIFS(DEALS!$R:$R,DEALS!$A:$A,{"*REFUND*","*EXECUTED*"},DEALS!$O:$O,$B$303,DEALS!$E:$E,"&gt;="&amp;$C$305,DEALS!$E:$E,"&lt;="&amp;$U$305,DEALS!$S:$S,Q$307,DEALS!$U:$U,$K311,DEALS!$V:$V,"&lt;&gt;*RECEIVED*",DEALS!$V:$V,"&lt;&gt;*EXECUTED*"))</f>
        <v>0</v>
      </c>
      <c r="R311" s="33">
        <f ca="1">L311*VLOOKUP(L$307,'FX RATES'!$E$1:$F$50,2,FALSE)+M311*VLOOKUP(M$307,'FX RATES'!$E$1:$F$50,2,FALSE)+N311*VLOOKUP(N$307,'FX RATES'!$E$1:$F$50,2,FALSE)+O311*VLOOKUP(O$307,'FX RATES'!$E$1:$F$50,2,FALSE)+P311*VLOOKUP(P$307,'FX RATES'!$E$1:$F$50,2,FALSE)+Q311*VLOOKUP(Q$307,'FX RATES'!$E$1:$F$50,2,FALSE)</f>
        <v>0</v>
      </c>
      <c r="T311" s="31" t="str">
        <f t="shared" si="133"/>
        <v>CEB</v>
      </c>
      <c r="U311" s="32" cm="1">
        <f t="array" ref="U311">SUMIFS(BALANCES!$C:$C,BALANCES!$A:$A,$B$303,BALANCES!$B:$B,$T311,BALANCES!$D:$D,U$307)+SUMIFS(FLOWS!$C:$C,FLOWS!$A:$A,$B$303,FLOWS!$E:$E,$T311,FLOWS!$D:$D,U$307,FLOWS!$H:$H,"&lt;="&amp;$U$305)+SUM(SUMIFS(DEALS!$J:$J,DEALS!$A:$A,{"*REFUND*","*EXECUTED*"},DEALS!$G:$G,$B$303,DEALS!$E:$E,"&lt;="&amp;$U$305,DEALS!$K:$K,U$307,DEALS!$M:$M,$T311,DEALS!$N:$N,"&lt;&gt;*RECEIVED*",DEALS!$N:$N,"&lt;&gt;*EXECUTED*"))+SUM(SUMIFS(DEALS!$R:$R,DEALS!$A:$A,{"*REFUND*","*EXECUTED*"},DEALS!$O:$O,$B$303,DEALS!$E:$E,"&lt;="&amp;$U$305,DEALS!$S:$S,U$307,DEALS!$U:$U,$T311,DEALS!$V:$V,"&lt;&gt;*RECEIVED*",DEALS!$V:$V,"&lt;&gt;*EXECUTED*"))</f>
        <v>0</v>
      </c>
      <c r="V311" s="32" cm="1">
        <f t="array" ref="V311">SUMIFS(BALANCES!$C:$C,BALANCES!$A:$A,$B$303,BALANCES!$B:$B,$T311,BALANCES!$D:$D,V$307)+SUMIFS(FLOWS!$C:$C,FLOWS!$A:$A,$B$303,FLOWS!$E:$E,$T311,FLOWS!$D:$D,V$307,FLOWS!$H:$H,"&lt;="&amp;$U$305)+SUM(SUMIFS(DEALS!$J:$J,DEALS!$A:$A,{"*REFUND*","*EXECUTED*"},DEALS!$G:$G,$B$303,DEALS!$E:$E,"&lt;="&amp;$U$305,DEALS!$K:$K,V$307,DEALS!$M:$M,$T311,DEALS!$N:$N,"&lt;&gt;*RECEIVED*",DEALS!$N:$N,"&lt;&gt;*EXECUTED*"))+SUM(SUMIFS(DEALS!$R:$R,DEALS!$A:$A,{"*REFUND*","*EXECUTED*"},DEALS!$O:$O,$B$303,DEALS!$E:$E,"&lt;="&amp;$U$305,DEALS!$S:$S,V$307,DEALS!$U:$U,$T311,DEALS!$V:$V,"&lt;&gt;*RECEIVED*",DEALS!$V:$V,"&lt;&gt;*EXECUTED*"))</f>
        <v>0</v>
      </c>
      <c r="W311" s="32" cm="1">
        <f t="array" ref="W311">SUMIFS(BALANCES!$C:$C,BALANCES!$A:$A,$B$303,BALANCES!$B:$B,$T311,BALANCES!$D:$D,W$307)+SUMIFS(FLOWS!$C:$C,FLOWS!$A:$A,$B$303,FLOWS!$E:$E,$T311,FLOWS!$D:$D,W$307,FLOWS!$H:$H,"&lt;="&amp;$U$305)+SUM(SUMIFS(DEALS!$J:$J,DEALS!$A:$A,{"*REFUND*","*EXECUTED*"},DEALS!$G:$G,$B$303,DEALS!$E:$E,"&lt;="&amp;$U$305,DEALS!$K:$K,W$307,DEALS!$M:$M,$T311,DEALS!$N:$N,"&lt;&gt;*RECEIVED*",DEALS!$N:$N,"&lt;&gt;*EXECUTED*"))+SUM(SUMIFS(DEALS!$R:$R,DEALS!$A:$A,{"*REFUND*","*EXECUTED*"},DEALS!$O:$O,$B$303,DEALS!$E:$E,"&lt;="&amp;$U$305,DEALS!$S:$S,W$307,DEALS!$U:$U,$T311,DEALS!$V:$V,"&lt;&gt;*RECEIVED*",DEALS!$V:$V,"&lt;&gt;*EXECUTED*"))</f>
        <v>0</v>
      </c>
      <c r="X311" s="32" cm="1">
        <f t="array" ref="X311">SUMIFS(BALANCES!$C:$C,BALANCES!$A:$A,$B$303,BALANCES!$B:$B,$T311,BALANCES!$D:$D,X$307)+SUMIFS(FLOWS!$C:$C,FLOWS!$A:$A,$B$303,FLOWS!$E:$E,$T311,FLOWS!$D:$D,X$307,FLOWS!$H:$H,"&lt;="&amp;$U$305)+SUM(SUMIFS(DEALS!$J:$J,DEALS!$A:$A,{"*REFUND*","*EXECUTED*"},DEALS!$G:$G,$B$303,DEALS!$E:$E,"&lt;="&amp;$U$305,DEALS!$K:$K,X$307,DEALS!$M:$M,$T311,DEALS!$N:$N,"&lt;&gt;*RECEIVED*",DEALS!$N:$N,"&lt;&gt;*EXECUTED*"))+SUM(SUMIFS(DEALS!$R:$R,DEALS!$A:$A,{"*REFUND*","*EXECUTED*"},DEALS!$O:$O,$B$303,DEALS!$E:$E,"&lt;="&amp;$U$305,DEALS!$S:$S,X$307,DEALS!$U:$U,$T311,DEALS!$V:$V,"&lt;&gt;*RECEIVED*",DEALS!$V:$V,"&lt;&gt;*EXECUTED*"))</f>
        <v>0</v>
      </c>
      <c r="Y311" s="32" cm="1">
        <f t="array" ref="Y311">SUMIFS(BALANCES!$C:$C,BALANCES!$A:$A,$B$303,BALANCES!$B:$B,$T311,BALANCES!$D:$D,Y$307)+SUMIFS(FLOWS!$C:$C,FLOWS!$A:$A,$B$303,FLOWS!$E:$E,$T311,FLOWS!$D:$D,Y$307,FLOWS!$H:$H,"&lt;="&amp;$U$305)+SUM(SUMIFS(DEALS!$J:$J,DEALS!$A:$A,{"*REFUND*","*EXECUTED*"},DEALS!$G:$G,$B$303,DEALS!$E:$E,"&lt;="&amp;$U$305,DEALS!$K:$K,Y$307,DEALS!$M:$M,$T311,DEALS!$N:$N,"&lt;&gt;*RECEIVED*",DEALS!$N:$N,"&lt;&gt;*EXECUTED*"))+SUM(SUMIFS(DEALS!$R:$R,DEALS!$A:$A,{"*REFUND*","*EXECUTED*"},DEALS!$O:$O,$B$303,DEALS!$E:$E,"&lt;="&amp;$U$305,DEALS!$S:$S,Y$307,DEALS!$U:$U,$T311,DEALS!$V:$V,"&lt;&gt;*RECEIVED*",DEALS!$V:$V,"&lt;&gt;*EXECUTED*"))</f>
        <v>5018686.5</v>
      </c>
      <c r="Z311" s="32" cm="1">
        <f t="array" ref="Z311">SUMIFS(BALANCES!$C:$C,BALANCES!$A:$A,$B$303,BALANCES!$B:$B,$T311,BALANCES!$D:$D,Z$307)+SUMIFS(FLOWS!$C:$C,FLOWS!$A:$A,$B$303,FLOWS!$E:$E,$T311,FLOWS!$D:$D,Z$307,FLOWS!$H:$H,"&lt;="&amp;$U$305)+SUM(SUMIFS(DEALS!$J:$J,DEALS!$A:$A,{"*REFUND*","*EXECUTED*"},DEALS!$G:$G,$B$303,DEALS!$E:$E,"&lt;="&amp;$U$305,DEALS!$K:$K,Z$307,DEALS!$M:$M,$T311,DEALS!$N:$N,"&lt;&gt;*RECEIVED*",DEALS!$N:$N,"&lt;&gt;*EXECUTED*"))+SUM(SUMIFS(DEALS!$R:$R,DEALS!$A:$A,{"*REFUND*","*EXECUTED*"},DEALS!$O:$O,$B$303,DEALS!$E:$E,"&lt;="&amp;$U$305,DEALS!$S:$S,Z$307,DEALS!$U:$U,$T311,DEALS!$V:$V,"&lt;&gt;*RECEIVED*",DEALS!$V:$V,"&lt;&gt;*EXECUTED*"))</f>
        <v>0</v>
      </c>
      <c r="AA311" s="33">
        <f ca="1">U311*VLOOKUP(U$307,'FX RATES'!$E$1:$F$50,2,FALSE)+V311*VLOOKUP(V$307,'FX RATES'!$E$1:$F$50,2,FALSE)+W311*VLOOKUP(W$307,'FX RATES'!$E$1:$F$50,2,FALSE)+X311*VLOOKUP(X$307,'FX RATES'!$E$1:$F$50,2,FALSE)+Y311*VLOOKUP(Y$307,'FX RATES'!$E$1:$F$50,2,FALSE)+Z311*VLOOKUP(Z$307,'FX RATES'!$E$1:$F$50,2,FALSE)</f>
        <v>65415.195417131014</v>
      </c>
      <c r="AC311" s="139">
        <f t="shared" ca="1" si="134"/>
        <v>0</v>
      </c>
    </row>
    <row r="312" spans="2:29" ht="18.75" hidden="1" customHeight="1">
      <c r="B312" s="28"/>
      <c r="C312" s="29" cm="1">
        <f t="array" ref="C312">SUMIFS(BALANCES!$C:$C,BALANCES!$A:$A,$B$303,BALANCES!$B:$B,$B312,BALANCES!$D:$D,C$307)+SUMIFS(FLOWS!$C:$C,FLOWS!$A:$A,$B$303,FLOWS!$E:$E,$B312,FLOWS!$D:$D,C$307,FLOWS!$H:$H,"&lt;"&amp;$C$305)+SUM(SUMIFS(DEALS!$J:$J,DEALS!$A:$A,{"*REFUND*","*EXECUTED*"},DEALS!$G:$G,$B$303,DEALS!$E:$E,"&lt;"&amp;$C$305,DEALS!$K:$K,C$307,DEALS!$M:$M,$B312,DEALS!$N:$N,"&lt;&gt;*RECEIVED*",DEALS!$N:$N,"&lt;&gt;*EXECUTED*"))+SUM(SUMIFS(DEALS!$R:$R,DEALS!$A:$A,{"*REFUND*","*EXECUTED*"},DEALS!$O:$O,$B$303,DEALS!$E:$E,"&lt;"&amp;$C$305,DEALS!$S:$S,C$307,DEALS!$U:$U,$B312,DEALS!$V:$V,"&lt;&gt;*RECEIVED*",DEALS!$V:$V,"&lt;&gt;*EXECUTED*"))</f>
        <v>0</v>
      </c>
      <c r="D312" s="29" cm="1">
        <f t="array" ref="D312">SUMIFS(BALANCES!$C:$C,BALANCES!$A:$A,$B$303,BALANCES!$B:$B,$B312,BALANCES!$D:$D,D$307)+SUMIFS(FLOWS!$C:$C,FLOWS!$A:$A,$B$303,FLOWS!$E:$E,$B312,FLOWS!$D:$D,D$307,FLOWS!$H:$H,"&lt;"&amp;$C$305)+SUM(SUMIFS(DEALS!$J:$J,DEALS!$A:$A,{"*REFUND*","*EXECUTED*"},DEALS!$G:$G,$B$303,DEALS!$E:$E,"&lt;"&amp;$C$305,DEALS!$K:$K,D$307,DEALS!$M:$M,$B312,DEALS!$N:$N,"&lt;&gt;*RECEIVED*",DEALS!$N:$N,"&lt;&gt;*EXECUTED*"))+SUM(SUMIFS(DEALS!$R:$R,DEALS!$A:$A,{"*REFUND*","*EXECUTED*"},DEALS!$O:$O,$B$303,DEALS!$E:$E,"&lt;"&amp;$C$305,DEALS!$S:$S,D$307,DEALS!$U:$U,$B312,DEALS!$V:$V,"&lt;&gt;*RECEIVED*",DEALS!$V:$V,"&lt;&gt;*EXECUTED*"))</f>
        <v>0</v>
      </c>
      <c r="E312" s="29" cm="1">
        <f t="array" ref="E312">SUMIFS(BALANCES!$C:$C,BALANCES!$A:$A,$B$303,BALANCES!$B:$B,$B312,BALANCES!$D:$D,E$307)+SUMIFS(FLOWS!$C:$C,FLOWS!$A:$A,$B$303,FLOWS!$E:$E,$B312,FLOWS!$D:$D,E$307,FLOWS!$H:$H,"&lt;"&amp;$C$305)+SUM(SUMIFS(DEALS!$J:$J,DEALS!$A:$A,{"*REFUND*","*EXECUTED*"},DEALS!$G:$G,$B$303,DEALS!$E:$E,"&lt;"&amp;$C$305,DEALS!$K:$K,E$307,DEALS!$M:$M,$B312,DEALS!$N:$N,"&lt;&gt;*RECEIVED*",DEALS!$N:$N,"&lt;&gt;*EXECUTED*"))+SUM(SUMIFS(DEALS!$R:$R,DEALS!$A:$A,{"*REFUND*","*EXECUTED*"},DEALS!$O:$O,$B$303,DEALS!$E:$E,"&lt;"&amp;$C$305,DEALS!$S:$S,E$307,DEALS!$U:$U,$B312,DEALS!$V:$V,"&lt;&gt;*RECEIVED*",DEALS!$V:$V,"&lt;&gt;*EXECUTED*"))</f>
        <v>0</v>
      </c>
      <c r="F312" s="29" cm="1">
        <f t="array" ref="F312">SUMIFS(BALANCES!$C:$C,BALANCES!$A:$A,$B$303,BALANCES!$B:$B,$B312,BALANCES!$D:$D,F$307)+SUMIFS(FLOWS!$C:$C,FLOWS!$A:$A,$B$303,FLOWS!$E:$E,$B312,FLOWS!$D:$D,F$307,FLOWS!$H:$H,"&lt;"&amp;$C$305)+SUM(SUMIFS(DEALS!$J:$J,DEALS!$A:$A,{"*REFUND*","*EXECUTED*"},DEALS!$G:$G,$B$303,DEALS!$E:$E,"&lt;"&amp;$C$305,DEALS!$K:$K,F$307,DEALS!$M:$M,$B312,DEALS!$N:$N,"&lt;&gt;*RECEIVED*",DEALS!$N:$N,"&lt;&gt;*EXECUTED*"))+SUM(SUMIFS(DEALS!$R:$R,DEALS!$A:$A,{"*REFUND*","*EXECUTED*"},DEALS!$O:$O,$B$303,DEALS!$E:$E,"&lt;"&amp;$C$305,DEALS!$S:$S,F$307,DEALS!$U:$U,$B312,DEALS!$V:$V,"&lt;&gt;*RECEIVED*",DEALS!$V:$V,"&lt;&gt;*EXECUTED*"))</f>
        <v>0</v>
      </c>
      <c r="G312" s="29" cm="1">
        <f t="array" ref="G312">SUMIFS(BALANCES!$C:$C,BALANCES!$A:$A,$B$303,BALANCES!$B:$B,$B312,BALANCES!$D:$D,G$307)+SUMIFS(FLOWS!$C:$C,FLOWS!$A:$A,$B$303,FLOWS!$E:$E,$B312,FLOWS!$D:$D,G$307,FLOWS!$H:$H,"&lt;"&amp;$C$305)+SUM(SUMIFS(DEALS!$J:$J,DEALS!$A:$A,{"*REFUND*","*EXECUTED*"},DEALS!$G:$G,$B$303,DEALS!$E:$E,"&lt;"&amp;$C$305,DEALS!$K:$K,G$307,DEALS!$M:$M,$B312,DEALS!$N:$N,"&lt;&gt;*RECEIVED*",DEALS!$N:$N,"&lt;&gt;*EXECUTED*"))+SUM(SUMIFS(DEALS!$R:$R,DEALS!$A:$A,{"*REFUND*","*EXECUTED*"},DEALS!$O:$O,$B$303,DEALS!$E:$E,"&lt;"&amp;$C$305,DEALS!$S:$S,G$307,DEALS!$U:$U,$B312,DEALS!$V:$V,"&lt;&gt;*RECEIVED*",DEALS!$V:$V,"&lt;&gt;*EXECUTED*"))</f>
        <v>0</v>
      </c>
      <c r="H312" s="29" cm="1">
        <f t="array" ref="H312">SUMIFS(BALANCES!$C:$C,BALANCES!$A:$A,$B$303,BALANCES!$B:$B,$B312,BALANCES!$D:$D,H$307)+SUMIFS(FLOWS!$C:$C,FLOWS!$A:$A,$B$303,FLOWS!$E:$E,$B312,FLOWS!$D:$D,H$307,FLOWS!$H:$H,"&lt;"&amp;$C$305)+SUM(SUMIFS(DEALS!$J:$J,DEALS!$A:$A,{"*REFUND*","*EXECUTED*"},DEALS!$G:$G,$B$303,DEALS!$E:$E,"&lt;"&amp;$C$305,DEALS!$K:$K,H$307,DEALS!$M:$M,$B312,DEALS!$N:$N,"&lt;&gt;*RECEIVED*",DEALS!$N:$N,"&lt;&gt;*EXECUTED*"))+SUM(SUMIFS(DEALS!$R:$R,DEALS!$A:$A,{"*REFUND*","*EXECUTED*"},DEALS!$O:$O,$B$303,DEALS!$E:$E,"&lt;"&amp;$C$305,DEALS!$S:$S,H$307,DEALS!$U:$U,$B312,DEALS!$V:$V,"&lt;&gt;*RECEIVED*",DEALS!$V:$V,"&lt;&gt;*EXECUTED*"))</f>
        <v>0</v>
      </c>
      <c r="I312" s="30">
        <f ca="1">C312*VLOOKUP(C$307,'FX RATES'!$E$1:$F$50,2,FALSE)+D312*VLOOKUP(D$307,'FX RATES'!$E$1:$F$50,2,FALSE)+E312*VLOOKUP(E$307,'FX RATES'!$E$1:$F$50,2,FALSE)+F312*VLOOKUP(F$307,'FX RATES'!$E$1:$F$50,2,FALSE)+G312*VLOOKUP(G$307,'FX RATES'!$E$1:$F$50,2,FALSE)+H312*VLOOKUP(H$307,'FX RATES'!$E$1:$F$50,2,FALSE)</f>
        <v>0</v>
      </c>
      <c r="K312" s="28">
        <f t="shared" si="132"/>
        <v>0</v>
      </c>
      <c r="L312" s="29" cm="1">
        <f t="array" ref="L312">SUMIFS(FLOWS!$C:$C,FLOWS!$A:$A,$B$303,FLOWS!$E:$E,$K312,FLOWS!$D:$D,L$307,FLOWS!$H:$H,"&gt;="&amp;$C$305,FLOWS!$H:$H,"&lt;="&amp;$U$305)+SUM(SUMIFS(DEALS!$J:$J,DEALS!$A:$A,{"*REFUND*","*EXECUTED*"},DEALS!$G:$G,$B$303,DEALS!$E:$E,"&gt;="&amp;$C$305,DEALS!$E:$E,"&lt;="&amp;$U$305,DEALS!$K:$K,L$307,DEALS!$M:$M,$K312,DEALS!$N:$N,"&lt;&gt;*RECEIVED*",DEALS!$N:$N,"&lt;&gt;*EXECUTED*"))+SUM(SUMIFS(DEALS!$R:$R,DEALS!$A:$A,{"*REFUND*","*EXECUTED*"},DEALS!$O:$O,$B$303,DEALS!$E:$E,"&gt;="&amp;$C$305,DEALS!$E:$E,"&lt;="&amp;$U$305,DEALS!$S:$S,L$307,DEALS!$U:$U,$K312,DEALS!$V:$V,"&lt;&gt;*RECEIVED*",DEALS!$V:$V,"&lt;&gt;*EXECUTED*"))</f>
        <v>0</v>
      </c>
      <c r="M312" s="29" cm="1">
        <f t="array" ref="M312">SUMIFS(FLOWS!$C:$C,FLOWS!$A:$A,$B$303,FLOWS!$E:$E,$K312,FLOWS!$D:$D,M$307,FLOWS!$H:$H,"&gt;="&amp;$C$305,FLOWS!$H:$H,"&lt;="&amp;$U$305)+SUM(SUMIFS(DEALS!$J:$J,DEALS!$A:$A,{"*REFUND*","*EXECUTED*"},DEALS!$G:$G,$B$303,DEALS!$E:$E,"&gt;="&amp;$C$305,DEALS!$E:$E,"&lt;="&amp;$U$305,DEALS!$K:$K,M$307,DEALS!$M:$M,$K312,DEALS!$N:$N,"&lt;&gt;*RECEIVED*",DEALS!$N:$N,"&lt;&gt;*EXECUTED*"))+SUM(SUMIFS(DEALS!$R:$R,DEALS!$A:$A,{"*REFUND*","*EXECUTED*"},DEALS!$O:$O,$B$303,DEALS!$E:$E,"&gt;="&amp;$C$305,DEALS!$E:$E,"&lt;="&amp;$U$305,DEALS!$S:$S,M$307,DEALS!$U:$U,$K312,DEALS!$V:$V,"&lt;&gt;*RECEIVED*",DEALS!$V:$V,"&lt;&gt;*EXECUTED*"))</f>
        <v>0</v>
      </c>
      <c r="N312" s="29" cm="1">
        <f t="array" ref="N312">SUMIFS(FLOWS!$C:$C,FLOWS!$A:$A,$B$303,FLOWS!$E:$E,$K312,FLOWS!$D:$D,N$307,FLOWS!$H:$H,"&gt;="&amp;$C$305,FLOWS!$H:$H,"&lt;="&amp;$U$305)+SUM(SUMIFS(DEALS!$J:$J,DEALS!$A:$A,{"*REFUND*","*EXECUTED*"},DEALS!$G:$G,$B$303,DEALS!$E:$E,"&gt;="&amp;$C$305,DEALS!$E:$E,"&lt;="&amp;$U$305,DEALS!$K:$K,N$307,DEALS!$M:$M,$K312,DEALS!$N:$N,"&lt;&gt;*RECEIVED*",DEALS!$N:$N,"&lt;&gt;*EXECUTED*"))+SUM(SUMIFS(DEALS!$R:$R,DEALS!$A:$A,{"*REFUND*","*EXECUTED*"},DEALS!$O:$O,$B$303,DEALS!$E:$E,"&gt;="&amp;$C$305,DEALS!$E:$E,"&lt;="&amp;$U$305,DEALS!$S:$S,N$307,DEALS!$U:$U,$K312,DEALS!$V:$V,"&lt;&gt;*RECEIVED*",DEALS!$V:$V,"&lt;&gt;*EXECUTED*"))</f>
        <v>0</v>
      </c>
      <c r="O312" s="29" cm="1">
        <f t="array" ref="O312">SUMIFS(FLOWS!$C:$C,FLOWS!$A:$A,$B$303,FLOWS!$E:$E,$K312,FLOWS!$D:$D,O$307,FLOWS!$H:$H,"&gt;="&amp;$C$305,FLOWS!$H:$H,"&lt;="&amp;$U$305)+SUM(SUMIFS(DEALS!$J:$J,DEALS!$A:$A,{"*REFUND*","*EXECUTED*"},DEALS!$G:$G,$B$303,DEALS!$E:$E,"&gt;="&amp;$C$305,DEALS!$E:$E,"&lt;="&amp;$U$305,DEALS!$K:$K,O$307,DEALS!$M:$M,$K312,DEALS!$N:$N,"&lt;&gt;*RECEIVED*",DEALS!$N:$N,"&lt;&gt;*EXECUTED*"))+SUM(SUMIFS(DEALS!$R:$R,DEALS!$A:$A,{"*REFUND*","*EXECUTED*"},DEALS!$O:$O,$B$303,DEALS!$E:$E,"&gt;="&amp;$C$305,DEALS!$E:$E,"&lt;="&amp;$U$305,DEALS!$S:$S,O$307,DEALS!$U:$U,$K312,DEALS!$V:$V,"&lt;&gt;*RECEIVED*",DEALS!$V:$V,"&lt;&gt;*EXECUTED*"))</f>
        <v>0</v>
      </c>
      <c r="P312" s="29" cm="1">
        <f t="array" ref="P312">SUMIFS(FLOWS!$C:$C,FLOWS!$A:$A,$B$303,FLOWS!$E:$E,$K312,FLOWS!$D:$D,P$307,FLOWS!$H:$H,"&gt;="&amp;$C$305,FLOWS!$H:$H,"&lt;="&amp;$U$305)+SUM(SUMIFS(DEALS!$J:$J,DEALS!$A:$A,{"*REFUND*","*EXECUTED*"},DEALS!$G:$G,$B$303,DEALS!$E:$E,"&gt;="&amp;$C$305,DEALS!$E:$E,"&lt;="&amp;$U$305,DEALS!$K:$K,P$307,DEALS!$M:$M,$K312,DEALS!$N:$N,"&lt;&gt;*RECEIVED*",DEALS!$N:$N,"&lt;&gt;*EXECUTED*"))+SUM(SUMIFS(DEALS!$R:$R,DEALS!$A:$A,{"*REFUND*","*EXECUTED*"},DEALS!$O:$O,$B$303,DEALS!$E:$E,"&gt;="&amp;$C$305,DEALS!$E:$E,"&lt;="&amp;$U$305,DEALS!$S:$S,P$307,DEALS!$U:$U,$K312,DEALS!$V:$V,"&lt;&gt;*RECEIVED*",DEALS!$V:$V,"&lt;&gt;*EXECUTED*"))</f>
        <v>0</v>
      </c>
      <c r="Q312" s="29" cm="1">
        <f t="array" ref="Q312">SUMIFS(FLOWS!$C:$C,FLOWS!$A:$A,$B$303,FLOWS!$E:$E,$K312,FLOWS!$D:$D,Q$307,FLOWS!$H:$H,"&gt;="&amp;$C$305,FLOWS!$H:$H,"&lt;="&amp;$U$305)+SUM(SUMIFS(DEALS!$J:$J,DEALS!$A:$A,{"*REFUND*","*EXECUTED*"},DEALS!$G:$G,$B$303,DEALS!$E:$E,"&gt;="&amp;$C$305,DEALS!$E:$E,"&lt;="&amp;$U$305,DEALS!$K:$K,Q$307,DEALS!$M:$M,$K312,DEALS!$N:$N,"&lt;&gt;*RECEIVED*",DEALS!$N:$N,"&lt;&gt;*EXECUTED*"))+SUM(SUMIFS(DEALS!$R:$R,DEALS!$A:$A,{"*REFUND*","*EXECUTED*"},DEALS!$O:$O,$B$303,DEALS!$E:$E,"&gt;="&amp;$C$305,DEALS!$E:$E,"&lt;="&amp;$U$305,DEALS!$S:$S,Q$307,DEALS!$U:$U,$K312,DEALS!$V:$V,"&lt;&gt;*RECEIVED*",DEALS!$V:$V,"&lt;&gt;*EXECUTED*"))</f>
        <v>0</v>
      </c>
      <c r="R312" s="30">
        <f ca="1">L312*VLOOKUP(L$307,'FX RATES'!$E$1:$F$50,2,FALSE)+M312*VLOOKUP(M$307,'FX RATES'!$E$1:$F$50,2,FALSE)+N312*VLOOKUP(N$307,'FX RATES'!$E$1:$F$50,2,FALSE)+O312*VLOOKUP(O$307,'FX RATES'!$E$1:$F$50,2,FALSE)+P312*VLOOKUP(P$307,'FX RATES'!$E$1:$F$50,2,FALSE)+Q312*VLOOKUP(Q$307,'FX RATES'!$E$1:$F$50,2,FALSE)</f>
        <v>0</v>
      </c>
      <c r="T312" s="28">
        <f t="shared" si="133"/>
        <v>0</v>
      </c>
      <c r="U312" s="29" cm="1">
        <f t="array" ref="U312">SUMIFS(BALANCES!$C:$C,BALANCES!$A:$A,$B$303,BALANCES!$B:$B,$T312,BALANCES!$D:$D,U$307)+SUMIFS(FLOWS!$C:$C,FLOWS!$A:$A,$B$303,FLOWS!$E:$E,$T312,FLOWS!$D:$D,U$307,FLOWS!$H:$H,"&lt;="&amp;$U$305)+SUM(SUMIFS(DEALS!$J:$J,DEALS!$A:$A,{"*REFUND*","*EXECUTED*"},DEALS!$G:$G,$B$303,DEALS!$E:$E,"&lt;="&amp;$U$305,DEALS!$K:$K,U$307,DEALS!$M:$M,$T312,DEALS!$N:$N,"&lt;&gt;*RECEIVED*",DEALS!$N:$N,"&lt;&gt;*EXECUTED*"))+SUM(SUMIFS(DEALS!$R:$R,DEALS!$A:$A,{"*REFUND*","*EXECUTED*"},DEALS!$O:$O,$B$303,DEALS!$E:$E,"&lt;="&amp;$U$305,DEALS!$S:$S,U$307,DEALS!$U:$U,$T312,DEALS!$V:$V,"&lt;&gt;*RECEIVED*",DEALS!$V:$V,"&lt;&gt;*EXECUTED*"))</f>
        <v>0</v>
      </c>
      <c r="V312" s="29" cm="1">
        <f t="array" ref="V312">SUMIFS(BALANCES!$C:$C,BALANCES!$A:$A,$B$303,BALANCES!$B:$B,$T312,BALANCES!$D:$D,V$307)+SUMIFS(FLOWS!$C:$C,FLOWS!$A:$A,$B$303,FLOWS!$E:$E,$T312,FLOWS!$D:$D,V$307,FLOWS!$H:$H,"&lt;="&amp;$U$305)+SUM(SUMIFS(DEALS!$J:$J,DEALS!$A:$A,{"*REFUND*","*EXECUTED*"},DEALS!$G:$G,$B$303,DEALS!$E:$E,"&lt;="&amp;$U$305,DEALS!$K:$K,V$307,DEALS!$M:$M,$T312,DEALS!$N:$N,"&lt;&gt;*RECEIVED*",DEALS!$N:$N,"&lt;&gt;*EXECUTED*"))+SUM(SUMIFS(DEALS!$R:$R,DEALS!$A:$A,{"*REFUND*","*EXECUTED*"},DEALS!$O:$O,$B$303,DEALS!$E:$E,"&lt;="&amp;$U$305,DEALS!$S:$S,V$307,DEALS!$U:$U,$T312,DEALS!$V:$V,"&lt;&gt;*RECEIVED*",DEALS!$V:$V,"&lt;&gt;*EXECUTED*"))</f>
        <v>0</v>
      </c>
      <c r="W312" s="29" cm="1">
        <f t="array" ref="W312">SUMIFS(BALANCES!$C:$C,BALANCES!$A:$A,$B$303,BALANCES!$B:$B,$T312,BALANCES!$D:$D,W$307)+SUMIFS(FLOWS!$C:$C,FLOWS!$A:$A,$B$303,FLOWS!$E:$E,$T312,FLOWS!$D:$D,W$307,FLOWS!$H:$H,"&lt;="&amp;$U$305)+SUM(SUMIFS(DEALS!$J:$J,DEALS!$A:$A,{"*REFUND*","*EXECUTED*"},DEALS!$G:$G,$B$303,DEALS!$E:$E,"&lt;="&amp;$U$305,DEALS!$K:$K,W$307,DEALS!$M:$M,$T312,DEALS!$N:$N,"&lt;&gt;*RECEIVED*",DEALS!$N:$N,"&lt;&gt;*EXECUTED*"))+SUM(SUMIFS(DEALS!$R:$R,DEALS!$A:$A,{"*REFUND*","*EXECUTED*"},DEALS!$O:$O,$B$303,DEALS!$E:$E,"&lt;="&amp;$U$305,DEALS!$S:$S,W$307,DEALS!$U:$U,$T312,DEALS!$V:$V,"&lt;&gt;*RECEIVED*",DEALS!$V:$V,"&lt;&gt;*EXECUTED*"))</f>
        <v>0</v>
      </c>
      <c r="X312" s="29" cm="1">
        <f t="array" ref="X312">SUMIFS(BALANCES!$C:$C,BALANCES!$A:$A,$B$303,BALANCES!$B:$B,$T312,BALANCES!$D:$D,X$307)+SUMIFS(FLOWS!$C:$C,FLOWS!$A:$A,$B$303,FLOWS!$E:$E,$T312,FLOWS!$D:$D,X$307,FLOWS!$H:$H,"&lt;="&amp;$U$305)+SUM(SUMIFS(DEALS!$J:$J,DEALS!$A:$A,{"*REFUND*","*EXECUTED*"},DEALS!$G:$G,$B$303,DEALS!$E:$E,"&lt;="&amp;$U$305,DEALS!$K:$K,X$307,DEALS!$M:$M,$T312,DEALS!$N:$N,"&lt;&gt;*RECEIVED*",DEALS!$N:$N,"&lt;&gt;*EXECUTED*"))+SUM(SUMIFS(DEALS!$R:$R,DEALS!$A:$A,{"*REFUND*","*EXECUTED*"},DEALS!$O:$O,$B$303,DEALS!$E:$E,"&lt;="&amp;$U$305,DEALS!$S:$S,X$307,DEALS!$U:$U,$T312,DEALS!$V:$V,"&lt;&gt;*RECEIVED*",DEALS!$V:$V,"&lt;&gt;*EXECUTED*"))</f>
        <v>0</v>
      </c>
      <c r="Y312" s="29" cm="1">
        <f t="array" ref="Y312">SUMIFS(BALANCES!$C:$C,BALANCES!$A:$A,$B$303,BALANCES!$B:$B,$T312,BALANCES!$D:$D,Y$307)+SUMIFS(FLOWS!$C:$C,FLOWS!$A:$A,$B$303,FLOWS!$E:$E,$T312,FLOWS!$D:$D,Y$307,FLOWS!$H:$H,"&lt;="&amp;$U$305)+SUM(SUMIFS(DEALS!$J:$J,DEALS!$A:$A,{"*REFUND*","*EXECUTED*"},DEALS!$G:$G,$B$303,DEALS!$E:$E,"&lt;="&amp;$U$305,DEALS!$K:$K,Y$307,DEALS!$M:$M,$T312,DEALS!$N:$N,"&lt;&gt;*RECEIVED*",DEALS!$N:$N,"&lt;&gt;*EXECUTED*"))+SUM(SUMIFS(DEALS!$R:$R,DEALS!$A:$A,{"*REFUND*","*EXECUTED*"},DEALS!$O:$O,$B$303,DEALS!$E:$E,"&lt;="&amp;$U$305,DEALS!$S:$S,Y$307,DEALS!$U:$U,$T312,DEALS!$V:$V,"&lt;&gt;*RECEIVED*",DEALS!$V:$V,"&lt;&gt;*EXECUTED*"))</f>
        <v>0</v>
      </c>
      <c r="Z312" s="29" cm="1">
        <f t="array" ref="Z312">SUMIFS(BALANCES!$C:$C,BALANCES!$A:$A,$B$303,BALANCES!$B:$B,$T312,BALANCES!$D:$D,Z$307)+SUMIFS(FLOWS!$C:$C,FLOWS!$A:$A,$B$303,FLOWS!$E:$E,$T312,FLOWS!$D:$D,Z$307,FLOWS!$H:$H,"&lt;="&amp;$U$305)+SUM(SUMIFS(DEALS!$J:$J,DEALS!$A:$A,{"*REFUND*","*EXECUTED*"},DEALS!$G:$G,$B$303,DEALS!$E:$E,"&lt;="&amp;$U$305,DEALS!$K:$K,Z$307,DEALS!$M:$M,$T312,DEALS!$N:$N,"&lt;&gt;*RECEIVED*",DEALS!$N:$N,"&lt;&gt;*EXECUTED*"))+SUM(SUMIFS(DEALS!$R:$R,DEALS!$A:$A,{"*REFUND*","*EXECUTED*"},DEALS!$O:$O,$B$303,DEALS!$E:$E,"&lt;="&amp;$U$305,DEALS!$S:$S,Z$307,DEALS!$U:$U,$T312,DEALS!$V:$V,"&lt;&gt;*RECEIVED*",DEALS!$V:$V,"&lt;&gt;*EXECUTED*"))</f>
        <v>0</v>
      </c>
      <c r="AA312" s="30">
        <f ca="1">U312*VLOOKUP(U$307,'FX RATES'!$E$1:$F$50,2,FALSE)+V312*VLOOKUP(V$307,'FX RATES'!$E$1:$F$50,2,FALSE)+W312*VLOOKUP(W$307,'FX RATES'!$E$1:$F$50,2,FALSE)+X312*VLOOKUP(X$307,'FX RATES'!$E$1:$F$50,2,FALSE)+Y312*VLOOKUP(Y$307,'FX RATES'!$E$1:$F$50,2,FALSE)+Z312*VLOOKUP(Z$307,'FX RATES'!$E$1:$F$50,2,FALSE)</f>
        <v>0</v>
      </c>
      <c r="AC312" s="139">
        <f t="shared" ca="1" si="134"/>
        <v>0</v>
      </c>
    </row>
    <row r="313" spans="2:29" ht="18.75" hidden="1" customHeight="1">
      <c r="B313" s="31"/>
      <c r="C313" s="32" cm="1">
        <f t="array" ref="C313">SUMIFS(BALANCES!$C:$C,BALANCES!$A:$A,$B$303,BALANCES!$B:$B,$B313,BALANCES!$D:$D,C$307)+SUMIFS(FLOWS!$C:$C,FLOWS!$A:$A,$B$303,FLOWS!$E:$E,$B313,FLOWS!$D:$D,C$307,FLOWS!$H:$H,"&lt;"&amp;$C$305)+SUM(SUMIFS(DEALS!$J:$J,DEALS!$A:$A,{"*REFUND*","*EXECUTED*"},DEALS!$G:$G,$B$303,DEALS!$E:$E,"&lt;"&amp;$C$305,DEALS!$K:$K,C$307,DEALS!$M:$M,$B313,DEALS!$N:$N,"&lt;&gt;*RECEIVED*",DEALS!$N:$N,"&lt;&gt;*EXECUTED*"))+SUM(SUMIFS(DEALS!$R:$R,DEALS!$A:$A,{"*REFUND*","*EXECUTED*"},DEALS!$O:$O,$B$303,DEALS!$E:$E,"&lt;"&amp;$C$305,DEALS!$S:$S,C$307,DEALS!$U:$U,$B313,DEALS!$V:$V,"&lt;&gt;*RECEIVED*",DEALS!$V:$V,"&lt;&gt;*EXECUTED*"))</f>
        <v>0</v>
      </c>
      <c r="D313" s="32" cm="1">
        <f t="array" ref="D313">SUMIFS(BALANCES!$C:$C,BALANCES!$A:$A,$B$303,BALANCES!$B:$B,$B313,BALANCES!$D:$D,D$307)+SUMIFS(FLOWS!$C:$C,FLOWS!$A:$A,$B$303,FLOWS!$E:$E,$B313,FLOWS!$D:$D,D$307,FLOWS!$H:$H,"&lt;"&amp;$C$305)+SUM(SUMIFS(DEALS!$J:$J,DEALS!$A:$A,{"*REFUND*","*EXECUTED*"},DEALS!$G:$G,$B$303,DEALS!$E:$E,"&lt;"&amp;$C$305,DEALS!$K:$K,D$307,DEALS!$M:$M,$B313,DEALS!$N:$N,"&lt;&gt;*RECEIVED*",DEALS!$N:$N,"&lt;&gt;*EXECUTED*"))+SUM(SUMIFS(DEALS!$R:$R,DEALS!$A:$A,{"*REFUND*","*EXECUTED*"},DEALS!$O:$O,$B$303,DEALS!$E:$E,"&lt;"&amp;$C$305,DEALS!$S:$S,D$307,DEALS!$U:$U,$B313,DEALS!$V:$V,"&lt;&gt;*RECEIVED*",DEALS!$V:$V,"&lt;&gt;*EXECUTED*"))</f>
        <v>0</v>
      </c>
      <c r="E313" s="32" cm="1">
        <f t="array" ref="E313">SUMIFS(BALANCES!$C:$C,BALANCES!$A:$A,$B$303,BALANCES!$B:$B,$B313,BALANCES!$D:$D,E$307)+SUMIFS(FLOWS!$C:$C,FLOWS!$A:$A,$B$303,FLOWS!$E:$E,$B313,FLOWS!$D:$D,E$307,FLOWS!$H:$H,"&lt;"&amp;$C$305)+SUM(SUMIFS(DEALS!$J:$J,DEALS!$A:$A,{"*REFUND*","*EXECUTED*"},DEALS!$G:$G,$B$303,DEALS!$E:$E,"&lt;"&amp;$C$305,DEALS!$K:$K,E$307,DEALS!$M:$M,$B313,DEALS!$N:$N,"&lt;&gt;*RECEIVED*",DEALS!$N:$N,"&lt;&gt;*EXECUTED*"))+SUM(SUMIFS(DEALS!$R:$R,DEALS!$A:$A,{"*REFUND*","*EXECUTED*"},DEALS!$O:$O,$B$303,DEALS!$E:$E,"&lt;"&amp;$C$305,DEALS!$S:$S,E$307,DEALS!$U:$U,$B313,DEALS!$V:$V,"&lt;&gt;*RECEIVED*",DEALS!$V:$V,"&lt;&gt;*EXECUTED*"))</f>
        <v>0</v>
      </c>
      <c r="F313" s="32" cm="1">
        <f t="array" ref="F313">SUMIFS(BALANCES!$C:$C,BALANCES!$A:$A,$B$303,BALANCES!$B:$B,$B313,BALANCES!$D:$D,F$307)+SUMIFS(FLOWS!$C:$C,FLOWS!$A:$A,$B$303,FLOWS!$E:$E,$B313,FLOWS!$D:$D,F$307,FLOWS!$H:$H,"&lt;"&amp;$C$305)+SUM(SUMIFS(DEALS!$J:$J,DEALS!$A:$A,{"*REFUND*","*EXECUTED*"},DEALS!$G:$G,$B$303,DEALS!$E:$E,"&lt;"&amp;$C$305,DEALS!$K:$K,F$307,DEALS!$M:$M,$B313,DEALS!$N:$N,"&lt;&gt;*RECEIVED*",DEALS!$N:$N,"&lt;&gt;*EXECUTED*"))+SUM(SUMIFS(DEALS!$R:$R,DEALS!$A:$A,{"*REFUND*","*EXECUTED*"},DEALS!$O:$O,$B$303,DEALS!$E:$E,"&lt;"&amp;$C$305,DEALS!$S:$S,F$307,DEALS!$U:$U,$B313,DEALS!$V:$V,"&lt;&gt;*RECEIVED*",DEALS!$V:$V,"&lt;&gt;*EXECUTED*"))</f>
        <v>0</v>
      </c>
      <c r="G313" s="32" cm="1">
        <f t="array" ref="G313">SUMIFS(BALANCES!$C:$C,BALANCES!$A:$A,$B$303,BALANCES!$B:$B,$B313,BALANCES!$D:$D,G$307)+SUMIFS(FLOWS!$C:$C,FLOWS!$A:$A,$B$303,FLOWS!$E:$E,$B313,FLOWS!$D:$D,G$307,FLOWS!$H:$H,"&lt;"&amp;$C$305)+SUM(SUMIFS(DEALS!$J:$J,DEALS!$A:$A,{"*REFUND*","*EXECUTED*"},DEALS!$G:$G,$B$303,DEALS!$E:$E,"&lt;"&amp;$C$305,DEALS!$K:$K,G$307,DEALS!$M:$M,$B313,DEALS!$N:$N,"&lt;&gt;*RECEIVED*",DEALS!$N:$N,"&lt;&gt;*EXECUTED*"))+SUM(SUMIFS(DEALS!$R:$R,DEALS!$A:$A,{"*REFUND*","*EXECUTED*"},DEALS!$O:$O,$B$303,DEALS!$E:$E,"&lt;"&amp;$C$305,DEALS!$S:$S,G$307,DEALS!$U:$U,$B313,DEALS!$V:$V,"&lt;&gt;*RECEIVED*",DEALS!$V:$V,"&lt;&gt;*EXECUTED*"))</f>
        <v>0</v>
      </c>
      <c r="H313" s="32" cm="1">
        <f t="array" ref="H313">SUMIFS(BALANCES!$C:$C,BALANCES!$A:$A,$B$303,BALANCES!$B:$B,$B313,BALANCES!$D:$D,H$307)+SUMIFS(FLOWS!$C:$C,FLOWS!$A:$A,$B$303,FLOWS!$E:$E,$B313,FLOWS!$D:$D,H$307,FLOWS!$H:$H,"&lt;"&amp;$C$305)+SUM(SUMIFS(DEALS!$J:$J,DEALS!$A:$A,{"*REFUND*","*EXECUTED*"},DEALS!$G:$G,$B$303,DEALS!$E:$E,"&lt;"&amp;$C$305,DEALS!$K:$K,H$307,DEALS!$M:$M,$B313,DEALS!$N:$N,"&lt;&gt;*RECEIVED*",DEALS!$N:$N,"&lt;&gt;*EXECUTED*"))+SUM(SUMIFS(DEALS!$R:$R,DEALS!$A:$A,{"*REFUND*","*EXECUTED*"},DEALS!$O:$O,$B$303,DEALS!$E:$E,"&lt;"&amp;$C$305,DEALS!$S:$S,H$307,DEALS!$U:$U,$B313,DEALS!$V:$V,"&lt;&gt;*RECEIVED*",DEALS!$V:$V,"&lt;&gt;*EXECUTED*"))</f>
        <v>0</v>
      </c>
      <c r="I313" s="33">
        <f ca="1">C313*VLOOKUP(C$307,'FX RATES'!$E$1:$F$50,2,FALSE)+D313*VLOOKUP(D$307,'FX RATES'!$E$1:$F$50,2,FALSE)+E313*VLOOKUP(E$307,'FX RATES'!$E$1:$F$50,2,FALSE)+F313*VLOOKUP(F$307,'FX RATES'!$E$1:$F$50,2,FALSE)+G313*VLOOKUP(G$307,'FX RATES'!$E$1:$F$50,2,FALSE)+H313*VLOOKUP(H$307,'FX RATES'!$E$1:$F$50,2,FALSE)</f>
        <v>0</v>
      </c>
      <c r="K313" s="31">
        <f t="shared" si="132"/>
        <v>0</v>
      </c>
      <c r="L313" s="32" cm="1">
        <f t="array" ref="L313">SUMIFS(FLOWS!$C:$C,FLOWS!$A:$A,$B$303,FLOWS!$E:$E,$K313,FLOWS!$D:$D,L$307,FLOWS!$H:$H,"&gt;="&amp;$C$305,FLOWS!$H:$H,"&lt;="&amp;$U$305)+SUM(SUMIFS(DEALS!$J:$J,DEALS!$A:$A,{"*REFUND*","*EXECUTED*"},DEALS!$G:$G,$B$303,DEALS!$E:$E,"&gt;="&amp;$C$305,DEALS!$E:$E,"&lt;="&amp;$U$305,DEALS!$K:$K,L$307,DEALS!$M:$M,$K313,DEALS!$N:$N,"&lt;&gt;*RECEIVED*",DEALS!$N:$N,"&lt;&gt;*EXECUTED*"))+SUM(SUMIFS(DEALS!$R:$R,DEALS!$A:$A,{"*REFUND*","*EXECUTED*"},DEALS!$O:$O,$B$303,DEALS!$E:$E,"&gt;="&amp;$C$305,DEALS!$E:$E,"&lt;="&amp;$U$305,DEALS!$S:$S,L$307,DEALS!$U:$U,$K313,DEALS!$V:$V,"&lt;&gt;*RECEIVED*",DEALS!$V:$V,"&lt;&gt;*EXECUTED*"))</f>
        <v>0</v>
      </c>
      <c r="M313" s="32" cm="1">
        <f t="array" ref="M313">SUMIFS(FLOWS!$C:$C,FLOWS!$A:$A,$B$303,FLOWS!$E:$E,$K313,FLOWS!$D:$D,M$307,FLOWS!$H:$H,"&gt;="&amp;$C$305,FLOWS!$H:$H,"&lt;="&amp;$U$305)+SUM(SUMIFS(DEALS!$J:$J,DEALS!$A:$A,{"*REFUND*","*EXECUTED*"},DEALS!$G:$G,$B$303,DEALS!$E:$E,"&gt;="&amp;$C$305,DEALS!$E:$E,"&lt;="&amp;$U$305,DEALS!$K:$K,M$307,DEALS!$M:$M,$K313,DEALS!$N:$N,"&lt;&gt;*RECEIVED*",DEALS!$N:$N,"&lt;&gt;*EXECUTED*"))+SUM(SUMIFS(DEALS!$R:$R,DEALS!$A:$A,{"*REFUND*","*EXECUTED*"},DEALS!$O:$O,$B$303,DEALS!$E:$E,"&gt;="&amp;$C$305,DEALS!$E:$E,"&lt;="&amp;$U$305,DEALS!$S:$S,M$307,DEALS!$U:$U,$K313,DEALS!$V:$V,"&lt;&gt;*RECEIVED*",DEALS!$V:$V,"&lt;&gt;*EXECUTED*"))</f>
        <v>0</v>
      </c>
      <c r="N313" s="32" cm="1">
        <f t="array" ref="N313">SUMIFS(FLOWS!$C:$C,FLOWS!$A:$A,$B$303,FLOWS!$E:$E,$K313,FLOWS!$D:$D,N$307,FLOWS!$H:$H,"&gt;="&amp;$C$305,FLOWS!$H:$H,"&lt;="&amp;$U$305)+SUM(SUMIFS(DEALS!$J:$J,DEALS!$A:$A,{"*REFUND*","*EXECUTED*"},DEALS!$G:$G,$B$303,DEALS!$E:$E,"&gt;="&amp;$C$305,DEALS!$E:$E,"&lt;="&amp;$U$305,DEALS!$K:$K,N$307,DEALS!$M:$M,$K313,DEALS!$N:$N,"&lt;&gt;*RECEIVED*",DEALS!$N:$N,"&lt;&gt;*EXECUTED*"))+SUM(SUMIFS(DEALS!$R:$R,DEALS!$A:$A,{"*REFUND*","*EXECUTED*"},DEALS!$O:$O,$B$303,DEALS!$E:$E,"&gt;="&amp;$C$305,DEALS!$E:$E,"&lt;="&amp;$U$305,DEALS!$S:$S,N$307,DEALS!$U:$U,$K313,DEALS!$V:$V,"&lt;&gt;*RECEIVED*",DEALS!$V:$V,"&lt;&gt;*EXECUTED*"))</f>
        <v>0</v>
      </c>
      <c r="O313" s="32" cm="1">
        <f t="array" ref="O313">SUMIFS(FLOWS!$C:$C,FLOWS!$A:$A,$B$303,FLOWS!$E:$E,$K313,FLOWS!$D:$D,O$307,FLOWS!$H:$H,"&gt;="&amp;$C$305,FLOWS!$H:$H,"&lt;="&amp;$U$305)+SUM(SUMIFS(DEALS!$J:$J,DEALS!$A:$A,{"*REFUND*","*EXECUTED*"},DEALS!$G:$G,$B$303,DEALS!$E:$E,"&gt;="&amp;$C$305,DEALS!$E:$E,"&lt;="&amp;$U$305,DEALS!$K:$K,O$307,DEALS!$M:$M,$K313,DEALS!$N:$N,"&lt;&gt;*RECEIVED*",DEALS!$N:$N,"&lt;&gt;*EXECUTED*"))+SUM(SUMIFS(DEALS!$R:$R,DEALS!$A:$A,{"*REFUND*","*EXECUTED*"},DEALS!$O:$O,$B$303,DEALS!$E:$E,"&gt;="&amp;$C$305,DEALS!$E:$E,"&lt;="&amp;$U$305,DEALS!$S:$S,O$307,DEALS!$U:$U,$K313,DEALS!$V:$V,"&lt;&gt;*RECEIVED*",DEALS!$V:$V,"&lt;&gt;*EXECUTED*"))</f>
        <v>0</v>
      </c>
      <c r="P313" s="32" cm="1">
        <f t="array" ref="P313">SUMIFS(FLOWS!$C:$C,FLOWS!$A:$A,$B$303,FLOWS!$E:$E,$K313,FLOWS!$D:$D,P$307,FLOWS!$H:$H,"&gt;="&amp;$C$305,FLOWS!$H:$H,"&lt;="&amp;$U$305)+SUM(SUMIFS(DEALS!$J:$J,DEALS!$A:$A,{"*REFUND*","*EXECUTED*"},DEALS!$G:$G,$B$303,DEALS!$E:$E,"&gt;="&amp;$C$305,DEALS!$E:$E,"&lt;="&amp;$U$305,DEALS!$K:$K,P$307,DEALS!$M:$M,$K313,DEALS!$N:$N,"&lt;&gt;*RECEIVED*",DEALS!$N:$N,"&lt;&gt;*EXECUTED*"))+SUM(SUMIFS(DEALS!$R:$R,DEALS!$A:$A,{"*REFUND*","*EXECUTED*"},DEALS!$O:$O,$B$303,DEALS!$E:$E,"&gt;="&amp;$C$305,DEALS!$E:$E,"&lt;="&amp;$U$305,DEALS!$S:$S,P$307,DEALS!$U:$U,$K313,DEALS!$V:$V,"&lt;&gt;*RECEIVED*",DEALS!$V:$V,"&lt;&gt;*EXECUTED*"))</f>
        <v>0</v>
      </c>
      <c r="Q313" s="32" cm="1">
        <f t="array" ref="Q313">SUMIFS(FLOWS!$C:$C,FLOWS!$A:$A,$B$303,FLOWS!$E:$E,$K313,FLOWS!$D:$D,Q$307,FLOWS!$H:$H,"&gt;="&amp;$C$305,FLOWS!$H:$H,"&lt;="&amp;$U$305)+SUM(SUMIFS(DEALS!$J:$J,DEALS!$A:$A,{"*REFUND*","*EXECUTED*"},DEALS!$G:$G,$B$303,DEALS!$E:$E,"&gt;="&amp;$C$305,DEALS!$E:$E,"&lt;="&amp;$U$305,DEALS!$K:$K,Q$307,DEALS!$M:$M,$K313,DEALS!$N:$N,"&lt;&gt;*RECEIVED*",DEALS!$N:$N,"&lt;&gt;*EXECUTED*"))+SUM(SUMIFS(DEALS!$R:$R,DEALS!$A:$A,{"*REFUND*","*EXECUTED*"},DEALS!$O:$O,$B$303,DEALS!$E:$E,"&gt;="&amp;$C$305,DEALS!$E:$E,"&lt;="&amp;$U$305,DEALS!$S:$S,Q$307,DEALS!$U:$U,$K313,DEALS!$V:$V,"&lt;&gt;*RECEIVED*",DEALS!$V:$V,"&lt;&gt;*EXECUTED*"))</f>
        <v>0</v>
      </c>
      <c r="R313" s="33">
        <f ca="1">L313*VLOOKUP(L$307,'FX RATES'!$E$1:$F$50,2,FALSE)+M313*VLOOKUP(M$307,'FX RATES'!$E$1:$F$50,2,FALSE)+N313*VLOOKUP(N$307,'FX RATES'!$E$1:$F$50,2,FALSE)+O313*VLOOKUP(O$307,'FX RATES'!$E$1:$F$50,2,FALSE)+P313*VLOOKUP(P$307,'FX RATES'!$E$1:$F$50,2,FALSE)+Q313*VLOOKUP(Q$307,'FX RATES'!$E$1:$F$50,2,FALSE)</f>
        <v>0</v>
      </c>
      <c r="T313" s="31">
        <f t="shared" si="133"/>
        <v>0</v>
      </c>
      <c r="U313" s="32" cm="1">
        <f t="array" ref="U313">SUMIFS(BALANCES!$C:$C,BALANCES!$A:$A,$B$303,BALANCES!$B:$B,$T313,BALANCES!$D:$D,U$307)+SUMIFS(FLOWS!$C:$C,FLOWS!$A:$A,$B$303,FLOWS!$E:$E,$T313,FLOWS!$D:$D,U$307,FLOWS!$H:$H,"&lt;="&amp;$U$305)+SUM(SUMIFS(DEALS!$J:$J,DEALS!$A:$A,{"*REFUND*","*EXECUTED*"},DEALS!$G:$G,$B$303,DEALS!$E:$E,"&lt;="&amp;$U$305,DEALS!$K:$K,U$307,DEALS!$M:$M,$T313,DEALS!$N:$N,"&lt;&gt;*RECEIVED*",DEALS!$N:$N,"&lt;&gt;*EXECUTED*"))+SUM(SUMIFS(DEALS!$R:$R,DEALS!$A:$A,{"*REFUND*","*EXECUTED*"},DEALS!$O:$O,$B$303,DEALS!$E:$E,"&lt;="&amp;$U$305,DEALS!$S:$S,U$307,DEALS!$U:$U,$T313,DEALS!$V:$V,"&lt;&gt;*RECEIVED*",DEALS!$V:$V,"&lt;&gt;*EXECUTED*"))</f>
        <v>0</v>
      </c>
      <c r="V313" s="32" cm="1">
        <f t="array" ref="V313">SUMIFS(BALANCES!$C:$C,BALANCES!$A:$A,$B$303,BALANCES!$B:$B,$T313,BALANCES!$D:$D,V$307)+SUMIFS(FLOWS!$C:$C,FLOWS!$A:$A,$B$303,FLOWS!$E:$E,$T313,FLOWS!$D:$D,V$307,FLOWS!$H:$H,"&lt;="&amp;$U$305)+SUM(SUMIFS(DEALS!$J:$J,DEALS!$A:$A,{"*REFUND*","*EXECUTED*"},DEALS!$G:$G,$B$303,DEALS!$E:$E,"&lt;="&amp;$U$305,DEALS!$K:$K,V$307,DEALS!$M:$M,$T313,DEALS!$N:$N,"&lt;&gt;*RECEIVED*",DEALS!$N:$N,"&lt;&gt;*EXECUTED*"))+SUM(SUMIFS(DEALS!$R:$R,DEALS!$A:$A,{"*REFUND*","*EXECUTED*"},DEALS!$O:$O,$B$303,DEALS!$E:$E,"&lt;="&amp;$U$305,DEALS!$S:$S,V$307,DEALS!$U:$U,$T313,DEALS!$V:$V,"&lt;&gt;*RECEIVED*",DEALS!$V:$V,"&lt;&gt;*EXECUTED*"))</f>
        <v>0</v>
      </c>
      <c r="W313" s="32" cm="1">
        <f t="array" ref="W313">SUMIFS(BALANCES!$C:$C,BALANCES!$A:$A,$B$303,BALANCES!$B:$B,$T313,BALANCES!$D:$D,W$307)+SUMIFS(FLOWS!$C:$C,FLOWS!$A:$A,$B$303,FLOWS!$E:$E,$T313,FLOWS!$D:$D,W$307,FLOWS!$H:$H,"&lt;="&amp;$U$305)+SUM(SUMIFS(DEALS!$J:$J,DEALS!$A:$A,{"*REFUND*","*EXECUTED*"},DEALS!$G:$G,$B$303,DEALS!$E:$E,"&lt;="&amp;$U$305,DEALS!$K:$K,W$307,DEALS!$M:$M,$T313,DEALS!$N:$N,"&lt;&gt;*RECEIVED*",DEALS!$N:$N,"&lt;&gt;*EXECUTED*"))+SUM(SUMIFS(DEALS!$R:$R,DEALS!$A:$A,{"*REFUND*","*EXECUTED*"},DEALS!$O:$O,$B$303,DEALS!$E:$E,"&lt;="&amp;$U$305,DEALS!$S:$S,W$307,DEALS!$U:$U,$T313,DEALS!$V:$V,"&lt;&gt;*RECEIVED*",DEALS!$V:$V,"&lt;&gt;*EXECUTED*"))</f>
        <v>0</v>
      </c>
      <c r="X313" s="32" cm="1">
        <f t="array" ref="X313">SUMIFS(BALANCES!$C:$C,BALANCES!$A:$A,$B$303,BALANCES!$B:$B,$T313,BALANCES!$D:$D,X$307)+SUMIFS(FLOWS!$C:$C,FLOWS!$A:$A,$B$303,FLOWS!$E:$E,$T313,FLOWS!$D:$D,X$307,FLOWS!$H:$H,"&lt;="&amp;$U$305)+SUM(SUMIFS(DEALS!$J:$J,DEALS!$A:$A,{"*REFUND*","*EXECUTED*"},DEALS!$G:$G,$B$303,DEALS!$E:$E,"&lt;="&amp;$U$305,DEALS!$K:$K,X$307,DEALS!$M:$M,$T313,DEALS!$N:$N,"&lt;&gt;*RECEIVED*",DEALS!$N:$N,"&lt;&gt;*EXECUTED*"))+SUM(SUMIFS(DEALS!$R:$R,DEALS!$A:$A,{"*REFUND*","*EXECUTED*"},DEALS!$O:$O,$B$303,DEALS!$E:$E,"&lt;="&amp;$U$305,DEALS!$S:$S,X$307,DEALS!$U:$U,$T313,DEALS!$V:$V,"&lt;&gt;*RECEIVED*",DEALS!$V:$V,"&lt;&gt;*EXECUTED*"))</f>
        <v>0</v>
      </c>
      <c r="Y313" s="32" cm="1">
        <f t="array" ref="Y313">SUMIFS(BALANCES!$C:$C,BALANCES!$A:$A,$B$303,BALANCES!$B:$B,$T313,BALANCES!$D:$D,Y$307)+SUMIFS(FLOWS!$C:$C,FLOWS!$A:$A,$B$303,FLOWS!$E:$E,$T313,FLOWS!$D:$D,Y$307,FLOWS!$H:$H,"&lt;="&amp;$U$305)+SUM(SUMIFS(DEALS!$J:$J,DEALS!$A:$A,{"*REFUND*","*EXECUTED*"},DEALS!$G:$G,$B$303,DEALS!$E:$E,"&lt;="&amp;$U$305,DEALS!$K:$K,Y$307,DEALS!$M:$M,$T313,DEALS!$N:$N,"&lt;&gt;*RECEIVED*",DEALS!$N:$N,"&lt;&gt;*EXECUTED*"))+SUM(SUMIFS(DEALS!$R:$R,DEALS!$A:$A,{"*REFUND*","*EXECUTED*"},DEALS!$O:$O,$B$303,DEALS!$E:$E,"&lt;="&amp;$U$305,DEALS!$S:$S,Y$307,DEALS!$U:$U,$T313,DEALS!$V:$V,"&lt;&gt;*RECEIVED*",DEALS!$V:$V,"&lt;&gt;*EXECUTED*"))</f>
        <v>0</v>
      </c>
      <c r="Z313" s="32" cm="1">
        <f t="array" ref="Z313">SUMIFS(BALANCES!$C:$C,BALANCES!$A:$A,$B$303,BALANCES!$B:$B,$T313,BALANCES!$D:$D,Z$307)+SUMIFS(FLOWS!$C:$C,FLOWS!$A:$A,$B$303,FLOWS!$E:$E,$T313,FLOWS!$D:$D,Z$307,FLOWS!$H:$H,"&lt;="&amp;$U$305)+SUM(SUMIFS(DEALS!$J:$J,DEALS!$A:$A,{"*REFUND*","*EXECUTED*"},DEALS!$G:$G,$B$303,DEALS!$E:$E,"&lt;="&amp;$U$305,DEALS!$K:$K,Z$307,DEALS!$M:$M,$T313,DEALS!$N:$N,"&lt;&gt;*RECEIVED*",DEALS!$N:$N,"&lt;&gt;*EXECUTED*"))+SUM(SUMIFS(DEALS!$R:$R,DEALS!$A:$A,{"*REFUND*","*EXECUTED*"},DEALS!$O:$O,$B$303,DEALS!$E:$E,"&lt;="&amp;$U$305,DEALS!$S:$S,Z$307,DEALS!$U:$U,$T313,DEALS!$V:$V,"&lt;&gt;*RECEIVED*",DEALS!$V:$V,"&lt;&gt;*EXECUTED*"))</f>
        <v>0</v>
      </c>
      <c r="AA313" s="33">
        <f ca="1">U313*VLOOKUP(U$307,'FX RATES'!$E$1:$F$50,2,FALSE)+V313*VLOOKUP(V$307,'FX RATES'!$E$1:$F$50,2,FALSE)+W313*VLOOKUP(W$307,'FX RATES'!$E$1:$F$50,2,FALSE)+X313*VLOOKUP(X$307,'FX RATES'!$E$1:$F$50,2,FALSE)+Y313*VLOOKUP(Y$307,'FX RATES'!$E$1:$F$50,2,FALSE)+Z313*VLOOKUP(Z$307,'FX RATES'!$E$1:$F$50,2,FALSE)</f>
        <v>0</v>
      </c>
      <c r="AC313" s="139">
        <f t="shared" ca="1" si="134"/>
        <v>0</v>
      </c>
    </row>
    <row r="314" spans="2:29" ht="18.75" hidden="1" customHeight="1">
      <c r="B314" s="28"/>
      <c r="C314" s="29" cm="1">
        <f t="array" ref="C314">SUMIFS(BALANCES!$C:$C,BALANCES!$A:$A,$B$303,BALANCES!$B:$B,$B314,BALANCES!$D:$D,C$307)+SUMIFS(FLOWS!$C:$C,FLOWS!$A:$A,$B$303,FLOWS!$E:$E,$B314,FLOWS!$D:$D,C$307,FLOWS!$H:$H,"&lt;"&amp;$C$305)+SUM(SUMIFS(DEALS!$J:$J,DEALS!$A:$A,{"*REFUND*","*EXECUTED*"},DEALS!$G:$G,$B$303,DEALS!$E:$E,"&lt;"&amp;$C$305,DEALS!$K:$K,C$307,DEALS!$M:$M,$B314,DEALS!$N:$N,"&lt;&gt;*RECEIVED*",DEALS!$N:$N,"&lt;&gt;*EXECUTED*"))+SUM(SUMIFS(DEALS!$R:$R,DEALS!$A:$A,{"*REFUND*","*EXECUTED*"},DEALS!$O:$O,$B$303,DEALS!$E:$E,"&lt;"&amp;$C$305,DEALS!$S:$S,C$307,DEALS!$U:$U,$B314,DEALS!$V:$V,"&lt;&gt;*RECEIVED*",DEALS!$V:$V,"&lt;&gt;*EXECUTED*"))</f>
        <v>0</v>
      </c>
      <c r="D314" s="29" cm="1">
        <f t="array" ref="D314">SUMIFS(BALANCES!$C:$C,BALANCES!$A:$A,$B$303,BALANCES!$B:$B,$B314,BALANCES!$D:$D,D$307)+SUMIFS(FLOWS!$C:$C,FLOWS!$A:$A,$B$303,FLOWS!$E:$E,$B314,FLOWS!$D:$D,D$307,FLOWS!$H:$H,"&lt;"&amp;$C$305)+SUM(SUMIFS(DEALS!$J:$J,DEALS!$A:$A,{"*REFUND*","*EXECUTED*"},DEALS!$G:$G,$B$303,DEALS!$E:$E,"&lt;"&amp;$C$305,DEALS!$K:$K,D$307,DEALS!$M:$M,$B314,DEALS!$N:$N,"&lt;&gt;*RECEIVED*",DEALS!$N:$N,"&lt;&gt;*EXECUTED*"))+SUM(SUMIFS(DEALS!$R:$R,DEALS!$A:$A,{"*REFUND*","*EXECUTED*"},DEALS!$O:$O,$B$303,DEALS!$E:$E,"&lt;"&amp;$C$305,DEALS!$S:$S,D$307,DEALS!$U:$U,$B314,DEALS!$V:$V,"&lt;&gt;*RECEIVED*",DEALS!$V:$V,"&lt;&gt;*EXECUTED*"))</f>
        <v>0</v>
      </c>
      <c r="E314" s="29" cm="1">
        <f t="array" ref="E314">SUMIFS(BALANCES!$C:$C,BALANCES!$A:$A,$B$303,BALANCES!$B:$B,$B314,BALANCES!$D:$D,E$307)+SUMIFS(FLOWS!$C:$C,FLOWS!$A:$A,$B$303,FLOWS!$E:$E,$B314,FLOWS!$D:$D,E$307,FLOWS!$H:$H,"&lt;"&amp;$C$305)+SUM(SUMIFS(DEALS!$J:$J,DEALS!$A:$A,{"*REFUND*","*EXECUTED*"},DEALS!$G:$G,$B$303,DEALS!$E:$E,"&lt;"&amp;$C$305,DEALS!$K:$K,E$307,DEALS!$M:$M,$B314,DEALS!$N:$N,"&lt;&gt;*RECEIVED*",DEALS!$N:$N,"&lt;&gt;*EXECUTED*"))+SUM(SUMIFS(DEALS!$R:$R,DEALS!$A:$A,{"*REFUND*","*EXECUTED*"},DEALS!$O:$O,$B$303,DEALS!$E:$E,"&lt;"&amp;$C$305,DEALS!$S:$S,E$307,DEALS!$U:$U,$B314,DEALS!$V:$V,"&lt;&gt;*RECEIVED*",DEALS!$V:$V,"&lt;&gt;*EXECUTED*"))</f>
        <v>0</v>
      </c>
      <c r="F314" s="29" cm="1">
        <f t="array" ref="F314">SUMIFS(BALANCES!$C:$C,BALANCES!$A:$A,$B$303,BALANCES!$B:$B,$B314,BALANCES!$D:$D,F$307)+SUMIFS(FLOWS!$C:$C,FLOWS!$A:$A,$B$303,FLOWS!$E:$E,$B314,FLOWS!$D:$D,F$307,FLOWS!$H:$H,"&lt;"&amp;$C$305)+SUM(SUMIFS(DEALS!$J:$J,DEALS!$A:$A,{"*REFUND*","*EXECUTED*"},DEALS!$G:$G,$B$303,DEALS!$E:$E,"&lt;"&amp;$C$305,DEALS!$K:$K,F$307,DEALS!$M:$M,$B314,DEALS!$N:$N,"&lt;&gt;*RECEIVED*",DEALS!$N:$N,"&lt;&gt;*EXECUTED*"))+SUM(SUMIFS(DEALS!$R:$R,DEALS!$A:$A,{"*REFUND*","*EXECUTED*"},DEALS!$O:$O,$B$303,DEALS!$E:$E,"&lt;"&amp;$C$305,DEALS!$S:$S,F$307,DEALS!$U:$U,$B314,DEALS!$V:$V,"&lt;&gt;*RECEIVED*",DEALS!$V:$V,"&lt;&gt;*EXECUTED*"))</f>
        <v>0</v>
      </c>
      <c r="G314" s="29" cm="1">
        <f t="array" ref="G314">SUMIFS(BALANCES!$C:$C,BALANCES!$A:$A,$B$303,BALANCES!$B:$B,$B314,BALANCES!$D:$D,G$307)+SUMIFS(FLOWS!$C:$C,FLOWS!$A:$A,$B$303,FLOWS!$E:$E,$B314,FLOWS!$D:$D,G$307,FLOWS!$H:$H,"&lt;"&amp;$C$305)+SUM(SUMIFS(DEALS!$J:$J,DEALS!$A:$A,{"*REFUND*","*EXECUTED*"},DEALS!$G:$G,$B$303,DEALS!$E:$E,"&lt;"&amp;$C$305,DEALS!$K:$K,G$307,DEALS!$M:$M,$B314,DEALS!$N:$N,"&lt;&gt;*RECEIVED*",DEALS!$N:$N,"&lt;&gt;*EXECUTED*"))+SUM(SUMIFS(DEALS!$R:$R,DEALS!$A:$A,{"*REFUND*","*EXECUTED*"},DEALS!$O:$O,$B$303,DEALS!$E:$E,"&lt;"&amp;$C$305,DEALS!$S:$S,G$307,DEALS!$U:$U,$B314,DEALS!$V:$V,"&lt;&gt;*RECEIVED*",DEALS!$V:$V,"&lt;&gt;*EXECUTED*"))</f>
        <v>0</v>
      </c>
      <c r="H314" s="29" cm="1">
        <f t="array" ref="H314">SUMIFS(BALANCES!$C:$C,BALANCES!$A:$A,$B$303,BALANCES!$B:$B,$B314,BALANCES!$D:$D,H$307)+SUMIFS(FLOWS!$C:$C,FLOWS!$A:$A,$B$303,FLOWS!$E:$E,$B314,FLOWS!$D:$D,H$307,FLOWS!$H:$H,"&lt;"&amp;$C$305)+SUM(SUMIFS(DEALS!$J:$J,DEALS!$A:$A,{"*REFUND*","*EXECUTED*"},DEALS!$G:$G,$B$303,DEALS!$E:$E,"&lt;"&amp;$C$305,DEALS!$K:$K,H$307,DEALS!$M:$M,$B314,DEALS!$N:$N,"&lt;&gt;*RECEIVED*",DEALS!$N:$N,"&lt;&gt;*EXECUTED*"))+SUM(SUMIFS(DEALS!$R:$R,DEALS!$A:$A,{"*REFUND*","*EXECUTED*"},DEALS!$O:$O,$B$303,DEALS!$E:$E,"&lt;"&amp;$C$305,DEALS!$S:$S,H$307,DEALS!$U:$U,$B314,DEALS!$V:$V,"&lt;&gt;*RECEIVED*",DEALS!$V:$V,"&lt;&gt;*EXECUTED*"))</f>
        <v>0</v>
      </c>
      <c r="I314" s="30">
        <f ca="1">C314*VLOOKUP(C$307,'FX RATES'!$E$1:$F$50,2,FALSE)+D314*VLOOKUP(D$307,'FX RATES'!$E$1:$F$50,2,FALSE)+E314*VLOOKUP(E$307,'FX RATES'!$E$1:$F$50,2,FALSE)+F314*VLOOKUP(F$307,'FX RATES'!$E$1:$F$50,2,FALSE)+G314*VLOOKUP(G$307,'FX RATES'!$E$1:$F$50,2,FALSE)+H314*VLOOKUP(H$307,'FX RATES'!$E$1:$F$50,2,FALSE)</f>
        <v>0</v>
      </c>
      <c r="K314" s="28">
        <f t="shared" si="132"/>
        <v>0</v>
      </c>
      <c r="L314" s="29" cm="1">
        <f t="array" ref="L314">SUMIFS(FLOWS!$C:$C,FLOWS!$A:$A,$B$303,FLOWS!$E:$E,$K314,FLOWS!$D:$D,L$307,FLOWS!$H:$H,"&gt;="&amp;$C$305,FLOWS!$H:$H,"&lt;="&amp;$U$305)+SUM(SUMIFS(DEALS!$J:$J,DEALS!$A:$A,{"*REFUND*","*EXECUTED*"},DEALS!$G:$G,$B$303,DEALS!$E:$E,"&gt;="&amp;$C$305,DEALS!$E:$E,"&lt;="&amp;$U$305,DEALS!$K:$K,L$307,DEALS!$M:$M,$K314,DEALS!$N:$N,"&lt;&gt;*RECEIVED*",DEALS!$N:$N,"&lt;&gt;*EXECUTED*"))+SUM(SUMIFS(DEALS!$R:$R,DEALS!$A:$A,{"*REFUND*","*EXECUTED*"},DEALS!$O:$O,$B$303,DEALS!$E:$E,"&gt;="&amp;$C$305,DEALS!$E:$E,"&lt;="&amp;$U$305,DEALS!$S:$S,L$307,DEALS!$U:$U,$K314,DEALS!$V:$V,"&lt;&gt;*RECEIVED*",DEALS!$V:$V,"&lt;&gt;*EXECUTED*"))</f>
        <v>0</v>
      </c>
      <c r="M314" s="29" cm="1">
        <f t="array" ref="M314">SUMIFS(FLOWS!$C:$C,FLOWS!$A:$A,$B$303,FLOWS!$E:$E,$K314,FLOWS!$D:$D,M$307,FLOWS!$H:$H,"&gt;="&amp;$C$305,FLOWS!$H:$H,"&lt;="&amp;$U$305)+SUM(SUMIFS(DEALS!$J:$J,DEALS!$A:$A,{"*REFUND*","*EXECUTED*"},DEALS!$G:$G,$B$303,DEALS!$E:$E,"&gt;="&amp;$C$305,DEALS!$E:$E,"&lt;="&amp;$U$305,DEALS!$K:$K,M$307,DEALS!$M:$M,$K314,DEALS!$N:$N,"&lt;&gt;*RECEIVED*",DEALS!$N:$N,"&lt;&gt;*EXECUTED*"))+SUM(SUMIFS(DEALS!$R:$R,DEALS!$A:$A,{"*REFUND*","*EXECUTED*"},DEALS!$O:$O,$B$303,DEALS!$E:$E,"&gt;="&amp;$C$305,DEALS!$E:$E,"&lt;="&amp;$U$305,DEALS!$S:$S,M$307,DEALS!$U:$U,$K314,DEALS!$V:$V,"&lt;&gt;*RECEIVED*",DEALS!$V:$V,"&lt;&gt;*EXECUTED*"))</f>
        <v>0</v>
      </c>
      <c r="N314" s="29" cm="1">
        <f t="array" ref="N314">SUMIFS(FLOWS!$C:$C,FLOWS!$A:$A,$B$303,FLOWS!$E:$E,$K314,FLOWS!$D:$D,N$307,FLOWS!$H:$H,"&gt;="&amp;$C$305,FLOWS!$H:$H,"&lt;="&amp;$U$305)+SUM(SUMIFS(DEALS!$J:$J,DEALS!$A:$A,{"*REFUND*","*EXECUTED*"},DEALS!$G:$G,$B$303,DEALS!$E:$E,"&gt;="&amp;$C$305,DEALS!$E:$E,"&lt;="&amp;$U$305,DEALS!$K:$K,N$307,DEALS!$M:$M,$K314,DEALS!$N:$N,"&lt;&gt;*RECEIVED*",DEALS!$N:$N,"&lt;&gt;*EXECUTED*"))+SUM(SUMIFS(DEALS!$R:$R,DEALS!$A:$A,{"*REFUND*","*EXECUTED*"},DEALS!$O:$O,$B$303,DEALS!$E:$E,"&gt;="&amp;$C$305,DEALS!$E:$E,"&lt;="&amp;$U$305,DEALS!$S:$S,N$307,DEALS!$U:$U,$K314,DEALS!$V:$V,"&lt;&gt;*RECEIVED*",DEALS!$V:$V,"&lt;&gt;*EXECUTED*"))</f>
        <v>0</v>
      </c>
      <c r="O314" s="29" cm="1">
        <f t="array" ref="O314">SUMIFS(FLOWS!$C:$C,FLOWS!$A:$A,$B$303,FLOWS!$E:$E,$K314,FLOWS!$D:$D,O$307,FLOWS!$H:$H,"&gt;="&amp;$C$305,FLOWS!$H:$H,"&lt;="&amp;$U$305)+SUM(SUMIFS(DEALS!$J:$J,DEALS!$A:$A,{"*REFUND*","*EXECUTED*"},DEALS!$G:$G,$B$303,DEALS!$E:$E,"&gt;="&amp;$C$305,DEALS!$E:$E,"&lt;="&amp;$U$305,DEALS!$K:$K,O$307,DEALS!$M:$M,$K314,DEALS!$N:$N,"&lt;&gt;*RECEIVED*",DEALS!$N:$N,"&lt;&gt;*EXECUTED*"))+SUM(SUMIFS(DEALS!$R:$R,DEALS!$A:$A,{"*REFUND*","*EXECUTED*"},DEALS!$O:$O,$B$303,DEALS!$E:$E,"&gt;="&amp;$C$305,DEALS!$E:$E,"&lt;="&amp;$U$305,DEALS!$S:$S,O$307,DEALS!$U:$U,$K314,DEALS!$V:$V,"&lt;&gt;*RECEIVED*",DEALS!$V:$V,"&lt;&gt;*EXECUTED*"))</f>
        <v>0</v>
      </c>
      <c r="P314" s="29" cm="1">
        <f t="array" ref="P314">SUMIFS(FLOWS!$C:$C,FLOWS!$A:$A,$B$303,FLOWS!$E:$E,$K314,FLOWS!$D:$D,P$307,FLOWS!$H:$H,"&gt;="&amp;$C$305,FLOWS!$H:$H,"&lt;="&amp;$U$305)+SUM(SUMIFS(DEALS!$J:$J,DEALS!$A:$A,{"*REFUND*","*EXECUTED*"},DEALS!$G:$G,$B$303,DEALS!$E:$E,"&gt;="&amp;$C$305,DEALS!$E:$E,"&lt;="&amp;$U$305,DEALS!$K:$K,P$307,DEALS!$M:$M,$K314,DEALS!$N:$N,"&lt;&gt;*RECEIVED*",DEALS!$N:$N,"&lt;&gt;*EXECUTED*"))+SUM(SUMIFS(DEALS!$R:$R,DEALS!$A:$A,{"*REFUND*","*EXECUTED*"},DEALS!$O:$O,$B$303,DEALS!$E:$E,"&gt;="&amp;$C$305,DEALS!$E:$E,"&lt;="&amp;$U$305,DEALS!$S:$S,P$307,DEALS!$U:$U,$K314,DEALS!$V:$V,"&lt;&gt;*RECEIVED*",DEALS!$V:$V,"&lt;&gt;*EXECUTED*"))</f>
        <v>0</v>
      </c>
      <c r="Q314" s="29" cm="1">
        <f t="array" ref="Q314">SUMIFS(FLOWS!$C:$C,FLOWS!$A:$A,$B$303,FLOWS!$E:$E,$K314,FLOWS!$D:$D,Q$307,FLOWS!$H:$H,"&gt;="&amp;$C$305,FLOWS!$H:$H,"&lt;="&amp;$U$305)+SUM(SUMIFS(DEALS!$J:$J,DEALS!$A:$A,{"*REFUND*","*EXECUTED*"},DEALS!$G:$G,$B$303,DEALS!$E:$E,"&gt;="&amp;$C$305,DEALS!$E:$E,"&lt;="&amp;$U$305,DEALS!$K:$K,Q$307,DEALS!$M:$M,$K314,DEALS!$N:$N,"&lt;&gt;*RECEIVED*",DEALS!$N:$N,"&lt;&gt;*EXECUTED*"))+SUM(SUMIFS(DEALS!$R:$R,DEALS!$A:$A,{"*REFUND*","*EXECUTED*"},DEALS!$O:$O,$B$303,DEALS!$E:$E,"&gt;="&amp;$C$305,DEALS!$E:$E,"&lt;="&amp;$U$305,DEALS!$S:$S,Q$307,DEALS!$U:$U,$K314,DEALS!$V:$V,"&lt;&gt;*RECEIVED*",DEALS!$V:$V,"&lt;&gt;*EXECUTED*"))</f>
        <v>0</v>
      </c>
      <c r="R314" s="30">
        <f ca="1">L314*VLOOKUP(L$307,'FX RATES'!$E$1:$F$50,2,FALSE)+M314*VLOOKUP(M$307,'FX RATES'!$E$1:$F$50,2,FALSE)+N314*VLOOKUP(N$307,'FX RATES'!$E$1:$F$50,2,FALSE)+O314*VLOOKUP(O$307,'FX RATES'!$E$1:$F$50,2,FALSE)+P314*VLOOKUP(P$307,'FX RATES'!$E$1:$F$50,2,FALSE)+Q314*VLOOKUP(Q$307,'FX RATES'!$E$1:$F$50,2,FALSE)</f>
        <v>0</v>
      </c>
      <c r="T314" s="28">
        <f t="shared" si="133"/>
        <v>0</v>
      </c>
      <c r="U314" s="29" cm="1">
        <f t="array" ref="U314">SUMIFS(BALANCES!$C:$C,BALANCES!$A:$A,$B$303,BALANCES!$B:$B,$T314,BALANCES!$D:$D,U$307)+SUMIFS(FLOWS!$C:$C,FLOWS!$A:$A,$B$303,FLOWS!$E:$E,$T314,FLOWS!$D:$D,U$307,FLOWS!$H:$H,"&lt;="&amp;$U$305)+SUM(SUMIFS(DEALS!$J:$J,DEALS!$A:$A,{"*REFUND*","*EXECUTED*"},DEALS!$G:$G,$B$303,DEALS!$E:$E,"&lt;="&amp;$U$305,DEALS!$K:$K,U$307,DEALS!$M:$M,$T314,DEALS!$N:$N,"&lt;&gt;*RECEIVED*",DEALS!$N:$N,"&lt;&gt;*EXECUTED*"))+SUM(SUMIFS(DEALS!$R:$R,DEALS!$A:$A,{"*REFUND*","*EXECUTED*"},DEALS!$O:$O,$B$303,DEALS!$E:$E,"&lt;="&amp;$U$305,DEALS!$S:$S,U$307,DEALS!$U:$U,$T314,DEALS!$V:$V,"&lt;&gt;*RECEIVED*",DEALS!$V:$V,"&lt;&gt;*EXECUTED*"))</f>
        <v>0</v>
      </c>
      <c r="V314" s="29" cm="1">
        <f t="array" ref="V314">SUMIFS(BALANCES!$C:$C,BALANCES!$A:$A,$B$303,BALANCES!$B:$B,$T314,BALANCES!$D:$D,V$307)+SUMIFS(FLOWS!$C:$C,FLOWS!$A:$A,$B$303,FLOWS!$E:$E,$T314,FLOWS!$D:$D,V$307,FLOWS!$H:$H,"&lt;="&amp;$U$305)+SUM(SUMIFS(DEALS!$J:$J,DEALS!$A:$A,{"*REFUND*","*EXECUTED*"},DEALS!$G:$G,$B$303,DEALS!$E:$E,"&lt;="&amp;$U$305,DEALS!$K:$K,V$307,DEALS!$M:$M,$T314,DEALS!$N:$N,"&lt;&gt;*RECEIVED*",DEALS!$N:$N,"&lt;&gt;*EXECUTED*"))+SUM(SUMIFS(DEALS!$R:$R,DEALS!$A:$A,{"*REFUND*","*EXECUTED*"},DEALS!$O:$O,$B$303,DEALS!$E:$E,"&lt;="&amp;$U$305,DEALS!$S:$S,V$307,DEALS!$U:$U,$T314,DEALS!$V:$V,"&lt;&gt;*RECEIVED*",DEALS!$V:$V,"&lt;&gt;*EXECUTED*"))</f>
        <v>0</v>
      </c>
      <c r="W314" s="29" cm="1">
        <f t="array" ref="W314">SUMIFS(BALANCES!$C:$C,BALANCES!$A:$A,$B$303,BALANCES!$B:$B,$T314,BALANCES!$D:$D,W$307)+SUMIFS(FLOWS!$C:$C,FLOWS!$A:$A,$B$303,FLOWS!$E:$E,$T314,FLOWS!$D:$D,W$307,FLOWS!$H:$H,"&lt;="&amp;$U$305)+SUM(SUMIFS(DEALS!$J:$J,DEALS!$A:$A,{"*REFUND*","*EXECUTED*"},DEALS!$G:$G,$B$303,DEALS!$E:$E,"&lt;="&amp;$U$305,DEALS!$K:$K,W$307,DEALS!$M:$M,$T314,DEALS!$N:$N,"&lt;&gt;*RECEIVED*",DEALS!$N:$N,"&lt;&gt;*EXECUTED*"))+SUM(SUMIFS(DEALS!$R:$R,DEALS!$A:$A,{"*REFUND*","*EXECUTED*"},DEALS!$O:$O,$B$303,DEALS!$E:$E,"&lt;="&amp;$U$305,DEALS!$S:$S,W$307,DEALS!$U:$U,$T314,DEALS!$V:$V,"&lt;&gt;*RECEIVED*",DEALS!$V:$V,"&lt;&gt;*EXECUTED*"))</f>
        <v>0</v>
      </c>
      <c r="X314" s="29" cm="1">
        <f t="array" ref="X314">SUMIFS(BALANCES!$C:$C,BALANCES!$A:$A,$B$303,BALANCES!$B:$B,$T314,BALANCES!$D:$D,X$307)+SUMIFS(FLOWS!$C:$C,FLOWS!$A:$A,$B$303,FLOWS!$E:$E,$T314,FLOWS!$D:$D,X$307,FLOWS!$H:$H,"&lt;="&amp;$U$305)+SUM(SUMIFS(DEALS!$J:$J,DEALS!$A:$A,{"*REFUND*","*EXECUTED*"},DEALS!$G:$G,$B$303,DEALS!$E:$E,"&lt;="&amp;$U$305,DEALS!$K:$K,X$307,DEALS!$M:$M,$T314,DEALS!$N:$N,"&lt;&gt;*RECEIVED*",DEALS!$N:$N,"&lt;&gt;*EXECUTED*"))+SUM(SUMIFS(DEALS!$R:$R,DEALS!$A:$A,{"*REFUND*","*EXECUTED*"},DEALS!$O:$O,$B$303,DEALS!$E:$E,"&lt;="&amp;$U$305,DEALS!$S:$S,X$307,DEALS!$U:$U,$T314,DEALS!$V:$V,"&lt;&gt;*RECEIVED*",DEALS!$V:$V,"&lt;&gt;*EXECUTED*"))</f>
        <v>0</v>
      </c>
      <c r="Y314" s="29" cm="1">
        <f t="array" ref="Y314">SUMIFS(BALANCES!$C:$C,BALANCES!$A:$A,$B$303,BALANCES!$B:$B,$T314,BALANCES!$D:$D,Y$307)+SUMIFS(FLOWS!$C:$C,FLOWS!$A:$A,$B$303,FLOWS!$E:$E,$T314,FLOWS!$D:$D,Y$307,FLOWS!$H:$H,"&lt;="&amp;$U$305)+SUM(SUMIFS(DEALS!$J:$J,DEALS!$A:$A,{"*REFUND*","*EXECUTED*"},DEALS!$G:$G,$B$303,DEALS!$E:$E,"&lt;="&amp;$U$305,DEALS!$K:$K,Y$307,DEALS!$M:$M,$T314,DEALS!$N:$N,"&lt;&gt;*RECEIVED*",DEALS!$N:$N,"&lt;&gt;*EXECUTED*"))+SUM(SUMIFS(DEALS!$R:$R,DEALS!$A:$A,{"*REFUND*","*EXECUTED*"},DEALS!$O:$O,$B$303,DEALS!$E:$E,"&lt;="&amp;$U$305,DEALS!$S:$S,Y$307,DEALS!$U:$U,$T314,DEALS!$V:$V,"&lt;&gt;*RECEIVED*",DEALS!$V:$V,"&lt;&gt;*EXECUTED*"))</f>
        <v>0</v>
      </c>
      <c r="Z314" s="29" cm="1">
        <f t="array" ref="Z314">SUMIFS(BALANCES!$C:$C,BALANCES!$A:$A,$B$303,BALANCES!$B:$B,$T314,BALANCES!$D:$D,Z$307)+SUMIFS(FLOWS!$C:$C,FLOWS!$A:$A,$B$303,FLOWS!$E:$E,$T314,FLOWS!$D:$D,Z$307,FLOWS!$H:$H,"&lt;="&amp;$U$305)+SUM(SUMIFS(DEALS!$J:$J,DEALS!$A:$A,{"*REFUND*","*EXECUTED*"},DEALS!$G:$G,$B$303,DEALS!$E:$E,"&lt;="&amp;$U$305,DEALS!$K:$K,Z$307,DEALS!$M:$M,$T314,DEALS!$N:$N,"&lt;&gt;*RECEIVED*",DEALS!$N:$N,"&lt;&gt;*EXECUTED*"))+SUM(SUMIFS(DEALS!$R:$R,DEALS!$A:$A,{"*REFUND*","*EXECUTED*"},DEALS!$O:$O,$B$303,DEALS!$E:$E,"&lt;="&amp;$U$305,DEALS!$S:$S,Z$307,DEALS!$U:$U,$T314,DEALS!$V:$V,"&lt;&gt;*RECEIVED*",DEALS!$V:$V,"&lt;&gt;*EXECUTED*"))</f>
        <v>0</v>
      </c>
      <c r="AA314" s="30">
        <f ca="1">U314*VLOOKUP(U$307,'FX RATES'!$E$1:$F$50,2,FALSE)+V314*VLOOKUP(V$307,'FX RATES'!$E$1:$F$50,2,FALSE)+W314*VLOOKUP(W$307,'FX RATES'!$E$1:$F$50,2,FALSE)+X314*VLOOKUP(X$307,'FX RATES'!$E$1:$F$50,2,FALSE)+Y314*VLOOKUP(Y$307,'FX RATES'!$E$1:$F$50,2,FALSE)+Z314*VLOOKUP(Z$307,'FX RATES'!$E$1:$F$50,2,FALSE)</f>
        <v>0</v>
      </c>
      <c r="AC314" s="139">
        <f t="shared" ca="1" si="134"/>
        <v>0</v>
      </c>
    </row>
    <row r="315" spans="2:29" ht="18.75" hidden="1" customHeight="1">
      <c r="B315" s="31"/>
      <c r="C315" s="32" cm="1">
        <f t="array" ref="C315">SUMIFS(BALANCES!$C:$C,BALANCES!$A:$A,$B$303,BALANCES!$B:$B,$B315,BALANCES!$D:$D,C$307)+SUMIFS(FLOWS!$C:$C,FLOWS!$A:$A,$B$303,FLOWS!$E:$E,$B315,FLOWS!$D:$D,C$307,FLOWS!$H:$H,"&lt;"&amp;$C$305)+SUM(SUMIFS(DEALS!$J:$J,DEALS!$A:$A,{"*REFUND*","*EXECUTED*"},DEALS!$G:$G,$B$303,DEALS!$E:$E,"&lt;"&amp;$C$305,DEALS!$K:$K,C$307,DEALS!$M:$M,$B315,DEALS!$N:$N,"&lt;&gt;*RECEIVED*",DEALS!$N:$N,"&lt;&gt;*EXECUTED*"))+SUM(SUMIFS(DEALS!$R:$R,DEALS!$A:$A,{"*REFUND*","*EXECUTED*"},DEALS!$O:$O,$B$303,DEALS!$E:$E,"&lt;"&amp;$C$305,DEALS!$S:$S,C$307,DEALS!$U:$U,$B315,DEALS!$V:$V,"&lt;&gt;*RECEIVED*",DEALS!$V:$V,"&lt;&gt;*EXECUTED*"))</f>
        <v>0</v>
      </c>
      <c r="D315" s="32" cm="1">
        <f t="array" ref="D315">SUMIFS(BALANCES!$C:$C,BALANCES!$A:$A,$B$303,BALANCES!$B:$B,$B315,BALANCES!$D:$D,D$307)+SUMIFS(FLOWS!$C:$C,FLOWS!$A:$A,$B$303,FLOWS!$E:$E,$B315,FLOWS!$D:$D,D$307,FLOWS!$H:$H,"&lt;"&amp;$C$305)+SUM(SUMIFS(DEALS!$J:$J,DEALS!$A:$A,{"*REFUND*","*EXECUTED*"},DEALS!$G:$G,$B$303,DEALS!$E:$E,"&lt;"&amp;$C$305,DEALS!$K:$K,D$307,DEALS!$M:$M,$B315,DEALS!$N:$N,"&lt;&gt;*RECEIVED*",DEALS!$N:$N,"&lt;&gt;*EXECUTED*"))+SUM(SUMIFS(DEALS!$R:$R,DEALS!$A:$A,{"*REFUND*","*EXECUTED*"},DEALS!$O:$O,$B$303,DEALS!$E:$E,"&lt;"&amp;$C$305,DEALS!$S:$S,D$307,DEALS!$U:$U,$B315,DEALS!$V:$V,"&lt;&gt;*RECEIVED*",DEALS!$V:$V,"&lt;&gt;*EXECUTED*"))</f>
        <v>0</v>
      </c>
      <c r="E315" s="32" cm="1">
        <f t="array" ref="E315">SUMIFS(BALANCES!$C:$C,BALANCES!$A:$A,$B$303,BALANCES!$B:$B,$B315,BALANCES!$D:$D,E$307)+SUMIFS(FLOWS!$C:$C,FLOWS!$A:$A,$B$303,FLOWS!$E:$E,$B315,FLOWS!$D:$D,E$307,FLOWS!$H:$H,"&lt;"&amp;$C$305)+SUM(SUMIFS(DEALS!$J:$J,DEALS!$A:$A,{"*REFUND*","*EXECUTED*"},DEALS!$G:$G,$B$303,DEALS!$E:$E,"&lt;"&amp;$C$305,DEALS!$K:$K,E$307,DEALS!$M:$M,$B315,DEALS!$N:$N,"&lt;&gt;*RECEIVED*",DEALS!$N:$N,"&lt;&gt;*EXECUTED*"))+SUM(SUMIFS(DEALS!$R:$R,DEALS!$A:$A,{"*REFUND*","*EXECUTED*"},DEALS!$O:$O,$B$303,DEALS!$E:$E,"&lt;"&amp;$C$305,DEALS!$S:$S,E$307,DEALS!$U:$U,$B315,DEALS!$V:$V,"&lt;&gt;*RECEIVED*",DEALS!$V:$V,"&lt;&gt;*EXECUTED*"))</f>
        <v>0</v>
      </c>
      <c r="F315" s="32" cm="1">
        <f t="array" ref="F315">SUMIFS(BALANCES!$C:$C,BALANCES!$A:$A,$B$303,BALANCES!$B:$B,$B315,BALANCES!$D:$D,F$307)+SUMIFS(FLOWS!$C:$C,FLOWS!$A:$A,$B$303,FLOWS!$E:$E,$B315,FLOWS!$D:$D,F$307,FLOWS!$H:$H,"&lt;"&amp;$C$305)+SUM(SUMIFS(DEALS!$J:$J,DEALS!$A:$A,{"*REFUND*","*EXECUTED*"},DEALS!$G:$G,$B$303,DEALS!$E:$E,"&lt;"&amp;$C$305,DEALS!$K:$K,F$307,DEALS!$M:$M,$B315,DEALS!$N:$N,"&lt;&gt;*RECEIVED*",DEALS!$N:$N,"&lt;&gt;*EXECUTED*"))+SUM(SUMIFS(DEALS!$R:$R,DEALS!$A:$A,{"*REFUND*","*EXECUTED*"},DEALS!$O:$O,$B$303,DEALS!$E:$E,"&lt;"&amp;$C$305,DEALS!$S:$S,F$307,DEALS!$U:$U,$B315,DEALS!$V:$V,"&lt;&gt;*RECEIVED*",DEALS!$V:$V,"&lt;&gt;*EXECUTED*"))</f>
        <v>0</v>
      </c>
      <c r="G315" s="32" cm="1">
        <f t="array" ref="G315">SUMIFS(BALANCES!$C:$C,BALANCES!$A:$A,$B$303,BALANCES!$B:$B,$B315,BALANCES!$D:$D,G$307)+SUMIFS(FLOWS!$C:$C,FLOWS!$A:$A,$B$303,FLOWS!$E:$E,$B315,FLOWS!$D:$D,G$307,FLOWS!$H:$H,"&lt;"&amp;$C$305)+SUM(SUMIFS(DEALS!$J:$J,DEALS!$A:$A,{"*REFUND*","*EXECUTED*"},DEALS!$G:$G,$B$303,DEALS!$E:$E,"&lt;"&amp;$C$305,DEALS!$K:$K,G$307,DEALS!$M:$M,$B315,DEALS!$N:$N,"&lt;&gt;*RECEIVED*",DEALS!$N:$N,"&lt;&gt;*EXECUTED*"))+SUM(SUMIFS(DEALS!$R:$R,DEALS!$A:$A,{"*REFUND*","*EXECUTED*"},DEALS!$O:$O,$B$303,DEALS!$E:$E,"&lt;"&amp;$C$305,DEALS!$S:$S,G$307,DEALS!$U:$U,$B315,DEALS!$V:$V,"&lt;&gt;*RECEIVED*",DEALS!$V:$V,"&lt;&gt;*EXECUTED*"))</f>
        <v>0</v>
      </c>
      <c r="H315" s="32" cm="1">
        <f t="array" ref="H315">SUMIFS(BALANCES!$C:$C,BALANCES!$A:$A,$B$303,BALANCES!$B:$B,$B315,BALANCES!$D:$D,H$307)+SUMIFS(FLOWS!$C:$C,FLOWS!$A:$A,$B$303,FLOWS!$E:$E,$B315,FLOWS!$D:$D,H$307,FLOWS!$H:$H,"&lt;"&amp;$C$305)+SUM(SUMIFS(DEALS!$J:$J,DEALS!$A:$A,{"*REFUND*","*EXECUTED*"},DEALS!$G:$G,$B$303,DEALS!$E:$E,"&lt;"&amp;$C$305,DEALS!$K:$K,H$307,DEALS!$M:$M,$B315,DEALS!$N:$N,"&lt;&gt;*RECEIVED*",DEALS!$N:$N,"&lt;&gt;*EXECUTED*"))+SUM(SUMIFS(DEALS!$R:$R,DEALS!$A:$A,{"*REFUND*","*EXECUTED*"},DEALS!$O:$O,$B$303,DEALS!$E:$E,"&lt;"&amp;$C$305,DEALS!$S:$S,H$307,DEALS!$U:$U,$B315,DEALS!$V:$V,"&lt;&gt;*RECEIVED*",DEALS!$V:$V,"&lt;&gt;*EXECUTED*"))</f>
        <v>0</v>
      </c>
      <c r="I315" s="33">
        <f ca="1">C315*VLOOKUP(C$307,'FX RATES'!$E$1:$F$50,2,FALSE)+D315*VLOOKUP(D$307,'FX RATES'!$E$1:$F$50,2,FALSE)+E315*VLOOKUP(E$307,'FX RATES'!$E$1:$F$50,2,FALSE)+F315*VLOOKUP(F$307,'FX RATES'!$E$1:$F$50,2,FALSE)+G315*VLOOKUP(G$307,'FX RATES'!$E$1:$F$50,2,FALSE)+H315*VLOOKUP(H$307,'FX RATES'!$E$1:$F$50,2,FALSE)</f>
        <v>0</v>
      </c>
      <c r="K315" s="31">
        <f t="shared" si="132"/>
        <v>0</v>
      </c>
      <c r="L315" s="32" cm="1">
        <f t="array" ref="L315">SUMIFS(FLOWS!$C:$C,FLOWS!$A:$A,$B$303,FLOWS!$E:$E,$K315,FLOWS!$D:$D,L$307,FLOWS!$H:$H,"&gt;="&amp;$C$305,FLOWS!$H:$H,"&lt;="&amp;$U$305)+SUM(SUMIFS(DEALS!$J:$J,DEALS!$A:$A,{"*REFUND*","*EXECUTED*"},DEALS!$G:$G,$B$303,DEALS!$E:$E,"&gt;="&amp;$C$305,DEALS!$E:$E,"&lt;="&amp;$U$305,DEALS!$K:$K,L$307,DEALS!$M:$M,$K315,DEALS!$N:$N,"&lt;&gt;*RECEIVED*",DEALS!$N:$N,"&lt;&gt;*EXECUTED*"))+SUM(SUMIFS(DEALS!$R:$R,DEALS!$A:$A,{"*REFUND*","*EXECUTED*"},DEALS!$O:$O,$B$303,DEALS!$E:$E,"&gt;="&amp;$C$305,DEALS!$E:$E,"&lt;="&amp;$U$305,DEALS!$S:$S,L$307,DEALS!$U:$U,$K315,DEALS!$V:$V,"&lt;&gt;*RECEIVED*",DEALS!$V:$V,"&lt;&gt;*EXECUTED*"))</f>
        <v>0</v>
      </c>
      <c r="M315" s="32" cm="1">
        <f t="array" ref="M315">SUMIFS(FLOWS!$C:$C,FLOWS!$A:$A,$B$303,FLOWS!$E:$E,$K315,FLOWS!$D:$D,M$307,FLOWS!$H:$H,"&gt;="&amp;$C$305,FLOWS!$H:$H,"&lt;="&amp;$U$305)+SUM(SUMIFS(DEALS!$J:$J,DEALS!$A:$A,{"*REFUND*","*EXECUTED*"},DEALS!$G:$G,$B$303,DEALS!$E:$E,"&gt;="&amp;$C$305,DEALS!$E:$E,"&lt;="&amp;$U$305,DEALS!$K:$K,M$307,DEALS!$M:$M,$K315,DEALS!$N:$N,"&lt;&gt;*RECEIVED*",DEALS!$N:$N,"&lt;&gt;*EXECUTED*"))+SUM(SUMIFS(DEALS!$R:$R,DEALS!$A:$A,{"*REFUND*","*EXECUTED*"},DEALS!$O:$O,$B$303,DEALS!$E:$E,"&gt;="&amp;$C$305,DEALS!$E:$E,"&lt;="&amp;$U$305,DEALS!$S:$S,M$307,DEALS!$U:$U,$K315,DEALS!$V:$V,"&lt;&gt;*RECEIVED*",DEALS!$V:$V,"&lt;&gt;*EXECUTED*"))</f>
        <v>0</v>
      </c>
      <c r="N315" s="32" cm="1">
        <f t="array" ref="N315">SUMIFS(FLOWS!$C:$C,FLOWS!$A:$A,$B$303,FLOWS!$E:$E,$K315,FLOWS!$D:$D,N$307,FLOWS!$H:$H,"&gt;="&amp;$C$305,FLOWS!$H:$H,"&lt;="&amp;$U$305)+SUM(SUMIFS(DEALS!$J:$J,DEALS!$A:$A,{"*REFUND*","*EXECUTED*"},DEALS!$G:$G,$B$303,DEALS!$E:$E,"&gt;="&amp;$C$305,DEALS!$E:$E,"&lt;="&amp;$U$305,DEALS!$K:$K,N$307,DEALS!$M:$M,$K315,DEALS!$N:$N,"&lt;&gt;*RECEIVED*",DEALS!$N:$N,"&lt;&gt;*EXECUTED*"))+SUM(SUMIFS(DEALS!$R:$R,DEALS!$A:$A,{"*REFUND*","*EXECUTED*"},DEALS!$O:$O,$B$303,DEALS!$E:$E,"&gt;="&amp;$C$305,DEALS!$E:$E,"&lt;="&amp;$U$305,DEALS!$S:$S,N$307,DEALS!$U:$U,$K315,DEALS!$V:$V,"&lt;&gt;*RECEIVED*",DEALS!$V:$V,"&lt;&gt;*EXECUTED*"))</f>
        <v>0</v>
      </c>
      <c r="O315" s="32" cm="1">
        <f t="array" ref="O315">SUMIFS(FLOWS!$C:$C,FLOWS!$A:$A,$B$303,FLOWS!$E:$E,$K315,FLOWS!$D:$D,O$307,FLOWS!$H:$H,"&gt;="&amp;$C$305,FLOWS!$H:$H,"&lt;="&amp;$U$305)+SUM(SUMIFS(DEALS!$J:$J,DEALS!$A:$A,{"*REFUND*","*EXECUTED*"},DEALS!$G:$G,$B$303,DEALS!$E:$E,"&gt;="&amp;$C$305,DEALS!$E:$E,"&lt;="&amp;$U$305,DEALS!$K:$K,O$307,DEALS!$M:$M,$K315,DEALS!$N:$N,"&lt;&gt;*RECEIVED*",DEALS!$N:$N,"&lt;&gt;*EXECUTED*"))+SUM(SUMIFS(DEALS!$R:$R,DEALS!$A:$A,{"*REFUND*","*EXECUTED*"},DEALS!$O:$O,$B$303,DEALS!$E:$E,"&gt;="&amp;$C$305,DEALS!$E:$E,"&lt;="&amp;$U$305,DEALS!$S:$S,O$307,DEALS!$U:$U,$K315,DEALS!$V:$V,"&lt;&gt;*RECEIVED*",DEALS!$V:$V,"&lt;&gt;*EXECUTED*"))</f>
        <v>0</v>
      </c>
      <c r="P315" s="32" cm="1">
        <f t="array" ref="P315">SUMIFS(FLOWS!$C:$C,FLOWS!$A:$A,$B$303,FLOWS!$E:$E,$K315,FLOWS!$D:$D,P$307,FLOWS!$H:$H,"&gt;="&amp;$C$305,FLOWS!$H:$H,"&lt;="&amp;$U$305)+SUM(SUMIFS(DEALS!$J:$J,DEALS!$A:$A,{"*REFUND*","*EXECUTED*"},DEALS!$G:$G,$B$303,DEALS!$E:$E,"&gt;="&amp;$C$305,DEALS!$E:$E,"&lt;="&amp;$U$305,DEALS!$K:$K,P$307,DEALS!$M:$M,$K315,DEALS!$N:$N,"&lt;&gt;*RECEIVED*",DEALS!$N:$N,"&lt;&gt;*EXECUTED*"))+SUM(SUMIFS(DEALS!$R:$R,DEALS!$A:$A,{"*REFUND*","*EXECUTED*"},DEALS!$O:$O,$B$303,DEALS!$E:$E,"&gt;="&amp;$C$305,DEALS!$E:$E,"&lt;="&amp;$U$305,DEALS!$S:$S,P$307,DEALS!$U:$U,$K315,DEALS!$V:$V,"&lt;&gt;*RECEIVED*",DEALS!$V:$V,"&lt;&gt;*EXECUTED*"))</f>
        <v>0</v>
      </c>
      <c r="Q315" s="32" cm="1">
        <f t="array" ref="Q315">SUMIFS(FLOWS!$C:$C,FLOWS!$A:$A,$B$303,FLOWS!$E:$E,$K315,FLOWS!$D:$D,Q$307,FLOWS!$H:$H,"&gt;="&amp;$C$305,FLOWS!$H:$H,"&lt;="&amp;$U$305)+SUM(SUMIFS(DEALS!$J:$J,DEALS!$A:$A,{"*REFUND*","*EXECUTED*"},DEALS!$G:$G,$B$303,DEALS!$E:$E,"&gt;="&amp;$C$305,DEALS!$E:$E,"&lt;="&amp;$U$305,DEALS!$K:$K,Q$307,DEALS!$M:$M,$K315,DEALS!$N:$N,"&lt;&gt;*RECEIVED*",DEALS!$N:$N,"&lt;&gt;*EXECUTED*"))+SUM(SUMIFS(DEALS!$R:$R,DEALS!$A:$A,{"*REFUND*","*EXECUTED*"},DEALS!$O:$O,$B$303,DEALS!$E:$E,"&gt;="&amp;$C$305,DEALS!$E:$E,"&lt;="&amp;$U$305,DEALS!$S:$S,Q$307,DEALS!$U:$U,$K315,DEALS!$V:$V,"&lt;&gt;*RECEIVED*",DEALS!$V:$V,"&lt;&gt;*EXECUTED*"))</f>
        <v>0</v>
      </c>
      <c r="R315" s="33">
        <f ca="1">L315*VLOOKUP(L$307,'FX RATES'!$E$1:$F$50,2,FALSE)+M315*VLOOKUP(M$307,'FX RATES'!$E$1:$F$50,2,FALSE)+N315*VLOOKUP(N$307,'FX RATES'!$E$1:$F$50,2,FALSE)+O315*VLOOKUP(O$307,'FX RATES'!$E$1:$F$50,2,FALSE)+P315*VLOOKUP(P$307,'FX RATES'!$E$1:$F$50,2,FALSE)+Q315*VLOOKUP(Q$307,'FX RATES'!$E$1:$F$50,2,FALSE)</f>
        <v>0</v>
      </c>
      <c r="T315" s="31">
        <f t="shared" si="133"/>
        <v>0</v>
      </c>
      <c r="U315" s="32" cm="1">
        <f t="array" ref="U315">SUMIFS(BALANCES!$C:$C,BALANCES!$A:$A,$B$303,BALANCES!$B:$B,$T315,BALANCES!$D:$D,U$307)+SUMIFS(FLOWS!$C:$C,FLOWS!$A:$A,$B$303,FLOWS!$E:$E,$T315,FLOWS!$D:$D,U$307,FLOWS!$H:$H,"&lt;="&amp;$U$305)+SUM(SUMIFS(DEALS!$J:$J,DEALS!$A:$A,{"*REFUND*","*EXECUTED*"},DEALS!$G:$G,$B$303,DEALS!$E:$E,"&lt;="&amp;$U$305,DEALS!$K:$K,U$307,DEALS!$M:$M,$T315,DEALS!$N:$N,"&lt;&gt;*RECEIVED*",DEALS!$N:$N,"&lt;&gt;*EXECUTED*"))+SUM(SUMIFS(DEALS!$R:$R,DEALS!$A:$A,{"*REFUND*","*EXECUTED*"},DEALS!$O:$O,$B$303,DEALS!$E:$E,"&lt;="&amp;$U$305,DEALS!$S:$S,U$307,DEALS!$U:$U,$T315,DEALS!$V:$V,"&lt;&gt;*RECEIVED*",DEALS!$V:$V,"&lt;&gt;*EXECUTED*"))</f>
        <v>0</v>
      </c>
      <c r="V315" s="32" cm="1">
        <f t="array" ref="V315">SUMIFS(BALANCES!$C:$C,BALANCES!$A:$A,$B$303,BALANCES!$B:$B,$T315,BALANCES!$D:$D,V$307)+SUMIFS(FLOWS!$C:$C,FLOWS!$A:$A,$B$303,FLOWS!$E:$E,$T315,FLOWS!$D:$D,V$307,FLOWS!$H:$H,"&lt;="&amp;$U$305)+SUM(SUMIFS(DEALS!$J:$J,DEALS!$A:$A,{"*REFUND*","*EXECUTED*"},DEALS!$G:$G,$B$303,DEALS!$E:$E,"&lt;="&amp;$U$305,DEALS!$K:$K,V$307,DEALS!$M:$M,$T315,DEALS!$N:$N,"&lt;&gt;*RECEIVED*",DEALS!$N:$N,"&lt;&gt;*EXECUTED*"))+SUM(SUMIFS(DEALS!$R:$R,DEALS!$A:$A,{"*REFUND*","*EXECUTED*"},DEALS!$O:$O,$B$303,DEALS!$E:$E,"&lt;="&amp;$U$305,DEALS!$S:$S,V$307,DEALS!$U:$U,$T315,DEALS!$V:$V,"&lt;&gt;*RECEIVED*",DEALS!$V:$V,"&lt;&gt;*EXECUTED*"))</f>
        <v>0</v>
      </c>
      <c r="W315" s="32" cm="1">
        <f t="array" ref="W315">SUMIFS(BALANCES!$C:$C,BALANCES!$A:$A,$B$303,BALANCES!$B:$B,$T315,BALANCES!$D:$D,W$307)+SUMIFS(FLOWS!$C:$C,FLOWS!$A:$A,$B$303,FLOWS!$E:$E,$T315,FLOWS!$D:$D,W$307,FLOWS!$H:$H,"&lt;="&amp;$U$305)+SUM(SUMIFS(DEALS!$J:$J,DEALS!$A:$A,{"*REFUND*","*EXECUTED*"},DEALS!$G:$G,$B$303,DEALS!$E:$E,"&lt;="&amp;$U$305,DEALS!$K:$K,W$307,DEALS!$M:$M,$T315,DEALS!$N:$N,"&lt;&gt;*RECEIVED*",DEALS!$N:$N,"&lt;&gt;*EXECUTED*"))+SUM(SUMIFS(DEALS!$R:$R,DEALS!$A:$A,{"*REFUND*","*EXECUTED*"},DEALS!$O:$O,$B$303,DEALS!$E:$E,"&lt;="&amp;$U$305,DEALS!$S:$S,W$307,DEALS!$U:$U,$T315,DEALS!$V:$V,"&lt;&gt;*RECEIVED*",DEALS!$V:$V,"&lt;&gt;*EXECUTED*"))</f>
        <v>0</v>
      </c>
      <c r="X315" s="32" cm="1">
        <f t="array" ref="X315">SUMIFS(BALANCES!$C:$C,BALANCES!$A:$A,$B$303,BALANCES!$B:$B,$T315,BALANCES!$D:$D,X$307)+SUMIFS(FLOWS!$C:$C,FLOWS!$A:$A,$B$303,FLOWS!$E:$E,$T315,FLOWS!$D:$D,X$307,FLOWS!$H:$H,"&lt;="&amp;$U$305)+SUM(SUMIFS(DEALS!$J:$J,DEALS!$A:$A,{"*REFUND*","*EXECUTED*"},DEALS!$G:$G,$B$303,DEALS!$E:$E,"&lt;="&amp;$U$305,DEALS!$K:$K,X$307,DEALS!$M:$M,$T315,DEALS!$N:$N,"&lt;&gt;*RECEIVED*",DEALS!$N:$N,"&lt;&gt;*EXECUTED*"))+SUM(SUMIFS(DEALS!$R:$R,DEALS!$A:$A,{"*REFUND*","*EXECUTED*"},DEALS!$O:$O,$B$303,DEALS!$E:$E,"&lt;="&amp;$U$305,DEALS!$S:$S,X$307,DEALS!$U:$U,$T315,DEALS!$V:$V,"&lt;&gt;*RECEIVED*",DEALS!$V:$V,"&lt;&gt;*EXECUTED*"))</f>
        <v>0</v>
      </c>
      <c r="Y315" s="32" cm="1">
        <f t="array" ref="Y315">SUMIFS(BALANCES!$C:$C,BALANCES!$A:$A,$B$303,BALANCES!$B:$B,$T315,BALANCES!$D:$D,Y$307)+SUMIFS(FLOWS!$C:$C,FLOWS!$A:$A,$B$303,FLOWS!$E:$E,$T315,FLOWS!$D:$D,Y$307,FLOWS!$H:$H,"&lt;="&amp;$U$305)+SUM(SUMIFS(DEALS!$J:$J,DEALS!$A:$A,{"*REFUND*","*EXECUTED*"},DEALS!$G:$G,$B$303,DEALS!$E:$E,"&lt;="&amp;$U$305,DEALS!$K:$K,Y$307,DEALS!$M:$M,$T315,DEALS!$N:$N,"&lt;&gt;*RECEIVED*",DEALS!$N:$N,"&lt;&gt;*EXECUTED*"))+SUM(SUMIFS(DEALS!$R:$R,DEALS!$A:$A,{"*REFUND*","*EXECUTED*"},DEALS!$O:$O,$B$303,DEALS!$E:$E,"&lt;="&amp;$U$305,DEALS!$S:$S,Y$307,DEALS!$U:$U,$T315,DEALS!$V:$V,"&lt;&gt;*RECEIVED*",DEALS!$V:$V,"&lt;&gt;*EXECUTED*"))</f>
        <v>0</v>
      </c>
      <c r="Z315" s="32" cm="1">
        <f t="array" ref="Z315">SUMIFS(BALANCES!$C:$C,BALANCES!$A:$A,$B$303,BALANCES!$B:$B,$T315,BALANCES!$D:$D,Z$307)+SUMIFS(FLOWS!$C:$C,FLOWS!$A:$A,$B$303,FLOWS!$E:$E,$T315,FLOWS!$D:$D,Z$307,FLOWS!$H:$H,"&lt;="&amp;$U$305)+SUM(SUMIFS(DEALS!$J:$J,DEALS!$A:$A,{"*REFUND*","*EXECUTED*"},DEALS!$G:$G,$B$303,DEALS!$E:$E,"&lt;="&amp;$U$305,DEALS!$K:$K,Z$307,DEALS!$M:$M,$T315,DEALS!$N:$N,"&lt;&gt;*RECEIVED*",DEALS!$N:$N,"&lt;&gt;*EXECUTED*"))+SUM(SUMIFS(DEALS!$R:$R,DEALS!$A:$A,{"*REFUND*","*EXECUTED*"},DEALS!$O:$O,$B$303,DEALS!$E:$E,"&lt;="&amp;$U$305,DEALS!$S:$S,Z$307,DEALS!$U:$U,$T315,DEALS!$V:$V,"&lt;&gt;*RECEIVED*",DEALS!$V:$V,"&lt;&gt;*EXECUTED*"))</f>
        <v>0</v>
      </c>
      <c r="AA315" s="33">
        <f ca="1">U315*VLOOKUP(U$307,'FX RATES'!$E$1:$F$50,2,FALSE)+V315*VLOOKUP(V$307,'FX RATES'!$E$1:$F$50,2,FALSE)+W315*VLOOKUP(W$307,'FX RATES'!$E$1:$F$50,2,FALSE)+X315*VLOOKUP(X$307,'FX RATES'!$E$1:$F$50,2,FALSE)+Y315*VLOOKUP(Y$307,'FX RATES'!$E$1:$F$50,2,FALSE)+Z315*VLOOKUP(Z$307,'FX RATES'!$E$1:$F$50,2,FALSE)</f>
        <v>0</v>
      </c>
      <c r="AC315" s="139">
        <f t="shared" ca="1" si="134"/>
        <v>0</v>
      </c>
    </row>
    <row r="316" spans="2:29" ht="18.75" hidden="1" customHeight="1">
      <c r="B316" s="28"/>
      <c r="C316" s="29" cm="1">
        <f t="array" ref="C316">SUMIFS(BALANCES!$C:$C,BALANCES!$A:$A,$B$303,BALANCES!$B:$B,$B316,BALANCES!$D:$D,C$307)+SUMIFS(FLOWS!$C:$C,FLOWS!$A:$A,$B$303,FLOWS!$E:$E,$B316,FLOWS!$D:$D,C$307,FLOWS!$H:$H,"&lt;"&amp;$C$305)+SUM(SUMIFS(DEALS!$J:$J,DEALS!$A:$A,{"*REFUND*","*EXECUTED*"},DEALS!$G:$G,$B$303,DEALS!$E:$E,"&lt;"&amp;$C$305,DEALS!$K:$K,C$307,DEALS!$M:$M,$B316,DEALS!$N:$N,"&lt;&gt;*RECEIVED*",DEALS!$N:$N,"&lt;&gt;*EXECUTED*"))+SUM(SUMIFS(DEALS!$R:$R,DEALS!$A:$A,{"*REFUND*","*EXECUTED*"},DEALS!$O:$O,$B$303,DEALS!$E:$E,"&lt;"&amp;$C$305,DEALS!$S:$S,C$307,DEALS!$U:$U,$B316,DEALS!$V:$V,"&lt;&gt;*RECEIVED*",DEALS!$V:$V,"&lt;&gt;*EXECUTED*"))</f>
        <v>0</v>
      </c>
      <c r="D316" s="29" cm="1">
        <f t="array" ref="D316">SUMIFS(BALANCES!$C:$C,BALANCES!$A:$A,$B$303,BALANCES!$B:$B,$B316,BALANCES!$D:$D,D$307)+SUMIFS(FLOWS!$C:$C,FLOWS!$A:$A,$B$303,FLOWS!$E:$E,$B316,FLOWS!$D:$D,D$307,FLOWS!$H:$H,"&lt;"&amp;$C$305)+SUM(SUMIFS(DEALS!$J:$J,DEALS!$A:$A,{"*REFUND*","*EXECUTED*"},DEALS!$G:$G,$B$303,DEALS!$E:$E,"&lt;"&amp;$C$305,DEALS!$K:$K,D$307,DEALS!$M:$M,$B316,DEALS!$N:$N,"&lt;&gt;*RECEIVED*",DEALS!$N:$N,"&lt;&gt;*EXECUTED*"))+SUM(SUMIFS(DEALS!$R:$R,DEALS!$A:$A,{"*REFUND*","*EXECUTED*"},DEALS!$O:$O,$B$303,DEALS!$E:$E,"&lt;"&amp;$C$305,DEALS!$S:$S,D$307,DEALS!$U:$U,$B316,DEALS!$V:$V,"&lt;&gt;*RECEIVED*",DEALS!$V:$V,"&lt;&gt;*EXECUTED*"))</f>
        <v>0</v>
      </c>
      <c r="E316" s="29" cm="1">
        <f t="array" ref="E316">SUMIFS(BALANCES!$C:$C,BALANCES!$A:$A,$B$303,BALANCES!$B:$B,$B316,BALANCES!$D:$D,E$307)+SUMIFS(FLOWS!$C:$C,FLOWS!$A:$A,$B$303,FLOWS!$E:$E,$B316,FLOWS!$D:$D,E$307,FLOWS!$H:$H,"&lt;"&amp;$C$305)+SUM(SUMIFS(DEALS!$J:$J,DEALS!$A:$A,{"*REFUND*","*EXECUTED*"},DEALS!$G:$G,$B$303,DEALS!$E:$E,"&lt;"&amp;$C$305,DEALS!$K:$K,E$307,DEALS!$M:$M,$B316,DEALS!$N:$N,"&lt;&gt;*RECEIVED*",DEALS!$N:$N,"&lt;&gt;*EXECUTED*"))+SUM(SUMIFS(DEALS!$R:$R,DEALS!$A:$A,{"*REFUND*","*EXECUTED*"},DEALS!$O:$O,$B$303,DEALS!$E:$E,"&lt;"&amp;$C$305,DEALS!$S:$S,E$307,DEALS!$U:$U,$B316,DEALS!$V:$V,"&lt;&gt;*RECEIVED*",DEALS!$V:$V,"&lt;&gt;*EXECUTED*"))</f>
        <v>0</v>
      </c>
      <c r="F316" s="29" cm="1">
        <f t="array" ref="F316">SUMIFS(BALANCES!$C:$C,BALANCES!$A:$A,$B$303,BALANCES!$B:$B,$B316,BALANCES!$D:$D,F$307)+SUMIFS(FLOWS!$C:$C,FLOWS!$A:$A,$B$303,FLOWS!$E:$E,$B316,FLOWS!$D:$D,F$307,FLOWS!$H:$H,"&lt;"&amp;$C$305)+SUM(SUMIFS(DEALS!$J:$J,DEALS!$A:$A,{"*REFUND*","*EXECUTED*"},DEALS!$G:$G,$B$303,DEALS!$E:$E,"&lt;"&amp;$C$305,DEALS!$K:$K,F$307,DEALS!$M:$M,$B316,DEALS!$N:$N,"&lt;&gt;*RECEIVED*",DEALS!$N:$N,"&lt;&gt;*EXECUTED*"))+SUM(SUMIFS(DEALS!$R:$R,DEALS!$A:$A,{"*REFUND*","*EXECUTED*"},DEALS!$O:$O,$B$303,DEALS!$E:$E,"&lt;"&amp;$C$305,DEALS!$S:$S,F$307,DEALS!$U:$U,$B316,DEALS!$V:$V,"&lt;&gt;*RECEIVED*",DEALS!$V:$V,"&lt;&gt;*EXECUTED*"))</f>
        <v>0</v>
      </c>
      <c r="G316" s="29" cm="1">
        <f t="array" ref="G316">SUMIFS(BALANCES!$C:$C,BALANCES!$A:$A,$B$303,BALANCES!$B:$B,$B316,BALANCES!$D:$D,G$307)+SUMIFS(FLOWS!$C:$C,FLOWS!$A:$A,$B$303,FLOWS!$E:$E,$B316,FLOWS!$D:$D,G$307,FLOWS!$H:$H,"&lt;"&amp;$C$305)+SUM(SUMIFS(DEALS!$J:$J,DEALS!$A:$A,{"*REFUND*","*EXECUTED*"},DEALS!$G:$G,$B$303,DEALS!$E:$E,"&lt;"&amp;$C$305,DEALS!$K:$K,G$307,DEALS!$M:$M,$B316,DEALS!$N:$N,"&lt;&gt;*RECEIVED*",DEALS!$N:$N,"&lt;&gt;*EXECUTED*"))+SUM(SUMIFS(DEALS!$R:$R,DEALS!$A:$A,{"*REFUND*","*EXECUTED*"},DEALS!$O:$O,$B$303,DEALS!$E:$E,"&lt;"&amp;$C$305,DEALS!$S:$S,G$307,DEALS!$U:$U,$B316,DEALS!$V:$V,"&lt;&gt;*RECEIVED*",DEALS!$V:$V,"&lt;&gt;*EXECUTED*"))</f>
        <v>0</v>
      </c>
      <c r="H316" s="29" cm="1">
        <f t="array" ref="H316">SUMIFS(BALANCES!$C:$C,BALANCES!$A:$A,$B$303,BALANCES!$B:$B,$B316,BALANCES!$D:$D,H$307)+SUMIFS(FLOWS!$C:$C,FLOWS!$A:$A,$B$303,FLOWS!$E:$E,$B316,FLOWS!$D:$D,H$307,FLOWS!$H:$H,"&lt;"&amp;$C$305)+SUM(SUMIFS(DEALS!$J:$J,DEALS!$A:$A,{"*REFUND*","*EXECUTED*"},DEALS!$G:$G,$B$303,DEALS!$E:$E,"&lt;"&amp;$C$305,DEALS!$K:$K,H$307,DEALS!$M:$M,$B316,DEALS!$N:$N,"&lt;&gt;*RECEIVED*",DEALS!$N:$N,"&lt;&gt;*EXECUTED*"))+SUM(SUMIFS(DEALS!$R:$R,DEALS!$A:$A,{"*REFUND*","*EXECUTED*"},DEALS!$O:$O,$B$303,DEALS!$E:$E,"&lt;"&amp;$C$305,DEALS!$S:$S,H$307,DEALS!$U:$U,$B316,DEALS!$V:$V,"&lt;&gt;*RECEIVED*",DEALS!$V:$V,"&lt;&gt;*EXECUTED*"))</f>
        <v>0</v>
      </c>
      <c r="I316" s="30">
        <f ca="1">C316*VLOOKUP(C$307,'FX RATES'!$E$1:$F$50,2,FALSE)+D316*VLOOKUP(D$307,'FX RATES'!$E$1:$F$50,2,FALSE)+E316*VLOOKUP(E$307,'FX RATES'!$E$1:$F$50,2,FALSE)+F316*VLOOKUP(F$307,'FX RATES'!$E$1:$F$50,2,FALSE)+G316*VLOOKUP(G$307,'FX RATES'!$E$1:$F$50,2,FALSE)+H316*VLOOKUP(H$307,'FX RATES'!$E$1:$F$50,2,FALSE)</f>
        <v>0</v>
      </c>
      <c r="K316" s="28">
        <f t="shared" si="132"/>
        <v>0</v>
      </c>
      <c r="L316" s="29" cm="1">
        <f t="array" ref="L316">SUMIFS(FLOWS!$C:$C,FLOWS!$A:$A,$B$303,FLOWS!$E:$E,$K316,FLOWS!$D:$D,L$307,FLOWS!$H:$H,"&gt;="&amp;$C$305,FLOWS!$H:$H,"&lt;="&amp;$U$305)+SUM(SUMIFS(DEALS!$J:$J,DEALS!$A:$A,{"*REFUND*","*EXECUTED*"},DEALS!$G:$G,$B$303,DEALS!$E:$E,"&gt;="&amp;$C$305,DEALS!$E:$E,"&lt;="&amp;$U$305,DEALS!$K:$K,L$307,DEALS!$M:$M,$K316,DEALS!$N:$N,"&lt;&gt;*RECEIVED*",DEALS!$N:$N,"&lt;&gt;*EXECUTED*"))+SUM(SUMIFS(DEALS!$R:$R,DEALS!$A:$A,{"*REFUND*","*EXECUTED*"},DEALS!$O:$O,$B$303,DEALS!$E:$E,"&gt;="&amp;$C$305,DEALS!$E:$E,"&lt;="&amp;$U$305,DEALS!$S:$S,L$307,DEALS!$U:$U,$K316,DEALS!$V:$V,"&lt;&gt;*RECEIVED*",DEALS!$V:$V,"&lt;&gt;*EXECUTED*"))</f>
        <v>0</v>
      </c>
      <c r="M316" s="29" cm="1">
        <f t="array" ref="M316">SUMIFS(FLOWS!$C:$C,FLOWS!$A:$A,$B$303,FLOWS!$E:$E,$K316,FLOWS!$D:$D,M$307,FLOWS!$H:$H,"&gt;="&amp;$C$305,FLOWS!$H:$H,"&lt;="&amp;$U$305)+SUM(SUMIFS(DEALS!$J:$J,DEALS!$A:$A,{"*REFUND*","*EXECUTED*"},DEALS!$G:$G,$B$303,DEALS!$E:$E,"&gt;="&amp;$C$305,DEALS!$E:$E,"&lt;="&amp;$U$305,DEALS!$K:$K,M$307,DEALS!$M:$M,$K316,DEALS!$N:$N,"&lt;&gt;*RECEIVED*",DEALS!$N:$N,"&lt;&gt;*EXECUTED*"))+SUM(SUMIFS(DEALS!$R:$R,DEALS!$A:$A,{"*REFUND*","*EXECUTED*"},DEALS!$O:$O,$B$303,DEALS!$E:$E,"&gt;="&amp;$C$305,DEALS!$E:$E,"&lt;="&amp;$U$305,DEALS!$S:$S,M$307,DEALS!$U:$U,$K316,DEALS!$V:$V,"&lt;&gt;*RECEIVED*",DEALS!$V:$V,"&lt;&gt;*EXECUTED*"))</f>
        <v>0</v>
      </c>
      <c r="N316" s="29" cm="1">
        <f t="array" ref="N316">SUMIFS(FLOWS!$C:$C,FLOWS!$A:$A,$B$303,FLOWS!$E:$E,$K316,FLOWS!$D:$D,N$307,FLOWS!$H:$H,"&gt;="&amp;$C$305,FLOWS!$H:$H,"&lt;="&amp;$U$305)+SUM(SUMIFS(DEALS!$J:$J,DEALS!$A:$A,{"*REFUND*","*EXECUTED*"},DEALS!$G:$G,$B$303,DEALS!$E:$E,"&gt;="&amp;$C$305,DEALS!$E:$E,"&lt;="&amp;$U$305,DEALS!$K:$K,N$307,DEALS!$M:$M,$K316,DEALS!$N:$N,"&lt;&gt;*RECEIVED*",DEALS!$N:$N,"&lt;&gt;*EXECUTED*"))+SUM(SUMIFS(DEALS!$R:$R,DEALS!$A:$A,{"*REFUND*","*EXECUTED*"},DEALS!$O:$O,$B$303,DEALS!$E:$E,"&gt;="&amp;$C$305,DEALS!$E:$E,"&lt;="&amp;$U$305,DEALS!$S:$S,N$307,DEALS!$U:$U,$K316,DEALS!$V:$V,"&lt;&gt;*RECEIVED*",DEALS!$V:$V,"&lt;&gt;*EXECUTED*"))</f>
        <v>0</v>
      </c>
      <c r="O316" s="29" cm="1">
        <f t="array" ref="O316">SUMIFS(FLOWS!$C:$C,FLOWS!$A:$A,$B$303,FLOWS!$E:$E,$K316,FLOWS!$D:$D,O$307,FLOWS!$H:$H,"&gt;="&amp;$C$305,FLOWS!$H:$H,"&lt;="&amp;$U$305)+SUM(SUMIFS(DEALS!$J:$J,DEALS!$A:$A,{"*REFUND*","*EXECUTED*"},DEALS!$G:$G,$B$303,DEALS!$E:$E,"&gt;="&amp;$C$305,DEALS!$E:$E,"&lt;="&amp;$U$305,DEALS!$K:$K,O$307,DEALS!$M:$M,$K316,DEALS!$N:$N,"&lt;&gt;*RECEIVED*",DEALS!$N:$N,"&lt;&gt;*EXECUTED*"))+SUM(SUMIFS(DEALS!$R:$R,DEALS!$A:$A,{"*REFUND*","*EXECUTED*"},DEALS!$O:$O,$B$303,DEALS!$E:$E,"&gt;="&amp;$C$305,DEALS!$E:$E,"&lt;="&amp;$U$305,DEALS!$S:$S,O$307,DEALS!$U:$U,$K316,DEALS!$V:$V,"&lt;&gt;*RECEIVED*",DEALS!$V:$V,"&lt;&gt;*EXECUTED*"))</f>
        <v>0</v>
      </c>
      <c r="P316" s="29" cm="1">
        <f t="array" ref="P316">SUMIFS(FLOWS!$C:$C,FLOWS!$A:$A,$B$303,FLOWS!$E:$E,$K316,FLOWS!$D:$D,P$307,FLOWS!$H:$H,"&gt;="&amp;$C$305,FLOWS!$H:$H,"&lt;="&amp;$U$305)+SUM(SUMIFS(DEALS!$J:$J,DEALS!$A:$A,{"*REFUND*","*EXECUTED*"},DEALS!$G:$G,$B$303,DEALS!$E:$E,"&gt;="&amp;$C$305,DEALS!$E:$E,"&lt;="&amp;$U$305,DEALS!$K:$K,P$307,DEALS!$M:$M,$K316,DEALS!$N:$N,"&lt;&gt;*RECEIVED*",DEALS!$N:$N,"&lt;&gt;*EXECUTED*"))+SUM(SUMIFS(DEALS!$R:$R,DEALS!$A:$A,{"*REFUND*","*EXECUTED*"},DEALS!$O:$O,$B$303,DEALS!$E:$E,"&gt;="&amp;$C$305,DEALS!$E:$E,"&lt;="&amp;$U$305,DEALS!$S:$S,P$307,DEALS!$U:$U,$K316,DEALS!$V:$V,"&lt;&gt;*RECEIVED*",DEALS!$V:$V,"&lt;&gt;*EXECUTED*"))</f>
        <v>0</v>
      </c>
      <c r="Q316" s="29" cm="1">
        <f t="array" ref="Q316">SUMIFS(FLOWS!$C:$C,FLOWS!$A:$A,$B$303,FLOWS!$E:$E,$K316,FLOWS!$D:$D,Q$307,FLOWS!$H:$H,"&gt;="&amp;$C$305,FLOWS!$H:$H,"&lt;="&amp;$U$305)+SUM(SUMIFS(DEALS!$J:$J,DEALS!$A:$A,{"*REFUND*","*EXECUTED*"},DEALS!$G:$G,$B$303,DEALS!$E:$E,"&gt;="&amp;$C$305,DEALS!$E:$E,"&lt;="&amp;$U$305,DEALS!$K:$K,Q$307,DEALS!$M:$M,$K316,DEALS!$N:$N,"&lt;&gt;*RECEIVED*",DEALS!$N:$N,"&lt;&gt;*EXECUTED*"))+SUM(SUMIFS(DEALS!$R:$R,DEALS!$A:$A,{"*REFUND*","*EXECUTED*"},DEALS!$O:$O,$B$303,DEALS!$E:$E,"&gt;="&amp;$C$305,DEALS!$E:$E,"&lt;="&amp;$U$305,DEALS!$S:$S,Q$307,DEALS!$U:$U,$K316,DEALS!$V:$V,"&lt;&gt;*RECEIVED*",DEALS!$V:$V,"&lt;&gt;*EXECUTED*"))</f>
        <v>0</v>
      </c>
      <c r="R316" s="30">
        <f ca="1">L316*VLOOKUP(L$307,'FX RATES'!$E$1:$F$50,2,FALSE)+M316*VLOOKUP(M$307,'FX RATES'!$E$1:$F$50,2,FALSE)+N316*VLOOKUP(N$307,'FX RATES'!$E$1:$F$50,2,FALSE)+O316*VLOOKUP(O$307,'FX RATES'!$E$1:$F$50,2,FALSE)+P316*VLOOKUP(P$307,'FX RATES'!$E$1:$F$50,2,FALSE)+Q316*VLOOKUP(Q$307,'FX RATES'!$E$1:$F$50,2,FALSE)</f>
        <v>0</v>
      </c>
      <c r="T316" s="28">
        <f t="shared" si="133"/>
        <v>0</v>
      </c>
      <c r="U316" s="29" cm="1">
        <f t="array" ref="U316">SUMIFS(BALANCES!$C:$C,BALANCES!$A:$A,$B$303,BALANCES!$B:$B,$T316,BALANCES!$D:$D,U$307)+SUMIFS(FLOWS!$C:$C,FLOWS!$A:$A,$B$303,FLOWS!$E:$E,$T316,FLOWS!$D:$D,U$307,FLOWS!$H:$H,"&lt;="&amp;$U$305)+SUM(SUMIFS(DEALS!$J:$J,DEALS!$A:$A,{"*REFUND*","*EXECUTED*"},DEALS!$G:$G,$B$303,DEALS!$E:$E,"&lt;="&amp;$U$305,DEALS!$K:$K,U$307,DEALS!$M:$M,$T316,DEALS!$N:$N,"&lt;&gt;*RECEIVED*",DEALS!$N:$N,"&lt;&gt;*EXECUTED*"))+SUM(SUMIFS(DEALS!$R:$R,DEALS!$A:$A,{"*REFUND*","*EXECUTED*"},DEALS!$O:$O,$B$303,DEALS!$E:$E,"&lt;="&amp;$U$305,DEALS!$S:$S,U$307,DEALS!$U:$U,$T316,DEALS!$V:$V,"&lt;&gt;*RECEIVED*",DEALS!$V:$V,"&lt;&gt;*EXECUTED*"))</f>
        <v>0</v>
      </c>
      <c r="V316" s="29" cm="1">
        <f t="array" ref="V316">SUMIFS(BALANCES!$C:$C,BALANCES!$A:$A,$B$303,BALANCES!$B:$B,$T316,BALANCES!$D:$D,V$307)+SUMIFS(FLOWS!$C:$C,FLOWS!$A:$A,$B$303,FLOWS!$E:$E,$T316,FLOWS!$D:$D,V$307,FLOWS!$H:$H,"&lt;="&amp;$U$305)+SUM(SUMIFS(DEALS!$J:$J,DEALS!$A:$A,{"*REFUND*","*EXECUTED*"},DEALS!$G:$G,$B$303,DEALS!$E:$E,"&lt;="&amp;$U$305,DEALS!$K:$K,V$307,DEALS!$M:$M,$T316,DEALS!$N:$N,"&lt;&gt;*RECEIVED*",DEALS!$N:$N,"&lt;&gt;*EXECUTED*"))+SUM(SUMIFS(DEALS!$R:$R,DEALS!$A:$A,{"*REFUND*","*EXECUTED*"},DEALS!$O:$O,$B$303,DEALS!$E:$E,"&lt;="&amp;$U$305,DEALS!$S:$S,V$307,DEALS!$U:$U,$T316,DEALS!$V:$V,"&lt;&gt;*RECEIVED*",DEALS!$V:$V,"&lt;&gt;*EXECUTED*"))</f>
        <v>0</v>
      </c>
      <c r="W316" s="29" cm="1">
        <f t="array" ref="W316">SUMIFS(BALANCES!$C:$C,BALANCES!$A:$A,$B$303,BALANCES!$B:$B,$T316,BALANCES!$D:$D,W$307)+SUMIFS(FLOWS!$C:$C,FLOWS!$A:$A,$B$303,FLOWS!$E:$E,$T316,FLOWS!$D:$D,W$307,FLOWS!$H:$H,"&lt;="&amp;$U$305)+SUM(SUMIFS(DEALS!$J:$J,DEALS!$A:$A,{"*REFUND*","*EXECUTED*"},DEALS!$G:$G,$B$303,DEALS!$E:$E,"&lt;="&amp;$U$305,DEALS!$K:$K,W$307,DEALS!$M:$M,$T316,DEALS!$N:$N,"&lt;&gt;*RECEIVED*",DEALS!$N:$N,"&lt;&gt;*EXECUTED*"))+SUM(SUMIFS(DEALS!$R:$R,DEALS!$A:$A,{"*REFUND*","*EXECUTED*"},DEALS!$O:$O,$B$303,DEALS!$E:$E,"&lt;="&amp;$U$305,DEALS!$S:$S,W$307,DEALS!$U:$U,$T316,DEALS!$V:$V,"&lt;&gt;*RECEIVED*",DEALS!$V:$V,"&lt;&gt;*EXECUTED*"))</f>
        <v>0</v>
      </c>
      <c r="X316" s="29" cm="1">
        <f t="array" ref="X316">SUMIFS(BALANCES!$C:$C,BALANCES!$A:$A,$B$303,BALANCES!$B:$B,$T316,BALANCES!$D:$D,X$307)+SUMIFS(FLOWS!$C:$C,FLOWS!$A:$A,$B$303,FLOWS!$E:$E,$T316,FLOWS!$D:$D,X$307,FLOWS!$H:$H,"&lt;="&amp;$U$305)+SUM(SUMIFS(DEALS!$J:$J,DEALS!$A:$A,{"*REFUND*","*EXECUTED*"},DEALS!$G:$G,$B$303,DEALS!$E:$E,"&lt;="&amp;$U$305,DEALS!$K:$K,X$307,DEALS!$M:$M,$T316,DEALS!$N:$N,"&lt;&gt;*RECEIVED*",DEALS!$N:$N,"&lt;&gt;*EXECUTED*"))+SUM(SUMIFS(DEALS!$R:$R,DEALS!$A:$A,{"*REFUND*","*EXECUTED*"},DEALS!$O:$O,$B$303,DEALS!$E:$E,"&lt;="&amp;$U$305,DEALS!$S:$S,X$307,DEALS!$U:$U,$T316,DEALS!$V:$V,"&lt;&gt;*RECEIVED*",DEALS!$V:$V,"&lt;&gt;*EXECUTED*"))</f>
        <v>0</v>
      </c>
      <c r="Y316" s="29" cm="1">
        <f t="array" ref="Y316">SUMIFS(BALANCES!$C:$C,BALANCES!$A:$A,$B$303,BALANCES!$B:$B,$T316,BALANCES!$D:$D,Y$307)+SUMIFS(FLOWS!$C:$C,FLOWS!$A:$A,$B$303,FLOWS!$E:$E,$T316,FLOWS!$D:$D,Y$307,FLOWS!$H:$H,"&lt;="&amp;$U$305)+SUM(SUMIFS(DEALS!$J:$J,DEALS!$A:$A,{"*REFUND*","*EXECUTED*"},DEALS!$G:$G,$B$303,DEALS!$E:$E,"&lt;="&amp;$U$305,DEALS!$K:$K,Y$307,DEALS!$M:$M,$T316,DEALS!$N:$N,"&lt;&gt;*RECEIVED*",DEALS!$N:$N,"&lt;&gt;*EXECUTED*"))+SUM(SUMIFS(DEALS!$R:$R,DEALS!$A:$A,{"*REFUND*","*EXECUTED*"},DEALS!$O:$O,$B$303,DEALS!$E:$E,"&lt;="&amp;$U$305,DEALS!$S:$S,Y$307,DEALS!$U:$U,$T316,DEALS!$V:$V,"&lt;&gt;*RECEIVED*",DEALS!$V:$V,"&lt;&gt;*EXECUTED*"))</f>
        <v>0</v>
      </c>
      <c r="Z316" s="29" cm="1">
        <f t="array" ref="Z316">SUMIFS(BALANCES!$C:$C,BALANCES!$A:$A,$B$303,BALANCES!$B:$B,$T316,BALANCES!$D:$D,Z$307)+SUMIFS(FLOWS!$C:$C,FLOWS!$A:$A,$B$303,FLOWS!$E:$E,$T316,FLOWS!$D:$D,Z$307,FLOWS!$H:$H,"&lt;="&amp;$U$305)+SUM(SUMIFS(DEALS!$J:$J,DEALS!$A:$A,{"*REFUND*","*EXECUTED*"},DEALS!$G:$G,$B$303,DEALS!$E:$E,"&lt;="&amp;$U$305,DEALS!$K:$K,Z$307,DEALS!$M:$M,$T316,DEALS!$N:$N,"&lt;&gt;*RECEIVED*",DEALS!$N:$N,"&lt;&gt;*EXECUTED*"))+SUM(SUMIFS(DEALS!$R:$R,DEALS!$A:$A,{"*REFUND*","*EXECUTED*"},DEALS!$O:$O,$B$303,DEALS!$E:$E,"&lt;="&amp;$U$305,DEALS!$S:$S,Z$307,DEALS!$U:$U,$T316,DEALS!$V:$V,"&lt;&gt;*RECEIVED*",DEALS!$V:$V,"&lt;&gt;*EXECUTED*"))</f>
        <v>0</v>
      </c>
      <c r="AA316" s="30">
        <f ca="1">U316*VLOOKUP(U$307,'FX RATES'!$E$1:$F$50,2,FALSE)+V316*VLOOKUP(V$307,'FX RATES'!$E$1:$F$50,2,FALSE)+W316*VLOOKUP(W$307,'FX RATES'!$E$1:$F$50,2,FALSE)+X316*VLOOKUP(X$307,'FX RATES'!$E$1:$F$50,2,FALSE)+Y316*VLOOKUP(Y$307,'FX RATES'!$E$1:$F$50,2,FALSE)+Z316*VLOOKUP(Z$307,'FX RATES'!$E$1:$F$50,2,FALSE)</f>
        <v>0</v>
      </c>
      <c r="AC316" s="139">
        <f t="shared" ca="1" si="134"/>
        <v>0</v>
      </c>
    </row>
    <row r="317" spans="2:29" ht="18.75" hidden="1" customHeight="1">
      <c r="B317" s="31"/>
      <c r="C317" s="32" cm="1">
        <f t="array" ref="C317">SUMIFS(BALANCES!$C:$C,BALANCES!$A:$A,$B$303,BALANCES!$B:$B,$B317,BALANCES!$D:$D,C$307)+SUMIFS(FLOWS!$C:$C,FLOWS!$A:$A,$B$303,FLOWS!$E:$E,$B317,FLOWS!$D:$D,C$307,FLOWS!$H:$H,"&lt;"&amp;$C$305)+SUM(SUMIFS(DEALS!$J:$J,DEALS!$A:$A,{"*REFUND*","*EXECUTED*"},DEALS!$G:$G,$B$303,DEALS!$E:$E,"&lt;"&amp;$C$305,DEALS!$K:$K,C$307,DEALS!$M:$M,$B317,DEALS!$N:$N,"&lt;&gt;*RECEIVED*",DEALS!$N:$N,"&lt;&gt;*EXECUTED*"))+SUM(SUMIFS(DEALS!$R:$R,DEALS!$A:$A,{"*REFUND*","*EXECUTED*"},DEALS!$O:$O,$B$303,DEALS!$E:$E,"&lt;"&amp;$C$305,DEALS!$S:$S,C$307,DEALS!$U:$U,$B317,DEALS!$V:$V,"&lt;&gt;*RECEIVED*",DEALS!$V:$V,"&lt;&gt;*EXECUTED*"))</f>
        <v>0</v>
      </c>
      <c r="D317" s="32" cm="1">
        <f t="array" ref="D317">SUMIFS(BALANCES!$C:$C,BALANCES!$A:$A,$B$303,BALANCES!$B:$B,$B317,BALANCES!$D:$D,D$307)+SUMIFS(FLOWS!$C:$C,FLOWS!$A:$A,$B$303,FLOWS!$E:$E,$B317,FLOWS!$D:$D,D$307,FLOWS!$H:$H,"&lt;"&amp;$C$305)+SUM(SUMIFS(DEALS!$J:$J,DEALS!$A:$A,{"*REFUND*","*EXECUTED*"},DEALS!$G:$G,$B$303,DEALS!$E:$E,"&lt;"&amp;$C$305,DEALS!$K:$K,D$307,DEALS!$M:$M,$B317,DEALS!$N:$N,"&lt;&gt;*RECEIVED*",DEALS!$N:$N,"&lt;&gt;*EXECUTED*"))+SUM(SUMIFS(DEALS!$R:$R,DEALS!$A:$A,{"*REFUND*","*EXECUTED*"},DEALS!$O:$O,$B$303,DEALS!$E:$E,"&lt;"&amp;$C$305,DEALS!$S:$S,D$307,DEALS!$U:$U,$B317,DEALS!$V:$V,"&lt;&gt;*RECEIVED*",DEALS!$V:$V,"&lt;&gt;*EXECUTED*"))</f>
        <v>0</v>
      </c>
      <c r="E317" s="32" cm="1">
        <f t="array" ref="E317">SUMIFS(BALANCES!$C:$C,BALANCES!$A:$A,$B$303,BALANCES!$B:$B,$B317,BALANCES!$D:$D,E$307)+SUMIFS(FLOWS!$C:$C,FLOWS!$A:$A,$B$303,FLOWS!$E:$E,$B317,FLOWS!$D:$D,E$307,FLOWS!$H:$H,"&lt;"&amp;$C$305)+SUM(SUMIFS(DEALS!$J:$J,DEALS!$A:$A,{"*REFUND*","*EXECUTED*"},DEALS!$G:$G,$B$303,DEALS!$E:$E,"&lt;"&amp;$C$305,DEALS!$K:$K,E$307,DEALS!$M:$M,$B317,DEALS!$N:$N,"&lt;&gt;*RECEIVED*",DEALS!$N:$N,"&lt;&gt;*EXECUTED*"))+SUM(SUMIFS(DEALS!$R:$R,DEALS!$A:$A,{"*REFUND*","*EXECUTED*"},DEALS!$O:$O,$B$303,DEALS!$E:$E,"&lt;"&amp;$C$305,DEALS!$S:$S,E$307,DEALS!$U:$U,$B317,DEALS!$V:$V,"&lt;&gt;*RECEIVED*",DEALS!$V:$V,"&lt;&gt;*EXECUTED*"))</f>
        <v>0</v>
      </c>
      <c r="F317" s="32" cm="1">
        <f t="array" ref="F317">SUMIFS(BALANCES!$C:$C,BALANCES!$A:$A,$B$303,BALANCES!$B:$B,$B317,BALANCES!$D:$D,F$307)+SUMIFS(FLOWS!$C:$C,FLOWS!$A:$A,$B$303,FLOWS!$E:$E,$B317,FLOWS!$D:$D,F$307,FLOWS!$H:$H,"&lt;"&amp;$C$305)+SUM(SUMIFS(DEALS!$J:$J,DEALS!$A:$A,{"*REFUND*","*EXECUTED*"},DEALS!$G:$G,$B$303,DEALS!$E:$E,"&lt;"&amp;$C$305,DEALS!$K:$K,F$307,DEALS!$M:$M,$B317,DEALS!$N:$N,"&lt;&gt;*RECEIVED*",DEALS!$N:$N,"&lt;&gt;*EXECUTED*"))+SUM(SUMIFS(DEALS!$R:$R,DEALS!$A:$A,{"*REFUND*","*EXECUTED*"},DEALS!$O:$O,$B$303,DEALS!$E:$E,"&lt;"&amp;$C$305,DEALS!$S:$S,F$307,DEALS!$U:$U,$B317,DEALS!$V:$V,"&lt;&gt;*RECEIVED*",DEALS!$V:$V,"&lt;&gt;*EXECUTED*"))</f>
        <v>0</v>
      </c>
      <c r="G317" s="32" cm="1">
        <f t="array" ref="G317">SUMIFS(BALANCES!$C:$C,BALANCES!$A:$A,$B$303,BALANCES!$B:$B,$B317,BALANCES!$D:$D,G$307)+SUMIFS(FLOWS!$C:$C,FLOWS!$A:$A,$B$303,FLOWS!$E:$E,$B317,FLOWS!$D:$D,G$307,FLOWS!$H:$H,"&lt;"&amp;$C$305)+SUM(SUMIFS(DEALS!$J:$J,DEALS!$A:$A,{"*REFUND*","*EXECUTED*"},DEALS!$G:$G,$B$303,DEALS!$E:$E,"&lt;"&amp;$C$305,DEALS!$K:$K,G$307,DEALS!$M:$M,$B317,DEALS!$N:$N,"&lt;&gt;*RECEIVED*",DEALS!$N:$N,"&lt;&gt;*EXECUTED*"))+SUM(SUMIFS(DEALS!$R:$R,DEALS!$A:$A,{"*REFUND*","*EXECUTED*"},DEALS!$O:$O,$B$303,DEALS!$E:$E,"&lt;"&amp;$C$305,DEALS!$S:$S,G$307,DEALS!$U:$U,$B317,DEALS!$V:$V,"&lt;&gt;*RECEIVED*",DEALS!$V:$V,"&lt;&gt;*EXECUTED*"))</f>
        <v>0</v>
      </c>
      <c r="H317" s="32" cm="1">
        <f t="array" ref="H317">SUMIFS(BALANCES!$C:$C,BALANCES!$A:$A,$B$303,BALANCES!$B:$B,$B317,BALANCES!$D:$D,H$307)+SUMIFS(FLOWS!$C:$C,FLOWS!$A:$A,$B$303,FLOWS!$E:$E,$B317,FLOWS!$D:$D,H$307,FLOWS!$H:$H,"&lt;"&amp;$C$305)+SUM(SUMIFS(DEALS!$J:$J,DEALS!$A:$A,{"*REFUND*","*EXECUTED*"},DEALS!$G:$G,$B$303,DEALS!$E:$E,"&lt;"&amp;$C$305,DEALS!$K:$K,H$307,DEALS!$M:$M,$B317,DEALS!$N:$N,"&lt;&gt;*RECEIVED*",DEALS!$N:$N,"&lt;&gt;*EXECUTED*"))+SUM(SUMIFS(DEALS!$R:$R,DEALS!$A:$A,{"*REFUND*","*EXECUTED*"},DEALS!$O:$O,$B$303,DEALS!$E:$E,"&lt;"&amp;$C$305,DEALS!$S:$S,H$307,DEALS!$U:$U,$B317,DEALS!$V:$V,"&lt;&gt;*RECEIVED*",DEALS!$V:$V,"&lt;&gt;*EXECUTED*"))</f>
        <v>0</v>
      </c>
      <c r="I317" s="33">
        <f ca="1">C317*VLOOKUP(C$307,'FX RATES'!$E$1:$F$50,2,FALSE)+D317*VLOOKUP(D$307,'FX RATES'!$E$1:$F$50,2,FALSE)+E317*VLOOKUP(E$307,'FX RATES'!$E$1:$F$50,2,FALSE)+F317*VLOOKUP(F$307,'FX RATES'!$E$1:$F$50,2,FALSE)+G317*VLOOKUP(G$307,'FX RATES'!$E$1:$F$50,2,FALSE)+H317*VLOOKUP(H$307,'FX RATES'!$E$1:$F$50,2,FALSE)</f>
        <v>0</v>
      </c>
      <c r="K317" s="31">
        <f t="shared" si="132"/>
        <v>0</v>
      </c>
      <c r="L317" s="32" cm="1">
        <f t="array" ref="L317">SUMIFS(FLOWS!$C:$C,FLOWS!$A:$A,$B$303,FLOWS!$E:$E,$K317,FLOWS!$D:$D,L$307,FLOWS!$H:$H,"&gt;="&amp;$C$305,FLOWS!$H:$H,"&lt;="&amp;$U$305)+SUM(SUMIFS(DEALS!$J:$J,DEALS!$A:$A,{"*REFUND*","*EXECUTED*"},DEALS!$G:$G,$B$303,DEALS!$E:$E,"&gt;="&amp;$C$305,DEALS!$E:$E,"&lt;="&amp;$U$305,DEALS!$K:$K,L$307,DEALS!$M:$M,$K317,DEALS!$N:$N,"&lt;&gt;*RECEIVED*",DEALS!$N:$N,"&lt;&gt;*EXECUTED*"))+SUM(SUMIFS(DEALS!$R:$R,DEALS!$A:$A,{"*REFUND*","*EXECUTED*"},DEALS!$O:$O,$B$303,DEALS!$E:$E,"&gt;="&amp;$C$305,DEALS!$E:$E,"&lt;="&amp;$U$305,DEALS!$S:$S,L$307,DEALS!$U:$U,$K317,DEALS!$V:$V,"&lt;&gt;*RECEIVED*",DEALS!$V:$V,"&lt;&gt;*EXECUTED*"))</f>
        <v>0</v>
      </c>
      <c r="M317" s="32" cm="1">
        <f t="array" ref="M317">SUMIFS(FLOWS!$C:$C,FLOWS!$A:$A,$B$303,FLOWS!$E:$E,$K317,FLOWS!$D:$D,M$307,FLOWS!$H:$H,"&gt;="&amp;$C$305,FLOWS!$H:$H,"&lt;="&amp;$U$305)+SUM(SUMIFS(DEALS!$J:$J,DEALS!$A:$A,{"*REFUND*","*EXECUTED*"},DEALS!$G:$G,$B$303,DEALS!$E:$E,"&gt;="&amp;$C$305,DEALS!$E:$E,"&lt;="&amp;$U$305,DEALS!$K:$K,M$307,DEALS!$M:$M,$K317,DEALS!$N:$N,"&lt;&gt;*RECEIVED*",DEALS!$N:$N,"&lt;&gt;*EXECUTED*"))+SUM(SUMIFS(DEALS!$R:$R,DEALS!$A:$A,{"*REFUND*","*EXECUTED*"},DEALS!$O:$O,$B$303,DEALS!$E:$E,"&gt;="&amp;$C$305,DEALS!$E:$E,"&lt;="&amp;$U$305,DEALS!$S:$S,M$307,DEALS!$U:$U,$K317,DEALS!$V:$V,"&lt;&gt;*RECEIVED*",DEALS!$V:$V,"&lt;&gt;*EXECUTED*"))</f>
        <v>0</v>
      </c>
      <c r="N317" s="32" cm="1">
        <f t="array" ref="N317">SUMIFS(FLOWS!$C:$C,FLOWS!$A:$A,$B$303,FLOWS!$E:$E,$K317,FLOWS!$D:$D,N$307,FLOWS!$H:$H,"&gt;="&amp;$C$305,FLOWS!$H:$H,"&lt;="&amp;$U$305)+SUM(SUMIFS(DEALS!$J:$J,DEALS!$A:$A,{"*REFUND*","*EXECUTED*"},DEALS!$G:$G,$B$303,DEALS!$E:$E,"&gt;="&amp;$C$305,DEALS!$E:$E,"&lt;="&amp;$U$305,DEALS!$K:$K,N$307,DEALS!$M:$M,$K317,DEALS!$N:$N,"&lt;&gt;*RECEIVED*",DEALS!$N:$N,"&lt;&gt;*EXECUTED*"))+SUM(SUMIFS(DEALS!$R:$R,DEALS!$A:$A,{"*REFUND*","*EXECUTED*"},DEALS!$O:$O,$B$303,DEALS!$E:$E,"&gt;="&amp;$C$305,DEALS!$E:$E,"&lt;="&amp;$U$305,DEALS!$S:$S,N$307,DEALS!$U:$U,$K317,DEALS!$V:$V,"&lt;&gt;*RECEIVED*",DEALS!$V:$V,"&lt;&gt;*EXECUTED*"))</f>
        <v>0</v>
      </c>
      <c r="O317" s="32" cm="1">
        <f t="array" ref="O317">SUMIFS(FLOWS!$C:$C,FLOWS!$A:$A,$B$303,FLOWS!$E:$E,$K317,FLOWS!$D:$D,O$307,FLOWS!$H:$H,"&gt;="&amp;$C$305,FLOWS!$H:$H,"&lt;="&amp;$U$305)+SUM(SUMIFS(DEALS!$J:$J,DEALS!$A:$A,{"*REFUND*","*EXECUTED*"},DEALS!$G:$G,$B$303,DEALS!$E:$E,"&gt;="&amp;$C$305,DEALS!$E:$E,"&lt;="&amp;$U$305,DEALS!$K:$K,O$307,DEALS!$M:$M,$K317,DEALS!$N:$N,"&lt;&gt;*RECEIVED*",DEALS!$N:$N,"&lt;&gt;*EXECUTED*"))+SUM(SUMIFS(DEALS!$R:$R,DEALS!$A:$A,{"*REFUND*","*EXECUTED*"},DEALS!$O:$O,$B$303,DEALS!$E:$E,"&gt;="&amp;$C$305,DEALS!$E:$E,"&lt;="&amp;$U$305,DEALS!$S:$S,O$307,DEALS!$U:$U,$K317,DEALS!$V:$V,"&lt;&gt;*RECEIVED*",DEALS!$V:$V,"&lt;&gt;*EXECUTED*"))</f>
        <v>0</v>
      </c>
      <c r="P317" s="32" cm="1">
        <f t="array" ref="P317">SUMIFS(FLOWS!$C:$C,FLOWS!$A:$A,$B$303,FLOWS!$E:$E,$K317,FLOWS!$D:$D,P$307,FLOWS!$H:$H,"&gt;="&amp;$C$305,FLOWS!$H:$H,"&lt;="&amp;$U$305)+SUM(SUMIFS(DEALS!$J:$J,DEALS!$A:$A,{"*REFUND*","*EXECUTED*"},DEALS!$G:$G,$B$303,DEALS!$E:$E,"&gt;="&amp;$C$305,DEALS!$E:$E,"&lt;="&amp;$U$305,DEALS!$K:$K,P$307,DEALS!$M:$M,$K317,DEALS!$N:$N,"&lt;&gt;*RECEIVED*",DEALS!$N:$N,"&lt;&gt;*EXECUTED*"))+SUM(SUMIFS(DEALS!$R:$R,DEALS!$A:$A,{"*REFUND*","*EXECUTED*"},DEALS!$O:$O,$B$303,DEALS!$E:$E,"&gt;="&amp;$C$305,DEALS!$E:$E,"&lt;="&amp;$U$305,DEALS!$S:$S,P$307,DEALS!$U:$U,$K317,DEALS!$V:$V,"&lt;&gt;*RECEIVED*",DEALS!$V:$V,"&lt;&gt;*EXECUTED*"))</f>
        <v>0</v>
      </c>
      <c r="Q317" s="32" cm="1">
        <f t="array" ref="Q317">SUMIFS(FLOWS!$C:$C,FLOWS!$A:$A,$B$303,FLOWS!$E:$E,$K317,FLOWS!$D:$D,Q$307,FLOWS!$H:$H,"&gt;="&amp;$C$305,FLOWS!$H:$H,"&lt;="&amp;$U$305)+SUM(SUMIFS(DEALS!$J:$J,DEALS!$A:$A,{"*REFUND*","*EXECUTED*"},DEALS!$G:$G,$B$303,DEALS!$E:$E,"&gt;="&amp;$C$305,DEALS!$E:$E,"&lt;="&amp;$U$305,DEALS!$K:$K,Q$307,DEALS!$M:$M,$K317,DEALS!$N:$N,"&lt;&gt;*RECEIVED*",DEALS!$N:$N,"&lt;&gt;*EXECUTED*"))+SUM(SUMIFS(DEALS!$R:$R,DEALS!$A:$A,{"*REFUND*","*EXECUTED*"},DEALS!$O:$O,$B$303,DEALS!$E:$E,"&gt;="&amp;$C$305,DEALS!$E:$E,"&lt;="&amp;$U$305,DEALS!$S:$S,Q$307,DEALS!$U:$U,$K317,DEALS!$V:$V,"&lt;&gt;*RECEIVED*",DEALS!$V:$V,"&lt;&gt;*EXECUTED*"))</f>
        <v>0</v>
      </c>
      <c r="R317" s="33">
        <f ca="1">L317*VLOOKUP(L$307,'FX RATES'!$E$1:$F$50,2,FALSE)+M317*VLOOKUP(M$307,'FX RATES'!$E$1:$F$50,2,FALSE)+N317*VLOOKUP(N$307,'FX RATES'!$E$1:$F$50,2,FALSE)+O317*VLOOKUP(O$307,'FX RATES'!$E$1:$F$50,2,FALSE)+P317*VLOOKUP(P$307,'FX RATES'!$E$1:$F$50,2,FALSE)+Q317*VLOOKUP(Q$307,'FX RATES'!$E$1:$F$50,2,FALSE)</f>
        <v>0</v>
      </c>
      <c r="T317" s="31">
        <f t="shared" si="133"/>
        <v>0</v>
      </c>
      <c r="U317" s="32" cm="1">
        <f t="array" ref="U317">SUMIFS(BALANCES!$C:$C,BALANCES!$A:$A,$B$303,BALANCES!$B:$B,$T317,BALANCES!$D:$D,U$307)+SUMIFS(FLOWS!$C:$C,FLOWS!$A:$A,$B$303,FLOWS!$E:$E,$T317,FLOWS!$D:$D,U$307,FLOWS!$H:$H,"&lt;="&amp;$U$305)+SUM(SUMIFS(DEALS!$J:$J,DEALS!$A:$A,{"*REFUND*","*EXECUTED*"},DEALS!$G:$G,$B$303,DEALS!$E:$E,"&lt;="&amp;$U$305,DEALS!$K:$K,U$307,DEALS!$M:$M,$T317,DEALS!$N:$N,"&lt;&gt;*RECEIVED*",DEALS!$N:$N,"&lt;&gt;*EXECUTED*"))+SUM(SUMIFS(DEALS!$R:$R,DEALS!$A:$A,{"*REFUND*","*EXECUTED*"},DEALS!$O:$O,$B$303,DEALS!$E:$E,"&lt;="&amp;$U$305,DEALS!$S:$S,U$307,DEALS!$U:$U,$T317,DEALS!$V:$V,"&lt;&gt;*RECEIVED*",DEALS!$V:$V,"&lt;&gt;*EXECUTED*"))</f>
        <v>0</v>
      </c>
      <c r="V317" s="32" cm="1">
        <f t="array" ref="V317">SUMIFS(BALANCES!$C:$C,BALANCES!$A:$A,$B$303,BALANCES!$B:$B,$T317,BALANCES!$D:$D,V$307)+SUMIFS(FLOWS!$C:$C,FLOWS!$A:$A,$B$303,FLOWS!$E:$E,$T317,FLOWS!$D:$D,V$307,FLOWS!$H:$H,"&lt;="&amp;$U$305)+SUM(SUMIFS(DEALS!$J:$J,DEALS!$A:$A,{"*REFUND*","*EXECUTED*"},DEALS!$G:$G,$B$303,DEALS!$E:$E,"&lt;="&amp;$U$305,DEALS!$K:$K,V$307,DEALS!$M:$M,$T317,DEALS!$N:$N,"&lt;&gt;*RECEIVED*",DEALS!$N:$N,"&lt;&gt;*EXECUTED*"))+SUM(SUMIFS(DEALS!$R:$R,DEALS!$A:$A,{"*REFUND*","*EXECUTED*"},DEALS!$O:$O,$B$303,DEALS!$E:$E,"&lt;="&amp;$U$305,DEALS!$S:$S,V$307,DEALS!$U:$U,$T317,DEALS!$V:$V,"&lt;&gt;*RECEIVED*",DEALS!$V:$V,"&lt;&gt;*EXECUTED*"))</f>
        <v>0</v>
      </c>
      <c r="W317" s="32" cm="1">
        <f t="array" ref="W317">SUMIFS(BALANCES!$C:$C,BALANCES!$A:$A,$B$303,BALANCES!$B:$B,$T317,BALANCES!$D:$D,W$307)+SUMIFS(FLOWS!$C:$C,FLOWS!$A:$A,$B$303,FLOWS!$E:$E,$T317,FLOWS!$D:$D,W$307,FLOWS!$H:$H,"&lt;="&amp;$U$305)+SUM(SUMIFS(DEALS!$J:$J,DEALS!$A:$A,{"*REFUND*","*EXECUTED*"},DEALS!$G:$G,$B$303,DEALS!$E:$E,"&lt;="&amp;$U$305,DEALS!$K:$K,W$307,DEALS!$M:$M,$T317,DEALS!$N:$N,"&lt;&gt;*RECEIVED*",DEALS!$N:$N,"&lt;&gt;*EXECUTED*"))+SUM(SUMIFS(DEALS!$R:$R,DEALS!$A:$A,{"*REFUND*","*EXECUTED*"},DEALS!$O:$O,$B$303,DEALS!$E:$E,"&lt;="&amp;$U$305,DEALS!$S:$S,W$307,DEALS!$U:$U,$T317,DEALS!$V:$V,"&lt;&gt;*RECEIVED*",DEALS!$V:$V,"&lt;&gt;*EXECUTED*"))</f>
        <v>0</v>
      </c>
      <c r="X317" s="32" cm="1">
        <f t="array" ref="X317">SUMIFS(BALANCES!$C:$C,BALANCES!$A:$A,$B$303,BALANCES!$B:$B,$T317,BALANCES!$D:$D,X$307)+SUMIFS(FLOWS!$C:$C,FLOWS!$A:$A,$B$303,FLOWS!$E:$E,$T317,FLOWS!$D:$D,X$307,FLOWS!$H:$H,"&lt;="&amp;$U$305)+SUM(SUMIFS(DEALS!$J:$J,DEALS!$A:$A,{"*REFUND*","*EXECUTED*"},DEALS!$G:$G,$B$303,DEALS!$E:$E,"&lt;="&amp;$U$305,DEALS!$K:$K,X$307,DEALS!$M:$M,$T317,DEALS!$N:$N,"&lt;&gt;*RECEIVED*",DEALS!$N:$N,"&lt;&gt;*EXECUTED*"))+SUM(SUMIFS(DEALS!$R:$R,DEALS!$A:$A,{"*REFUND*","*EXECUTED*"},DEALS!$O:$O,$B$303,DEALS!$E:$E,"&lt;="&amp;$U$305,DEALS!$S:$S,X$307,DEALS!$U:$U,$T317,DEALS!$V:$V,"&lt;&gt;*RECEIVED*",DEALS!$V:$V,"&lt;&gt;*EXECUTED*"))</f>
        <v>0</v>
      </c>
      <c r="Y317" s="32" cm="1">
        <f t="array" ref="Y317">SUMIFS(BALANCES!$C:$C,BALANCES!$A:$A,$B$303,BALANCES!$B:$B,$T317,BALANCES!$D:$D,Y$307)+SUMIFS(FLOWS!$C:$C,FLOWS!$A:$A,$B$303,FLOWS!$E:$E,$T317,FLOWS!$D:$D,Y$307,FLOWS!$H:$H,"&lt;="&amp;$U$305)+SUM(SUMIFS(DEALS!$J:$J,DEALS!$A:$A,{"*REFUND*","*EXECUTED*"},DEALS!$G:$G,$B$303,DEALS!$E:$E,"&lt;="&amp;$U$305,DEALS!$K:$K,Y$307,DEALS!$M:$M,$T317,DEALS!$N:$N,"&lt;&gt;*RECEIVED*",DEALS!$N:$N,"&lt;&gt;*EXECUTED*"))+SUM(SUMIFS(DEALS!$R:$R,DEALS!$A:$A,{"*REFUND*","*EXECUTED*"},DEALS!$O:$O,$B$303,DEALS!$E:$E,"&lt;="&amp;$U$305,DEALS!$S:$S,Y$307,DEALS!$U:$U,$T317,DEALS!$V:$V,"&lt;&gt;*RECEIVED*",DEALS!$V:$V,"&lt;&gt;*EXECUTED*"))</f>
        <v>0</v>
      </c>
      <c r="Z317" s="32" cm="1">
        <f t="array" ref="Z317">SUMIFS(BALANCES!$C:$C,BALANCES!$A:$A,$B$303,BALANCES!$B:$B,$T317,BALANCES!$D:$D,Z$307)+SUMIFS(FLOWS!$C:$C,FLOWS!$A:$A,$B$303,FLOWS!$E:$E,$T317,FLOWS!$D:$D,Z$307,FLOWS!$H:$H,"&lt;="&amp;$U$305)+SUM(SUMIFS(DEALS!$J:$J,DEALS!$A:$A,{"*REFUND*","*EXECUTED*"},DEALS!$G:$G,$B$303,DEALS!$E:$E,"&lt;="&amp;$U$305,DEALS!$K:$K,Z$307,DEALS!$M:$M,$T317,DEALS!$N:$N,"&lt;&gt;*RECEIVED*",DEALS!$N:$N,"&lt;&gt;*EXECUTED*"))+SUM(SUMIFS(DEALS!$R:$R,DEALS!$A:$A,{"*REFUND*","*EXECUTED*"},DEALS!$O:$O,$B$303,DEALS!$E:$E,"&lt;="&amp;$U$305,DEALS!$S:$S,Z$307,DEALS!$U:$U,$T317,DEALS!$V:$V,"&lt;&gt;*RECEIVED*",DEALS!$V:$V,"&lt;&gt;*EXECUTED*"))</f>
        <v>0</v>
      </c>
      <c r="AA317" s="33">
        <f ca="1">U317*VLOOKUP(U$307,'FX RATES'!$E$1:$F$50,2,FALSE)+V317*VLOOKUP(V$307,'FX RATES'!$E$1:$F$50,2,FALSE)+W317*VLOOKUP(W$307,'FX RATES'!$E$1:$F$50,2,FALSE)+X317*VLOOKUP(X$307,'FX RATES'!$E$1:$F$50,2,FALSE)+Y317*VLOOKUP(Y$307,'FX RATES'!$E$1:$F$50,2,FALSE)+Z317*VLOOKUP(Z$307,'FX RATES'!$E$1:$F$50,2,FALSE)</f>
        <v>0</v>
      </c>
      <c r="AC317" s="139">
        <f t="shared" ca="1" si="134"/>
        <v>0</v>
      </c>
    </row>
    <row r="318" spans="2:29" ht="18.75" hidden="1" customHeight="1">
      <c r="B318" s="28"/>
      <c r="C318" s="29" cm="1">
        <f t="array" ref="C318">SUMIFS(BALANCES!$C:$C,BALANCES!$A:$A,$B$303,BALANCES!$B:$B,$B318,BALANCES!$D:$D,C$307)+SUMIFS(FLOWS!$C:$C,FLOWS!$A:$A,$B$303,FLOWS!$E:$E,$B318,FLOWS!$D:$D,C$307,FLOWS!$H:$H,"&lt;"&amp;$C$305)+SUM(SUMIFS(DEALS!$J:$J,DEALS!$A:$A,{"*REFUND*","*EXECUTED*"},DEALS!$G:$G,$B$303,DEALS!$E:$E,"&lt;"&amp;$C$305,DEALS!$K:$K,C$307,DEALS!$M:$M,$B318,DEALS!$N:$N,"&lt;&gt;*RECEIVED*",DEALS!$N:$N,"&lt;&gt;*EXECUTED*"))+SUM(SUMIFS(DEALS!$R:$R,DEALS!$A:$A,{"*REFUND*","*EXECUTED*"},DEALS!$O:$O,$B$303,DEALS!$E:$E,"&lt;"&amp;$C$305,DEALS!$S:$S,C$307,DEALS!$U:$U,$B318,DEALS!$V:$V,"&lt;&gt;*RECEIVED*",DEALS!$V:$V,"&lt;&gt;*EXECUTED*"))</f>
        <v>0</v>
      </c>
      <c r="D318" s="29" cm="1">
        <f t="array" ref="D318">SUMIFS(BALANCES!$C:$C,BALANCES!$A:$A,$B$303,BALANCES!$B:$B,$B318,BALANCES!$D:$D,D$307)+SUMIFS(FLOWS!$C:$C,FLOWS!$A:$A,$B$303,FLOWS!$E:$E,$B318,FLOWS!$D:$D,D$307,FLOWS!$H:$H,"&lt;"&amp;$C$305)+SUM(SUMIFS(DEALS!$J:$J,DEALS!$A:$A,{"*REFUND*","*EXECUTED*"},DEALS!$G:$G,$B$303,DEALS!$E:$E,"&lt;"&amp;$C$305,DEALS!$K:$K,D$307,DEALS!$M:$M,$B318,DEALS!$N:$N,"&lt;&gt;*RECEIVED*",DEALS!$N:$N,"&lt;&gt;*EXECUTED*"))+SUM(SUMIFS(DEALS!$R:$R,DEALS!$A:$A,{"*REFUND*","*EXECUTED*"},DEALS!$O:$O,$B$303,DEALS!$E:$E,"&lt;"&amp;$C$305,DEALS!$S:$S,D$307,DEALS!$U:$U,$B318,DEALS!$V:$V,"&lt;&gt;*RECEIVED*",DEALS!$V:$V,"&lt;&gt;*EXECUTED*"))</f>
        <v>0</v>
      </c>
      <c r="E318" s="29" cm="1">
        <f t="array" ref="E318">SUMIFS(BALANCES!$C:$C,BALANCES!$A:$A,$B$303,BALANCES!$B:$B,$B318,BALANCES!$D:$D,E$307)+SUMIFS(FLOWS!$C:$C,FLOWS!$A:$A,$B$303,FLOWS!$E:$E,$B318,FLOWS!$D:$D,E$307,FLOWS!$H:$H,"&lt;"&amp;$C$305)+SUM(SUMIFS(DEALS!$J:$J,DEALS!$A:$A,{"*REFUND*","*EXECUTED*"},DEALS!$G:$G,$B$303,DEALS!$E:$E,"&lt;"&amp;$C$305,DEALS!$K:$K,E$307,DEALS!$M:$M,$B318,DEALS!$N:$N,"&lt;&gt;*RECEIVED*",DEALS!$N:$N,"&lt;&gt;*EXECUTED*"))+SUM(SUMIFS(DEALS!$R:$R,DEALS!$A:$A,{"*REFUND*","*EXECUTED*"},DEALS!$O:$O,$B$303,DEALS!$E:$E,"&lt;"&amp;$C$305,DEALS!$S:$S,E$307,DEALS!$U:$U,$B318,DEALS!$V:$V,"&lt;&gt;*RECEIVED*",DEALS!$V:$V,"&lt;&gt;*EXECUTED*"))</f>
        <v>0</v>
      </c>
      <c r="F318" s="29" cm="1">
        <f t="array" ref="F318">SUMIFS(BALANCES!$C:$C,BALANCES!$A:$A,$B$303,BALANCES!$B:$B,$B318,BALANCES!$D:$D,F$307)+SUMIFS(FLOWS!$C:$C,FLOWS!$A:$A,$B$303,FLOWS!$E:$E,$B318,FLOWS!$D:$D,F$307,FLOWS!$H:$H,"&lt;"&amp;$C$305)+SUM(SUMIFS(DEALS!$J:$J,DEALS!$A:$A,{"*REFUND*","*EXECUTED*"},DEALS!$G:$G,$B$303,DEALS!$E:$E,"&lt;"&amp;$C$305,DEALS!$K:$K,F$307,DEALS!$M:$M,$B318,DEALS!$N:$N,"&lt;&gt;*RECEIVED*",DEALS!$N:$N,"&lt;&gt;*EXECUTED*"))+SUM(SUMIFS(DEALS!$R:$R,DEALS!$A:$A,{"*REFUND*","*EXECUTED*"},DEALS!$O:$O,$B$303,DEALS!$E:$E,"&lt;"&amp;$C$305,DEALS!$S:$S,F$307,DEALS!$U:$U,$B318,DEALS!$V:$V,"&lt;&gt;*RECEIVED*",DEALS!$V:$V,"&lt;&gt;*EXECUTED*"))</f>
        <v>0</v>
      </c>
      <c r="G318" s="29" cm="1">
        <f t="array" ref="G318">SUMIFS(BALANCES!$C:$C,BALANCES!$A:$A,$B$303,BALANCES!$B:$B,$B318,BALANCES!$D:$D,G$307)+SUMIFS(FLOWS!$C:$C,FLOWS!$A:$A,$B$303,FLOWS!$E:$E,$B318,FLOWS!$D:$D,G$307,FLOWS!$H:$H,"&lt;"&amp;$C$305)+SUM(SUMIFS(DEALS!$J:$J,DEALS!$A:$A,{"*REFUND*","*EXECUTED*"},DEALS!$G:$G,$B$303,DEALS!$E:$E,"&lt;"&amp;$C$305,DEALS!$K:$K,G$307,DEALS!$M:$M,$B318,DEALS!$N:$N,"&lt;&gt;*RECEIVED*",DEALS!$N:$N,"&lt;&gt;*EXECUTED*"))+SUM(SUMIFS(DEALS!$R:$R,DEALS!$A:$A,{"*REFUND*","*EXECUTED*"},DEALS!$O:$O,$B$303,DEALS!$E:$E,"&lt;"&amp;$C$305,DEALS!$S:$S,G$307,DEALS!$U:$U,$B318,DEALS!$V:$V,"&lt;&gt;*RECEIVED*",DEALS!$V:$V,"&lt;&gt;*EXECUTED*"))</f>
        <v>0</v>
      </c>
      <c r="H318" s="29" cm="1">
        <f t="array" ref="H318">SUMIFS(BALANCES!$C:$C,BALANCES!$A:$A,$B$303,BALANCES!$B:$B,$B318,BALANCES!$D:$D,H$307)+SUMIFS(FLOWS!$C:$C,FLOWS!$A:$A,$B$303,FLOWS!$E:$E,$B318,FLOWS!$D:$D,H$307,FLOWS!$H:$H,"&lt;"&amp;$C$305)+SUM(SUMIFS(DEALS!$J:$J,DEALS!$A:$A,{"*REFUND*","*EXECUTED*"},DEALS!$G:$G,$B$303,DEALS!$E:$E,"&lt;"&amp;$C$305,DEALS!$K:$K,H$307,DEALS!$M:$M,$B318,DEALS!$N:$N,"&lt;&gt;*RECEIVED*",DEALS!$N:$N,"&lt;&gt;*EXECUTED*"))+SUM(SUMIFS(DEALS!$R:$R,DEALS!$A:$A,{"*REFUND*","*EXECUTED*"},DEALS!$O:$O,$B$303,DEALS!$E:$E,"&lt;"&amp;$C$305,DEALS!$S:$S,H$307,DEALS!$U:$U,$B318,DEALS!$V:$V,"&lt;&gt;*RECEIVED*",DEALS!$V:$V,"&lt;&gt;*EXECUTED*"))</f>
        <v>0</v>
      </c>
      <c r="I318" s="30">
        <f ca="1">C318*VLOOKUP(C$307,'FX RATES'!$E$1:$F$50,2,FALSE)+D318*VLOOKUP(D$307,'FX RATES'!$E$1:$F$50,2,FALSE)+E318*VLOOKUP(E$307,'FX RATES'!$E$1:$F$50,2,FALSE)+F318*VLOOKUP(F$307,'FX RATES'!$E$1:$F$50,2,FALSE)+G318*VLOOKUP(G$307,'FX RATES'!$E$1:$F$50,2,FALSE)+H318*VLOOKUP(H$307,'FX RATES'!$E$1:$F$50,2,FALSE)</f>
        <v>0</v>
      </c>
      <c r="K318" s="28">
        <f>B318</f>
        <v>0</v>
      </c>
      <c r="L318" s="29" cm="1">
        <f t="array" ref="L318">SUMIFS(FLOWS!$C:$C,FLOWS!$A:$A,$B$303,FLOWS!$E:$E,$K318,FLOWS!$D:$D,L$307,FLOWS!$H:$H,"&gt;="&amp;$C$305,FLOWS!$H:$H,"&lt;="&amp;$U$305)+SUM(SUMIFS(DEALS!$J:$J,DEALS!$A:$A,{"*REFUND*","*EXECUTED*"},DEALS!$G:$G,$B$303,DEALS!$E:$E,"&gt;="&amp;$C$305,DEALS!$E:$E,"&lt;="&amp;$U$305,DEALS!$K:$K,L$307,DEALS!$M:$M,$K318,DEALS!$N:$N,"&lt;&gt;*RECEIVED*",DEALS!$N:$N,"&lt;&gt;*EXECUTED*"))+SUM(SUMIFS(DEALS!$R:$R,DEALS!$A:$A,{"*REFUND*","*EXECUTED*"},DEALS!$O:$O,$B$303,DEALS!$E:$E,"&gt;="&amp;$C$305,DEALS!$E:$E,"&lt;="&amp;$U$305,DEALS!$S:$S,L$307,DEALS!$U:$U,$K318,DEALS!$V:$V,"&lt;&gt;*RECEIVED*",DEALS!$V:$V,"&lt;&gt;*EXECUTED*"))</f>
        <v>0</v>
      </c>
      <c r="M318" s="29" cm="1">
        <f t="array" ref="M318">SUMIFS(FLOWS!$C:$C,FLOWS!$A:$A,$B$303,FLOWS!$E:$E,$K318,FLOWS!$D:$D,M$307,FLOWS!$H:$H,"&gt;="&amp;$C$305,FLOWS!$H:$H,"&lt;="&amp;$U$305)+SUM(SUMIFS(DEALS!$J:$J,DEALS!$A:$A,{"*REFUND*","*EXECUTED*"},DEALS!$G:$G,$B$303,DEALS!$E:$E,"&gt;="&amp;$C$305,DEALS!$E:$E,"&lt;="&amp;$U$305,DEALS!$K:$K,M$307,DEALS!$M:$M,$K318,DEALS!$N:$N,"&lt;&gt;*RECEIVED*",DEALS!$N:$N,"&lt;&gt;*EXECUTED*"))+SUM(SUMIFS(DEALS!$R:$R,DEALS!$A:$A,{"*REFUND*","*EXECUTED*"},DEALS!$O:$O,$B$303,DEALS!$E:$E,"&gt;="&amp;$C$305,DEALS!$E:$E,"&lt;="&amp;$U$305,DEALS!$S:$S,M$307,DEALS!$U:$U,$K318,DEALS!$V:$V,"&lt;&gt;*RECEIVED*",DEALS!$V:$V,"&lt;&gt;*EXECUTED*"))</f>
        <v>0</v>
      </c>
      <c r="N318" s="29" cm="1">
        <f t="array" ref="N318">SUMIFS(FLOWS!$C:$C,FLOWS!$A:$A,$B$303,FLOWS!$E:$E,$K318,FLOWS!$D:$D,N$307,FLOWS!$H:$H,"&gt;="&amp;$C$305,FLOWS!$H:$H,"&lt;="&amp;$U$305)+SUM(SUMIFS(DEALS!$J:$J,DEALS!$A:$A,{"*REFUND*","*EXECUTED*"},DEALS!$G:$G,$B$303,DEALS!$E:$E,"&gt;="&amp;$C$305,DEALS!$E:$E,"&lt;="&amp;$U$305,DEALS!$K:$K,N$307,DEALS!$M:$M,$K318,DEALS!$N:$N,"&lt;&gt;*RECEIVED*",DEALS!$N:$N,"&lt;&gt;*EXECUTED*"))+SUM(SUMIFS(DEALS!$R:$R,DEALS!$A:$A,{"*REFUND*","*EXECUTED*"},DEALS!$O:$O,$B$303,DEALS!$E:$E,"&gt;="&amp;$C$305,DEALS!$E:$E,"&lt;="&amp;$U$305,DEALS!$S:$S,N$307,DEALS!$U:$U,$K318,DEALS!$V:$V,"&lt;&gt;*RECEIVED*",DEALS!$V:$V,"&lt;&gt;*EXECUTED*"))</f>
        <v>0</v>
      </c>
      <c r="O318" s="29" cm="1">
        <f t="array" ref="O318">SUMIFS(FLOWS!$C:$C,FLOWS!$A:$A,$B$303,FLOWS!$E:$E,$K318,FLOWS!$D:$D,O$307,FLOWS!$H:$H,"&gt;="&amp;$C$305,FLOWS!$H:$H,"&lt;="&amp;$U$305)+SUM(SUMIFS(DEALS!$J:$J,DEALS!$A:$A,{"*REFUND*","*EXECUTED*"},DEALS!$G:$G,$B$303,DEALS!$E:$E,"&gt;="&amp;$C$305,DEALS!$E:$E,"&lt;="&amp;$U$305,DEALS!$K:$K,O$307,DEALS!$M:$M,$K318,DEALS!$N:$N,"&lt;&gt;*RECEIVED*",DEALS!$N:$N,"&lt;&gt;*EXECUTED*"))+SUM(SUMIFS(DEALS!$R:$R,DEALS!$A:$A,{"*REFUND*","*EXECUTED*"},DEALS!$O:$O,$B$303,DEALS!$E:$E,"&gt;="&amp;$C$305,DEALS!$E:$E,"&lt;="&amp;$U$305,DEALS!$S:$S,O$307,DEALS!$U:$U,$K318,DEALS!$V:$V,"&lt;&gt;*RECEIVED*",DEALS!$V:$V,"&lt;&gt;*EXECUTED*"))</f>
        <v>0</v>
      </c>
      <c r="P318" s="29" cm="1">
        <f t="array" ref="P318">SUMIFS(FLOWS!$C:$C,FLOWS!$A:$A,$B$303,FLOWS!$E:$E,$K318,FLOWS!$D:$D,P$307,FLOWS!$H:$H,"&gt;="&amp;$C$305,FLOWS!$H:$H,"&lt;="&amp;$U$305)+SUM(SUMIFS(DEALS!$J:$J,DEALS!$A:$A,{"*REFUND*","*EXECUTED*"},DEALS!$G:$G,$B$303,DEALS!$E:$E,"&gt;="&amp;$C$305,DEALS!$E:$E,"&lt;="&amp;$U$305,DEALS!$K:$K,P$307,DEALS!$M:$M,$K318,DEALS!$N:$N,"&lt;&gt;*RECEIVED*",DEALS!$N:$N,"&lt;&gt;*EXECUTED*"))+SUM(SUMIFS(DEALS!$R:$R,DEALS!$A:$A,{"*REFUND*","*EXECUTED*"},DEALS!$O:$O,$B$303,DEALS!$E:$E,"&gt;="&amp;$C$305,DEALS!$E:$E,"&lt;="&amp;$U$305,DEALS!$S:$S,P$307,DEALS!$U:$U,$K318,DEALS!$V:$V,"&lt;&gt;*RECEIVED*",DEALS!$V:$V,"&lt;&gt;*EXECUTED*"))</f>
        <v>0</v>
      </c>
      <c r="Q318" s="29" cm="1">
        <f t="array" ref="Q318">SUMIFS(FLOWS!$C:$C,FLOWS!$A:$A,$B$303,FLOWS!$E:$E,$K318,FLOWS!$D:$D,Q$307,FLOWS!$H:$H,"&gt;="&amp;$C$305,FLOWS!$H:$H,"&lt;="&amp;$U$305)+SUM(SUMIFS(DEALS!$J:$J,DEALS!$A:$A,{"*REFUND*","*EXECUTED*"},DEALS!$G:$G,$B$303,DEALS!$E:$E,"&gt;="&amp;$C$305,DEALS!$E:$E,"&lt;="&amp;$U$305,DEALS!$K:$K,Q$307,DEALS!$M:$M,$K318,DEALS!$N:$N,"&lt;&gt;*RECEIVED*",DEALS!$N:$N,"&lt;&gt;*EXECUTED*"))+SUM(SUMIFS(DEALS!$R:$R,DEALS!$A:$A,{"*REFUND*","*EXECUTED*"},DEALS!$O:$O,$B$303,DEALS!$E:$E,"&gt;="&amp;$C$305,DEALS!$E:$E,"&lt;="&amp;$U$305,DEALS!$S:$S,Q$307,DEALS!$U:$U,$K318,DEALS!$V:$V,"&lt;&gt;*RECEIVED*",DEALS!$V:$V,"&lt;&gt;*EXECUTED*"))</f>
        <v>0</v>
      </c>
      <c r="R318" s="30">
        <f ca="1">L318*VLOOKUP(L$307,'FX RATES'!$E$1:$F$50,2,FALSE)+M318*VLOOKUP(M$307,'FX RATES'!$E$1:$F$50,2,FALSE)+N318*VLOOKUP(N$307,'FX RATES'!$E$1:$F$50,2,FALSE)+O318*VLOOKUP(O$307,'FX RATES'!$E$1:$F$50,2,FALSE)+P318*VLOOKUP(P$307,'FX RATES'!$E$1:$F$50,2,FALSE)+Q318*VLOOKUP(Q$307,'FX RATES'!$E$1:$F$50,2,FALSE)</f>
        <v>0</v>
      </c>
      <c r="T318" s="28">
        <f>B318</f>
        <v>0</v>
      </c>
      <c r="U318" s="29" cm="1">
        <f t="array" ref="U318">SUMIFS(BALANCES!$C:$C,BALANCES!$A:$A,$B$303,BALANCES!$B:$B,$T318,BALANCES!$D:$D,U$307)+SUMIFS(FLOWS!$C:$C,FLOWS!$A:$A,$B$303,FLOWS!$E:$E,$T318,FLOWS!$D:$D,U$307,FLOWS!$H:$H,"&lt;="&amp;$U$305)+SUM(SUMIFS(DEALS!$J:$J,DEALS!$A:$A,{"*REFUND*","*EXECUTED*"},DEALS!$G:$G,$B$303,DEALS!$E:$E,"&lt;="&amp;$U$305,DEALS!$K:$K,U$307,DEALS!$M:$M,$T318,DEALS!$N:$N,"&lt;&gt;*RECEIVED*",DEALS!$N:$N,"&lt;&gt;*EXECUTED*"))+SUM(SUMIFS(DEALS!$R:$R,DEALS!$A:$A,{"*REFUND*","*EXECUTED*"},DEALS!$O:$O,$B$303,DEALS!$E:$E,"&lt;="&amp;$U$305,DEALS!$S:$S,U$307,DEALS!$U:$U,$T318,DEALS!$V:$V,"&lt;&gt;*RECEIVED*",DEALS!$V:$V,"&lt;&gt;*EXECUTED*"))</f>
        <v>0</v>
      </c>
      <c r="V318" s="29" cm="1">
        <f t="array" ref="V318">SUMIFS(BALANCES!$C:$C,BALANCES!$A:$A,$B$303,BALANCES!$B:$B,$T318,BALANCES!$D:$D,V$307)+SUMIFS(FLOWS!$C:$C,FLOWS!$A:$A,$B$303,FLOWS!$E:$E,$T318,FLOWS!$D:$D,V$307,FLOWS!$H:$H,"&lt;="&amp;$U$305)+SUM(SUMIFS(DEALS!$J:$J,DEALS!$A:$A,{"*REFUND*","*EXECUTED*"},DEALS!$G:$G,$B$303,DEALS!$E:$E,"&lt;="&amp;$U$305,DEALS!$K:$K,V$307,DEALS!$M:$M,$T318,DEALS!$N:$N,"&lt;&gt;*RECEIVED*",DEALS!$N:$N,"&lt;&gt;*EXECUTED*"))+SUM(SUMIFS(DEALS!$R:$R,DEALS!$A:$A,{"*REFUND*","*EXECUTED*"},DEALS!$O:$O,$B$303,DEALS!$E:$E,"&lt;="&amp;$U$305,DEALS!$S:$S,V$307,DEALS!$U:$U,$T318,DEALS!$V:$V,"&lt;&gt;*RECEIVED*",DEALS!$V:$V,"&lt;&gt;*EXECUTED*"))</f>
        <v>0</v>
      </c>
      <c r="W318" s="29" cm="1">
        <f t="array" ref="W318">SUMIFS(BALANCES!$C:$C,BALANCES!$A:$A,$B$303,BALANCES!$B:$B,$T318,BALANCES!$D:$D,W$307)+SUMIFS(FLOWS!$C:$C,FLOWS!$A:$A,$B$303,FLOWS!$E:$E,$T318,FLOWS!$D:$D,W$307,FLOWS!$H:$H,"&lt;="&amp;$U$305)+SUM(SUMIFS(DEALS!$J:$J,DEALS!$A:$A,{"*REFUND*","*EXECUTED*"},DEALS!$G:$G,$B$303,DEALS!$E:$E,"&lt;="&amp;$U$305,DEALS!$K:$K,W$307,DEALS!$M:$M,$T318,DEALS!$N:$N,"&lt;&gt;*RECEIVED*",DEALS!$N:$N,"&lt;&gt;*EXECUTED*"))+SUM(SUMIFS(DEALS!$R:$R,DEALS!$A:$A,{"*REFUND*","*EXECUTED*"},DEALS!$O:$O,$B$303,DEALS!$E:$E,"&lt;="&amp;$U$305,DEALS!$S:$S,W$307,DEALS!$U:$U,$T318,DEALS!$V:$V,"&lt;&gt;*RECEIVED*",DEALS!$V:$V,"&lt;&gt;*EXECUTED*"))</f>
        <v>0</v>
      </c>
      <c r="X318" s="29" cm="1">
        <f t="array" ref="X318">SUMIFS(BALANCES!$C:$C,BALANCES!$A:$A,$B$303,BALANCES!$B:$B,$T318,BALANCES!$D:$D,X$307)+SUMIFS(FLOWS!$C:$C,FLOWS!$A:$A,$B$303,FLOWS!$E:$E,$T318,FLOWS!$D:$D,X$307,FLOWS!$H:$H,"&lt;="&amp;$U$305)+SUM(SUMIFS(DEALS!$J:$J,DEALS!$A:$A,{"*REFUND*","*EXECUTED*"},DEALS!$G:$G,$B$303,DEALS!$E:$E,"&lt;="&amp;$U$305,DEALS!$K:$K,X$307,DEALS!$M:$M,$T318,DEALS!$N:$N,"&lt;&gt;*RECEIVED*",DEALS!$N:$N,"&lt;&gt;*EXECUTED*"))+SUM(SUMIFS(DEALS!$R:$R,DEALS!$A:$A,{"*REFUND*","*EXECUTED*"},DEALS!$O:$O,$B$303,DEALS!$E:$E,"&lt;="&amp;$U$305,DEALS!$S:$S,X$307,DEALS!$U:$U,$T318,DEALS!$V:$V,"&lt;&gt;*RECEIVED*",DEALS!$V:$V,"&lt;&gt;*EXECUTED*"))</f>
        <v>0</v>
      </c>
      <c r="Y318" s="29" cm="1">
        <f t="array" ref="Y318">SUMIFS(BALANCES!$C:$C,BALANCES!$A:$A,$B$303,BALANCES!$B:$B,$T318,BALANCES!$D:$D,Y$307)+SUMIFS(FLOWS!$C:$C,FLOWS!$A:$A,$B$303,FLOWS!$E:$E,$T318,FLOWS!$D:$D,Y$307,FLOWS!$H:$H,"&lt;="&amp;$U$305)+SUM(SUMIFS(DEALS!$J:$J,DEALS!$A:$A,{"*REFUND*","*EXECUTED*"},DEALS!$G:$G,$B$303,DEALS!$E:$E,"&lt;="&amp;$U$305,DEALS!$K:$K,Y$307,DEALS!$M:$M,$T318,DEALS!$N:$N,"&lt;&gt;*RECEIVED*",DEALS!$N:$N,"&lt;&gt;*EXECUTED*"))+SUM(SUMIFS(DEALS!$R:$R,DEALS!$A:$A,{"*REFUND*","*EXECUTED*"},DEALS!$O:$O,$B$303,DEALS!$E:$E,"&lt;="&amp;$U$305,DEALS!$S:$S,Y$307,DEALS!$U:$U,$T318,DEALS!$V:$V,"&lt;&gt;*RECEIVED*",DEALS!$V:$V,"&lt;&gt;*EXECUTED*"))</f>
        <v>0</v>
      </c>
      <c r="Z318" s="29" cm="1">
        <f t="array" ref="Z318">SUMIFS(BALANCES!$C:$C,BALANCES!$A:$A,$B$303,BALANCES!$B:$B,$T318,BALANCES!$D:$D,Z$307)+SUMIFS(FLOWS!$C:$C,FLOWS!$A:$A,$B$303,FLOWS!$E:$E,$T318,FLOWS!$D:$D,Z$307,FLOWS!$H:$H,"&lt;="&amp;$U$305)+SUM(SUMIFS(DEALS!$J:$J,DEALS!$A:$A,{"*REFUND*","*EXECUTED*"},DEALS!$G:$G,$B$303,DEALS!$E:$E,"&lt;="&amp;$U$305,DEALS!$K:$K,Z$307,DEALS!$M:$M,$T318,DEALS!$N:$N,"&lt;&gt;*RECEIVED*",DEALS!$N:$N,"&lt;&gt;*EXECUTED*"))+SUM(SUMIFS(DEALS!$R:$R,DEALS!$A:$A,{"*REFUND*","*EXECUTED*"},DEALS!$O:$O,$B$303,DEALS!$E:$E,"&lt;="&amp;$U$305,DEALS!$S:$S,Z$307,DEALS!$U:$U,$T318,DEALS!$V:$V,"&lt;&gt;*RECEIVED*",DEALS!$V:$V,"&lt;&gt;*EXECUTED*"))</f>
        <v>0</v>
      </c>
      <c r="AA318" s="30">
        <f ca="1">U318*VLOOKUP(U$307,'FX RATES'!$E$1:$F$50,2,FALSE)+V318*VLOOKUP(V$307,'FX RATES'!$E$1:$F$50,2,FALSE)+W318*VLOOKUP(W$307,'FX RATES'!$E$1:$F$50,2,FALSE)+X318*VLOOKUP(X$307,'FX RATES'!$E$1:$F$50,2,FALSE)+Y318*VLOOKUP(Y$307,'FX RATES'!$E$1:$F$50,2,FALSE)+Z318*VLOOKUP(Z$307,'FX RATES'!$E$1:$F$50,2,FALSE)</f>
        <v>0</v>
      </c>
      <c r="AC318" s="139">
        <f ca="1">I318+R318-AA318</f>
        <v>0</v>
      </c>
    </row>
    <row r="319" spans="2:29" ht="18.75" hidden="1" customHeight="1">
      <c r="B319" s="31"/>
      <c r="C319" s="32" cm="1">
        <f t="array" ref="C319">SUMIFS(BALANCES!$C:$C,BALANCES!$A:$A,$B$303,BALANCES!$B:$B,$B319,BALANCES!$D:$D,C$307)+SUMIFS(FLOWS!$C:$C,FLOWS!$A:$A,$B$303,FLOWS!$E:$E,$B319,FLOWS!$D:$D,C$307,FLOWS!$H:$H,"&lt;"&amp;$C$305)+SUM(SUMIFS(DEALS!$J:$J,DEALS!$A:$A,{"*REFUND*","*EXECUTED*"},DEALS!$G:$G,$B$303,DEALS!$E:$E,"&lt;"&amp;$C$305,DEALS!$K:$K,C$307,DEALS!$M:$M,$B319,DEALS!$N:$N,"&lt;&gt;*RECEIVED*",DEALS!$N:$N,"&lt;&gt;*EXECUTED*"))+SUM(SUMIFS(DEALS!$R:$R,DEALS!$A:$A,{"*REFUND*","*EXECUTED*"},DEALS!$O:$O,$B$303,DEALS!$E:$E,"&lt;"&amp;$C$305,DEALS!$S:$S,C$307,DEALS!$U:$U,$B319,DEALS!$V:$V,"&lt;&gt;*RECEIVED*",DEALS!$V:$V,"&lt;&gt;*EXECUTED*"))</f>
        <v>0</v>
      </c>
      <c r="D319" s="32" cm="1">
        <f t="array" ref="D319">SUMIFS(BALANCES!$C:$C,BALANCES!$A:$A,$B$303,BALANCES!$B:$B,$B319,BALANCES!$D:$D,D$307)+SUMIFS(FLOWS!$C:$C,FLOWS!$A:$A,$B$303,FLOWS!$E:$E,$B319,FLOWS!$D:$D,D$307,FLOWS!$H:$H,"&lt;"&amp;$C$305)+SUM(SUMIFS(DEALS!$J:$J,DEALS!$A:$A,{"*REFUND*","*EXECUTED*"},DEALS!$G:$G,$B$303,DEALS!$E:$E,"&lt;"&amp;$C$305,DEALS!$K:$K,D$307,DEALS!$M:$M,$B319,DEALS!$N:$N,"&lt;&gt;*RECEIVED*",DEALS!$N:$N,"&lt;&gt;*EXECUTED*"))+SUM(SUMIFS(DEALS!$R:$R,DEALS!$A:$A,{"*REFUND*","*EXECUTED*"},DEALS!$O:$O,$B$303,DEALS!$E:$E,"&lt;"&amp;$C$305,DEALS!$S:$S,D$307,DEALS!$U:$U,$B319,DEALS!$V:$V,"&lt;&gt;*RECEIVED*",DEALS!$V:$V,"&lt;&gt;*EXECUTED*"))</f>
        <v>0</v>
      </c>
      <c r="E319" s="32" cm="1">
        <f t="array" ref="E319">SUMIFS(BALANCES!$C:$C,BALANCES!$A:$A,$B$303,BALANCES!$B:$B,$B319,BALANCES!$D:$D,E$307)+SUMIFS(FLOWS!$C:$C,FLOWS!$A:$A,$B$303,FLOWS!$E:$E,$B319,FLOWS!$D:$D,E$307,FLOWS!$H:$H,"&lt;"&amp;$C$305)+SUM(SUMIFS(DEALS!$J:$J,DEALS!$A:$A,{"*REFUND*","*EXECUTED*"},DEALS!$G:$G,$B$303,DEALS!$E:$E,"&lt;"&amp;$C$305,DEALS!$K:$K,E$307,DEALS!$M:$M,$B319,DEALS!$N:$N,"&lt;&gt;*RECEIVED*",DEALS!$N:$N,"&lt;&gt;*EXECUTED*"))+SUM(SUMIFS(DEALS!$R:$R,DEALS!$A:$A,{"*REFUND*","*EXECUTED*"},DEALS!$O:$O,$B$303,DEALS!$E:$E,"&lt;"&amp;$C$305,DEALS!$S:$S,E$307,DEALS!$U:$U,$B319,DEALS!$V:$V,"&lt;&gt;*RECEIVED*",DEALS!$V:$V,"&lt;&gt;*EXECUTED*"))</f>
        <v>0</v>
      </c>
      <c r="F319" s="32" cm="1">
        <f t="array" ref="F319">SUMIFS(BALANCES!$C:$C,BALANCES!$A:$A,$B$303,BALANCES!$B:$B,$B319,BALANCES!$D:$D,F$307)+SUMIFS(FLOWS!$C:$C,FLOWS!$A:$A,$B$303,FLOWS!$E:$E,$B319,FLOWS!$D:$D,F$307,FLOWS!$H:$H,"&lt;"&amp;$C$305)+SUM(SUMIFS(DEALS!$J:$J,DEALS!$A:$A,{"*REFUND*","*EXECUTED*"},DEALS!$G:$G,$B$303,DEALS!$E:$E,"&lt;"&amp;$C$305,DEALS!$K:$K,F$307,DEALS!$M:$M,$B319,DEALS!$N:$N,"&lt;&gt;*RECEIVED*",DEALS!$N:$N,"&lt;&gt;*EXECUTED*"))+SUM(SUMIFS(DEALS!$R:$R,DEALS!$A:$A,{"*REFUND*","*EXECUTED*"},DEALS!$O:$O,$B$303,DEALS!$E:$E,"&lt;"&amp;$C$305,DEALS!$S:$S,F$307,DEALS!$U:$U,$B319,DEALS!$V:$V,"&lt;&gt;*RECEIVED*",DEALS!$V:$V,"&lt;&gt;*EXECUTED*"))</f>
        <v>0</v>
      </c>
      <c r="G319" s="32" cm="1">
        <f t="array" ref="G319">SUMIFS(BALANCES!$C:$C,BALANCES!$A:$A,$B$303,BALANCES!$B:$B,$B319,BALANCES!$D:$D,G$307)+SUMIFS(FLOWS!$C:$C,FLOWS!$A:$A,$B$303,FLOWS!$E:$E,$B319,FLOWS!$D:$D,G$307,FLOWS!$H:$H,"&lt;"&amp;$C$305)+SUM(SUMIFS(DEALS!$J:$J,DEALS!$A:$A,{"*REFUND*","*EXECUTED*"},DEALS!$G:$G,$B$303,DEALS!$E:$E,"&lt;"&amp;$C$305,DEALS!$K:$K,G$307,DEALS!$M:$M,$B319,DEALS!$N:$N,"&lt;&gt;*RECEIVED*",DEALS!$N:$N,"&lt;&gt;*EXECUTED*"))+SUM(SUMIFS(DEALS!$R:$R,DEALS!$A:$A,{"*REFUND*","*EXECUTED*"},DEALS!$O:$O,$B$303,DEALS!$E:$E,"&lt;"&amp;$C$305,DEALS!$S:$S,G$307,DEALS!$U:$U,$B319,DEALS!$V:$V,"&lt;&gt;*RECEIVED*",DEALS!$V:$V,"&lt;&gt;*EXECUTED*"))</f>
        <v>0</v>
      </c>
      <c r="H319" s="32" cm="1">
        <f t="array" ref="H319">SUMIFS(BALANCES!$C:$C,BALANCES!$A:$A,$B$303,BALANCES!$B:$B,$B319,BALANCES!$D:$D,H$307)+SUMIFS(FLOWS!$C:$C,FLOWS!$A:$A,$B$303,FLOWS!$E:$E,$B319,FLOWS!$D:$D,H$307,FLOWS!$H:$H,"&lt;"&amp;$C$305)+SUM(SUMIFS(DEALS!$J:$J,DEALS!$A:$A,{"*REFUND*","*EXECUTED*"},DEALS!$G:$G,$B$303,DEALS!$E:$E,"&lt;"&amp;$C$305,DEALS!$K:$K,H$307,DEALS!$M:$M,$B319,DEALS!$N:$N,"&lt;&gt;*RECEIVED*",DEALS!$N:$N,"&lt;&gt;*EXECUTED*"))+SUM(SUMIFS(DEALS!$R:$R,DEALS!$A:$A,{"*REFUND*","*EXECUTED*"},DEALS!$O:$O,$B$303,DEALS!$E:$E,"&lt;"&amp;$C$305,DEALS!$S:$S,H$307,DEALS!$U:$U,$B319,DEALS!$V:$V,"&lt;&gt;*RECEIVED*",DEALS!$V:$V,"&lt;&gt;*EXECUTED*"))</f>
        <v>0</v>
      </c>
      <c r="I319" s="33">
        <f ca="1">C319*VLOOKUP(C$307,'FX RATES'!$E$1:$F$50,2,FALSE)+D319*VLOOKUP(D$307,'FX RATES'!$E$1:$F$50,2,FALSE)+E319*VLOOKUP(E$307,'FX RATES'!$E$1:$F$50,2,FALSE)+F319*VLOOKUP(F$307,'FX RATES'!$E$1:$F$50,2,FALSE)+G319*VLOOKUP(G$307,'FX RATES'!$E$1:$F$50,2,FALSE)+H319*VLOOKUP(H$307,'FX RATES'!$E$1:$F$50,2,FALSE)</f>
        <v>0</v>
      </c>
      <c r="K319" s="31">
        <f>B319</f>
        <v>0</v>
      </c>
      <c r="L319" s="32" cm="1">
        <f t="array" ref="L319">SUMIFS(FLOWS!$C:$C,FLOWS!$A:$A,$B$303,FLOWS!$E:$E,$K319,FLOWS!$D:$D,L$307,FLOWS!$H:$H,"&gt;="&amp;$C$305,FLOWS!$H:$H,"&lt;="&amp;$U$305)+SUM(SUMIFS(DEALS!$J:$J,DEALS!$A:$A,{"*REFUND*","*EXECUTED*"},DEALS!$G:$G,$B$303,DEALS!$E:$E,"&gt;="&amp;$C$305,DEALS!$E:$E,"&lt;="&amp;$U$305,DEALS!$K:$K,L$307,DEALS!$M:$M,$K319,DEALS!$N:$N,"&lt;&gt;*RECEIVED*",DEALS!$N:$N,"&lt;&gt;*EXECUTED*"))+SUM(SUMIFS(DEALS!$R:$R,DEALS!$A:$A,{"*REFUND*","*EXECUTED*"},DEALS!$O:$O,$B$303,DEALS!$E:$E,"&gt;="&amp;$C$305,DEALS!$E:$E,"&lt;="&amp;$U$305,DEALS!$S:$S,L$307,DEALS!$U:$U,$K319,DEALS!$V:$V,"&lt;&gt;*RECEIVED*",DEALS!$V:$V,"&lt;&gt;*EXECUTED*"))</f>
        <v>0</v>
      </c>
      <c r="M319" s="32" cm="1">
        <f t="array" ref="M319">SUMIFS(FLOWS!$C:$C,FLOWS!$A:$A,$B$303,FLOWS!$E:$E,$K319,FLOWS!$D:$D,M$307,FLOWS!$H:$H,"&gt;="&amp;$C$305,FLOWS!$H:$H,"&lt;="&amp;$U$305)+SUM(SUMIFS(DEALS!$J:$J,DEALS!$A:$A,{"*REFUND*","*EXECUTED*"},DEALS!$G:$G,$B$303,DEALS!$E:$E,"&gt;="&amp;$C$305,DEALS!$E:$E,"&lt;="&amp;$U$305,DEALS!$K:$K,M$307,DEALS!$M:$M,$K319,DEALS!$N:$N,"&lt;&gt;*RECEIVED*",DEALS!$N:$N,"&lt;&gt;*EXECUTED*"))+SUM(SUMIFS(DEALS!$R:$R,DEALS!$A:$A,{"*REFUND*","*EXECUTED*"},DEALS!$O:$O,$B$303,DEALS!$E:$E,"&gt;="&amp;$C$305,DEALS!$E:$E,"&lt;="&amp;$U$305,DEALS!$S:$S,M$307,DEALS!$U:$U,$K319,DEALS!$V:$V,"&lt;&gt;*RECEIVED*",DEALS!$V:$V,"&lt;&gt;*EXECUTED*"))</f>
        <v>0</v>
      </c>
      <c r="N319" s="32" cm="1">
        <f t="array" ref="N319">SUMIFS(FLOWS!$C:$C,FLOWS!$A:$A,$B$303,FLOWS!$E:$E,$K319,FLOWS!$D:$D,N$307,FLOWS!$H:$H,"&gt;="&amp;$C$305,FLOWS!$H:$H,"&lt;="&amp;$U$305)+SUM(SUMIFS(DEALS!$J:$J,DEALS!$A:$A,{"*REFUND*","*EXECUTED*"},DEALS!$G:$G,$B$303,DEALS!$E:$E,"&gt;="&amp;$C$305,DEALS!$E:$E,"&lt;="&amp;$U$305,DEALS!$K:$K,N$307,DEALS!$M:$M,$K319,DEALS!$N:$N,"&lt;&gt;*RECEIVED*",DEALS!$N:$N,"&lt;&gt;*EXECUTED*"))+SUM(SUMIFS(DEALS!$R:$R,DEALS!$A:$A,{"*REFUND*","*EXECUTED*"},DEALS!$O:$O,$B$303,DEALS!$E:$E,"&gt;="&amp;$C$305,DEALS!$E:$E,"&lt;="&amp;$U$305,DEALS!$S:$S,N$307,DEALS!$U:$U,$K319,DEALS!$V:$V,"&lt;&gt;*RECEIVED*",DEALS!$V:$V,"&lt;&gt;*EXECUTED*"))</f>
        <v>0</v>
      </c>
      <c r="O319" s="32" cm="1">
        <f t="array" ref="O319">SUMIFS(FLOWS!$C:$C,FLOWS!$A:$A,$B$303,FLOWS!$E:$E,$K319,FLOWS!$D:$D,O$307,FLOWS!$H:$H,"&gt;="&amp;$C$305,FLOWS!$H:$H,"&lt;="&amp;$U$305)+SUM(SUMIFS(DEALS!$J:$J,DEALS!$A:$A,{"*REFUND*","*EXECUTED*"},DEALS!$G:$G,$B$303,DEALS!$E:$E,"&gt;="&amp;$C$305,DEALS!$E:$E,"&lt;="&amp;$U$305,DEALS!$K:$K,O$307,DEALS!$M:$M,$K319,DEALS!$N:$N,"&lt;&gt;*RECEIVED*",DEALS!$N:$N,"&lt;&gt;*EXECUTED*"))+SUM(SUMIFS(DEALS!$R:$R,DEALS!$A:$A,{"*REFUND*","*EXECUTED*"},DEALS!$O:$O,$B$303,DEALS!$E:$E,"&gt;="&amp;$C$305,DEALS!$E:$E,"&lt;="&amp;$U$305,DEALS!$S:$S,O$307,DEALS!$U:$U,$K319,DEALS!$V:$V,"&lt;&gt;*RECEIVED*",DEALS!$V:$V,"&lt;&gt;*EXECUTED*"))</f>
        <v>0</v>
      </c>
      <c r="P319" s="32" cm="1">
        <f t="array" ref="P319">SUMIFS(FLOWS!$C:$C,FLOWS!$A:$A,$B$303,FLOWS!$E:$E,$K319,FLOWS!$D:$D,P$307,FLOWS!$H:$H,"&gt;="&amp;$C$305,FLOWS!$H:$H,"&lt;="&amp;$U$305)+SUM(SUMIFS(DEALS!$J:$J,DEALS!$A:$A,{"*REFUND*","*EXECUTED*"},DEALS!$G:$G,$B$303,DEALS!$E:$E,"&gt;="&amp;$C$305,DEALS!$E:$E,"&lt;="&amp;$U$305,DEALS!$K:$K,P$307,DEALS!$M:$M,$K319,DEALS!$N:$N,"&lt;&gt;*RECEIVED*",DEALS!$N:$N,"&lt;&gt;*EXECUTED*"))+SUM(SUMIFS(DEALS!$R:$R,DEALS!$A:$A,{"*REFUND*","*EXECUTED*"},DEALS!$O:$O,$B$303,DEALS!$E:$E,"&gt;="&amp;$C$305,DEALS!$E:$E,"&lt;="&amp;$U$305,DEALS!$S:$S,P$307,DEALS!$U:$U,$K319,DEALS!$V:$V,"&lt;&gt;*RECEIVED*",DEALS!$V:$V,"&lt;&gt;*EXECUTED*"))</f>
        <v>0</v>
      </c>
      <c r="Q319" s="32" cm="1">
        <f t="array" ref="Q319">SUMIFS(FLOWS!$C:$C,FLOWS!$A:$A,$B$303,FLOWS!$E:$E,$K319,FLOWS!$D:$D,Q$307,FLOWS!$H:$H,"&gt;="&amp;$C$305,FLOWS!$H:$H,"&lt;="&amp;$U$305)+SUM(SUMIFS(DEALS!$J:$J,DEALS!$A:$A,{"*REFUND*","*EXECUTED*"},DEALS!$G:$G,$B$303,DEALS!$E:$E,"&gt;="&amp;$C$305,DEALS!$E:$E,"&lt;="&amp;$U$305,DEALS!$K:$K,Q$307,DEALS!$M:$M,$K319,DEALS!$N:$N,"&lt;&gt;*RECEIVED*",DEALS!$N:$N,"&lt;&gt;*EXECUTED*"))+SUM(SUMIFS(DEALS!$R:$R,DEALS!$A:$A,{"*REFUND*","*EXECUTED*"},DEALS!$O:$O,$B$303,DEALS!$E:$E,"&gt;="&amp;$C$305,DEALS!$E:$E,"&lt;="&amp;$U$305,DEALS!$S:$S,Q$307,DEALS!$U:$U,$K319,DEALS!$V:$V,"&lt;&gt;*RECEIVED*",DEALS!$V:$V,"&lt;&gt;*EXECUTED*"))</f>
        <v>0</v>
      </c>
      <c r="R319" s="33">
        <f ca="1">L319*VLOOKUP(L$307,'FX RATES'!$E$1:$F$50,2,FALSE)+M319*VLOOKUP(M$307,'FX RATES'!$E$1:$F$50,2,FALSE)+N319*VLOOKUP(N$307,'FX RATES'!$E$1:$F$50,2,FALSE)+O319*VLOOKUP(O$307,'FX RATES'!$E$1:$F$50,2,FALSE)+P319*VLOOKUP(P$307,'FX RATES'!$E$1:$F$50,2,FALSE)+Q319*VLOOKUP(Q$307,'FX RATES'!$E$1:$F$50,2,FALSE)</f>
        <v>0</v>
      </c>
      <c r="T319" s="31">
        <f>B319</f>
        <v>0</v>
      </c>
      <c r="U319" s="32" cm="1">
        <f t="array" ref="U319">SUMIFS(BALANCES!$C:$C,BALANCES!$A:$A,$B$303,BALANCES!$B:$B,$T319,BALANCES!$D:$D,U$307)+SUMIFS(FLOWS!$C:$C,FLOWS!$A:$A,$B$303,FLOWS!$E:$E,$T319,FLOWS!$D:$D,U$307,FLOWS!$H:$H,"&lt;="&amp;$U$305)+SUM(SUMIFS(DEALS!$J:$J,DEALS!$A:$A,{"*REFUND*","*EXECUTED*"},DEALS!$G:$G,$B$303,DEALS!$E:$E,"&lt;="&amp;$U$305,DEALS!$K:$K,U$307,DEALS!$M:$M,$T319,DEALS!$N:$N,"&lt;&gt;*RECEIVED*",DEALS!$N:$N,"&lt;&gt;*EXECUTED*"))+SUM(SUMIFS(DEALS!$R:$R,DEALS!$A:$A,{"*REFUND*","*EXECUTED*"},DEALS!$O:$O,$B$303,DEALS!$E:$E,"&lt;="&amp;$U$305,DEALS!$S:$S,U$307,DEALS!$U:$U,$T319,DEALS!$V:$V,"&lt;&gt;*RECEIVED*",DEALS!$V:$V,"&lt;&gt;*EXECUTED*"))</f>
        <v>0</v>
      </c>
      <c r="V319" s="32" cm="1">
        <f t="array" ref="V319">SUMIFS(BALANCES!$C:$C,BALANCES!$A:$A,$B$303,BALANCES!$B:$B,$T319,BALANCES!$D:$D,V$307)+SUMIFS(FLOWS!$C:$C,FLOWS!$A:$A,$B$303,FLOWS!$E:$E,$T319,FLOWS!$D:$D,V$307,FLOWS!$H:$H,"&lt;="&amp;$U$305)+SUM(SUMIFS(DEALS!$J:$J,DEALS!$A:$A,{"*REFUND*","*EXECUTED*"},DEALS!$G:$G,$B$303,DEALS!$E:$E,"&lt;="&amp;$U$305,DEALS!$K:$K,V$307,DEALS!$M:$M,$T319,DEALS!$N:$N,"&lt;&gt;*RECEIVED*",DEALS!$N:$N,"&lt;&gt;*EXECUTED*"))+SUM(SUMIFS(DEALS!$R:$R,DEALS!$A:$A,{"*REFUND*","*EXECUTED*"},DEALS!$O:$O,$B$303,DEALS!$E:$E,"&lt;="&amp;$U$305,DEALS!$S:$S,V$307,DEALS!$U:$U,$T319,DEALS!$V:$V,"&lt;&gt;*RECEIVED*",DEALS!$V:$V,"&lt;&gt;*EXECUTED*"))</f>
        <v>0</v>
      </c>
      <c r="W319" s="32" cm="1">
        <f t="array" ref="W319">SUMIFS(BALANCES!$C:$C,BALANCES!$A:$A,$B$303,BALANCES!$B:$B,$T319,BALANCES!$D:$D,W$307)+SUMIFS(FLOWS!$C:$C,FLOWS!$A:$A,$B$303,FLOWS!$E:$E,$T319,FLOWS!$D:$D,W$307,FLOWS!$H:$H,"&lt;="&amp;$U$305)+SUM(SUMIFS(DEALS!$J:$J,DEALS!$A:$A,{"*REFUND*","*EXECUTED*"},DEALS!$G:$G,$B$303,DEALS!$E:$E,"&lt;="&amp;$U$305,DEALS!$K:$K,W$307,DEALS!$M:$M,$T319,DEALS!$N:$N,"&lt;&gt;*RECEIVED*",DEALS!$N:$N,"&lt;&gt;*EXECUTED*"))+SUM(SUMIFS(DEALS!$R:$R,DEALS!$A:$A,{"*REFUND*","*EXECUTED*"},DEALS!$O:$O,$B$303,DEALS!$E:$E,"&lt;="&amp;$U$305,DEALS!$S:$S,W$307,DEALS!$U:$U,$T319,DEALS!$V:$V,"&lt;&gt;*RECEIVED*",DEALS!$V:$V,"&lt;&gt;*EXECUTED*"))</f>
        <v>0</v>
      </c>
      <c r="X319" s="32" cm="1">
        <f t="array" ref="X319">SUMIFS(BALANCES!$C:$C,BALANCES!$A:$A,$B$303,BALANCES!$B:$B,$T319,BALANCES!$D:$D,X$307)+SUMIFS(FLOWS!$C:$C,FLOWS!$A:$A,$B$303,FLOWS!$E:$E,$T319,FLOWS!$D:$D,X$307,FLOWS!$H:$H,"&lt;="&amp;$U$305)+SUM(SUMIFS(DEALS!$J:$J,DEALS!$A:$A,{"*REFUND*","*EXECUTED*"},DEALS!$G:$G,$B$303,DEALS!$E:$E,"&lt;="&amp;$U$305,DEALS!$K:$K,X$307,DEALS!$M:$M,$T319,DEALS!$N:$N,"&lt;&gt;*RECEIVED*",DEALS!$N:$N,"&lt;&gt;*EXECUTED*"))+SUM(SUMIFS(DEALS!$R:$R,DEALS!$A:$A,{"*REFUND*","*EXECUTED*"},DEALS!$O:$O,$B$303,DEALS!$E:$E,"&lt;="&amp;$U$305,DEALS!$S:$S,X$307,DEALS!$U:$U,$T319,DEALS!$V:$V,"&lt;&gt;*RECEIVED*",DEALS!$V:$V,"&lt;&gt;*EXECUTED*"))</f>
        <v>0</v>
      </c>
      <c r="Y319" s="32" cm="1">
        <f t="array" ref="Y319">SUMIFS(BALANCES!$C:$C,BALANCES!$A:$A,$B$303,BALANCES!$B:$B,$T319,BALANCES!$D:$D,Y$307)+SUMIFS(FLOWS!$C:$C,FLOWS!$A:$A,$B$303,FLOWS!$E:$E,$T319,FLOWS!$D:$D,Y$307,FLOWS!$H:$H,"&lt;="&amp;$U$305)+SUM(SUMIFS(DEALS!$J:$J,DEALS!$A:$A,{"*REFUND*","*EXECUTED*"},DEALS!$G:$G,$B$303,DEALS!$E:$E,"&lt;="&amp;$U$305,DEALS!$K:$K,Y$307,DEALS!$M:$M,$T319,DEALS!$N:$N,"&lt;&gt;*RECEIVED*",DEALS!$N:$N,"&lt;&gt;*EXECUTED*"))+SUM(SUMIFS(DEALS!$R:$R,DEALS!$A:$A,{"*REFUND*","*EXECUTED*"},DEALS!$O:$O,$B$303,DEALS!$E:$E,"&lt;="&amp;$U$305,DEALS!$S:$S,Y$307,DEALS!$U:$U,$T319,DEALS!$V:$V,"&lt;&gt;*RECEIVED*",DEALS!$V:$V,"&lt;&gt;*EXECUTED*"))</f>
        <v>0</v>
      </c>
      <c r="Z319" s="32" cm="1">
        <f t="array" ref="Z319">SUMIFS(BALANCES!$C:$C,BALANCES!$A:$A,$B$303,BALANCES!$B:$B,$T319,BALANCES!$D:$D,Z$307)+SUMIFS(FLOWS!$C:$C,FLOWS!$A:$A,$B$303,FLOWS!$E:$E,$T319,FLOWS!$D:$D,Z$307,FLOWS!$H:$H,"&lt;="&amp;$U$305)+SUM(SUMIFS(DEALS!$J:$J,DEALS!$A:$A,{"*REFUND*","*EXECUTED*"},DEALS!$G:$G,$B$303,DEALS!$E:$E,"&lt;="&amp;$U$305,DEALS!$K:$K,Z$307,DEALS!$M:$M,$T319,DEALS!$N:$N,"&lt;&gt;*RECEIVED*",DEALS!$N:$N,"&lt;&gt;*EXECUTED*"))+SUM(SUMIFS(DEALS!$R:$R,DEALS!$A:$A,{"*REFUND*","*EXECUTED*"},DEALS!$O:$O,$B$303,DEALS!$E:$E,"&lt;="&amp;$U$305,DEALS!$S:$S,Z$307,DEALS!$U:$U,$T319,DEALS!$V:$V,"&lt;&gt;*RECEIVED*",DEALS!$V:$V,"&lt;&gt;*EXECUTED*"))</f>
        <v>0</v>
      </c>
      <c r="AA319" s="33">
        <f ca="1">U319*VLOOKUP(U$307,'FX RATES'!$E$1:$F$50,2,FALSE)+V319*VLOOKUP(V$307,'FX RATES'!$E$1:$F$50,2,FALSE)+W319*VLOOKUP(W$307,'FX RATES'!$E$1:$F$50,2,FALSE)+X319*VLOOKUP(X$307,'FX RATES'!$E$1:$F$50,2,FALSE)+Y319*VLOOKUP(Y$307,'FX RATES'!$E$1:$F$50,2,FALSE)+Z319*VLOOKUP(Z$307,'FX RATES'!$E$1:$F$50,2,FALSE)</f>
        <v>0</v>
      </c>
      <c r="AC319" s="139">
        <f ca="1">I319+R319-AA319</f>
        <v>0</v>
      </c>
    </row>
    <row r="320" spans="2:29" ht="18.75" hidden="1" customHeight="1">
      <c r="B320" s="28"/>
      <c r="C320" s="29" cm="1">
        <f t="array" ref="C320">SUMIFS(BALANCES!$C:$C,BALANCES!$A:$A,$B$303,BALANCES!$B:$B,$B320,BALANCES!$D:$D,C$307)+SUMIFS(FLOWS!$C:$C,FLOWS!$A:$A,$B$303,FLOWS!$E:$E,$B320,FLOWS!$D:$D,C$307,FLOWS!$H:$H,"&lt;"&amp;$C$305)+SUM(SUMIFS(DEALS!$J:$J,DEALS!$A:$A,{"*REFUND*","*EXECUTED*"},DEALS!$G:$G,$B$303,DEALS!$E:$E,"&lt;"&amp;$C$305,DEALS!$K:$K,C$307,DEALS!$M:$M,$B320,DEALS!$N:$N,"&lt;&gt;*RECEIVED*",DEALS!$N:$N,"&lt;&gt;*EXECUTED*"))+SUM(SUMIFS(DEALS!$R:$R,DEALS!$A:$A,{"*REFUND*","*EXECUTED*"},DEALS!$O:$O,$B$303,DEALS!$E:$E,"&lt;"&amp;$C$305,DEALS!$S:$S,C$307,DEALS!$U:$U,$B320,DEALS!$V:$V,"&lt;&gt;*RECEIVED*",DEALS!$V:$V,"&lt;&gt;*EXECUTED*"))</f>
        <v>0</v>
      </c>
      <c r="D320" s="29" cm="1">
        <f t="array" ref="D320">SUMIFS(BALANCES!$C:$C,BALANCES!$A:$A,$B$303,BALANCES!$B:$B,$B320,BALANCES!$D:$D,D$307)+SUMIFS(FLOWS!$C:$C,FLOWS!$A:$A,$B$303,FLOWS!$E:$E,$B320,FLOWS!$D:$D,D$307,FLOWS!$H:$H,"&lt;"&amp;$C$305)+SUM(SUMIFS(DEALS!$J:$J,DEALS!$A:$A,{"*REFUND*","*EXECUTED*"},DEALS!$G:$G,$B$303,DEALS!$E:$E,"&lt;"&amp;$C$305,DEALS!$K:$K,D$307,DEALS!$M:$M,$B320,DEALS!$N:$N,"&lt;&gt;*RECEIVED*",DEALS!$N:$N,"&lt;&gt;*EXECUTED*"))+SUM(SUMIFS(DEALS!$R:$R,DEALS!$A:$A,{"*REFUND*","*EXECUTED*"},DEALS!$O:$O,$B$303,DEALS!$E:$E,"&lt;"&amp;$C$305,DEALS!$S:$S,D$307,DEALS!$U:$U,$B320,DEALS!$V:$V,"&lt;&gt;*RECEIVED*",DEALS!$V:$V,"&lt;&gt;*EXECUTED*"))</f>
        <v>0</v>
      </c>
      <c r="E320" s="29" cm="1">
        <f t="array" ref="E320">SUMIFS(BALANCES!$C:$C,BALANCES!$A:$A,$B$303,BALANCES!$B:$B,$B320,BALANCES!$D:$D,E$307)+SUMIFS(FLOWS!$C:$C,FLOWS!$A:$A,$B$303,FLOWS!$E:$E,$B320,FLOWS!$D:$D,E$307,FLOWS!$H:$H,"&lt;"&amp;$C$305)+SUM(SUMIFS(DEALS!$J:$J,DEALS!$A:$A,{"*REFUND*","*EXECUTED*"},DEALS!$G:$G,$B$303,DEALS!$E:$E,"&lt;"&amp;$C$305,DEALS!$K:$K,E$307,DEALS!$M:$M,$B320,DEALS!$N:$N,"&lt;&gt;*RECEIVED*",DEALS!$N:$N,"&lt;&gt;*EXECUTED*"))+SUM(SUMIFS(DEALS!$R:$R,DEALS!$A:$A,{"*REFUND*","*EXECUTED*"},DEALS!$O:$O,$B$303,DEALS!$E:$E,"&lt;"&amp;$C$305,DEALS!$S:$S,E$307,DEALS!$U:$U,$B320,DEALS!$V:$V,"&lt;&gt;*RECEIVED*",DEALS!$V:$V,"&lt;&gt;*EXECUTED*"))</f>
        <v>0</v>
      </c>
      <c r="F320" s="29" cm="1">
        <f t="array" ref="F320">SUMIFS(BALANCES!$C:$C,BALANCES!$A:$A,$B$303,BALANCES!$B:$B,$B320,BALANCES!$D:$D,F$307)+SUMIFS(FLOWS!$C:$C,FLOWS!$A:$A,$B$303,FLOWS!$E:$E,$B320,FLOWS!$D:$D,F$307,FLOWS!$H:$H,"&lt;"&amp;$C$305)+SUM(SUMIFS(DEALS!$J:$J,DEALS!$A:$A,{"*REFUND*","*EXECUTED*"},DEALS!$G:$G,$B$303,DEALS!$E:$E,"&lt;"&amp;$C$305,DEALS!$K:$K,F$307,DEALS!$M:$M,$B320,DEALS!$N:$N,"&lt;&gt;*RECEIVED*",DEALS!$N:$N,"&lt;&gt;*EXECUTED*"))+SUM(SUMIFS(DEALS!$R:$R,DEALS!$A:$A,{"*REFUND*","*EXECUTED*"},DEALS!$O:$O,$B$303,DEALS!$E:$E,"&lt;"&amp;$C$305,DEALS!$S:$S,F$307,DEALS!$U:$U,$B320,DEALS!$V:$V,"&lt;&gt;*RECEIVED*",DEALS!$V:$V,"&lt;&gt;*EXECUTED*"))</f>
        <v>0</v>
      </c>
      <c r="G320" s="29" cm="1">
        <f t="array" ref="G320">SUMIFS(BALANCES!$C:$C,BALANCES!$A:$A,$B$303,BALANCES!$B:$B,$B320,BALANCES!$D:$D,G$307)+SUMIFS(FLOWS!$C:$C,FLOWS!$A:$A,$B$303,FLOWS!$E:$E,$B320,FLOWS!$D:$D,G$307,FLOWS!$H:$H,"&lt;"&amp;$C$305)+SUM(SUMIFS(DEALS!$J:$J,DEALS!$A:$A,{"*REFUND*","*EXECUTED*"},DEALS!$G:$G,$B$303,DEALS!$E:$E,"&lt;"&amp;$C$305,DEALS!$K:$K,G$307,DEALS!$M:$M,$B320,DEALS!$N:$N,"&lt;&gt;*RECEIVED*",DEALS!$N:$N,"&lt;&gt;*EXECUTED*"))+SUM(SUMIFS(DEALS!$R:$R,DEALS!$A:$A,{"*REFUND*","*EXECUTED*"},DEALS!$O:$O,$B$303,DEALS!$E:$E,"&lt;"&amp;$C$305,DEALS!$S:$S,G$307,DEALS!$U:$U,$B320,DEALS!$V:$V,"&lt;&gt;*RECEIVED*",DEALS!$V:$V,"&lt;&gt;*EXECUTED*"))</f>
        <v>0</v>
      </c>
      <c r="H320" s="29" cm="1">
        <f t="array" ref="H320">SUMIFS(BALANCES!$C:$C,BALANCES!$A:$A,$B$303,BALANCES!$B:$B,$B320,BALANCES!$D:$D,H$307)+SUMIFS(FLOWS!$C:$C,FLOWS!$A:$A,$B$303,FLOWS!$E:$E,$B320,FLOWS!$D:$D,H$307,FLOWS!$H:$H,"&lt;"&amp;$C$305)+SUM(SUMIFS(DEALS!$J:$J,DEALS!$A:$A,{"*REFUND*","*EXECUTED*"},DEALS!$G:$G,$B$303,DEALS!$E:$E,"&lt;"&amp;$C$305,DEALS!$K:$K,H$307,DEALS!$M:$M,$B320,DEALS!$N:$N,"&lt;&gt;*RECEIVED*",DEALS!$N:$N,"&lt;&gt;*EXECUTED*"))+SUM(SUMIFS(DEALS!$R:$R,DEALS!$A:$A,{"*REFUND*","*EXECUTED*"},DEALS!$O:$O,$B$303,DEALS!$E:$E,"&lt;"&amp;$C$305,DEALS!$S:$S,H$307,DEALS!$U:$U,$B320,DEALS!$V:$V,"&lt;&gt;*RECEIVED*",DEALS!$V:$V,"&lt;&gt;*EXECUTED*"))</f>
        <v>0</v>
      </c>
      <c r="I320" s="30">
        <f ca="1">C320*VLOOKUP(C$307,'FX RATES'!$E$1:$F$50,2,FALSE)+D320*VLOOKUP(D$307,'FX RATES'!$E$1:$F$50,2,FALSE)+E320*VLOOKUP(E$307,'FX RATES'!$E$1:$F$50,2,FALSE)+F320*VLOOKUP(F$307,'FX RATES'!$E$1:$F$50,2,FALSE)+G320*VLOOKUP(G$307,'FX RATES'!$E$1:$F$50,2,FALSE)+H320*VLOOKUP(H$307,'FX RATES'!$E$1:$F$50,2,FALSE)</f>
        <v>0</v>
      </c>
      <c r="J320" s="18"/>
      <c r="K320" s="28">
        <f t="shared" si="132"/>
        <v>0</v>
      </c>
      <c r="L320" s="29" cm="1">
        <f t="array" ref="L320">SUMIFS(FLOWS!$C:$C,FLOWS!$A:$A,$B$303,FLOWS!$E:$E,$K320,FLOWS!$D:$D,L$307,FLOWS!$H:$H,"&gt;="&amp;$C$305,FLOWS!$H:$H,"&lt;="&amp;$U$305)+SUM(SUMIFS(DEALS!$J:$J,DEALS!$A:$A,{"*REFUND*","*EXECUTED*"},DEALS!$G:$G,$B$303,DEALS!$E:$E,"&gt;="&amp;$C$305,DEALS!$E:$E,"&lt;="&amp;$U$305,DEALS!$K:$K,L$307,DEALS!$M:$M,$K320,DEALS!$N:$N,"&lt;&gt;*RECEIVED*",DEALS!$N:$N,"&lt;&gt;*EXECUTED*"))+SUM(SUMIFS(DEALS!$R:$R,DEALS!$A:$A,{"*REFUND*","*EXECUTED*"},DEALS!$O:$O,$B$303,DEALS!$E:$E,"&gt;="&amp;$C$305,DEALS!$E:$E,"&lt;="&amp;$U$305,DEALS!$S:$S,L$307,DEALS!$U:$U,$K320,DEALS!$V:$V,"&lt;&gt;*RECEIVED*",DEALS!$V:$V,"&lt;&gt;*EXECUTED*"))</f>
        <v>0</v>
      </c>
      <c r="M320" s="29" cm="1">
        <f t="array" ref="M320">SUMIFS(FLOWS!$C:$C,FLOWS!$A:$A,$B$303,FLOWS!$E:$E,$K320,FLOWS!$D:$D,M$307,FLOWS!$H:$H,"&gt;="&amp;$C$305,FLOWS!$H:$H,"&lt;="&amp;$U$305)+SUM(SUMIFS(DEALS!$J:$J,DEALS!$A:$A,{"*REFUND*","*EXECUTED*"},DEALS!$G:$G,$B$303,DEALS!$E:$E,"&gt;="&amp;$C$305,DEALS!$E:$E,"&lt;="&amp;$U$305,DEALS!$K:$K,M$307,DEALS!$M:$M,$K320,DEALS!$N:$N,"&lt;&gt;*RECEIVED*",DEALS!$N:$N,"&lt;&gt;*EXECUTED*"))+SUM(SUMIFS(DEALS!$R:$R,DEALS!$A:$A,{"*REFUND*","*EXECUTED*"},DEALS!$O:$O,$B$303,DEALS!$E:$E,"&gt;="&amp;$C$305,DEALS!$E:$E,"&lt;="&amp;$U$305,DEALS!$S:$S,M$307,DEALS!$U:$U,$K320,DEALS!$V:$V,"&lt;&gt;*RECEIVED*",DEALS!$V:$V,"&lt;&gt;*EXECUTED*"))</f>
        <v>0</v>
      </c>
      <c r="N320" s="29" cm="1">
        <f t="array" ref="N320">SUMIFS(FLOWS!$C:$C,FLOWS!$A:$A,$B$303,FLOWS!$E:$E,$K320,FLOWS!$D:$D,N$307,FLOWS!$H:$H,"&gt;="&amp;$C$305,FLOWS!$H:$H,"&lt;="&amp;$U$305)+SUM(SUMIFS(DEALS!$J:$J,DEALS!$A:$A,{"*REFUND*","*EXECUTED*"},DEALS!$G:$G,$B$303,DEALS!$E:$E,"&gt;="&amp;$C$305,DEALS!$E:$E,"&lt;="&amp;$U$305,DEALS!$K:$K,N$307,DEALS!$M:$M,$K320,DEALS!$N:$N,"&lt;&gt;*RECEIVED*",DEALS!$N:$N,"&lt;&gt;*EXECUTED*"))+SUM(SUMIFS(DEALS!$R:$R,DEALS!$A:$A,{"*REFUND*","*EXECUTED*"},DEALS!$O:$O,$B$303,DEALS!$E:$E,"&gt;="&amp;$C$305,DEALS!$E:$E,"&lt;="&amp;$U$305,DEALS!$S:$S,N$307,DEALS!$U:$U,$K320,DEALS!$V:$V,"&lt;&gt;*RECEIVED*",DEALS!$V:$V,"&lt;&gt;*EXECUTED*"))</f>
        <v>0</v>
      </c>
      <c r="O320" s="29" cm="1">
        <f t="array" ref="O320">SUMIFS(FLOWS!$C:$C,FLOWS!$A:$A,$B$303,FLOWS!$E:$E,$K320,FLOWS!$D:$D,O$307,FLOWS!$H:$H,"&gt;="&amp;$C$305,FLOWS!$H:$H,"&lt;="&amp;$U$305)+SUM(SUMIFS(DEALS!$J:$J,DEALS!$A:$A,{"*REFUND*","*EXECUTED*"},DEALS!$G:$G,$B$303,DEALS!$E:$E,"&gt;="&amp;$C$305,DEALS!$E:$E,"&lt;="&amp;$U$305,DEALS!$K:$K,O$307,DEALS!$M:$M,$K320,DEALS!$N:$N,"&lt;&gt;*RECEIVED*",DEALS!$N:$N,"&lt;&gt;*EXECUTED*"))+SUM(SUMIFS(DEALS!$R:$R,DEALS!$A:$A,{"*REFUND*","*EXECUTED*"},DEALS!$O:$O,$B$303,DEALS!$E:$E,"&gt;="&amp;$C$305,DEALS!$E:$E,"&lt;="&amp;$U$305,DEALS!$S:$S,O$307,DEALS!$U:$U,$K320,DEALS!$V:$V,"&lt;&gt;*RECEIVED*",DEALS!$V:$V,"&lt;&gt;*EXECUTED*"))</f>
        <v>0</v>
      </c>
      <c r="P320" s="29" cm="1">
        <f t="array" ref="P320">SUMIFS(FLOWS!$C:$C,FLOWS!$A:$A,$B$303,FLOWS!$E:$E,$K320,FLOWS!$D:$D,P$307,FLOWS!$H:$H,"&gt;="&amp;$C$305,FLOWS!$H:$H,"&lt;="&amp;$U$305)+SUM(SUMIFS(DEALS!$J:$J,DEALS!$A:$A,{"*REFUND*","*EXECUTED*"},DEALS!$G:$G,$B$303,DEALS!$E:$E,"&gt;="&amp;$C$305,DEALS!$E:$E,"&lt;="&amp;$U$305,DEALS!$K:$K,P$307,DEALS!$M:$M,$K320,DEALS!$N:$N,"&lt;&gt;*RECEIVED*",DEALS!$N:$N,"&lt;&gt;*EXECUTED*"))+SUM(SUMIFS(DEALS!$R:$R,DEALS!$A:$A,{"*REFUND*","*EXECUTED*"},DEALS!$O:$O,$B$303,DEALS!$E:$E,"&gt;="&amp;$C$305,DEALS!$E:$E,"&lt;="&amp;$U$305,DEALS!$S:$S,P$307,DEALS!$U:$U,$K320,DEALS!$V:$V,"&lt;&gt;*RECEIVED*",DEALS!$V:$V,"&lt;&gt;*EXECUTED*"))</f>
        <v>0</v>
      </c>
      <c r="Q320" s="29" cm="1">
        <f t="array" ref="Q320">SUMIFS(FLOWS!$C:$C,FLOWS!$A:$A,$B$303,FLOWS!$E:$E,$K320,FLOWS!$D:$D,Q$307,FLOWS!$H:$H,"&gt;="&amp;$C$305,FLOWS!$H:$H,"&lt;="&amp;$U$305)+SUM(SUMIFS(DEALS!$J:$J,DEALS!$A:$A,{"*REFUND*","*EXECUTED*"},DEALS!$G:$G,$B$303,DEALS!$E:$E,"&gt;="&amp;$C$305,DEALS!$E:$E,"&lt;="&amp;$U$305,DEALS!$K:$K,Q$307,DEALS!$M:$M,$K320,DEALS!$N:$N,"&lt;&gt;*RECEIVED*",DEALS!$N:$N,"&lt;&gt;*EXECUTED*"))+SUM(SUMIFS(DEALS!$R:$R,DEALS!$A:$A,{"*REFUND*","*EXECUTED*"},DEALS!$O:$O,$B$303,DEALS!$E:$E,"&gt;="&amp;$C$305,DEALS!$E:$E,"&lt;="&amp;$U$305,DEALS!$S:$S,Q$307,DEALS!$U:$U,$K320,DEALS!$V:$V,"&lt;&gt;*RECEIVED*",DEALS!$V:$V,"&lt;&gt;*EXECUTED*"))</f>
        <v>0</v>
      </c>
      <c r="R320" s="30">
        <f ca="1">L320*VLOOKUP(L$307,'FX RATES'!$E$1:$F$50,2,FALSE)+M320*VLOOKUP(M$307,'FX RATES'!$E$1:$F$50,2,FALSE)+N320*VLOOKUP(N$307,'FX RATES'!$E$1:$F$50,2,FALSE)+O320*VLOOKUP(O$307,'FX RATES'!$E$1:$F$50,2,FALSE)+P320*VLOOKUP(P$307,'FX RATES'!$E$1:$F$50,2,FALSE)+Q320*VLOOKUP(Q$307,'FX RATES'!$E$1:$F$50,2,FALSE)</f>
        <v>0</v>
      </c>
      <c r="T320" s="28">
        <f t="shared" si="133"/>
        <v>0</v>
      </c>
      <c r="U320" s="29" cm="1">
        <f t="array" ref="U320">SUMIFS(BALANCES!$C:$C,BALANCES!$A:$A,$B$303,BALANCES!$B:$B,$T320,BALANCES!$D:$D,U$307)+SUMIFS(FLOWS!$C:$C,FLOWS!$A:$A,$B$303,FLOWS!$E:$E,$T320,FLOWS!$D:$D,U$307,FLOWS!$H:$H,"&lt;="&amp;$U$305)+SUM(SUMIFS(DEALS!$J:$J,DEALS!$A:$A,{"*REFUND*","*EXECUTED*"},DEALS!$G:$G,$B$303,DEALS!$E:$E,"&lt;="&amp;$U$305,DEALS!$K:$K,U$307,DEALS!$M:$M,$T320,DEALS!$N:$N,"&lt;&gt;*RECEIVED*",DEALS!$N:$N,"&lt;&gt;*EXECUTED*"))+SUM(SUMIFS(DEALS!$R:$R,DEALS!$A:$A,{"*REFUND*","*EXECUTED*"},DEALS!$O:$O,$B$303,DEALS!$E:$E,"&lt;="&amp;$U$305,DEALS!$S:$S,U$307,DEALS!$U:$U,$T320,DEALS!$V:$V,"&lt;&gt;*RECEIVED*",DEALS!$V:$V,"&lt;&gt;*EXECUTED*"))</f>
        <v>0</v>
      </c>
      <c r="V320" s="29" cm="1">
        <f t="array" ref="V320">SUMIFS(BALANCES!$C:$C,BALANCES!$A:$A,$B$303,BALANCES!$B:$B,$T320,BALANCES!$D:$D,V$307)+SUMIFS(FLOWS!$C:$C,FLOWS!$A:$A,$B$303,FLOWS!$E:$E,$T320,FLOWS!$D:$D,V$307,FLOWS!$H:$H,"&lt;="&amp;$U$305)+SUM(SUMIFS(DEALS!$J:$J,DEALS!$A:$A,{"*REFUND*","*EXECUTED*"},DEALS!$G:$G,$B$303,DEALS!$E:$E,"&lt;="&amp;$U$305,DEALS!$K:$K,V$307,DEALS!$M:$M,$T320,DEALS!$N:$N,"&lt;&gt;*RECEIVED*",DEALS!$N:$N,"&lt;&gt;*EXECUTED*"))+SUM(SUMIFS(DEALS!$R:$R,DEALS!$A:$A,{"*REFUND*","*EXECUTED*"},DEALS!$O:$O,$B$303,DEALS!$E:$E,"&lt;="&amp;$U$305,DEALS!$S:$S,V$307,DEALS!$U:$U,$T320,DEALS!$V:$V,"&lt;&gt;*RECEIVED*",DEALS!$V:$V,"&lt;&gt;*EXECUTED*"))</f>
        <v>0</v>
      </c>
      <c r="W320" s="29" cm="1">
        <f t="array" ref="W320">SUMIFS(BALANCES!$C:$C,BALANCES!$A:$A,$B$303,BALANCES!$B:$B,$T320,BALANCES!$D:$D,W$307)+SUMIFS(FLOWS!$C:$C,FLOWS!$A:$A,$B$303,FLOWS!$E:$E,$T320,FLOWS!$D:$D,W$307,FLOWS!$H:$H,"&lt;="&amp;$U$305)+SUM(SUMIFS(DEALS!$J:$J,DEALS!$A:$A,{"*REFUND*","*EXECUTED*"},DEALS!$G:$G,$B$303,DEALS!$E:$E,"&lt;="&amp;$U$305,DEALS!$K:$K,W$307,DEALS!$M:$M,$T320,DEALS!$N:$N,"&lt;&gt;*RECEIVED*",DEALS!$N:$N,"&lt;&gt;*EXECUTED*"))+SUM(SUMIFS(DEALS!$R:$R,DEALS!$A:$A,{"*REFUND*","*EXECUTED*"},DEALS!$O:$O,$B$303,DEALS!$E:$E,"&lt;="&amp;$U$305,DEALS!$S:$S,W$307,DEALS!$U:$U,$T320,DEALS!$V:$V,"&lt;&gt;*RECEIVED*",DEALS!$V:$V,"&lt;&gt;*EXECUTED*"))</f>
        <v>0</v>
      </c>
      <c r="X320" s="29" cm="1">
        <f t="array" ref="X320">SUMIFS(BALANCES!$C:$C,BALANCES!$A:$A,$B$303,BALANCES!$B:$B,$T320,BALANCES!$D:$D,X$307)+SUMIFS(FLOWS!$C:$C,FLOWS!$A:$A,$B$303,FLOWS!$E:$E,$T320,FLOWS!$D:$D,X$307,FLOWS!$H:$H,"&lt;="&amp;$U$305)+SUM(SUMIFS(DEALS!$J:$J,DEALS!$A:$A,{"*REFUND*","*EXECUTED*"},DEALS!$G:$G,$B$303,DEALS!$E:$E,"&lt;="&amp;$U$305,DEALS!$K:$K,X$307,DEALS!$M:$M,$T320,DEALS!$N:$N,"&lt;&gt;*RECEIVED*",DEALS!$N:$N,"&lt;&gt;*EXECUTED*"))+SUM(SUMIFS(DEALS!$R:$R,DEALS!$A:$A,{"*REFUND*","*EXECUTED*"},DEALS!$O:$O,$B$303,DEALS!$E:$E,"&lt;="&amp;$U$305,DEALS!$S:$S,X$307,DEALS!$U:$U,$T320,DEALS!$V:$V,"&lt;&gt;*RECEIVED*",DEALS!$V:$V,"&lt;&gt;*EXECUTED*"))</f>
        <v>0</v>
      </c>
      <c r="Y320" s="29" cm="1">
        <f t="array" ref="Y320">SUMIFS(BALANCES!$C:$C,BALANCES!$A:$A,$B$303,BALANCES!$B:$B,$T320,BALANCES!$D:$D,Y$307)+SUMIFS(FLOWS!$C:$C,FLOWS!$A:$A,$B$303,FLOWS!$E:$E,$T320,FLOWS!$D:$D,Y$307,FLOWS!$H:$H,"&lt;="&amp;$U$305)+SUM(SUMIFS(DEALS!$J:$J,DEALS!$A:$A,{"*REFUND*","*EXECUTED*"},DEALS!$G:$G,$B$303,DEALS!$E:$E,"&lt;="&amp;$U$305,DEALS!$K:$K,Y$307,DEALS!$M:$M,$T320,DEALS!$N:$N,"&lt;&gt;*RECEIVED*",DEALS!$N:$N,"&lt;&gt;*EXECUTED*"))+SUM(SUMIFS(DEALS!$R:$R,DEALS!$A:$A,{"*REFUND*","*EXECUTED*"},DEALS!$O:$O,$B$303,DEALS!$E:$E,"&lt;="&amp;$U$305,DEALS!$S:$S,Y$307,DEALS!$U:$U,$T320,DEALS!$V:$V,"&lt;&gt;*RECEIVED*",DEALS!$V:$V,"&lt;&gt;*EXECUTED*"))</f>
        <v>0</v>
      </c>
      <c r="Z320" s="29" cm="1">
        <f t="array" ref="Z320">SUMIFS(BALANCES!$C:$C,BALANCES!$A:$A,$B$303,BALANCES!$B:$B,$T320,BALANCES!$D:$D,Z$307)+SUMIFS(FLOWS!$C:$C,FLOWS!$A:$A,$B$303,FLOWS!$E:$E,$T320,FLOWS!$D:$D,Z$307,FLOWS!$H:$H,"&lt;="&amp;$U$305)+SUM(SUMIFS(DEALS!$J:$J,DEALS!$A:$A,{"*REFUND*","*EXECUTED*"},DEALS!$G:$G,$B$303,DEALS!$E:$E,"&lt;="&amp;$U$305,DEALS!$K:$K,Z$307,DEALS!$M:$M,$T320,DEALS!$N:$N,"&lt;&gt;*RECEIVED*",DEALS!$N:$N,"&lt;&gt;*EXECUTED*"))+SUM(SUMIFS(DEALS!$R:$R,DEALS!$A:$A,{"*REFUND*","*EXECUTED*"},DEALS!$O:$O,$B$303,DEALS!$E:$E,"&lt;="&amp;$U$305,DEALS!$S:$S,Z$307,DEALS!$U:$U,$T320,DEALS!$V:$V,"&lt;&gt;*RECEIVED*",DEALS!$V:$V,"&lt;&gt;*EXECUTED*"))</f>
        <v>0</v>
      </c>
      <c r="AA320" s="30">
        <f ca="1">U320*VLOOKUP(U$307,'FX RATES'!$E$1:$F$50,2,FALSE)+V320*VLOOKUP(V$307,'FX RATES'!$E$1:$F$50,2,FALSE)+W320*VLOOKUP(W$307,'FX RATES'!$E$1:$F$50,2,FALSE)+X320*VLOOKUP(X$307,'FX RATES'!$E$1:$F$50,2,FALSE)+Y320*VLOOKUP(Y$307,'FX RATES'!$E$1:$F$50,2,FALSE)+Z320*VLOOKUP(Z$307,'FX RATES'!$E$1:$F$50,2,FALSE)</f>
        <v>0</v>
      </c>
      <c r="AC320" s="139">
        <f t="shared" ca="1" si="134"/>
        <v>0</v>
      </c>
    </row>
    <row r="321" spans="2:29" ht="18.75" hidden="1" customHeight="1">
      <c r="B321" s="31"/>
      <c r="C321" s="32" cm="1">
        <f t="array" ref="C321">SUMIFS(BALANCES!$C:$C,BALANCES!$A:$A,$B$303,BALANCES!$B:$B,$B321,BALANCES!$D:$D,C$307)+SUMIFS(FLOWS!$C:$C,FLOWS!$A:$A,$B$303,FLOWS!$E:$E,$B321,FLOWS!$D:$D,C$307,FLOWS!$H:$H,"&lt;"&amp;$C$305)+SUM(SUMIFS(DEALS!$J:$J,DEALS!$A:$A,{"*REFUND*","*EXECUTED*"},DEALS!$G:$G,$B$303,DEALS!$E:$E,"&lt;"&amp;$C$305,DEALS!$K:$K,C$307,DEALS!$M:$M,$B321,DEALS!$N:$N,"&lt;&gt;*RECEIVED*",DEALS!$N:$N,"&lt;&gt;*EXECUTED*"))+SUM(SUMIFS(DEALS!$R:$R,DEALS!$A:$A,{"*REFUND*","*EXECUTED*"},DEALS!$O:$O,$B$303,DEALS!$E:$E,"&lt;"&amp;$C$305,DEALS!$S:$S,C$307,DEALS!$U:$U,$B321,DEALS!$V:$V,"&lt;&gt;*RECEIVED*",DEALS!$V:$V,"&lt;&gt;*EXECUTED*"))</f>
        <v>0</v>
      </c>
      <c r="D321" s="32" cm="1">
        <f t="array" ref="D321">SUMIFS(BALANCES!$C:$C,BALANCES!$A:$A,$B$303,BALANCES!$B:$B,$B321,BALANCES!$D:$D,D$307)+SUMIFS(FLOWS!$C:$C,FLOWS!$A:$A,$B$303,FLOWS!$E:$E,$B321,FLOWS!$D:$D,D$307,FLOWS!$H:$H,"&lt;"&amp;$C$305)+SUM(SUMIFS(DEALS!$J:$J,DEALS!$A:$A,{"*REFUND*","*EXECUTED*"},DEALS!$G:$G,$B$303,DEALS!$E:$E,"&lt;"&amp;$C$305,DEALS!$K:$K,D$307,DEALS!$M:$M,$B321,DEALS!$N:$N,"&lt;&gt;*RECEIVED*",DEALS!$N:$N,"&lt;&gt;*EXECUTED*"))+SUM(SUMIFS(DEALS!$R:$R,DEALS!$A:$A,{"*REFUND*","*EXECUTED*"},DEALS!$O:$O,$B$303,DEALS!$E:$E,"&lt;"&amp;$C$305,DEALS!$S:$S,D$307,DEALS!$U:$U,$B321,DEALS!$V:$V,"&lt;&gt;*RECEIVED*",DEALS!$V:$V,"&lt;&gt;*EXECUTED*"))</f>
        <v>0</v>
      </c>
      <c r="E321" s="32" cm="1">
        <f t="array" ref="E321">SUMIFS(BALANCES!$C:$C,BALANCES!$A:$A,$B$303,BALANCES!$B:$B,$B321,BALANCES!$D:$D,E$307)+SUMIFS(FLOWS!$C:$C,FLOWS!$A:$A,$B$303,FLOWS!$E:$E,$B321,FLOWS!$D:$D,E$307,FLOWS!$H:$H,"&lt;"&amp;$C$305)+SUM(SUMIFS(DEALS!$J:$J,DEALS!$A:$A,{"*REFUND*","*EXECUTED*"},DEALS!$G:$G,$B$303,DEALS!$E:$E,"&lt;"&amp;$C$305,DEALS!$K:$K,E$307,DEALS!$M:$M,$B321,DEALS!$N:$N,"&lt;&gt;*RECEIVED*",DEALS!$N:$N,"&lt;&gt;*EXECUTED*"))+SUM(SUMIFS(DEALS!$R:$R,DEALS!$A:$A,{"*REFUND*","*EXECUTED*"},DEALS!$O:$O,$B$303,DEALS!$E:$E,"&lt;"&amp;$C$305,DEALS!$S:$S,E$307,DEALS!$U:$U,$B321,DEALS!$V:$V,"&lt;&gt;*RECEIVED*",DEALS!$V:$V,"&lt;&gt;*EXECUTED*"))</f>
        <v>0</v>
      </c>
      <c r="F321" s="32" cm="1">
        <f t="array" ref="F321">SUMIFS(BALANCES!$C:$C,BALANCES!$A:$A,$B$303,BALANCES!$B:$B,$B321,BALANCES!$D:$D,F$307)+SUMIFS(FLOWS!$C:$C,FLOWS!$A:$A,$B$303,FLOWS!$E:$E,$B321,FLOWS!$D:$D,F$307,FLOWS!$H:$H,"&lt;"&amp;$C$305)+SUM(SUMIFS(DEALS!$J:$J,DEALS!$A:$A,{"*REFUND*","*EXECUTED*"},DEALS!$G:$G,$B$303,DEALS!$E:$E,"&lt;"&amp;$C$305,DEALS!$K:$K,F$307,DEALS!$M:$M,$B321,DEALS!$N:$N,"&lt;&gt;*RECEIVED*",DEALS!$N:$N,"&lt;&gt;*EXECUTED*"))+SUM(SUMIFS(DEALS!$R:$R,DEALS!$A:$A,{"*REFUND*","*EXECUTED*"},DEALS!$O:$O,$B$303,DEALS!$E:$E,"&lt;"&amp;$C$305,DEALS!$S:$S,F$307,DEALS!$U:$U,$B321,DEALS!$V:$V,"&lt;&gt;*RECEIVED*",DEALS!$V:$V,"&lt;&gt;*EXECUTED*"))</f>
        <v>0</v>
      </c>
      <c r="G321" s="32" cm="1">
        <f t="array" ref="G321">SUMIFS(BALANCES!$C:$C,BALANCES!$A:$A,$B$303,BALANCES!$B:$B,$B321,BALANCES!$D:$D,G$307)+SUMIFS(FLOWS!$C:$C,FLOWS!$A:$A,$B$303,FLOWS!$E:$E,$B321,FLOWS!$D:$D,G$307,FLOWS!$H:$H,"&lt;"&amp;$C$305)+SUM(SUMIFS(DEALS!$J:$J,DEALS!$A:$A,{"*REFUND*","*EXECUTED*"},DEALS!$G:$G,$B$303,DEALS!$E:$E,"&lt;"&amp;$C$305,DEALS!$K:$K,G$307,DEALS!$M:$M,$B321,DEALS!$N:$N,"&lt;&gt;*RECEIVED*",DEALS!$N:$N,"&lt;&gt;*EXECUTED*"))+SUM(SUMIFS(DEALS!$R:$R,DEALS!$A:$A,{"*REFUND*","*EXECUTED*"},DEALS!$O:$O,$B$303,DEALS!$E:$E,"&lt;"&amp;$C$305,DEALS!$S:$S,G$307,DEALS!$U:$U,$B321,DEALS!$V:$V,"&lt;&gt;*RECEIVED*",DEALS!$V:$V,"&lt;&gt;*EXECUTED*"))</f>
        <v>0</v>
      </c>
      <c r="H321" s="32" cm="1">
        <f t="array" ref="H321">SUMIFS(BALANCES!$C:$C,BALANCES!$A:$A,$B$303,BALANCES!$B:$B,$B321,BALANCES!$D:$D,H$307)+SUMIFS(FLOWS!$C:$C,FLOWS!$A:$A,$B$303,FLOWS!$E:$E,$B321,FLOWS!$D:$D,H$307,FLOWS!$H:$H,"&lt;"&amp;$C$305)+SUM(SUMIFS(DEALS!$J:$J,DEALS!$A:$A,{"*REFUND*","*EXECUTED*"},DEALS!$G:$G,$B$303,DEALS!$E:$E,"&lt;"&amp;$C$305,DEALS!$K:$K,H$307,DEALS!$M:$M,$B321,DEALS!$N:$N,"&lt;&gt;*RECEIVED*",DEALS!$N:$N,"&lt;&gt;*EXECUTED*"))+SUM(SUMIFS(DEALS!$R:$R,DEALS!$A:$A,{"*REFUND*","*EXECUTED*"},DEALS!$O:$O,$B$303,DEALS!$E:$E,"&lt;"&amp;$C$305,DEALS!$S:$S,H$307,DEALS!$U:$U,$B321,DEALS!$V:$V,"&lt;&gt;*RECEIVED*",DEALS!$V:$V,"&lt;&gt;*EXECUTED*"))</f>
        <v>0</v>
      </c>
      <c r="I321" s="33">
        <f ca="1">C321*VLOOKUP(C$307,'FX RATES'!$E$1:$F$50,2,FALSE)+D321*VLOOKUP(D$307,'FX RATES'!$E$1:$F$50,2,FALSE)+E321*VLOOKUP(E$307,'FX RATES'!$E$1:$F$50,2,FALSE)+F321*VLOOKUP(F$307,'FX RATES'!$E$1:$F$50,2,FALSE)+G321*VLOOKUP(G$307,'FX RATES'!$E$1:$F$50,2,FALSE)+H321*VLOOKUP(H$307,'FX RATES'!$E$1:$F$50,2,FALSE)</f>
        <v>0</v>
      </c>
      <c r="J321" s="18"/>
      <c r="K321" s="31">
        <f t="shared" si="132"/>
        <v>0</v>
      </c>
      <c r="L321" s="32" cm="1">
        <f t="array" ref="L321">SUMIFS(FLOWS!$C:$C,FLOWS!$A:$A,$B$303,FLOWS!$E:$E,$K321,FLOWS!$D:$D,L$307,FLOWS!$H:$H,"&gt;="&amp;$C$305,FLOWS!$H:$H,"&lt;="&amp;$U$305)+SUM(SUMIFS(DEALS!$J:$J,DEALS!$A:$A,{"*REFUND*","*EXECUTED*"},DEALS!$G:$G,$B$303,DEALS!$E:$E,"&gt;="&amp;$C$305,DEALS!$E:$E,"&lt;="&amp;$U$305,DEALS!$K:$K,L$307,DEALS!$M:$M,$K321,DEALS!$N:$N,"&lt;&gt;*RECEIVED*",DEALS!$N:$N,"&lt;&gt;*EXECUTED*"))+SUM(SUMIFS(DEALS!$R:$R,DEALS!$A:$A,{"*REFUND*","*EXECUTED*"},DEALS!$O:$O,$B$303,DEALS!$E:$E,"&gt;="&amp;$C$305,DEALS!$E:$E,"&lt;="&amp;$U$305,DEALS!$S:$S,L$307,DEALS!$U:$U,$K321,DEALS!$V:$V,"&lt;&gt;*RECEIVED*",DEALS!$V:$V,"&lt;&gt;*EXECUTED*"))</f>
        <v>0</v>
      </c>
      <c r="M321" s="32" cm="1">
        <f t="array" ref="M321">SUMIFS(FLOWS!$C:$C,FLOWS!$A:$A,$B$303,FLOWS!$E:$E,$K321,FLOWS!$D:$D,M$307,FLOWS!$H:$H,"&gt;="&amp;$C$305,FLOWS!$H:$H,"&lt;="&amp;$U$305)+SUM(SUMIFS(DEALS!$J:$J,DEALS!$A:$A,{"*REFUND*","*EXECUTED*"},DEALS!$G:$G,$B$303,DEALS!$E:$E,"&gt;="&amp;$C$305,DEALS!$E:$E,"&lt;="&amp;$U$305,DEALS!$K:$K,M$307,DEALS!$M:$M,$K321,DEALS!$N:$N,"&lt;&gt;*RECEIVED*",DEALS!$N:$N,"&lt;&gt;*EXECUTED*"))+SUM(SUMIFS(DEALS!$R:$R,DEALS!$A:$A,{"*REFUND*","*EXECUTED*"},DEALS!$O:$O,$B$303,DEALS!$E:$E,"&gt;="&amp;$C$305,DEALS!$E:$E,"&lt;="&amp;$U$305,DEALS!$S:$S,M$307,DEALS!$U:$U,$K321,DEALS!$V:$V,"&lt;&gt;*RECEIVED*",DEALS!$V:$V,"&lt;&gt;*EXECUTED*"))</f>
        <v>0</v>
      </c>
      <c r="N321" s="32" cm="1">
        <f t="array" ref="N321">SUMIFS(FLOWS!$C:$C,FLOWS!$A:$A,$B$303,FLOWS!$E:$E,$K321,FLOWS!$D:$D,N$307,FLOWS!$H:$H,"&gt;="&amp;$C$305,FLOWS!$H:$H,"&lt;="&amp;$U$305)+SUM(SUMIFS(DEALS!$J:$J,DEALS!$A:$A,{"*REFUND*","*EXECUTED*"},DEALS!$G:$G,$B$303,DEALS!$E:$E,"&gt;="&amp;$C$305,DEALS!$E:$E,"&lt;="&amp;$U$305,DEALS!$K:$K,N$307,DEALS!$M:$M,$K321,DEALS!$N:$N,"&lt;&gt;*RECEIVED*",DEALS!$N:$N,"&lt;&gt;*EXECUTED*"))+SUM(SUMIFS(DEALS!$R:$R,DEALS!$A:$A,{"*REFUND*","*EXECUTED*"},DEALS!$O:$O,$B$303,DEALS!$E:$E,"&gt;="&amp;$C$305,DEALS!$E:$E,"&lt;="&amp;$U$305,DEALS!$S:$S,N$307,DEALS!$U:$U,$K321,DEALS!$V:$V,"&lt;&gt;*RECEIVED*",DEALS!$V:$V,"&lt;&gt;*EXECUTED*"))</f>
        <v>0</v>
      </c>
      <c r="O321" s="32" cm="1">
        <f t="array" ref="O321">SUMIFS(FLOWS!$C:$C,FLOWS!$A:$A,$B$303,FLOWS!$E:$E,$K321,FLOWS!$D:$D,O$307,FLOWS!$H:$H,"&gt;="&amp;$C$305,FLOWS!$H:$H,"&lt;="&amp;$U$305)+SUM(SUMIFS(DEALS!$J:$J,DEALS!$A:$A,{"*REFUND*","*EXECUTED*"},DEALS!$G:$G,$B$303,DEALS!$E:$E,"&gt;="&amp;$C$305,DEALS!$E:$E,"&lt;="&amp;$U$305,DEALS!$K:$K,O$307,DEALS!$M:$M,$K321,DEALS!$N:$N,"&lt;&gt;*RECEIVED*",DEALS!$N:$N,"&lt;&gt;*EXECUTED*"))+SUM(SUMIFS(DEALS!$R:$R,DEALS!$A:$A,{"*REFUND*","*EXECUTED*"},DEALS!$O:$O,$B$303,DEALS!$E:$E,"&gt;="&amp;$C$305,DEALS!$E:$E,"&lt;="&amp;$U$305,DEALS!$S:$S,O$307,DEALS!$U:$U,$K321,DEALS!$V:$V,"&lt;&gt;*RECEIVED*",DEALS!$V:$V,"&lt;&gt;*EXECUTED*"))</f>
        <v>0</v>
      </c>
      <c r="P321" s="32" cm="1">
        <f t="array" ref="P321">SUMIFS(FLOWS!$C:$C,FLOWS!$A:$A,$B$303,FLOWS!$E:$E,$K321,FLOWS!$D:$D,P$307,FLOWS!$H:$H,"&gt;="&amp;$C$305,FLOWS!$H:$H,"&lt;="&amp;$U$305)+SUM(SUMIFS(DEALS!$J:$J,DEALS!$A:$A,{"*REFUND*","*EXECUTED*"},DEALS!$G:$G,$B$303,DEALS!$E:$E,"&gt;="&amp;$C$305,DEALS!$E:$E,"&lt;="&amp;$U$305,DEALS!$K:$K,P$307,DEALS!$M:$M,$K321,DEALS!$N:$N,"&lt;&gt;*RECEIVED*",DEALS!$N:$N,"&lt;&gt;*EXECUTED*"))+SUM(SUMIFS(DEALS!$R:$R,DEALS!$A:$A,{"*REFUND*","*EXECUTED*"},DEALS!$O:$O,$B$303,DEALS!$E:$E,"&gt;="&amp;$C$305,DEALS!$E:$E,"&lt;="&amp;$U$305,DEALS!$S:$S,P$307,DEALS!$U:$U,$K321,DEALS!$V:$V,"&lt;&gt;*RECEIVED*",DEALS!$V:$V,"&lt;&gt;*EXECUTED*"))</f>
        <v>0</v>
      </c>
      <c r="Q321" s="32" cm="1">
        <f t="array" ref="Q321">SUMIFS(FLOWS!$C:$C,FLOWS!$A:$A,$B$303,FLOWS!$E:$E,$K321,FLOWS!$D:$D,Q$307,FLOWS!$H:$H,"&gt;="&amp;$C$305,FLOWS!$H:$H,"&lt;="&amp;$U$305)+SUM(SUMIFS(DEALS!$J:$J,DEALS!$A:$A,{"*REFUND*","*EXECUTED*"},DEALS!$G:$G,$B$303,DEALS!$E:$E,"&gt;="&amp;$C$305,DEALS!$E:$E,"&lt;="&amp;$U$305,DEALS!$K:$K,Q$307,DEALS!$M:$M,$K321,DEALS!$N:$N,"&lt;&gt;*RECEIVED*",DEALS!$N:$N,"&lt;&gt;*EXECUTED*"))+SUM(SUMIFS(DEALS!$R:$R,DEALS!$A:$A,{"*REFUND*","*EXECUTED*"},DEALS!$O:$O,$B$303,DEALS!$E:$E,"&gt;="&amp;$C$305,DEALS!$E:$E,"&lt;="&amp;$U$305,DEALS!$S:$S,Q$307,DEALS!$U:$U,$K321,DEALS!$V:$V,"&lt;&gt;*RECEIVED*",DEALS!$V:$V,"&lt;&gt;*EXECUTED*"))</f>
        <v>0</v>
      </c>
      <c r="R321" s="33">
        <f ca="1">L321*VLOOKUP(L$307,'FX RATES'!$E$1:$F$50,2,FALSE)+M321*VLOOKUP(M$307,'FX RATES'!$E$1:$F$50,2,FALSE)+N321*VLOOKUP(N$307,'FX RATES'!$E$1:$F$50,2,FALSE)+O321*VLOOKUP(O$307,'FX RATES'!$E$1:$F$50,2,FALSE)+P321*VLOOKUP(P$307,'FX RATES'!$E$1:$F$50,2,FALSE)+Q321*VLOOKUP(Q$307,'FX RATES'!$E$1:$F$50,2,FALSE)</f>
        <v>0</v>
      </c>
      <c r="T321" s="31">
        <f t="shared" si="133"/>
        <v>0</v>
      </c>
      <c r="U321" s="32" cm="1">
        <f t="array" ref="U321">SUMIFS(BALANCES!$C:$C,BALANCES!$A:$A,$B$303,BALANCES!$B:$B,$T321,BALANCES!$D:$D,U$307)+SUMIFS(FLOWS!$C:$C,FLOWS!$A:$A,$B$303,FLOWS!$E:$E,$T321,FLOWS!$D:$D,U$307,FLOWS!$H:$H,"&lt;="&amp;$U$305)+SUM(SUMIFS(DEALS!$J:$J,DEALS!$A:$A,{"*REFUND*","*EXECUTED*"},DEALS!$G:$G,$B$303,DEALS!$E:$E,"&lt;="&amp;$U$305,DEALS!$K:$K,U$307,DEALS!$M:$M,$T321,DEALS!$N:$N,"&lt;&gt;*RECEIVED*",DEALS!$N:$N,"&lt;&gt;*EXECUTED*"))+SUM(SUMIFS(DEALS!$R:$R,DEALS!$A:$A,{"*REFUND*","*EXECUTED*"},DEALS!$O:$O,$B$303,DEALS!$E:$E,"&lt;="&amp;$U$305,DEALS!$S:$S,U$307,DEALS!$U:$U,$T321,DEALS!$V:$V,"&lt;&gt;*RECEIVED*",DEALS!$V:$V,"&lt;&gt;*EXECUTED*"))</f>
        <v>0</v>
      </c>
      <c r="V321" s="32" cm="1">
        <f t="array" ref="V321">SUMIFS(BALANCES!$C:$C,BALANCES!$A:$A,$B$303,BALANCES!$B:$B,$T321,BALANCES!$D:$D,V$307)+SUMIFS(FLOWS!$C:$C,FLOWS!$A:$A,$B$303,FLOWS!$E:$E,$T321,FLOWS!$D:$D,V$307,FLOWS!$H:$H,"&lt;="&amp;$U$305)+SUM(SUMIFS(DEALS!$J:$J,DEALS!$A:$A,{"*REFUND*","*EXECUTED*"},DEALS!$G:$G,$B$303,DEALS!$E:$E,"&lt;="&amp;$U$305,DEALS!$K:$K,V$307,DEALS!$M:$M,$T321,DEALS!$N:$N,"&lt;&gt;*RECEIVED*",DEALS!$N:$N,"&lt;&gt;*EXECUTED*"))+SUM(SUMIFS(DEALS!$R:$R,DEALS!$A:$A,{"*REFUND*","*EXECUTED*"},DEALS!$O:$O,$B$303,DEALS!$E:$E,"&lt;="&amp;$U$305,DEALS!$S:$S,V$307,DEALS!$U:$U,$T321,DEALS!$V:$V,"&lt;&gt;*RECEIVED*",DEALS!$V:$V,"&lt;&gt;*EXECUTED*"))</f>
        <v>0</v>
      </c>
      <c r="W321" s="32" cm="1">
        <f t="array" ref="W321">SUMIFS(BALANCES!$C:$C,BALANCES!$A:$A,$B$303,BALANCES!$B:$B,$T321,BALANCES!$D:$D,W$307)+SUMIFS(FLOWS!$C:$C,FLOWS!$A:$A,$B$303,FLOWS!$E:$E,$T321,FLOWS!$D:$D,W$307,FLOWS!$H:$H,"&lt;="&amp;$U$305)+SUM(SUMIFS(DEALS!$J:$J,DEALS!$A:$A,{"*REFUND*","*EXECUTED*"},DEALS!$G:$G,$B$303,DEALS!$E:$E,"&lt;="&amp;$U$305,DEALS!$K:$K,W$307,DEALS!$M:$M,$T321,DEALS!$N:$N,"&lt;&gt;*RECEIVED*",DEALS!$N:$N,"&lt;&gt;*EXECUTED*"))+SUM(SUMIFS(DEALS!$R:$R,DEALS!$A:$A,{"*REFUND*","*EXECUTED*"},DEALS!$O:$O,$B$303,DEALS!$E:$E,"&lt;="&amp;$U$305,DEALS!$S:$S,W$307,DEALS!$U:$U,$T321,DEALS!$V:$V,"&lt;&gt;*RECEIVED*",DEALS!$V:$V,"&lt;&gt;*EXECUTED*"))</f>
        <v>0</v>
      </c>
      <c r="X321" s="32" cm="1">
        <f t="array" ref="X321">SUMIFS(BALANCES!$C:$C,BALANCES!$A:$A,$B$303,BALANCES!$B:$B,$T321,BALANCES!$D:$D,X$307)+SUMIFS(FLOWS!$C:$C,FLOWS!$A:$A,$B$303,FLOWS!$E:$E,$T321,FLOWS!$D:$D,X$307,FLOWS!$H:$H,"&lt;="&amp;$U$305)+SUM(SUMIFS(DEALS!$J:$J,DEALS!$A:$A,{"*REFUND*","*EXECUTED*"},DEALS!$G:$G,$B$303,DEALS!$E:$E,"&lt;="&amp;$U$305,DEALS!$K:$K,X$307,DEALS!$M:$M,$T321,DEALS!$N:$N,"&lt;&gt;*RECEIVED*",DEALS!$N:$N,"&lt;&gt;*EXECUTED*"))+SUM(SUMIFS(DEALS!$R:$R,DEALS!$A:$A,{"*REFUND*","*EXECUTED*"},DEALS!$O:$O,$B$303,DEALS!$E:$E,"&lt;="&amp;$U$305,DEALS!$S:$S,X$307,DEALS!$U:$U,$T321,DEALS!$V:$V,"&lt;&gt;*RECEIVED*",DEALS!$V:$V,"&lt;&gt;*EXECUTED*"))</f>
        <v>0</v>
      </c>
      <c r="Y321" s="32" cm="1">
        <f t="array" ref="Y321">SUMIFS(BALANCES!$C:$C,BALANCES!$A:$A,$B$303,BALANCES!$B:$B,$T321,BALANCES!$D:$D,Y$307)+SUMIFS(FLOWS!$C:$C,FLOWS!$A:$A,$B$303,FLOWS!$E:$E,$T321,FLOWS!$D:$D,Y$307,FLOWS!$H:$H,"&lt;="&amp;$U$305)+SUM(SUMIFS(DEALS!$J:$J,DEALS!$A:$A,{"*REFUND*","*EXECUTED*"},DEALS!$G:$G,$B$303,DEALS!$E:$E,"&lt;="&amp;$U$305,DEALS!$K:$K,Y$307,DEALS!$M:$M,$T321,DEALS!$N:$N,"&lt;&gt;*RECEIVED*",DEALS!$N:$N,"&lt;&gt;*EXECUTED*"))+SUM(SUMIFS(DEALS!$R:$R,DEALS!$A:$A,{"*REFUND*","*EXECUTED*"},DEALS!$O:$O,$B$303,DEALS!$E:$E,"&lt;="&amp;$U$305,DEALS!$S:$S,Y$307,DEALS!$U:$U,$T321,DEALS!$V:$V,"&lt;&gt;*RECEIVED*",DEALS!$V:$V,"&lt;&gt;*EXECUTED*"))</f>
        <v>0</v>
      </c>
      <c r="Z321" s="32" cm="1">
        <f t="array" ref="Z321">SUMIFS(BALANCES!$C:$C,BALANCES!$A:$A,$B$303,BALANCES!$B:$B,$T321,BALANCES!$D:$D,Z$307)+SUMIFS(FLOWS!$C:$C,FLOWS!$A:$A,$B$303,FLOWS!$E:$E,$T321,FLOWS!$D:$D,Z$307,FLOWS!$H:$H,"&lt;="&amp;$U$305)+SUM(SUMIFS(DEALS!$J:$J,DEALS!$A:$A,{"*REFUND*","*EXECUTED*"},DEALS!$G:$G,$B$303,DEALS!$E:$E,"&lt;="&amp;$U$305,DEALS!$K:$K,Z$307,DEALS!$M:$M,$T321,DEALS!$N:$N,"&lt;&gt;*RECEIVED*",DEALS!$N:$N,"&lt;&gt;*EXECUTED*"))+SUM(SUMIFS(DEALS!$R:$R,DEALS!$A:$A,{"*REFUND*","*EXECUTED*"},DEALS!$O:$O,$B$303,DEALS!$E:$E,"&lt;="&amp;$U$305,DEALS!$S:$S,Z$307,DEALS!$U:$U,$T321,DEALS!$V:$V,"&lt;&gt;*RECEIVED*",DEALS!$V:$V,"&lt;&gt;*EXECUTED*"))</f>
        <v>0</v>
      </c>
      <c r="AA321" s="33">
        <f ca="1">U321*VLOOKUP(U$307,'FX RATES'!$E$1:$F$50,2,FALSE)+V321*VLOOKUP(V$307,'FX RATES'!$E$1:$F$50,2,FALSE)+W321*VLOOKUP(W$307,'FX RATES'!$E$1:$F$50,2,FALSE)+X321*VLOOKUP(X$307,'FX RATES'!$E$1:$F$50,2,FALSE)+Y321*VLOOKUP(Y$307,'FX RATES'!$E$1:$F$50,2,FALSE)+Z321*VLOOKUP(Z$307,'FX RATES'!$E$1:$F$50,2,FALSE)</f>
        <v>0</v>
      </c>
      <c r="AC321" s="139">
        <f t="shared" ca="1" si="134"/>
        <v>0</v>
      </c>
    </row>
    <row r="322" spans="2:29" ht="18.75" hidden="1" customHeight="1">
      <c r="B322" s="28"/>
      <c r="C322" s="29" cm="1">
        <f t="array" ref="C322">SUMIFS(BALANCES!$C:$C,BALANCES!$A:$A,$B$303,BALANCES!$B:$B,$B322,BALANCES!$D:$D,C$307)+SUMIFS(FLOWS!$C:$C,FLOWS!$A:$A,$B$303,FLOWS!$E:$E,$B322,FLOWS!$D:$D,C$307,FLOWS!$H:$H,"&lt;"&amp;$C$305)+SUM(SUMIFS(DEALS!$J:$J,DEALS!$A:$A,{"*REFUND*","*EXECUTED*"},DEALS!$G:$G,$B$303,DEALS!$E:$E,"&lt;"&amp;$C$305,DEALS!$K:$K,C$307,DEALS!$M:$M,$B322,DEALS!$N:$N,"&lt;&gt;*RECEIVED*",DEALS!$N:$N,"&lt;&gt;*EXECUTED*"))+SUM(SUMIFS(DEALS!$R:$R,DEALS!$A:$A,{"*REFUND*","*EXECUTED*"},DEALS!$O:$O,$B$303,DEALS!$E:$E,"&lt;"&amp;$C$305,DEALS!$S:$S,C$307,DEALS!$U:$U,$B322,DEALS!$V:$V,"&lt;&gt;*RECEIVED*",DEALS!$V:$V,"&lt;&gt;*EXECUTED*"))</f>
        <v>0</v>
      </c>
      <c r="D322" s="29" cm="1">
        <f t="array" ref="D322">SUMIFS(BALANCES!$C:$C,BALANCES!$A:$A,$B$303,BALANCES!$B:$B,$B322,BALANCES!$D:$D,D$307)+SUMIFS(FLOWS!$C:$C,FLOWS!$A:$A,$B$303,FLOWS!$E:$E,$B322,FLOWS!$D:$D,D$307,FLOWS!$H:$H,"&lt;"&amp;$C$305)+SUM(SUMIFS(DEALS!$J:$J,DEALS!$A:$A,{"*REFUND*","*EXECUTED*"},DEALS!$G:$G,$B$303,DEALS!$E:$E,"&lt;"&amp;$C$305,DEALS!$K:$K,D$307,DEALS!$M:$M,$B322,DEALS!$N:$N,"&lt;&gt;*RECEIVED*",DEALS!$N:$N,"&lt;&gt;*EXECUTED*"))+SUM(SUMIFS(DEALS!$R:$R,DEALS!$A:$A,{"*REFUND*","*EXECUTED*"},DEALS!$O:$O,$B$303,DEALS!$E:$E,"&lt;"&amp;$C$305,DEALS!$S:$S,D$307,DEALS!$U:$U,$B322,DEALS!$V:$V,"&lt;&gt;*RECEIVED*",DEALS!$V:$V,"&lt;&gt;*EXECUTED*"))</f>
        <v>0</v>
      </c>
      <c r="E322" s="29" cm="1">
        <f t="array" ref="E322">SUMIFS(BALANCES!$C:$C,BALANCES!$A:$A,$B$303,BALANCES!$B:$B,$B322,BALANCES!$D:$D,E$307)+SUMIFS(FLOWS!$C:$C,FLOWS!$A:$A,$B$303,FLOWS!$E:$E,$B322,FLOWS!$D:$D,E$307,FLOWS!$H:$H,"&lt;"&amp;$C$305)+SUM(SUMIFS(DEALS!$J:$J,DEALS!$A:$A,{"*REFUND*","*EXECUTED*"},DEALS!$G:$G,$B$303,DEALS!$E:$E,"&lt;"&amp;$C$305,DEALS!$K:$K,E$307,DEALS!$M:$M,$B322,DEALS!$N:$N,"&lt;&gt;*RECEIVED*",DEALS!$N:$N,"&lt;&gt;*EXECUTED*"))+SUM(SUMIFS(DEALS!$R:$R,DEALS!$A:$A,{"*REFUND*","*EXECUTED*"},DEALS!$O:$O,$B$303,DEALS!$E:$E,"&lt;"&amp;$C$305,DEALS!$S:$S,E$307,DEALS!$U:$U,$B322,DEALS!$V:$V,"&lt;&gt;*RECEIVED*",DEALS!$V:$V,"&lt;&gt;*EXECUTED*"))</f>
        <v>0</v>
      </c>
      <c r="F322" s="29" cm="1">
        <f t="array" ref="F322">SUMIFS(BALANCES!$C:$C,BALANCES!$A:$A,$B$303,BALANCES!$B:$B,$B322,BALANCES!$D:$D,F$307)+SUMIFS(FLOWS!$C:$C,FLOWS!$A:$A,$B$303,FLOWS!$E:$E,$B322,FLOWS!$D:$D,F$307,FLOWS!$H:$H,"&lt;"&amp;$C$305)+SUM(SUMIFS(DEALS!$J:$J,DEALS!$A:$A,{"*REFUND*","*EXECUTED*"},DEALS!$G:$G,$B$303,DEALS!$E:$E,"&lt;"&amp;$C$305,DEALS!$K:$K,F$307,DEALS!$M:$M,$B322,DEALS!$N:$N,"&lt;&gt;*RECEIVED*",DEALS!$N:$N,"&lt;&gt;*EXECUTED*"))+SUM(SUMIFS(DEALS!$R:$R,DEALS!$A:$A,{"*REFUND*","*EXECUTED*"},DEALS!$O:$O,$B$303,DEALS!$E:$E,"&lt;"&amp;$C$305,DEALS!$S:$S,F$307,DEALS!$U:$U,$B322,DEALS!$V:$V,"&lt;&gt;*RECEIVED*",DEALS!$V:$V,"&lt;&gt;*EXECUTED*"))</f>
        <v>0</v>
      </c>
      <c r="G322" s="29" cm="1">
        <f t="array" ref="G322">SUMIFS(BALANCES!$C:$C,BALANCES!$A:$A,$B$303,BALANCES!$B:$B,$B322,BALANCES!$D:$D,G$307)+SUMIFS(FLOWS!$C:$C,FLOWS!$A:$A,$B$303,FLOWS!$E:$E,$B322,FLOWS!$D:$D,G$307,FLOWS!$H:$H,"&lt;"&amp;$C$305)+SUM(SUMIFS(DEALS!$J:$J,DEALS!$A:$A,{"*REFUND*","*EXECUTED*"},DEALS!$G:$G,$B$303,DEALS!$E:$E,"&lt;"&amp;$C$305,DEALS!$K:$K,G$307,DEALS!$M:$M,$B322,DEALS!$N:$N,"&lt;&gt;*RECEIVED*",DEALS!$N:$N,"&lt;&gt;*EXECUTED*"))+SUM(SUMIFS(DEALS!$R:$R,DEALS!$A:$A,{"*REFUND*","*EXECUTED*"},DEALS!$O:$O,$B$303,DEALS!$E:$E,"&lt;"&amp;$C$305,DEALS!$S:$S,G$307,DEALS!$U:$U,$B322,DEALS!$V:$V,"&lt;&gt;*RECEIVED*",DEALS!$V:$V,"&lt;&gt;*EXECUTED*"))</f>
        <v>0</v>
      </c>
      <c r="H322" s="29" cm="1">
        <f t="array" ref="H322">SUMIFS(BALANCES!$C:$C,BALANCES!$A:$A,$B$303,BALANCES!$B:$B,$B322,BALANCES!$D:$D,H$307)+SUMIFS(FLOWS!$C:$C,FLOWS!$A:$A,$B$303,FLOWS!$E:$E,$B322,FLOWS!$D:$D,H$307,FLOWS!$H:$H,"&lt;"&amp;$C$305)+SUM(SUMIFS(DEALS!$J:$J,DEALS!$A:$A,{"*REFUND*","*EXECUTED*"},DEALS!$G:$G,$B$303,DEALS!$E:$E,"&lt;"&amp;$C$305,DEALS!$K:$K,H$307,DEALS!$M:$M,$B322,DEALS!$N:$N,"&lt;&gt;*RECEIVED*",DEALS!$N:$N,"&lt;&gt;*EXECUTED*"))+SUM(SUMIFS(DEALS!$R:$R,DEALS!$A:$A,{"*REFUND*","*EXECUTED*"},DEALS!$O:$O,$B$303,DEALS!$E:$E,"&lt;"&amp;$C$305,DEALS!$S:$S,H$307,DEALS!$U:$U,$B322,DEALS!$V:$V,"&lt;&gt;*RECEIVED*",DEALS!$V:$V,"&lt;&gt;*EXECUTED*"))</f>
        <v>0</v>
      </c>
      <c r="I322" s="30">
        <f ca="1">C322*VLOOKUP(C$307,'FX RATES'!$E$1:$F$50,2,FALSE)+D322*VLOOKUP(D$307,'FX RATES'!$E$1:$F$50,2,FALSE)+E322*VLOOKUP(E$307,'FX RATES'!$E$1:$F$50,2,FALSE)+F322*VLOOKUP(F$307,'FX RATES'!$E$1:$F$50,2,FALSE)+G322*VLOOKUP(G$307,'FX RATES'!$E$1:$F$50,2,FALSE)+H322*VLOOKUP(H$307,'FX RATES'!$E$1:$F$50,2,FALSE)</f>
        <v>0</v>
      </c>
      <c r="K322" s="28">
        <f t="shared" si="132"/>
        <v>0</v>
      </c>
      <c r="L322" s="29" cm="1">
        <f t="array" ref="L322">SUMIFS(FLOWS!$C:$C,FLOWS!$A:$A,$B$303,FLOWS!$E:$E,$K322,FLOWS!$D:$D,L$307,FLOWS!$H:$H,"&gt;="&amp;$C$305,FLOWS!$H:$H,"&lt;="&amp;$U$305)+SUM(SUMIFS(DEALS!$J:$J,DEALS!$A:$A,{"*REFUND*","*EXECUTED*"},DEALS!$G:$G,$B$303,DEALS!$E:$E,"&gt;="&amp;$C$305,DEALS!$E:$E,"&lt;="&amp;$U$305,DEALS!$K:$K,L$307,DEALS!$M:$M,$K322,DEALS!$N:$N,"&lt;&gt;*RECEIVED*",DEALS!$N:$N,"&lt;&gt;*EXECUTED*"))+SUM(SUMIFS(DEALS!$R:$R,DEALS!$A:$A,{"*REFUND*","*EXECUTED*"},DEALS!$O:$O,$B$303,DEALS!$E:$E,"&gt;="&amp;$C$305,DEALS!$E:$E,"&lt;="&amp;$U$305,DEALS!$S:$S,L$307,DEALS!$U:$U,$K322,DEALS!$V:$V,"&lt;&gt;*RECEIVED*",DEALS!$V:$V,"&lt;&gt;*EXECUTED*"))</f>
        <v>0</v>
      </c>
      <c r="M322" s="29" cm="1">
        <f t="array" ref="M322">SUMIFS(FLOWS!$C:$C,FLOWS!$A:$A,$B$303,FLOWS!$E:$E,$K322,FLOWS!$D:$D,M$307,FLOWS!$H:$H,"&gt;="&amp;$C$305,FLOWS!$H:$H,"&lt;="&amp;$U$305)+SUM(SUMIFS(DEALS!$J:$J,DEALS!$A:$A,{"*REFUND*","*EXECUTED*"},DEALS!$G:$G,$B$303,DEALS!$E:$E,"&gt;="&amp;$C$305,DEALS!$E:$E,"&lt;="&amp;$U$305,DEALS!$K:$K,M$307,DEALS!$M:$M,$K322,DEALS!$N:$N,"&lt;&gt;*RECEIVED*",DEALS!$N:$N,"&lt;&gt;*EXECUTED*"))+SUM(SUMIFS(DEALS!$R:$R,DEALS!$A:$A,{"*REFUND*","*EXECUTED*"},DEALS!$O:$O,$B$303,DEALS!$E:$E,"&gt;="&amp;$C$305,DEALS!$E:$E,"&lt;="&amp;$U$305,DEALS!$S:$S,M$307,DEALS!$U:$U,$K322,DEALS!$V:$V,"&lt;&gt;*RECEIVED*",DEALS!$V:$V,"&lt;&gt;*EXECUTED*"))</f>
        <v>0</v>
      </c>
      <c r="N322" s="29" cm="1">
        <f t="array" ref="N322">SUMIFS(FLOWS!$C:$C,FLOWS!$A:$A,$B$303,FLOWS!$E:$E,$K322,FLOWS!$D:$D,N$307,FLOWS!$H:$H,"&gt;="&amp;$C$305,FLOWS!$H:$H,"&lt;="&amp;$U$305)+SUM(SUMIFS(DEALS!$J:$J,DEALS!$A:$A,{"*REFUND*","*EXECUTED*"},DEALS!$G:$G,$B$303,DEALS!$E:$E,"&gt;="&amp;$C$305,DEALS!$E:$E,"&lt;="&amp;$U$305,DEALS!$K:$K,N$307,DEALS!$M:$M,$K322,DEALS!$N:$N,"&lt;&gt;*RECEIVED*",DEALS!$N:$N,"&lt;&gt;*EXECUTED*"))+SUM(SUMIFS(DEALS!$R:$R,DEALS!$A:$A,{"*REFUND*","*EXECUTED*"},DEALS!$O:$O,$B$303,DEALS!$E:$E,"&gt;="&amp;$C$305,DEALS!$E:$E,"&lt;="&amp;$U$305,DEALS!$S:$S,N$307,DEALS!$U:$U,$K322,DEALS!$V:$V,"&lt;&gt;*RECEIVED*",DEALS!$V:$V,"&lt;&gt;*EXECUTED*"))</f>
        <v>0</v>
      </c>
      <c r="O322" s="29" cm="1">
        <f t="array" ref="O322">SUMIFS(FLOWS!$C:$C,FLOWS!$A:$A,$B$303,FLOWS!$E:$E,$K322,FLOWS!$D:$D,O$307,FLOWS!$H:$H,"&gt;="&amp;$C$305,FLOWS!$H:$H,"&lt;="&amp;$U$305)+SUM(SUMIFS(DEALS!$J:$J,DEALS!$A:$A,{"*REFUND*","*EXECUTED*"},DEALS!$G:$G,$B$303,DEALS!$E:$E,"&gt;="&amp;$C$305,DEALS!$E:$E,"&lt;="&amp;$U$305,DEALS!$K:$K,O$307,DEALS!$M:$M,$K322,DEALS!$N:$N,"&lt;&gt;*RECEIVED*",DEALS!$N:$N,"&lt;&gt;*EXECUTED*"))+SUM(SUMIFS(DEALS!$R:$R,DEALS!$A:$A,{"*REFUND*","*EXECUTED*"},DEALS!$O:$O,$B$303,DEALS!$E:$E,"&gt;="&amp;$C$305,DEALS!$E:$E,"&lt;="&amp;$U$305,DEALS!$S:$S,O$307,DEALS!$U:$U,$K322,DEALS!$V:$V,"&lt;&gt;*RECEIVED*",DEALS!$V:$V,"&lt;&gt;*EXECUTED*"))</f>
        <v>0</v>
      </c>
      <c r="P322" s="29" cm="1">
        <f t="array" ref="P322">SUMIFS(FLOWS!$C:$C,FLOWS!$A:$A,$B$303,FLOWS!$E:$E,$K322,FLOWS!$D:$D,P$307,FLOWS!$H:$H,"&gt;="&amp;$C$305,FLOWS!$H:$H,"&lt;="&amp;$U$305)+SUM(SUMIFS(DEALS!$J:$J,DEALS!$A:$A,{"*REFUND*","*EXECUTED*"},DEALS!$G:$G,$B$303,DEALS!$E:$E,"&gt;="&amp;$C$305,DEALS!$E:$E,"&lt;="&amp;$U$305,DEALS!$K:$K,P$307,DEALS!$M:$M,$K322,DEALS!$N:$N,"&lt;&gt;*RECEIVED*",DEALS!$N:$N,"&lt;&gt;*EXECUTED*"))+SUM(SUMIFS(DEALS!$R:$R,DEALS!$A:$A,{"*REFUND*","*EXECUTED*"},DEALS!$O:$O,$B$303,DEALS!$E:$E,"&gt;="&amp;$C$305,DEALS!$E:$E,"&lt;="&amp;$U$305,DEALS!$S:$S,P$307,DEALS!$U:$U,$K322,DEALS!$V:$V,"&lt;&gt;*RECEIVED*",DEALS!$V:$V,"&lt;&gt;*EXECUTED*"))</f>
        <v>0</v>
      </c>
      <c r="Q322" s="29" cm="1">
        <f t="array" ref="Q322">SUMIFS(FLOWS!$C:$C,FLOWS!$A:$A,$B$303,FLOWS!$E:$E,$K322,FLOWS!$D:$D,Q$307,FLOWS!$H:$H,"&gt;="&amp;$C$305,FLOWS!$H:$H,"&lt;="&amp;$U$305)+SUM(SUMIFS(DEALS!$J:$J,DEALS!$A:$A,{"*REFUND*","*EXECUTED*"},DEALS!$G:$G,$B$303,DEALS!$E:$E,"&gt;="&amp;$C$305,DEALS!$E:$E,"&lt;="&amp;$U$305,DEALS!$K:$K,Q$307,DEALS!$M:$M,$K322,DEALS!$N:$N,"&lt;&gt;*RECEIVED*",DEALS!$N:$N,"&lt;&gt;*EXECUTED*"))+SUM(SUMIFS(DEALS!$R:$R,DEALS!$A:$A,{"*REFUND*","*EXECUTED*"},DEALS!$O:$O,$B$303,DEALS!$E:$E,"&gt;="&amp;$C$305,DEALS!$E:$E,"&lt;="&amp;$U$305,DEALS!$S:$S,Q$307,DEALS!$U:$U,$K322,DEALS!$V:$V,"&lt;&gt;*RECEIVED*",DEALS!$V:$V,"&lt;&gt;*EXECUTED*"))</f>
        <v>0</v>
      </c>
      <c r="R322" s="30">
        <f ca="1">L322*VLOOKUP(L$307,'FX RATES'!$E$1:$F$50,2,FALSE)+M322*VLOOKUP(M$307,'FX RATES'!$E$1:$F$50,2,FALSE)+N322*VLOOKUP(N$307,'FX RATES'!$E$1:$F$50,2,FALSE)+O322*VLOOKUP(O$307,'FX RATES'!$E$1:$F$50,2,FALSE)+P322*VLOOKUP(P$307,'FX RATES'!$E$1:$F$50,2,FALSE)+Q322*VLOOKUP(Q$307,'FX RATES'!$E$1:$F$50,2,FALSE)</f>
        <v>0</v>
      </c>
      <c r="T322" s="28">
        <f t="shared" si="133"/>
        <v>0</v>
      </c>
      <c r="U322" s="29" cm="1">
        <f t="array" ref="U322">SUMIFS(BALANCES!$C:$C,BALANCES!$A:$A,$B$303,BALANCES!$B:$B,$T322,BALANCES!$D:$D,U$307)+SUMIFS(FLOWS!$C:$C,FLOWS!$A:$A,$B$303,FLOWS!$E:$E,$T322,FLOWS!$D:$D,U$307,FLOWS!$H:$H,"&lt;="&amp;$U$305)+SUM(SUMIFS(DEALS!$J:$J,DEALS!$A:$A,{"*REFUND*","*EXECUTED*"},DEALS!$G:$G,$B$303,DEALS!$E:$E,"&lt;="&amp;$U$305,DEALS!$K:$K,U$307,DEALS!$M:$M,$T322,DEALS!$N:$N,"&lt;&gt;*RECEIVED*",DEALS!$N:$N,"&lt;&gt;*EXECUTED*"))+SUM(SUMIFS(DEALS!$R:$R,DEALS!$A:$A,{"*REFUND*","*EXECUTED*"},DEALS!$O:$O,$B$303,DEALS!$E:$E,"&lt;="&amp;$U$305,DEALS!$S:$S,U$307,DEALS!$U:$U,$T322,DEALS!$V:$V,"&lt;&gt;*RECEIVED*",DEALS!$V:$V,"&lt;&gt;*EXECUTED*"))</f>
        <v>0</v>
      </c>
      <c r="V322" s="29" cm="1">
        <f t="array" ref="V322">SUMIFS(BALANCES!$C:$C,BALANCES!$A:$A,$B$303,BALANCES!$B:$B,$T322,BALANCES!$D:$D,V$307)+SUMIFS(FLOWS!$C:$C,FLOWS!$A:$A,$B$303,FLOWS!$E:$E,$T322,FLOWS!$D:$D,V$307,FLOWS!$H:$H,"&lt;="&amp;$U$305)+SUM(SUMIFS(DEALS!$J:$J,DEALS!$A:$A,{"*REFUND*","*EXECUTED*"},DEALS!$G:$G,$B$303,DEALS!$E:$E,"&lt;="&amp;$U$305,DEALS!$K:$K,V$307,DEALS!$M:$M,$T322,DEALS!$N:$N,"&lt;&gt;*RECEIVED*",DEALS!$N:$N,"&lt;&gt;*EXECUTED*"))+SUM(SUMIFS(DEALS!$R:$R,DEALS!$A:$A,{"*REFUND*","*EXECUTED*"},DEALS!$O:$O,$B$303,DEALS!$E:$E,"&lt;="&amp;$U$305,DEALS!$S:$S,V$307,DEALS!$U:$U,$T322,DEALS!$V:$V,"&lt;&gt;*RECEIVED*",DEALS!$V:$V,"&lt;&gt;*EXECUTED*"))</f>
        <v>0</v>
      </c>
      <c r="W322" s="29" cm="1">
        <f t="array" ref="W322">SUMIFS(BALANCES!$C:$C,BALANCES!$A:$A,$B$303,BALANCES!$B:$B,$T322,BALANCES!$D:$D,W$307)+SUMIFS(FLOWS!$C:$C,FLOWS!$A:$A,$B$303,FLOWS!$E:$E,$T322,FLOWS!$D:$D,W$307,FLOWS!$H:$H,"&lt;="&amp;$U$305)+SUM(SUMIFS(DEALS!$J:$J,DEALS!$A:$A,{"*REFUND*","*EXECUTED*"},DEALS!$G:$G,$B$303,DEALS!$E:$E,"&lt;="&amp;$U$305,DEALS!$K:$K,W$307,DEALS!$M:$M,$T322,DEALS!$N:$N,"&lt;&gt;*RECEIVED*",DEALS!$N:$N,"&lt;&gt;*EXECUTED*"))+SUM(SUMIFS(DEALS!$R:$R,DEALS!$A:$A,{"*REFUND*","*EXECUTED*"},DEALS!$O:$O,$B$303,DEALS!$E:$E,"&lt;="&amp;$U$305,DEALS!$S:$S,W$307,DEALS!$U:$U,$T322,DEALS!$V:$V,"&lt;&gt;*RECEIVED*",DEALS!$V:$V,"&lt;&gt;*EXECUTED*"))</f>
        <v>0</v>
      </c>
      <c r="X322" s="29" cm="1">
        <f t="array" ref="X322">SUMIFS(BALANCES!$C:$C,BALANCES!$A:$A,$B$303,BALANCES!$B:$B,$T322,BALANCES!$D:$D,X$307)+SUMIFS(FLOWS!$C:$C,FLOWS!$A:$A,$B$303,FLOWS!$E:$E,$T322,FLOWS!$D:$D,X$307,FLOWS!$H:$H,"&lt;="&amp;$U$305)+SUM(SUMIFS(DEALS!$J:$J,DEALS!$A:$A,{"*REFUND*","*EXECUTED*"},DEALS!$G:$G,$B$303,DEALS!$E:$E,"&lt;="&amp;$U$305,DEALS!$K:$K,X$307,DEALS!$M:$M,$T322,DEALS!$N:$N,"&lt;&gt;*RECEIVED*",DEALS!$N:$N,"&lt;&gt;*EXECUTED*"))+SUM(SUMIFS(DEALS!$R:$R,DEALS!$A:$A,{"*REFUND*","*EXECUTED*"},DEALS!$O:$O,$B$303,DEALS!$E:$E,"&lt;="&amp;$U$305,DEALS!$S:$S,X$307,DEALS!$U:$U,$T322,DEALS!$V:$V,"&lt;&gt;*RECEIVED*",DEALS!$V:$V,"&lt;&gt;*EXECUTED*"))</f>
        <v>0</v>
      </c>
      <c r="Y322" s="29" cm="1">
        <f t="array" ref="Y322">SUMIFS(BALANCES!$C:$C,BALANCES!$A:$A,$B$303,BALANCES!$B:$B,$T322,BALANCES!$D:$D,Y$307)+SUMIFS(FLOWS!$C:$C,FLOWS!$A:$A,$B$303,FLOWS!$E:$E,$T322,FLOWS!$D:$D,Y$307,FLOWS!$H:$H,"&lt;="&amp;$U$305)+SUM(SUMIFS(DEALS!$J:$J,DEALS!$A:$A,{"*REFUND*","*EXECUTED*"},DEALS!$G:$G,$B$303,DEALS!$E:$E,"&lt;="&amp;$U$305,DEALS!$K:$K,Y$307,DEALS!$M:$M,$T322,DEALS!$N:$N,"&lt;&gt;*RECEIVED*",DEALS!$N:$N,"&lt;&gt;*EXECUTED*"))+SUM(SUMIFS(DEALS!$R:$R,DEALS!$A:$A,{"*REFUND*","*EXECUTED*"},DEALS!$O:$O,$B$303,DEALS!$E:$E,"&lt;="&amp;$U$305,DEALS!$S:$S,Y$307,DEALS!$U:$U,$T322,DEALS!$V:$V,"&lt;&gt;*RECEIVED*",DEALS!$V:$V,"&lt;&gt;*EXECUTED*"))</f>
        <v>0</v>
      </c>
      <c r="Z322" s="29" cm="1">
        <f t="array" ref="Z322">SUMIFS(BALANCES!$C:$C,BALANCES!$A:$A,$B$303,BALANCES!$B:$B,$T322,BALANCES!$D:$D,Z$307)+SUMIFS(FLOWS!$C:$C,FLOWS!$A:$A,$B$303,FLOWS!$E:$E,$T322,FLOWS!$D:$D,Z$307,FLOWS!$H:$H,"&lt;="&amp;$U$305)+SUM(SUMIFS(DEALS!$J:$J,DEALS!$A:$A,{"*REFUND*","*EXECUTED*"},DEALS!$G:$G,$B$303,DEALS!$E:$E,"&lt;="&amp;$U$305,DEALS!$K:$K,Z$307,DEALS!$M:$M,$T322,DEALS!$N:$N,"&lt;&gt;*RECEIVED*",DEALS!$N:$N,"&lt;&gt;*EXECUTED*"))+SUM(SUMIFS(DEALS!$R:$R,DEALS!$A:$A,{"*REFUND*","*EXECUTED*"},DEALS!$O:$O,$B$303,DEALS!$E:$E,"&lt;="&amp;$U$305,DEALS!$S:$S,Z$307,DEALS!$U:$U,$T322,DEALS!$V:$V,"&lt;&gt;*RECEIVED*",DEALS!$V:$V,"&lt;&gt;*EXECUTED*"))</f>
        <v>0</v>
      </c>
      <c r="AA322" s="30">
        <f ca="1">U322*VLOOKUP(U$307,'FX RATES'!$E$1:$F$50,2,FALSE)+V322*VLOOKUP(V$307,'FX RATES'!$E$1:$F$50,2,FALSE)+W322*VLOOKUP(W$307,'FX RATES'!$E$1:$F$50,2,FALSE)+X322*VLOOKUP(X$307,'FX RATES'!$E$1:$F$50,2,FALSE)+Y322*VLOOKUP(Y$307,'FX RATES'!$E$1:$F$50,2,FALSE)+Z322*VLOOKUP(Z$307,'FX RATES'!$E$1:$F$50,2,FALSE)</f>
        <v>0</v>
      </c>
      <c r="AC322" s="139">
        <f t="shared" ca="1" si="134"/>
        <v>0</v>
      </c>
    </row>
    <row r="323" spans="2:29" ht="18.75" hidden="1" customHeight="1">
      <c r="B323" s="31"/>
      <c r="C323" s="32" cm="1">
        <f t="array" ref="C323">SUMIFS(BALANCES!$C:$C,BALANCES!$A:$A,$B$303,BALANCES!$B:$B,$B323,BALANCES!$D:$D,C$307)+SUMIFS(FLOWS!$C:$C,FLOWS!$A:$A,$B$303,FLOWS!$E:$E,$B323,FLOWS!$D:$D,C$307,FLOWS!$H:$H,"&lt;"&amp;$C$305)+SUM(SUMIFS(DEALS!$J:$J,DEALS!$A:$A,{"*REFUND*","*EXECUTED*"},DEALS!$G:$G,$B$303,DEALS!$E:$E,"&lt;"&amp;$C$305,DEALS!$K:$K,C$307,DEALS!$M:$M,$B323,DEALS!$N:$N,"&lt;&gt;*RECEIVED*",DEALS!$N:$N,"&lt;&gt;*EXECUTED*"))+SUM(SUMIFS(DEALS!$R:$R,DEALS!$A:$A,{"*REFUND*","*EXECUTED*"},DEALS!$O:$O,$B$303,DEALS!$E:$E,"&lt;"&amp;$C$305,DEALS!$S:$S,C$307,DEALS!$U:$U,$B323,DEALS!$V:$V,"&lt;&gt;*RECEIVED*",DEALS!$V:$V,"&lt;&gt;*EXECUTED*"))</f>
        <v>0</v>
      </c>
      <c r="D323" s="32" cm="1">
        <f t="array" ref="D323">SUMIFS(BALANCES!$C:$C,BALANCES!$A:$A,$B$303,BALANCES!$B:$B,$B323,BALANCES!$D:$D,D$307)+SUMIFS(FLOWS!$C:$C,FLOWS!$A:$A,$B$303,FLOWS!$E:$E,$B323,FLOWS!$D:$D,D$307,FLOWS!$H:$H,"&lt;"&amp;$C$305)+SUM(SUMIFS(DEALS!$J:$J,DEALS!$A:$A,{"*REFUND*","*EXECUTED*"},DEALS!$G:$G,$B$303,DEALS!$E:$E,"&lt;"&amp;$C$305,DEALS!$K:$K,D$307,DEALS!$M:$M,$B323,DEALS!$N:$N,"&lt;&gt;*RECEIVED*",DEALS!$N:$N,"&lt;&gt;*EXECUTED*"))+SUM(SUMIFS(DEALS!$R:$R,DEALS!$A:$A,{"*REFUND*","*EXECUTED*"},DEALS!$O:$O,$B$303,DEALS!$E:$E,"&lt;"&amp;$C$305,DEALS!$S:$S,D$307,DEALS!$U:$U,$B323,DEALS!$V:$V,"&lt;&gt;*RECEIVED*",DEALS!$V:$V,"&lt;&gt;*EXECUTED*"))</f>
        <v>0</v>
      </c>
      <c r="E323" s="32" cm="1">
        <f t="array" ref="E323">SUMIFS(BALANCES!$C:$C,BALANCES!$A:$A,$B$303,BALANCES!$B:$B,$B323,BALANCES!$D:$D,E$307)+SUMIFS(FLOWS!$C:$C,FLOWS!$A:$A,$B$303,FLOWS!$E:$E,$B323,FLOWS!$D:$D,E$307,FLOWS!$H:$H,"&lt;"&amp;$C$305)+SUM(SUMIFS(DEALS!$J:$J,DEALS!$A:$A,{"*REFUND*","*EXECUTED*"},DEALS!$G:$G,$B$303,DEALS!$E:$E,"&lt;"&amp;$C$305,DEALS!$K:$K,E$307,DEALS!$M:$M,$B323,DEALS!$N:$N,"&lt;&gt;*RECEIVED*",DEALS!$N:$N,"&lt;&gt;*EXECUTED*"))+SUM(SUMIFS(DEALS!$R:$R,DEALS!$A:$A,{"*REFUND*","*EXECUTED*"},DEALS!$O:$O,$B$303,DEALS!$E:$E,"&lt;"&amp;$C$305,DEALS!$S:$S,E$307,DEALS!$U:$U,$B323,DEALS!$V:$V,"&lt;&gt;*RECEIVED*",DEALS!$V:$V,"&lt;&gt;*EXECUTED*"))</f>
        <v>0</v>
      </c>
      <c r="F323" s="32" cm="1">
        <f t="array" ref="F323">SUMIFS(BALANCES!$C:$C,BALANCES!$A:$A,$B$303,BALANCES!$B:$B,$B323,BALANCES!$D:$D,F$307)+SUMIFS(FLOWS!$C:$C,FLOWS!$A:$A,$B$303,FLOWS!$E:$E,$B323,FLOWS!$D:$D,F$307,FLOWS!$H:$H,"&lt;"&amp;$C$305)+SUM(SUMIFS(DEALS!$J:$J,DEALS!$A:$A,{"*REFUND*","*EXECUTED*"},DEALS!$G:$G,$B$303,DEALS!$E:$E,"&lt;"&amp;$C$305,DEALS!$K:$K,F$307,DEALS!$M:$M,$B323,DEALS!$N:$N,"&lt;&gt;*RECEIVED*",DEALS!$N:$N,"&lt;&gt;*EXECUTED*"))+SUM(SUMIFS(DEALS!$R:$R,DEALS!$A:$A,{"*REFUND*","*EXECUTED*"},DEALS!$O:$O,$B$303,DEALS!$E:$E,"&lt;"&amp;$C$305,DEALS!$S:$S,F$307,DEALS!$U:$U,$B323,DEALS!$V:$V,"&lt;&gt;*RECEIVED*",DEALS!$V:$V,"&lt;&gt;*EXECUTED*"))</f>
        <v>0</v>
      </c>
      <c r="G323" s="32" cm="1">
        <f t="array" ref="G323">SUMIFS(BALANCES!$C:$C,BALANCES!$A:$A,$B$303,BALANCES!$B:$B,$B323,BALANCES!$D:$D,G$307)+SUMIFS(FLOWS!$C:$C,FLOWS!$A:$A,$B$303,FLOWS!$E:$E,$B323,FLOWS!$D:$D,G$307,FLOWS!$H:$H,"&lt;"&amp;$C$305)+SUM(SUMIFS(DEALS!$J:$J,DEALS!$A:$A,{"*REFUND*","*EXECUTED*"},DEALS!$G:$G,$B$303,DEALS!$E:$E,"&lt;"&amp;$C$305,DEALS!$K:$K,G$307,DEALS!$M:$M,$B323,DEALS!$N:$N,"&lt;&gt;*RECEIVED*",DEALS!$N:$N,"&lt;&gt;*EXECUTED*"))+SUM(SUMIFS(DEALS!$R:$R,DEALS!$A:$A,{"*REFUND*","*EXECUTED*"},DEALS!$O:$O,$B$303,DEALS!$E:$E,"&lt;"&amp;$C$305,DEALS!$S:$S,G$307,DEALS!$U:$U,$B323,DEALS!$V:$V,"&lt;&gt;*RECEIVED*",DEALS!$V:$V,"&lt;&gt;*EXECUTED*"))</f>
        <v>0</v>
      </c>
      <c r="H323" s="32" cm="1">
        <f t="array" ref="H323">SUMIFS(BALANCES!$C:$C,BALANCES!$A:$A,$B$303,BALANCES!$B:$B,$B323,BALANCES!$D:$D,H$307)+SUMIFS(FLOWS!$C:$C,FLOWS!$A:$A,$B$303,FLOWS!$E:$E,$B323,FLOWS!$D:$D,H$307,FLOWS!$H:$H,"&lt;"&amp;$C$305)+SUM(SUMIFS(DEALS!$J:$J,DEALS!$A:$A,{"*REFUND*","*EXECUTED*"},DEALS!$G:$G,$B$303,DEALS!$E:$E,"&lt;"&amp;$C$305,DEALS!$K:$K,H$307,DEALS!$M:$M,$B323,DEALS!$N:$N,"&lt;&gt;*RECEIVED*",DEALS!$N:$N,"&lt;&gt;*EXECUTED*"))+SUM(SUMIFS(DEALS!$R:$R,DEALS!$A:$A,{"*REFUND*","*EXECUTED*"},DEALS!$O:$O,$B$303,DEALS!$E:$E,"&lt;"&amp;$C$305,DEALS!$S:$S,H$307,DEALS!$U:$U,$B323,DEALS!$V:$V,"&lt;&gt;*RECEIVED*",DEALS!$V:$V,"&lt;&gt;*EXECUTED*"))</f>
        <v>0</v>
      </c>
      <c r="I323" s="33">
        <f ca="1">C323*VLOOKUP(C$307,'FX RATES'!$E$1:$F$50,2,FALSE)+D323*VLOOKUP(D$307,'FX RATES'!$E$1:$F$50,2,FALSE)+E323*VLOOKUP(E$307,'FX RATES'!$E$1:$F$50,2,FALSE)+F323*VLOOKUP(F$307,'FX RATES'!$E$1:$F$50,2,FALSE)+G323*VLOOKUP(G$307,'FX RATES'!$E$1:$F$50,2,FALSE)+H323*VLOOKUP(H$307,'FX RATES'!$E$1:$F$50,2,FALSE)</f>
        <v>0</v>
      </c>
      <c r="K323" s="31">
        <f t="shared" si="132"/>
        <v>0</v>
      </c>
      <c r="L323" s="32" cm="1">
        <f t="array" ref="L323">SUMIFS(FLOWS!$C:$C,FLOWS!$A:$A,$B$303,FLOWS!$E:$E,$K323,FLOWS!$D:$D,L$307,FLOWS!$H:$H,"&gt;="&amp;$C$305,FLOWS!$H:$H,"&lt;="&amp;$U$305)+SUM(SUMIFS(DEALS!$J:$J,DEALS!$A:$A,{"*REFUND*","*EXECUTED*"},DEALS!$G:$G,$B$303,DEALS!$E:$E,"&gt;="&amp;$C$305,DEALS!$E:$E,"&lt;="&amp;$U$305,DEALS!$K:$K,L$307,DEALS!$M:$M,$K323,DEALS!$N:$N,"&lt;&gt;*RECEIVED*",DEALS!$N:$N,"&lt;&gt;*EXECUTED*"))+SUM(SUMIFS(DEALS!$R:$R,DEALS!$A:$A,{"*REFUND*","*EXECUTED*"},DEALS!$O:$O,$B$303,DEALS!$E:$E,"&gt;="&amp;$C$305,DEALS!$E:$E,"&lt;="&amp;$U$305,DEALS!$S:$S,L$307,DEALS!$U:$U,$K323,DEALS!$V:$V,"&lt;&gt;*RECEIVED*",DEALS!$V:$V,"&lt;&gt;*EXECUTED*"))</f>
        <v>0</v>
      </c>
      <c r="M323" s="32" cm="1">
        <f t="array" ref="M323">SUMIFS(FLOWS!$C:$C,FLOWS!$A:$A,$B$303,FLOWS!$E:$E,$K323,FLOWS!$D:$D,M$307,FLOWS!$H:$H,"&gt;="&amp;$C$305,FLOWS!$H:$H,"&lt;="&amp;$U$305)+SUM(SUMIFS(DEALS!$J:$J,DEALS!$A:$A,{"*REFUND*","*EXECUTED*"},DEALS!$G:$G,$B$303,DEALS!$E:$E,"&gt;="&amp;$C$305,DEALS!$E:$E,"&lt;="&amp;$U$305,DEALS!$K:$K,M$307,DEALS!$M:$M,$K323,DEALS!$N:$N,"&lt;&gt;*RECEIVED*",DEALS!$N:$N,"&lt;&gt;*EXECUTED*"))+SUM(SUMIFS(DEALS!$R:$R,DEALS!$A:$A,{"*REFUND*","*EXECUTED*"},DEALS!$O:$O,$B$303,DEALS!$E:$E,"&gt;="&amp;$C$305,DEALS!$E:$E,"&lt;="&amp;$U$305,DEALS!$S:$S,M$307,DEALS!$U:$U,$K323,DEALS!$V:$V,"&lt;&gt;*RECEIVED*",DEALS!$V:$V,"&lt;&gt;*EXECUTED*"))</f>
        <v>0</v>
      </c>
      <c r="N323" s="32" cm="1">
        <f t="array" ref="N323">SUMIFS(FLOWS!$C:$C,FLOWS!$A:$A,$B$303,FLOWS!$E:$E,$K323,FLOWS!$D:$D,N$307,FLOWS!$H:$H,"&gt;="&amp;$C$305,FLOWS!$H:$H,"&lt;="&amp;$U$305)+SUM(SUMIFS(DEALS!$J:$J,DEALS!$A:$A,{"*REFUND*","*EXECUTED*"},DEALS!$G:$G,$B$303,DEALS!$E:$E,"&gt;="&amp;$C$305,DEALS!$E:$E,"&lt;="&amp;$U$305,DEALS!$K:$K,N$307,DEALS!$M:$M,$K323,DEALS!$N:$N,"&lt;&gt;*RECEIVED*",DEALS!$N:$N,"&lt;&gt;*EXECUTED*"))+SUM(SUMIFS(DEALS!$R:$R,DEALS!$A:$A,{"*REFUND*","*EXECUTED*"},DEALS!$O:$O,$B$303,DEALS!$E:$E,"&gt;="&amp;$C$305,DEALS!$E:$E,"&lt;="&amp;$U$305,DEALS!$S:$S,N$307,DEALS!$U:$U,$K323,DEALS!$V:$V,"&lt;&gt;*RECEIVED*",DEALS!$V:$V,"&lt;&gt;*EXECUTED*"))</f>
        <v>0</v>
      </c>
      <c r="O323" s="32" cm="1">
        <f t="array" ref="O323">SUMIFS(FLOWS!$C:$C,FLOWS!$A:$A,$B$303,FLOWS!$E:$E,$K323,FLOWS!$D:$D,O$307,FLOWS!$H:$H,"&gt;="&amp;$C$305,FLOWS!$H:$H,"&lt;="&amp;$U$305)+SUM(SUMIFS(DEALS!$J:$J,DEALS!$A:$A,{"*REFUND*","*EXECUTED*"},DEALS!$G:$G,$B$303,DEALS!$E:$E,"&gt;="&amp;$C$305,DEALS!$E:$E,"&lt;="&amp;$U$305,DEALS!$K:$K,O$307,DEALS!$M:$M,$K323,DEALS!$N:$N,"&lt;&gt;*RECEIVED*",DEALS!$N:$N,"&lt;&gt;*EXECUTED*"))+SUM(SUMIFS(DEALS!$R:$R,DEALS!$A:$A,{"*REFUND*","*EXECUTED*"},DEALS!$O:$O,$B$303,DEALS!$E:$E,"&gt;="&amp;$C$305,DEALS!$E:$E,"&lt;="&amp;$U$305,DEALS!$S:$S,O$307,DEALS!$U:$U,$K323,DEALS!$V:$V,"&lt;&gt;*RECEIVED*",DEALS!$V:$V,"&lt;&gt;*EXECUTED*"))</f>
        <v>0</v>
      </c>
      <c r="P323" s="32" cm="1">
        <f t="array" ref="P323">SUMIFS(FLOWS!$C:$C,FLOWS!$A:$A,$B$303,FLOWS!$E:$E,$K323,FLOWS!$D:$D,P$307,FLOWS!$H:$H,"&gt;="&amp;$C$305,FLOWS!$H:$H,"&lt;="&amp;$U$305)+SUM(SUMIFS(DEALS!$J:$J,DEALS!$A:$A,{"*REFUND*","*EXECUTED*"},DEALS!$G:$G,$B$303,DEALS!$E:$E,"&gt;="&amp;$C$305,DEALS!$E:$E,"&lt;="&amp;$U$305,DEALS!$K:$K,P$307,DEALS!$M:$M,$K323,DEALS!$N:$N,"&lt;&gt;*RECEIVED*",DEALS!$N:$N,"&lt;&gt;*EXECUTED*"))+SUM(SUMIFS(DEALS!$R:$R,DEALS!$A:$A,{"*REFUND*","*EXECUTED*"},DEALS!$O:$O,$B$303,DEALS!$E:$E,"&gt;="&amp;$C$305,DEALS!$E:$E,"&lt;="&amp;$U$305,DEALS!$S:$S,P$307,DEALS!$U:$U,$K323,DEALS!$V:$V,"&lt;&gt;*RECEIVED*",DEALS!$V:$V,"&lt;&gt;*EXECUTED*"))</f>
        <v>0</v>
      </c>
      <c r="Q323" s="32" cm="1">
        <f t="array" ref="Q323">SUMIFS(FLOWS!$C:$C,FLOWS!$A:$A,$B$303,FLOWS!$E:$E,$K323,FLOWS!$D:$D,Q$307,FLOWS!$H:$H,"&gt;="&amp;$C$305,FLOWS!$H:$H,"&lt;="&amp;$U$305)+SUM(SUMIFS(DEALS!$J:$J,DEALS!$A:$A,{"*REFUND*","*EXECUTED*"},DEALS!$G:$G,$B$303,DEALS!$E:$E,"&gt;="&amp;$C$305,DEALS!$E:$E,"&lt;="&amp;$U$305,DEALS!$K:$K,Q$307,DEALS!$M:$M,$K323,DEALS!$N:$N,"&lt;&gt;*RECEIVED*",DEALS!$N:$N,"&lt;&gt;*EXECUTED*"))+SUM(SUMIFS(DEALS!$R:$R,DEALS!$A:$A,{"*REFUND*","*EXECUTED*"},DEALS!$O:$O,$B$303,DEALS!$E:$E,"&gt;="&amp;$C$305,DEALS!$E:$E,"&lt;="&amp;$U$305,DEALS!$S:$S,Q$307,DEALS!$U:$U,$K323,DEALS!$V:$V,"&lt;&gt;*RECEIVED*",DEALS!$V:$V,"&lt;&gt;*EXECUTED*"))</f>
        <v>0</v>
      </c>
      <c r="R323" s="33">
        <f ca="1">L323*VLOOKUP(L$307,'FX RATES'!$E$1:$F$50,2,FALSE)+M323*VLOOKUP(M$307,'FX RATES'!$E$1:$F$50,2,FALSE)+N323*VLOOKUP(N$307,'FX RATES'!$E$1:$F$50,2,FALSE)+O323*VLOOKUP(O$307,'FX RATES'!$E$1:$F$50,2,FALSE)+P323*VLOOKUP(P$307,'FX RATES'!$E$1:$F$50,2,FALSE)+Q323*VLOOKUP(Q$307,'FX RATES'!$E$1:$F$50,2,FALSE)</f>
        <v>0</v>
      </c>
      <c r="T323" s="31">
        <f t="shared" si="133"/>
        <v>0</v>
      </c>
      <c r="U323" s="32" cm="1">
        <f t="array" ref="U323">SUMIFS(BALANCES!$C:$C,BALANCES!$A:$A,$B$303,BALANCES!$B:$B,$T323,BALANCES!$D:$D,U$307)+SUMIFS(FLOWS!$C:$C,FLOWS!$A:$A,$B$303,FLOWS!$E:$E,$T323,FLOWS!$D:$D,U$307,FLOWS!$H:$H,"&lt;="&amp;$U$305)+SUM(SUMIFS(DEALS!$J:$J,DEALS!$A:$A,{"*REFUND*","*EXECUTED*"},DEALS!$G:$G,$B$303,DEALS!$E:$E,"&lt;="&amp;$U$305,DEALS!$K:$K,U$307,DEALS!$M:$M,$T323,DEALS!$N:$N,"&lt;&gt;*RECEIVED*",DEALS!$N:$N,"&lt;&gt;*EXECUTED*"))+SUM(SUMIFS(DEALS!$R:$R,DEALS!$A:$A,{"*REFUND*","*EXECUTED*"},DEALS!$O:$O,$B$303,DEALS!$E:$E,"&lt;="&amp;$U$305,DEALS!$S:$S,U$307,DEALS!$U:$U,$T323,DEALS!$V:$V,"&lt;&gt;*RECEIVED*",DEALS!$V:$V,"&lt;&gt;*EXECUTED*"))</f>
        <v>0</v>
      </c>
      <c r="V323" s="32" cm="1">
        <f t="array" ref="V323">SUMIFS(BALANCES!$C:$C,BALANCES!$A:$A,$B$303,BALANCES!$B:$B,$T323,BALANCES!$D:$D,V$307)+SUMIFS(FLOWS!$C:$C,FLOWS!$A:$A,$B$303,FLOWS!$E:$E,$T323,FLOWS!$D:$D,V$307,FLOWS!$H:$H,"&lt;="&amp;$U$305)+SUM(SUMIFS(DEALS!$J:$J,DEALS!$A:$A,{"*REFUND*","*EXECUTED*"},DEALS!$G:$G,$B$303,DEALS!$E:$E,"&lt;="&amp;$U$305,DEALS!$K:$K,V$307,DEALS!$M:$M,$T323,DEALS!$N:$N,"&lt;&gt;*RECEIVED*",DEALS!$N:$N,"&lt;&gt;*EXECUTED*"))+SUM(SUMIFS(DEALS!$R:$R,DEALS!$A:$A,{"*REFUND*","*EXECUTED*"},DEALS!$O:$O,$B$303,DEALS!$E:$E,"&lt;="&amp;$U$305,DEALS!$S:$S,V$307,DEALS!$U:$U,$T323,DEALS!$V:$V,"&lt;&gt;*RECEIVED*",DEALS!$V:$V,"&lt;&gt;*EXECUTED*"))</f>
        <v>0</v>
      </c>
      <c r="W323" s="32" cm="1">
        <f t="array" ref="W323">SUMIFS(BALANCES!$C:$C,BALANCES!$A:$A,$B$303,BALANCES!$B:$B,$T323,BALANCES!$D:$D,W$307)+SUMIFS(FLOWS!$C:$C,FLOWS!$A:$A,$B$303,FLOWS!$E:$E,$T323,FLOWS!$D:$D,W$307,FLOWS!$H:$H,"&lt;="&amp;$U$305)+SUM(SUMIFS(DEALS!$J:$J,DEALS!$A:$A,{"*REFUND*","*EXECUTED*"},DEALS!$G:$G,$B$303,DEALS!$E:$E,"&lt;="&amp;$U$305,DEALS!$K:$K,W$307,DEALS!$M:$M,$T323,DEALS!$N:$N,"&lt;&gt;*RECEIVED*",DEALS!$N:$N,"&lt;&gt;*EXECUTED*"))+SUM(SUMIFS(DEALS!$R:$R,DEALS!$A:$A,{"*REFUND*","*EXECUTED*"},DEALS!$O:$O,$B$303,DEALS!$E:$E,"&lt;="&amp;$U$305,DEALS!$S:$S,W$307,DEALS!$U:$U,$T323,DEALS!$V:$V,"&lt;&gt;*RECEIVED*",DEALS!$V:$V,"&lt;&gt;*EXECUTED*"))</f>
        <v>0</v>
      </c>
      <c r="X323" s="32" cm="1">
        <f t="array" ref="X323">SUMIFS(BALANCES!$C:$C,BALANCES!$A:$A,$B$303,BALANCES!$B:$B,$T323,BALANCES!$D:$D,X$307)+SUMIFS(FLOWS!$C:$C,FLOWS!$A:$A,$B$303,FLOWS!$E:$E,$T323,FLOWS!$D:$D,X$307,FLOWS!$H:$H,"&lt;="&amp;$U$305)+SUM(SUMIFS(DEALS!$J:$J,DEALS!$A:$A,{"*REFUND*","*EXECUTED*"},DEALS!$G:$G,$B$303,DEALS!$E:$E,"&lt;="&amp;$U$305,DEALS!$K:$K,X$307,DEALS!$M:$M,$T323,DEALS!$N:$N,"&lt;&gt;*RECEIVED*",DEALS!$N:$N,"&lt;&gt;*EXECUTED*"))+SUM(SUMIFS(DEALS!$R:$R,DEALS!$A:$A,{"*REFUND*","*EXECUTED*"},DEALS!$O:$O,$B$303,DEALS!$E:$E,"&lt;="&amp;$U$305,DEALS!$S:$S,X$307,DEALS!$U:$U,$T323,DEALS!$V:$V,"&lt;&gt;*RECEIVED*",DEALS!$V:$V,"&lt;&gt;*EXECUTED*"))</f>
        <v>0</v>
      </c>
      <c r="Y323" s="32" cm="1">
        <f t="array" ref="Y323">SUMIFS(BALANCES!$C:$C,BALANCES!$A:$A,$B$303,BALANCES!$B:$B,$T323,BALANCES!$D:$D,Y$307)+SUMIFS(FLOWS!$C:$C,FLOWS!$A:$A,$B$303,FLOWS!$E:$E,$T323,FLOWS!$D:$D,Y$307,FLOWS!$H:$H,"&lt;="&amp;$U$305)+SUM(SUMIFS(DEALS!$J:$J,DEALS!$A:$A,{"*REFUND*","*EXECUTED*"},DEALS!$G:$G,$B$303,DEALS!$E:$E,"&lt;="&amp;$U$305,DEALS!$K:$K,Y$307,DEALS!$M:$M,$T323,DEALS!$N:$N,"&lt;&gt;*RECEIVED*",DEALS!$N:$N,"&lt;&gt;*EXECUTED*"))+SUM(SUMIFS(DEALS!$R:$R,DEALS!$A:$A,{"*REFUND*","*EXECUTED*"},DEALS!$O:$O,$B$303,DEALS!$E:$E,"&lt;="&amp;$U$305,DEALS!$S:$S,Y$307,DEALS!$U:$U,$T323,DEALS!$V:$V,"&lt;&gt;*RECEIVED*",DEALS!$V:$V,"&lt;&gt;*EXECUTED*"))</f>
        <v>0</v>
      </c>
      <c r="Z323" s="32" cm="1">
        <f t="array" ref="Z323">SUMIFS(BALANCES!$C:$C,BALANCES!$A:$A,$B$303,BALANCES!$B:$B,$T323,BALANCES!$D:$D,Z$307)+SUMIFS(FLOWS!$C:$C,FLOWS!$A:$A,$B$303,FLOWS!$E:$E,$T323,FLOWS!$D:$D,Z$307,FLOWS!$H:$H,"&lt;="&amp;$U$305)+SUM(SUMIFS(DEALS!$J:$J,DEALS!$A:$A,{"*REFUND*","*EXECUTED*"},DEALS!$G:$G,$B$303,DEALS!$E:$E,"&lt;="&amp;$U$305,DEALS!$K:$K,Z$307,DEALS!$M:$M,$T323,DEALS!$N:$N,"&lt;&gt;*RECEIVED*",DEALS!$N:$N,"&lt;&gt;*EXECUTED*"))+SUM(SUMIFS(DEALS!$R:$R,DEALS!$A:$A,{"*REFUND*","*EXECUTED*"},DEALS!$O:$O,$B$303,DEALS!$E:$E,"&lt;="&amp;$U$305,DEALS!$S:$S,Z$307,DEALS!$U:$U,$T323,DEALS!$V:$V,"&lt;&gt;*RECEIVED*",DEALS!$V:$V,"&lt;&gt;*EXECUTED*"))</f>
        <v>0</v>
      </c>
      <c r="AA323" s="33">
        <f ca="1">U323*VLOOKUP(U$307,'FX RATES'!$E$1:$F$50,2,FALSE)+V323*VLOOKUP(V$307,'FX RATES'!$E$1:$F$50,2,FALSE)+W323*VLOOKUP(W$307,'FX RATES'!$E$1:$F$50,2,FALSE)+X323*VLOOKUP(X$307,'FX RATES'!$E$1:$F$50,2,FALSE)+Y323*VLOOKUP(Y$307,'FX RATES'!$E$1:$F$50,2,FALSE)+Z323*VLOOKUP(Z$307,'FX RATES'!$E$1:$F$50,2,FALSE)</f>
        <v>0</v>
      </c>
      <c r="AC323" s="139">
        <f t="shared" ca="1" si="134"/>
        <v>0</v>
      </c>
    </row>
    <row r="324" spans="2:29" ht="18.75" hidden="1" customHeight="1">
      <c r="B324" s="28"/>
      <c r="C324" s="29" cm="1">
        <f t="array" ref="C324">SUMIFS(BALANCES!$C:$C,BALANCES!$A:$A,$B$303,BALANCES!$B:$B,$B324,BALANCES!$D:$D,C$307)+SUMIFS(FLOWS!$C:$C,FLOWS!$A:$A,$B$303,FLOWS!$E:$E,$B324,FLOWS!$D:$D,C$307,FLOWS!$H:$H,"&lt;"&amp;$C$305)+SUM(SUMIFS(DEALS!$J:$J,DEALS!$A:$A,{"*REFUND*","*EXECUTED*"},DEALS!$G:$G,$B$303,DEALS!$E:$E,"&lt;"&amp;$C$305,DEALS!$K:$K,C$307,DEALS!$M:$M,$B324,DEALS!$N:$N,"&lt;&gt;*RECEIVED*",DEALS!$N:$N,"&lt;&gt;*EXECUTED*"))+SUM(SUMIFS(DEALS!$R:$R,DEALS!$A:$A,{"*REFUND*","*EXECUTED*"},DEALS!$O:$O,$B$303,DEALS!$E:$E,"&lt;"&amp;$C$305,DEALS!$S:$S,C$307,DEALS!$U:$U,$B324,DEALS!$V:$V,"&lt;&gt;*RECEIVED*",DEALS!$V:$V,"&lt;&gt;*EXECUTED*"))</f>
        <v>0</v>
      </c>
      <c r="D324" s="29" cm="1">
        <f t="array" ref="D324">SUMIFS(BALANCES!$C:$C,BALANCES!$A:$A,$B$303,BALANCES!$B:$B,$B324,BALANCES!$D:$D,D$307)+SUMIFS(FLOWS!$C:$C,FLOWS!$A:$A,$B$303,FLOWS!$E:$E,$B324,FLOWS!$D:$D,D$307,FLOWS!$H:$H,"&lt;"&amp;$C$305)+SUM(SUMIFS(DEALS!$J:$J,DEALS!$A:$A,{"*REFUND*","*EXECUTED*"},DEALS!$G:$G,$B$303,DEALS!$E:$E,"&lt;"&amp;$C$305,DEALS!$K:$K,D$307,DEALS!$M:$M,$B324,DEALS!$N:$N,"&lt;&gt;*RECEIVED*",DEALS!$N:$N,"&lt;&gt;*EXECUTED*"))+SUM(SUMIFS(DEALS!$R:$R,DEALS!$A:$A,{"*REFUND*","*EXECUTED*"},DEALS!$O:$O,$B$303,DEALS!$E:$E,"&lt;"&amp;$C$305,DEALS!$S:$S,D$307,DEALS!$U:$U,$B324,DEALS!$V:$V,"&lt;&gt;*RECEIVED*",DEALS!$V:$V,"&lt;&gt;*EXECUTED*"))</f>
        <v>0</v>
      </c>
      <c r="E324" s="29" cm="1">
        <f t="array" ref="E324">SUMIFS(BALANCES!$C:$C,BALANCES!$A:$A,$B$303,BALANCES!$B:$B,$B324,BALANCES!$D:$D,E$307)+SUMIFS(FLOWS!$C:$C,FLOWS!$A:$A,$B$303,FLOWS!$E:$E,$B324,FLOWS!$D:$D,E$307,FLOWS!$H:$H,"&lt;"&amp;$C$305)+SUM(SUMIFS(DEALS!$J:$J,DEALS!$A:$A,{"*REFUND*","*EXECUTED*"},DEALS!$G:$G,$B$303,DEALS!$E:$E,"&lt;"&amp;$C$305,DEALS!$K:$K,E$307,DEALS!$M:$M,$B324,DEALS!$N:$N,"&lt;&gt;*RECEIVED*",DEALS!$N:$N,"&lt;&gt;*EXECUTED*"))+SUM(SUMIFS(DEALS!$R:$R,DEALS!$A:$A,{"*REFUND*","*EXECUTED*"},DEALS!$O:$O,$B$303,DEALS!$E:$E,"&lt;"&amp;$C$305,DEALS!$S:$S,E$307,DEALS!$U:$U,$B324,DEALS!$V:$V,"&lt;&gt;*RECEIVED*",DEALS!$V:$V,"&lt;&gt;*EXECUTED*"))</f>
        <v>0</v>
      </c>
      <c r="F324" s="29" cm="1">
        <f t="array" ref="F324">SUMIFS(BALANCES!$C:$C,BALANCES!$A:$A,$B$303,BALANCES!$B:$B,$B324,BALANCES!$D:$D,F$307)+SUMIFS(FLOWS!$C:$C,FLOWS!$A:$A,$B$303,FLOWS!$E:$E,$B324,FLOWS!$D:$D,F$307,FLOWS!$H:$H,"&lt;"&amp;$C$305)+SUM(SUMIFS(DEALS!$J:$J,DEALS!$A:$A,{"*REFUND*","*EXECUTED*"},DEALS!$G:$G,$B$303,DEALS!$E:$E,"&lt;"&amp;$C$305,DEALS!$K:$K,F$307,DEALS!$M:$M,$B324,DEALS!$N:$N,"&lt;&gt;*RECEIVED*",DEALS!$N:$N,"&lt;&gt;*EXECUTED*"))+SUM(SUMIFS(DEALS!$R:$R,DEALS!$A:$A,{"*REFUND*","*EXECUTED*"},DEALS!$O:$O,$B$303,DEALS!$E:$E,"&lt;"&amp;$C$305,DEALS!$S:$S,F$307,DEALS!$U:$U,$B324,DEALS!$V:$V,"&lt;&gt;*RECEIVED*",DEALS!$V:$V,"&lt;&gt;*EXECUTED*"))</f>
        <v>0</v>
      </c>
      <c r="G324" s="29" cm="1">
        <f t="array" ref="G324">SUMIFS(BALANCES!$C:$C,BALANCES!$A:$A,$B$303,BALANCES!$B:$B,$B324,BALANCES!$D:$D,G$307)+SUMIFS(FLOWS!$C:$C,FLOWS!$A:$A,$B$303,FLOWS!$E:$E,$B324,FLOWS!$D:$D,G$307,FLOWS!$H:$H,"&lt;"&amp;$C$305)+SUM(SUMIFS(DEALS!$J:$J,DEALS!$A:$A,{"*REFUND*","*EXECUTED*"},DEALS!$G:$G,$B$303,DEALS!$E:$E,"&lt;"&amp;$C$305,DEALS!$K:$K,G$307,DEALS!$M:$M,$B324,DEALS!$N:$N,"&lt;&gt;*RECEIVED*",DEALS!$N:$N,"&lt;&gt;*EXECUTED*"))+SUM(SUMIFS(DEALS!$R:$R,DEALS!$A:$A,{"*REFUND*","*EXECUTED*"},DEALS!$O:$O,$B$303,DEALS!$E:$E,"&lt;"&amp;$C$305,DEALS!$S:$S,G$307,DEALS!$U:$U,$B324,DEALS!$V:$V,"&lt;&gt;*RECEIVED*",DEALS!$V:$V,"&lt;&gt;*EXECUTED*"))</f>
        <v>0</v>
      </c>
      <c r="H324" s="29" cm="1">
        <f t="array" ref="H324">SUMIFS(BALANCES!$C:$C,BALANCES!$A:$A,$B$303,BALANCES!$B:$B,$B324,BALANCES!$D:$D,H$307)+SUMIFS(FLOWS!$C:$C,FLOWS!$A:$A,$B$303,FLOWS!$E:$E,$B324,FLOWS!$D:$D,H$307,FLOWS!$H:$H,"&lt;"&amp;$C$305)+SUM(SUMIFS(DEALS!$J:$J,DEALS!$A:$A,{"*REFUND*","*EXECUTED*"},DEALS!$G:$G,$B$303,DEALS!$E:$E,"&lt;"&amp;$C$305,DEALS!$K:$K,H$307,DEALS!$M:$M,$B324,DEALS!$N:$N,"&lt;&gt;*RECEIVED*",DEALS!$N:$N,"&lt;&gt;*EXECUTED*"))+SUM(SUMIFS(DEALS!$R:$R,DEALS!$A:$A,{"*REFUND*","*EXECUTED*"},DEALS!$O:$O,$B$303,DEALS!$E:$E,"&lt;"&amp;$C$305,DEALS!$S:$S,H$307,DEALS!$U:$U,$B324,DEALS!$V:$V,"&lt;&gt;*RECEIVED*",DEALS!$V:$V,"&lt;&gt;*EXECUTED*"))</f>
        <v>0</v>
      </c>
      <c r="I324" s="30">
        <f ca="1">C324*VLOOKUP(C$307,'FX RATES'!$E$1:$F$50,2,FALSE)+D324*VLOOKUP(D$307,'FX RATES'!$E$1:$F$50,2,FALSE)+E324*VLOOKUP(E$307,'FX RATES'!$E$1:$F$50,2,FALSE)+F324*VLOOKUP(F$307,'FX RATES'!$E$1:$F$50,2,FALSE)+G324*VLOOKUP(G$307,'FX RATES'!$E$1:$F$50,2,FALSE)+H324*VLOOKUP(H$307,'FX RATES'!$E$1:$F$50,2,FALSE)</f>
        <v>0</v>
      </c>
      <c r="K324" s="28">
        <f t="shared" si="132"/>
        <v>0</v>
      </c>
      <c r="L324" s="29" cm="1">
        <f t="array" ref="L324">SUMIFS(FLOWS!$C:$C,FLOWS!$A:$A,$B$303,FLOWS!$E:$E,$K324,FLOWS!$D:$D,L$307,FLOWS!$H:$H,"&gt;="&amp;$C$305,FLOWS!$H:$H,"&lt;="&amp;$U$305)+SUM(SUMIFS(DEALS!$J:$J,DEALS!$A:$A,{"*REFUND*","*EXECUTED*"},DEALS!$G:$G,$B$303,DEALS!$E:$E,"&gt;="&amp;$C$305,DEALS!$E:$E,"&lt;="&amp;$U$305,DEALS!$K:$K,L$307,DEALS!$M:$M,$K324,DEALS!$N:$N,"&lt;&gt;*RECEIVED*",DEALS!$N:$N,"&lt;&gt;*EXECUTED*"))+SUM(SUMIFS(DEALS!$R:$R,DEALS!$A:$A,{"*REFUND*","*EXECUTED*"},DEALS!$O:$O,$B$303,DEALS!$E:$E,"&gt;="&amp;$C$305,DEALS!$E:$E,"&lt;="&amp;$U$305,DEALS!$S:$S,L$307,DEALS!$U:$U,$K324,DEALS!$V:$V,"&lt;&gt;*RECEIVED*",DEALS!$V:$V,"&lt;&gt;*EXECUTED*"))</f>
        <v>0</v>
      </c>
      <c r="M324" s="29" cm="1">
        <f t="array" ref="M324">SUMIFS(FLOWS!$C:$C,FLOWS!$A:$A,$B$303,FLOWS!$E:$E,$K324,FLOWS!$D:$D,M$307,FLOWS!$H:$H,"&gt;="&amp;$C$305,FLOWS!$H:$H,"&lt;="&amp;$U$305)+SUM(SUMIFS(DEALS!$J:$J,DEALS!$A:$A,{"*REFUND*","*EXECUTED*"},DEALS!$G:$G,$B$303,DEALS!$E:$E,"&gt;="&amp;$C$305,DEALS!$E:$E,"&lt;="&amp;$U$305,DEALS!$K:$K,M$307,DEALS!$M:$M,$K324,DEALS!$N:$N,"&lt;&gt;*RECEIVED*",DEALS!$N:$N,"&lt;&gt;*EXECUTED*"))+SUM(SUMIFS(DEALS!$R:$R,DEALS!$A:$A,{"*REFUND*","*EXECUTED*"},DEALS!$O:$O,$B$303,DEALS!$E:$E,"&gt;="&amp;$C$305,DEALS!$E:$E,"&lt;="&amp;$U$305,DEALS!$S:$S,M$307,DEALS!$U:$U,$K324,DEALS!$V:$V,"&lt;&gt;*RECEIVED*",DEALS!$V:$V,"&lt;&gt;*EXECUTED*"))</f>
        <v>0</v>
      </c>
      <c r="N324" s="29" cm="1">
        <f t="array" ref="N324">SUMIFS(FLOWS!$C:$C,FLOWS!$A:$A,$B$303,FLOWS!$E:$E,$K324,FLOWS!$D:$D,N$307,FLOWS!$H:$H,"&gt;="&amp;$C$305,FLOWS!$H:$H,"&lt;="&amp;$U$305)+SUM(SUMIFS(DEALS!$J:$J,DEALS!$A:$A,{"*REFUND*","*EXECUTED*"},DEALS!$G:$G,$B$303,DEALS!$E:$E,"&gt;="&amp;$C$305,DEALS!$E:$E,"&lt;="&amp;$U$305,DEALS!$K:$K,N$307,DEALS!$M:$M,$K324,DEALS!$N:$N,"&lt;&gt;*RECEIVED*",DEALS!$N:$N,"&lt;&gt;*EXECUTED*"))+SUM(SUMIFS(DEALS!$R:$R,DEALS!$A:$A,{"*REFUND*","*EXECUTED*"},DEALS!$O:$O,$B$303,DEALS!$E:$E,"&gt;="&amp;$C$305,DEALS!$E:$E,"&lt;="&amp;$U$305,DEALS!$S:$S,N$307,DEALS!$U:$U,$K324,DEALS!$V:$V,"&lt;&gt;*RECEIVED*",DEALS!$V:$V,"&lt;&gt;*EXECUTED*"))</f>
        <v>0</v>
      </c>
      <c r="O324" s="29" cm="1">
        <f t="array" ref="O324">SUMIFS(FLOWS!$C:$C,FLOWS!$A:$A,$B$303,FLOWS!$E:$E,$K324,FLOWS!$D:$D,O$307,FLOWS!$H:$H,"&gt;="&amp;$C$305,FLOWS!$H:$H,"&lt;="&amp;$U$305)+SUM(SUMIFS(DEALS!$J:$J,DEALS!$A:$A,{"*REFUND*","*EXECUTED*"},DEALS!$G:$G,$B$303,DEALS!$E:$E,"&gt;="&amp;$C$305,DEALS!$E:$E,"&lt;="&amp;$U$305,DEALS!$K:$K,O$307,DEALS!$M:$M,$K324,DEALS!$N:$N,"&lt;&gt;*RECEIVED*",DEALS!$N:$N,"&lt;&gt;*EXECUTED*"))+SUM(SUMIFS(DEALS!$R:$R,DEALS!$A:$A,{"*REFUND*","*EXECUTED*"},DEALS!$O:$O,$B$303,DEALS!$E:$E,"&gt;="&amp;$C$305,DEALS!$E:$E,"&lt;="&amp;$U$305,DEALS!$S:$S,O$307,DEALS!$U:$U,$K324,DEALS!$V:$V,"&lt;&gt;*RECEIVED*",DEALS!$V:$V,"&lt;&gt;*EXECUTED*"))</f>
        <v>0</v>
      </c>
      <c r="P324" s="29" cm="1">
        <f t="array" ref="P324">SUMIFS(FLOWS!$C:$C,FLOWS!$A:$A,$B$303,FLOWS!$E:$E,$K324,FLOWS!$D:$D,P$307,FLOWS!$H:$H,"&gt;="&amp;$C$305,FLOWS!$H:$H,"&lt;="&amp;$U$305)+SUM(SUMIFS(DEALS!$J:$J,DEALS!$A:$A,{"*REFUND*","*EXECUTED*"},DEALS!$G:$G,$B$303,DEALS!$E:$E,"&gt;="&amp;$C$305,DEALS!$E:$E,"&lt;="&amp;$U$305,DEALS!$K:$K,P$307,DEALS!$M:$M,$K324,DEALS!$N:$N,"&lt;&gt;*RECEIVED*",DEALS!$N:$N,"&lt;&gt;*EXECUTED*"))+SUM(SUMIFS(DEALS!$R:$R,DEALS!$A:$A,{"*REFUND*","*EXECUTED*"},DEALS!$O:$O,$B$303,DEALS!$E:$E,"&gt;="&amp;$C$305,DEALS!$E:$E,"&lt;="&amp;$U$305,DEALS!$S:$S,P$307,DEALS!$U:$U,$K324,DEALS!$V:$V,"&lt;&gt;*RECEIVED*",DEALS!$V:$V,"&lt;&gt;*EXECUTED*"))</f>
        <v>0</v>
      </c>
      <c r="Q324" s="29" cm="1">
        <f t="array" ref="Q324">SUMIFS(FLOWS!$C:$C,FLOWS!$A:$A,$B$303,FLOWS!$E:$E,$K324,FLOWS!$D:$D,Q$307,FLOWS!$H:$H,"&gt;="&amp;$C$305,FLOWS!$H:$H,"&lt;="&amp;$U$305)+SUM(SUMIFS(DEALS!$J:$J,DEALS!$A:$A,{"*REFUND*","*EXECUTED*"},DEALS!$G:$G,$B$303,DEALS!$E:$E,"&gt;="&amp;$C$305,DEALS!$E:$E,"&lt;="&amp;$U$305,DEALS!$K:$K,Q$307,DEALS!$M:$M,$K324,DEALS!$N:$N,"&lt;&gt;*RECEIVED*",DEALS!$N:$N,"&lt;&gt;*EXECUTED*"))+SUM(SUMIFS(DEALS!$R:$R,DEALS!$A:$A,{"*REFUND*","*EXECUTED*"},DEALS!$O:$O,$B$303,DEALS!$E:$E,"&gt;="&amp;$C$305,DEALS!$E:$E,"&lt;="&amp;$U$305,DEALS!$S:$S,Q$307,DEALS!$U:$U,$K324,DEALS!$V:$V,"&lt;&gt;*RECEIVED*",DEALS!$V:$V,"&lt;&gt;*EXECUTED*"))</f>
        <v>0</v>
      </c>
      <c r="R324" s="30">
        <f ca="1">L324*VLOOKUP(L$307,'FX RATES'!$E$1:$F$50,2,FALSE)+M324*VLOOKUP(M$307,'FX RATES'!$E$1:$F$50,2,FALSE)+N324*VLOOKUP(N$307,'FX RATES'!$E$1:$F$50,2,FALSE)+O324*VLOOKUP(O$307,'FX RATES'!$E$1:$F$50,2,FALSE)+P324*VLOOKUP(P$307,'FX RATES'!$E$1:$F$50,2,FALSE)+Q324*VLOOKUP(Q$307,'FX RATES'!$E$1:$F$50,2,FALSE)</f>
        <v>0</v>
      </c>
      <c r="T324" s="28">
        <f t="shared" si="133"/>
        <v>0</v>
      </c>
      <c r="U324" s="29" cm="1">
        <f t="array" ref="U324">SUMIFS(BALANCES!$C:$C,BALANCES!$A:$A,$B$303,BALANCES!$B:$B,$T324,BALANCES!$D:$D,U$307)+SUMIFS(FLOWS!$C:$C,FLOWS!$A:$A,$B$303,FLOWS!$E:$E,$T324,FLOWS!$D:$D,U$307,FLOWS!$H:$H,"&lt;="&amp;$U$305)+SUM(SUMIFS(DEALS!$J:$J,DEALS!$A:$A,{"*REFUND*","*EXECUTED*"},DEALS!$G:$G,$B$303,DEALS!$E:$E,"&lt;="&amp;$U$305,DEALS!$K:$K,U$307,DEALS!$M:$M,$T324,DEALS!$N:$N,"&lt;&gt;*RECEIVED*",DEALS!$N:$N,"&lt;&gt;*EXECUTED*"))+SUM(SUMIFS(DEALS!$R:$R,DEALS!$A:$A,{"*REFUND*","*EXECUTED*"},DEALS!$O:$O,$B$303,DEALS!$E:$E,"&lt;="&amp;$U$305,DEALS!$S:$S,U$307,DEALS!$U:$U,$T324,DEALS!$V:$V,"&lt;&gt;*RECEIVED*",DEALS!$V:$V,"&lt;&gt;*EXECUTED*"))</f>
        <v>0</v>
      </c>
      <c r="V324" s="29" cm="1">
        <f t="array" ref="V324">SUMIFS(BALANCES!$C:$C,BALANCES!$A:$A,$B$303,BALANCES!$B:$B,$T324,BALANCES!$D:$D,V$307)+SUMIFS(FLOWS!$C:$C,FLOWS!$A:$A,$B$303,FLOWS!$E:$E,$T324,FLOWS!$D:$D,V$307,FLOWS!$H:$H,"&lt;="&amp;$U$305)+SUM(SUMIFS(DEALS!$J:$J,DEALS!$A:$A,{"*REFUND*","*EXECUTED*"},DEALS!$G:$G,$B$303,DEALS!$E:$E,"&lt;="&amp;$U$305,DEALS!$K:$K,V$307,DEALS!$M:$M,$T324,DEALS!$N:$N,"&lt;&gt;*RECEIVED*",DEALS!$N:$N,"&lt;&gt;*EXECUTED*"))+SUM(SUMIFS(DEALS!$R:$R,DEALS!$A:$A,{"*REFUND*","*EXECUTED*"},DEALS!$O:$O,$B$303,DEALS!$E:$E,"&lt;="&amp;$U$305,DEALS!$S:$S,V$307,DEALS!$U:$U,$T324,DEALS!$V:$V,"&lt;&gt;*RECEIVED*",DEALS!$V:$V,"&lt;&gt;*EXECUTED*"))</f>
        <v>0</v>
      </c>
      <c r="W324" s="29" cm="1">
        <f t="array" ref="W324">SUMIFS(BALANCES!$C:$C,BALANCES!$A:$A,$B$303,BALANCES!$B:$B,$T324,BALANCES!$D:$D,W$307)+SUMIFS(FLOWS!$C:$C,FLOWS!$A:$A,$B$303,FLOWS!$E:$E,$T324,FLOWS!$D:$D,W$307,FLOWS!$H:$H,"&lt;="&amp;$U$305)+SUM(SUMIFS(DEALS!$J:$J,DEALS!$A:$A,{"*REFUND*","*EXECUTED*"},DEALS!$G:$G,$B$303,DEALS!$E:$E,"&lt;="&amp;$U$305,DEALS!$K:$K,W$307,DEALS!$M:$M,$T324,DEALS!$N:$N,"&lt;&gt;*RECEIVED*",DEALS!$N:$N,"&lt;&gt;*EXECUTED*"))+SUM(SUMIFS(DEALS!$R:$R,DEALS!$A:$A,{"*REFUND*","*EXECUTED*"},DEALS!$O:$O,$B$303,DEALS!$E:$E,"&lt;="&amp;$U$305,DEALS!$S:$S,W$307,DEALS!$U:$U,$T324,DEALS!$V:$V,"&lt;&gt;*RECEIVED*",DEALS!$V:$V,"&lt;&gt;*EXECUTED*"))</f>
        <v>0</v>
      </c>
      <c r="X324" s="29" cm="1">
        <f t="array" ref="X324">SUMIFS(BALANCES!$C:$C,BALANCES!$A:$A,$B$303,BALANCES!$B:$B,$T324,BALANCES!$D:$D,X$307)+SUMIFS(FLOWS!$C:$C,FLOWS!$A:$A,$B$303,FLOWS!$E:$E,$T324,FLOWS!$D:$D,X$307,FLOWS!$H:$H,"&lt;="&amp;$U$305)+SUM(SUMIFS(DEALS!$J:$J,DEALS!$A:$A,{"*REFUND*","*EXECUTED*"},DEALS!$G:$G,$B$303,DEALS!$E:$E,"&lt;="&amp;$U$305,DEALS!$K:$K,X$307,DEALS!$M:$M,$T324,DEALS!$N:$N,"&lt;&gt;*RECEIVED*",DEALS!$N:$N,"&lt;&gt;*EXECUTED*"))+SUM(SUMIFS(DEALS!$R:$R,DEALS!$A:$A,{"*REFUND*","*EXECUTED*"},DEALS!$O:$O,$B$303,DEALS!$E:$E,"&lt;="&amp;$U$305,DEALS!$S:$S,X$307,DEALS!$U:$U,$T324,DEALS!$V:$V,"&lt;&gt;*RECEIVED*",DEALS!$V:$V,"&lt;&gt;*EXECUTED*"))</f>
        <v>0</v>
      </c>
      <c r="Y324" s="29" cm="1">
        <f t="array" ref="Y324">SUMIFS(BALANCES!$C:$C,BALANCES!$A:$A,$B$303,BALANCES!$B:$B,$T324,BALANCES!$D:$D,Y$307)+SUMIFS(FLOWS!$C:$C,FLOWS!$A:$A,$B$303,FLOWS!$E:$E,$T324,FLOWS!$D:$D,Y$307,FLOWS!$H:$H,"&lt;="&amp;$U$305)+SUM(SUMIFS(DEALS!$J:$J,DEALS!$A:$A,{"*REFUND*","*EXECUTED*"},DEALS!$G:$G,$B$303,DEALS!$E:$E,"&lt;="&amp;$U$305,DEALS!$K:$K,Y$307,DEALS!$M:$M,$T324,DEALS!$N:$N,"&lt;&gt;*RECEIVED*",DEALS!$N:$N,"&lt;&gt;*EXECUTED*"))+SUM(SUMIFS(DEALS!$R:$R,DEALS!$A:$A,{"*REFUND*","*EXECUTED*"},DEALS!$O:$O,$B$303,DEALS!$E:$E,"&lt;="&amp;$U$305,DEALS!$S:$S,Y$307,DEALS!$U:$U,$T324,DEALS!$V:$V,"&lt;&gt;*RECEIVED*",DEALS!$V:$V,"&lt;&gt;*EXECUTED*"))</f>
        <v>0</v>
      </c>
      <c r="Z324" s="29" cm="1">
        <f t="array" ref="Z324">SUMIFS(BALANCES!$C:$C,BALANCES!$A:$A,$B$303,BALANCES!$B:$B,$T324,BALANCES!$D:$D,Z$307)+SUMIFS(FLOWS!$C:$C,FLOWS!$A:$A,$B$303,FLOWS!$E:$E,$T324,FLOWS!$D:$D,Z$307,FLOWS!$H:$H,"&lt;="&amp;$U$305)+SUM(SUMIFS(DEALS!$J:$J,DEALS!$A:$A,{"*REFUND*","*EXECUTED*"},DEALS!$G:$G,$B$303,DEALS!$E:$E,"&lt;="&amp;$U$305,DEALS!$K:$K,Z$307,DEALS!$M:$M,$T324,DEALS!$N:$N,"&lt;&gt;*RECEIVED*",DEALS!$N:$N,"&lt;&gt;*EXECUTED*"))+SUM(SUMIFS(DEALS!$R:$R,DEALS!$A:$A,{"*REFUND*","*EXECUTED*"},DEALS!$O:$O,$B$303,DEALS!$E:$E,"&lt;="&amp;$U$305,DEALS!$S:$S,Z$307,DEALS!$U:$U,$T324,DEALS!$V:$V,"&lt;&gt;*RECEIVED*",DEALS!$V:$V,"&lt;&gt;*EXECUTED*"))</f>
        <v>0</v>
      </c>
      <c r="AA324" s="30">
        <f ca="1">U324*VLOOKUP(U$307,'FX RATES'!$E$1:$F$50,2,FALSE)+V324*VLOOKUP(V$307,'FX RATES'!$E$1:$F$50,2,FALSE)+W324*VLOOKUP(W$307,'FX RATES'!$E$1:$F$50,2,FALSE)+X324*VLOOKUP(X$307,'FX RATES'!$E$1:$F$50,2,FALSE)+Y324*VLOOKUP(Y$307,'FX RATES'!$E$1:$F$50,2,FALSE)+Z324*VLOOKUP(Z$307,'FX RATES'!$E$1:$F$50,2,FALSE)</f>
        <v>0</v>
      </c>
      <c r="AC324" s="139">
        <f t="shared" ca="1" si="134"/>
        <v>0</v>
      </c>
    </row>
    <row r="325" spans="2:29" ht="18.75" hidden="1" customHeight="1">
      <c r="B325" s="31"/>
      <c r="C325" s="32" cm="1">
        <f t="array" ref="C325">SUMIFS(BALANCES!$C:$C,BALANCES!$A:$A,$B$303,BALANCES!$B:$B,$B325,BALANCES!$D:$D,C$307)+SUMIFS(FLOWS!$C:$C,FLOWS!$A:$A,$B$303,FLOWS!$E:$E,$B325,FLOWS!$D:$D,C$307,FLOWS!$H:$H,"&lt;"&amp;$C$305)+SUM(SUMIFS(DEALS!$J:$J,DEALS!$A:$A,{"*REFUND*","*EXECUTED*"},DEALS!$G:$G,$B$303,DEALS!$E:$E,"&lt;"&amp;$C$305,DEALS!$K:$K,C$307,DEALS!$M:$M,$B325,DEALS!$N:$N,"&lt;&gt;*RECEIVED*",DEALS!$N:$N,"&lt;&gt;*EXECUTED*"))+SUM(SUMIFS(DEALS!$R:$R,DEALS!$A:$A,{"*REFUND*","*EXECUTED*"},DEALS!$O:$O,$B$303,DEALS!$E:$E,"&lt;"&amp;$C$305,DEALS!$S:$S,C$307,DEALS!$U:$U,$B325,DEALS!$V:$V,"&lt;&gt;*RECEIVED*",DEALS!$V:$V,"&lt;&gt;*EXECUTED*"))</f>
        <v>0</v>
      </c>
      <c r="D325" s="32" cm="1">
        <f t="array" ref="D325">SUMIFS(BALANCES!$C:$C,BALANCES!$A:$A,$B$303,BALANCES!$B:$B,$B325,BALANCES!$D:$D,D$307)+SUMIFS(FLOWS!$C:$C,FLOWS!$A:$A,$B$303,FLOWS!$E:$E,$B325,FLOWS!$D:$D,D$307,FLOWS!$H:$H,"&lt;"&amp;$C$305)+SUM(SUMIFS(DEALS!$J:$J,DEALS!$A:$A,{"*REFUND*","*EXECUTED*"},DEALS!$G:$G,$B$303,DEALS!$E:$E,"&lt;"&amp;$C$305,DEALS!$K:$K,D$307,DEALS!$M:$M,$B325,DEALS!$N:$N,"&lt;&gt;*RECEIVED*",DEALS!$N:$N,"&lt;&gt;*EXECUTED*"))+SUM(SUMIFS(DEALS!$R:$R,DEALS!$A:$A,{"*REFUND*","*EXECUTED*"},DEALS!$O:$O,$B$303,DEALS!$E:$E,"&lt;"&amp;$C$305,DEALS!$S:$S,D$307,DEALS!$U:$U,$B325,DEALS!$V:$V,"&lt;&gt;*RECEIVED*",DEALS!$V:$V,"&lt;&gt;*EXECUTED*"))</f>
        <v>0</v>
      </c>
      <c r="E325" s="32" cm="1">
        <f t="array" ref="E325">SUMIFS(BALANCES!$C:$C,BALANCES!$A:$A,$B$303,BALANCES!$B:$B,$B325,BALANCES!$D:$D,E$307)+SUMIFS(FLOWS!$C:$C,FLOWS!$A:$A,$B$303,FLOWS!$E:$E,$B325,FLOWS!$D:$D,E$307,FLOWS!$H:$H,"&lt;"&amp;$C$305)+SUM(SUMIFS(DEALS!$J:$J,DEALS!$A:$A,{"*REFUND*","*EXECUTED*"},DEALS!$G:$G,$B$303,DEALS!$E:$E,"&lt;"&amp;$C$305,DEALS!$K:$K,E$307,DEALS!$M:$M,$B325,DEALS!$N:$N,"&lt;&gt;*RECEIVED*",DEALS!$N:$N,"&lt;&gt;*EXECUTED*"))+SUM(SUMIFS(DEALS!$R:$R,DEALS!$A:$A,{"*REFUND*","*EXECUTED*"},DEALS!$O:$O,$B$303,DEALS!$E:$E,"&lt;"&amp;$C$305,DEALS!$S:$S,E$307,DEALS!$U:$U,$B325,DEALS!$V:$V,"&lt;&gt;*RECEIVED*",DEALS!$V:$V,"&lt;&gt;*EXECUTED*"))</f>
        <v>0</v>
      </c>
      <c r="F325" s="32" cm="1">
        <f t="array" ref="F325">SUMIFS(BALANCES!$C:$C,BALANCES!$A:$A,$B$303,BALANCES!$B:$B,$B325,BALANCES!$D:$D,F$307)+SUMIFS(FLOWS!$C:$C,FLOWS!$A:$A,$B$303,FLOWS!$E:$E,$B325,FLOWS!$D:$D,F$307,FLOWS!$H:$H,"&lt;"&amp;$C$305)+SUM(SUMIFS(DEALS!$J:$J,DEALS!$A:$A,{"*REFUND*","*EXECUTED*"},DEALS!$G:$G,$B$303,DEALS!$E:$E,"&lt;"&amp;$C$305,DEALS!$K:$K,F$307,DEALS!$M:$M,$B325,DEALS!$N:$N,"&lt;&gt;*RECEIVED*",DEALS!$N:$N,"&lt;&gt;*EXECUTED*"))+SUM(SUMIFS(DEALS!$R:$R,DEALS!$A:$A,{"*REFUND*","*EXECUTED*"},DEALS!$O:$O,$B$303,DEALS!$E:$E,"&lt;"&amp;$C$305,DEALS!$S:$S,F$307,DEALS!$U:$U,$B325,DEALS!$V:$V,"&lt;&gt;*RECEIVED*",DEALS!$V:$V,"&lt;&gt;*EXECUTED*"))</f>
        <v>0</v>
      </c>
      <c r="G325" s="32" cm="1">
        <f t="array" ref="G325">SUMIFS(BALANCES!$C:$C,BALANCES!$A:$A,$B$303,BALANCES!$B:$B,$B325,BALANCES!$D:$D,G$307)+SUMIFS(FLOWS!$C:$C,FLOWS!$A:$A,$B$303,FLOWS!$E:$E,$B325,FLOWS!$D:$D,G$307,FLOWS!$H:$H,"&lt;"&amp;$C$305)+SUM(SUMIFS(DEALS!$J:$J,DEALS!$A:$A,{"*REFUND*","*EXECUTED*"},DEALS!$G:$G,$B$303,DEALS!$E:$E,"&lt;"&amp;$C$305,DEALS!$K:$K,G$307,DEALS!$M:$M,$B325,DEALS!$N:$N,"&lt;&gt;*RECEIVED*",DEALS!$N:$N,"&lt;&gt;*EXECUTED*"))+SUM(SUMIFS(DEALS!$R:$R,DEALS!$A:$A,{"*REFUND*","*EXECUTED*"},DEALS!$O:$O,$B$303,DEALS!$E:$E,"&lt;"&amp;$C$305,DEALS!$S:$S,G$307,DEALS!$U:$U,$B325,DEALS!$V:$V,"&lt;&gt;*RECEIVED*",DEALS!$V:$V,"&lt;&gt;*EXECUTED*"))</f>
        <v>0</v>
      </c>
      <c r="H325" s="32" cm="1">
        <f t="array" ref="H325">SUMIFS(BALANCES!$C:$C,BALANCES!$A:$A,$B$303,BALANCES!$B:$B,$B325,BALANCES!$D:$D,H$307)+SUMIFS(FLOWS!$C:$C,FLOWS!$A:$A,$B$303,FLOWS!$E:$E,$B325,FLOWS!$D:$D,H$307,FLOWS!$H:$H,"&lt;"&amp;$C$305)+SUM(SUMIFS(DEALS!$J:$J,DEALS!$A:$A,{"*REFUND*","*EXECUTED*"},DEALS!$G:$G,$B$303,DEALS!$E:$E,"&lt;"&amp;$C$305,DEALS!$K:$K,H$307,DEALS!$M:$M,$B325,DEALS!$N:$N,"&lt;&gt;*RECEIVED*",DEALS!$N:$N,"&lt;&gt;*EXECUTED*"))+SUM(SUMIFS(DEALS!$R:$R,DEALS!$A:$A,{"*REFUND*","*EXECUTED*"},DEALS!$O:$O,$B$303,DEALS!$E:$E,"&lt;"&amp;$C$305,DEALS!$S:$S,H$307,DEALS!$U:$U,$B325,DEALS!$V:$V,"&lt;&gt;*RECEIVED*",DEALS!$V:$V,"&lt;&gt;*EXECUTED*"))</f>
        <v>0</v>
      </c>
      <c r="I325" s="33">
        <f ca="1">C325*VLOOKUP(C$307,'FX RATES'!$E$1:$F$50,2,FALSE)+D325*VLOOKUP(D$307,'FX RATES'!$E$1:$F$50,2,FALSE)+E325*VLOOKUP(E$307,'FX RATES'!$E$1:$F$50,2,FALSE)+F325*VLOOKUP(F$307,'FX RATES'!$E$1:$F$50,2,FALSE)+G325*VLOOKUP(G$307,'FX RATES'!$E$1:$F$50,2,FALSE)+H325*VLOOKUP(H$307,'FX RATES'!$E$1:$F$50,2,FALSE)</f>
        <v>0</v>
      </c>
      <c r="K325" s="31">
        <f t="shared" si="132"/>
        <v>0</v>
      </c>
      <c r="L325" s="32" cm="1">
        <f t="array" ref="L325">SUMIFS(FLOWS!$C:$C,FLOWS!$A:$A,$B$303,FLOWS!$E:$E,$K325,FLOWS!$D:$D,L$307,FLOWS!$H:$H,"&gt;="&amp;$C$305,FLOWS!$H:$H,"&lt;="&amp;$U$305)+SUM(SUMIFS(DEALS!$J:$J,DEALS!$A:$A,{"*REFUND*","*EXECUTED*"},DEALS!$G:$G,$B$303,DEALS!$E:$E,"&gt;="&amp;$C$305,DEALS!$E:$E,"&lt;="&amp;$U$305,DEALS!$K:$K,L$307,DEALS!$M:$M,$K325,DEALS!$N:$N,"&lt;&gt;*RECEIVED*",DEALS!$N:$N,"&lt;&gt;*EXECUTED*"))+SUM(SUMIFS(DEALS!$R:$R,DEALS!$A:$A,{"*REFUND*","*EXECUTED*"},DEALS!$O:$O,$B$303,DEALS!$E:$E,"&gt;="&amp;$C$305,DEALS!$E:$E,"&lt;="&amp;$U$305,DEALS!$S:$S,L$307,DEALS!$U:$U,$K325,DEALS!$V:$V,"&lt;&gt;*RECEIVED*",DEALS!$V:$V,"&lt;&gt;*EXECUTED*"))</f>
        <v>0</v>
      </c>
      <c r="M325" s="32" cm="1">
        <f t="array" ref="M325">SUMIFS(FLOWS!$C:$C,FLOWS!$A:$A,$B$303,FLOWS!$E:$E,$K325,FLOWS!$D:$D,M$307,FLOWS!$H:$H,"&gt;="&amp;$C$305,FLOWS!$H:$H,"&lt;="&amp;$U$305)+SUM(SUMIFS(DEALS!$J:$J,DEALS!$A:$A,{"*REFUND*","*EXECUTED*"},DEALS!$G:$G,$B$303,DEALS!$E:$E,"&gt;="&amp;$C$305,DEALS!$E:$E,"&lt;="&amp;$U$305,DEALS!$K:$K,M$307,DEALS!$M:$M,$K325,DEALS!$N:$N,"&lt;&gt;*RECEIVED*",DEALS!$N:$N,"&lt;&gt;*EXECUTED*"))+SUM(SUMIFS(DEALS!$R:$R,DEALS!$A:$A,{"*REFUND*","*EXECUTED*"},DEALS!$O:$O,$B$303,DEALS!$E:$E,"&gt;="&amp;$C$305,DEALS!$E:$E,"&lt;="&amp;$U$305,DEALS!$S:$S,M$307,DEALS!$U:$U,$K325,DEALS!$V:$V,"&lt;&gt;*RECEIVED*",DEALS!$V:$V,"&lt;&gt;*EXECUTED*"))</f>
        <v>0</v>
      </c>
      <c r="N325" s="32" cm="1">
        <f t="array" ref="N325">SUMIFS(FLOWS!$C:$C,FLOWS!$A:$A,$B$303,FLOWS!$E:$E,$K325,FLOWS!$D:$D,N$307,FLOWS!$H:$H,"&gt;="&amp;$C$305,FLOWS!$H:$H,"&lt;="&amp;$U$305)+SUM(SUMIFS(DEALS!$J:$J,DEALS!$A:$A,{"*REFUND*","*EXECUTED*"},DEALS!$G:$G,$B$303,DEALS!$E:$E,"&gt;="&amp;$C$305,DEALS!$E:$E,"&lt;="&amp;$U$305,DEALS!$K:$K,N$307,DEALS!$M:$M,$K325,DEALS!$N:$N,"&lt;&gt;*RECEIVED*",DEALS!$N:$N,"&lt;&gt;*EXECUTED*"))+SUM(SUMIFS(DEALS!$R:$R,DEALS!$A:$A,{"*REFUND*","*EXECUTED*"},DEALS!$O:$O,$B$303,DEALS!$E:$E,"&gt;="&amp;$C$305,DEALS!$E:$E,"&lt;="&amp;$U$305,DEALS!$S:$S,N$307,DEALS!$U:$U,$K325,DEALS!$V:$V,"&lt;&gt;*RECEIVED*",DEALS!$V:$V,"&lt;&gt;*EXECUTED*"))</f>
        <v>0</v>
      </c>
      <c r="O325" s="32" cm="1">
        <f t="array" ref="O325">SUMIFS(FLOWS!$C:$C,FLOWS!$A:$A,$B$303,FLOWS!$E:$E,$K325,FLOWS!$D:$D,O$307,FLOWS!$H:$H,"&gt;="&amp;$C$305,FLOWS!$H:$H,"&lt;="&amp;$U$305)+SUM(SUMIFS(DEALS!$J:$J,DEALS!$A:$A,{"*REFUND*","*EXECUTED*"},DEALS!$G:$G,$B$303,DEALS!$E:$E,"&gt;="&amp;$C$305,DEALS!$E:$E,"&lt;="&amp;$U$305,DEALS!$K:$K,O$307,DEALS!$M:$M,$K325,DEALS!$N:$N,"&lt;&gt;*RECEIVED*",DEALS!$N:$N,"&lt;&gt;*EXECUTED*"))+SUM(SUMIFS(DEALS!$R:$R,DEALS!$A:$A,{"*REFUND*","*EXECUTED*"},DEALS!$O:$O,$B$303,DEALS!$E:$E,"&gt;="&amp;$C$305,DEALS!$E:$E,"&lt;="&amp;$U$305,DEALS!$S:$S,O$307,DEALS!$U:$U,$K325,DEALS!$V:$V,"&lt;&gt;*RECEIVED*",DEALS!$V:$V,"&lt;&gt;*EXECUTED*"))</f>
        <v>0</v>
      </c>
      <c r="P325" s="32" cm="1">
        <f t="array" ref="P325">SUMIFS(FLOWS!$C:$C,FLOWS!$A:$A,$B$303,FLOWS!$E:$E,$K325,FLOWS!$D:$D,P$307,FLOWS!$H:$H,"&gt;="&amp;$C$305,FLOWS!$H:$H,"&lt;="&amp;$U$305)+SUM(SUMIFS(DEALS!$J:$J,DEALS!$A:$A,{"*REFUND*","*EXECUTED*"},DEALS!$G:$G,$B$303,DEALS!$E:$E,"&gt;="&amp;$C$305,DEALS!$E:$E,"&lt;="&amp;$U$305,DEALS!$K:$K,P$307,DEALS!$M:$M,$K325,DEALS!$N:$N,"&lt;&gt;*RECEIVED*",DEALS!$N:$N,"&lt;&gt;*EXECUTED*"))+SUM(SUMIFS(DEALS!$R:$R,DEALS!$A:$A,{"*REFUND*","*EXECUTED*"},DEALS!$O:$O,$B$303,DEALS!$E:$E,"&gt;="&amp;$C$305,DEALS!$E:$E,"&lt;="&amp;$U$305,DEALS!$S:$S,P$307,DEALS!$U:$U,$K325,DEALS!$V:$V,"&lt;&gt;*RECEIVED*",DEALS!$V:$V,"&lt;&gt;*EXECUTED*"))</f>
        <v>0</v>
      </c>
      <c r="Q325" s="32" cm="1">
        <f t="array" ref="Q325">SUMIFS(FLOWS!$C:$C,FLOWS!$A:$A,$B$303,FLOWS!$E:$E,$K325,FLOWS!$D:$D,Q$307,FLOWS!$H:$H,"&gt;="&amp;$C$305,FLOWS!$H:$H,"&lt;="&amp;$U$305)+SUM(SUMIFS(DEALS!$J:$J,DEALS!$A:$A,{"*REFUND*","*EXECUTED*"},DEALS!$G:$G,$B$303,DEALS!$E:$E,"&gt;="&amp;$C$305,DEALS!$E:$E,"&lt;="&amp;$U$305,DEALS!$K:$K,Q$307,DEALS!$M:$M,$K325,DEALS!$N:$N,"&lt;&gt;*RECEIVED*",DEALS!$N:$N,"&lt;&gt;*EXECUTED*"))+SUM(SUMIFS(DEALS!$R:$R,DEALS!$A:$A,{"*REFUND*","*EXECUTED*"},DEALS!$O:$O,$B$303,DEALS!$E:$E,"&gt;="&amp;$C$305,DEALS!$E:$E,"&lt;="&amp;$U$305,DEALS!$S:$S,Q$307,DEALS!$U:$U,$K325,DEALS!$V:$V,"&lt;&gt;*RECEIVED*",DEALS!$V:$V,"&lt;&gt;*EXECUTED*"))</f>
        <v>0</v>
      </c>
      <c r="R325" s="33">
        <f ca="1">L325*VLOOKUP(L$307,'FX RATES'!$E$1:$F$50,2,FALSE)+M325*VLOOKUP(M$307,'FX RATES'!$E$1:$F$50,2,FALSE)+N325*VLOOKUP(N$307,'FX RATES'!$E$1:$F$50,2,FALSE)+O325*VLOOKUP(O$307,'FX RATES'!$E$1:$F$50,2,FALSE)+P325*VLOOKUP(P$307,'FX RATES'!$E$1:$F$50,2,FALSE)+Q325*VLOOKUP(Q$307,'FX RATES'!$E$1:$F$50,2,FALSE)</f>
        <v>0</v>
      </c>
      <c r="T325" s="31">
        <f t="shared" si="133"/>
        <v>0</v>
      </c>
      <c r="U325" s="32" cm="1">
        <f t="array" ref="U325">SUMIFS(BALANCES!$C:$C,BALANCES!$A:$A,$B$303,BALANCES!$B:$B,$T325,BALANCES!$D:$D,U$307)+SUMIFS(FLOWS!$C:$C,FLOWS!$A:$A,$B$303,FLOWS!$E:$E,$T325,FLOWS!$D:$D,U$307,FLOWS!$H:$H,"&lt;="&amp;$U$305)+SUM(SUMIFS(DEALS!$J:$J,DEALS!$A:$A,{"*REFUND*","*EXECUTED*"},DEALS!$G:$G,$B$303,DEALS!$E:$E,"&lt;="&amp;$U$305,DEALS!$K:$K,U$307,DEALS!$M:$M,$T325,DEALS!$N:$N,"&lt;&gt;*RECEIVED*",DEALS!$N:$N,"&lt;&gt;*EXECUTED*"))+SUM(SUMIFS(DEALS!$R:$R,DEALS!$A:$A,{"*REFUND*","*EXECUTED*"},DEALS!$O:$O,$B$303,DEALS!$E:$E,"&lt;="&amp;$U$305,DEALS!$S:$S,U$307,DEALS!$U:$U,$T325,DEALS!$V:$V,"&lt;&gt;*RECEIVED*",DEALS!$V:$V,"&lt;&gt;*EXECUTED*"))</f>
        <v>0</v>
      </c>
      <c r="V325" s="32" cm="1">
        <f t="array" ref="V325">SUMIFS(BALANCES!$C:$C,BALANCES!$A:$A,$B$303,BALANCES!$B:$B,$T325,BALANCES!$D:$D,V$307)+SUMIFS(FLOWS!$C:$C,FLOWS!$A:$A,$B$303,FLOWS!$E:$E,$T325,FLOWS!$D:$D,V$307,FLOWS!$H:$H,"&lt;="&amp;$U$305)+SUM(SUMIFS(DEALS!$J:$J,DEALS!$A:$A,{"*REFUND*","*EXECUTED*"},DEALS!$G:$G,$B$303,DEALS!$E:$E,"&lt;="&amp;$U$305,DEALS!$K:$K,V$307,DEALS!$M:$M,$T325,DEALS!$N:$N,"&lt;&gt;*RECEIVED*",DEALS!$N:$N,"&lt;&gt;*EXECUTED*"))+SUM(SUMIFS(DEALS!$R:$R,DEALS!$A:$A,{"*REFUND*","*EXECUTED*"},DEALS!$O:$O,$B$303,DEALS!$E:$E,"&lt;="&amp;$U$305,DEALS!$S:$S,V$307,DEALS!$U:$U,$T325,DEALS!$V:$V,"&lt;&gt;*RECEIVED*",DEALS!$V:$V,"&lt;&gt;*EXECUTED*"))</f>
        <v>0</v>
      </c>
      <c r="W325" s="32" cm="1">
        <f t="array" ref="W325">SUMIFS(BALANCES!$C:$C,BALANCES!$A:$A,$B$303,BALANCES!$B:$B,$T325,BALANCES!$D:$D,W$307)+SUMIFS(FLOWS!$C:$C,FLOWS!$A:$A,$B$303,FLOWS!$E:$E,$T325,FLOWS!$D:$D,W$307,FLOWS!$H:$H,"&lt;="&amp;$U$305)+SUM(SUMIFS(DEALS!$J:$J,DEALS!$A:$A,{"*REFUND*","*EXECUTED*"},DEALS!$G:$G,$B$303,DEALS!$E:$E,"&lt;="&amp;$U$305,DEALS!$K:$K,W$307,DEALS!$M:$M,$T325,DEALS!$N:$N,"&lt;&gt;*RECEIVED*",DEALS!$N:$N,"&lt;&gt;*EXECUTED*"))+SUM(SUMIFS(DEALS!$R:$R,DEALS!$A:$A,{"*REFUND*","*EXECUTED*"},DEALS!$O:$O,$B$303,DEALS!$E:$E,"&lt;="&amp;$U$305,DEALS!$S:$S,W$307,DEALS!$U:$U,$T325,DEALS!$V:$V,"&lt;&gt;*RECEIVED*",DEALS!$V:$V,"&lt;&gt;*EXECUTED*"))</f>
        <v>0</v>
      </c>
      <c r="X325" s="32" cm="1">
        <f t="array" ref="X325">SUMIFS(BALANCES!$C:$C,BALANCES!$A:$A,$B$303,BALANCES!$B:$B,$T325,BALANCES!$D:$D,X$307)+SUMIFS(FLOWS!$C:$C,FLOWS!$A:$A,$B$303,FLOWS!$E:$E,$T325,FLOWS!$D:$D,X$307,FLOWS!$H:$H,"&lt;="&amp;$U$305)+SUM(SUMIFS(DEALS!$J:$J,DEALS!$A:$A,{"*REFUND*","*EXECUTED*"},DEALS!$G:$G,$B$303,DEALS!$E:$E,"&lt;="&amp;$U$305,DEALS!$K:$K,X$307,DEALS!$M:$M,$T325,DEALS!$N:$N,"&lt;&gt;*RECEIVED*",DEALS!$N:$N,"&lt;&gt;*EXECUTED*"))+SUM(SUMIFS(DEALS!$R:$R,DEALS!$A:$A,{"*REFUND*","*EXECUTED*"},DEALS!$O:$O,$B$303,DEALS!$E:$E,"&lt;="&amp;$U$305,DEALS!$S:$S,X$307,DEALS!$U:$U,$T325,DEALS!$V:$V,"&lt;&gt;*RECEIVED*",DEALS!$V:$V,"&lt;&gt;*EXECUTED*"))</f>
        <v>0</v>
      </c>
      <c r="Y325" s="32" cm="1">
        <f t="array" ref="Y325">SUMIFS(BALANCES!$C:$C,BALANCES!$A:$A,$B$303,BALANCES!$B:$B,$T325,BALANCES!$D:$D,Y$307)+SUMIFS(FLOWS!$C:$C,FLOWS!$A:$A,$B$303,FLOWS!$E:$E,$T325,FLOWS!$D:$D,Y$307,FLOWS!$H:$H,"&lt;="&amp;$U$305)+SUM(SUMIFS(DEALS!$J:$J,DEALS!$A:$A,{"*REFUND*","*EXECUTED*"},DEALS!$G:$G,$B$303,DEALS!$E:$E,"&lt;="&amp;$U$305,DEALS!$K:$K,Y$307,DEALS!$M:$M,$T325,DEALS!$N:$N,"&lt;&gt;*RECEIVED*",DEALS!$N:$N,"&lt;&gt;*EXECUTED*"))+SUM(SUMIFS(DEALS!$R:$R,DEALS!$A:$A,{"*REFUND*","*EXECUTED*"},DEALS!$O:$O,$B$303,DEALS!$E:$E,"&lt;="&amp;$U$305,DEALS!$S:$S,Y$307,DEALS!$U:$U,$T325,DEALS!$V:$V,"&lt;&gt;*RECEIVED*",DEALS!$V:$V,"&lt;&gt;*EXECUTED*"))</f>
        <v>0</v>
      </c>
      <c r="Z325" s="32" cm="1">
        <f t="array" ref="Z325">SUMIFS(BALANCES!$C:$C,BALANCES!$A:$A,$B$303,BALANCES!$B:$B,$T325,BALANCES!$D:$D,Z$307)+SUMIFS(FLOWS!$C:$C,FLOWS!$A:$A,$B$303,FLOWS!$E:$E,$T325,FLOWS!$D:$D,Z$307,FLOWS!$H:$H,"&lt;="&amp;$U$305)+SUM(SUMIFS(DEALS!$J:$J,DEALS!$A:$A,{"*REFUND*","*EXECUTED*"},DEALS!$G:$G,$B$303,DEALS!$E:$E,"&lt;="&amp;$U$305,DEALS!$K:$K,Z$307,DEALS!$M:$M,$T325,DEALS!$N:$N,"&lt;&gt;*RECEIVED*",DEALS!$N:$N,"&lt;&gt;*EXECUTED*"))+SUM(SUMIFS(DEALS!$R:$R,DEALS!$A:$A,{"*REFUND*","*EXECUTED*"},DEALS!$O:$O,$B$303,DEALS!$E:$E,"&lt;="&amp;$U$305,DEALS!$S:$S,Z$307,DEALS!$U:$U,$T325,DEALS!$V:$V,"&lt;&gt;*RECEIVED*",DEALS!$V:$V,"&lt;&gt;*EXECUTED*"))</f>
        <v>0</v>
      </c>
      <c r="AA325" s="33">
        <f ca="1">U325*VLOOKUP(U$307,'FX RATES'!$E$1:$F$50,2,FALSE)+V325*VLOOKUP(V$307,'FX RATES'!$E$1:$F$50,2,FALSE)+W325*VLOOKUP(W$307,'FX RATES'!$E$1:$F$50,2,FALSE)+X325*VLOOKUP(X$307,'FX RATES'!$E$1:$F$50,2,FALSE)+Y325*VLOOKUP(Y$307,'FX RATES'!$E$1:$F$50,2,FALSE)+Z325*VLOOKUP(Z$307,'FX RATES'!$E$1:$F$50,2,FALSE)</f>
        <v>0</v>
      </c>
      <c r="AC325" s="139">
        <f t="shared" ca="1" si="134"/>
        <v>0</v>
      </c>
    </row>
    <row r="326" spans="2:29" ht="18.75" customHeight="1" thickBot="1">
      <c r="B326" s="13" t="s">
        <v>26</v>
      </c>
      <c r="C326" s="16">
        <f t="shared" ref="C326:H326" si="135">SUM(C308:C325)</f>
        <v>13783.32</v>
      </c>
      <c r="D326" s="16">
        <f t="shared" si="135"/>
        <v>0</v>
      </c>
      <c r="E326" s="16">
        <f t="shared" si="135"/>
        <v>0</v>
      </c>
      <c r="F326" s="16">
        <f t="shared" si="135"/>
        <v>833967.13</v>
      </c>
      <c r="G326" s="16">
        <f>SUM(G308:G325)</f>
        <v>5018686.5</v>
      </c>
      <c r="H326" s="16">
        <f t="shared" si="135"/>
        <v>0</v>
      </c>
      <c r="I326" s="16">
        <f ca="1">SUM(I308:I325)</f>
        <v>306276.6426294602</v>
      </c>
      <c r="K326" s="13" t="s">
        <v>26</v>
      </c>
      <c r="L326" s="16">
        <f t="shared" ref="L326:R326" si="136">SUM(L308:L325)</f>
        <v>0</v>
      </c>
      <c r="M326" s="16">
        <f t="shared" si="136"/>
        <v>0</v>
      </c>
      <c r="N326" s="16">
        <f t="shared" si="136"/>
        <v>0</v>
      </c>
      <c r="O326" s="16">
        <f t="shared" si="136"/>
        <v>0</v>
      </c>
      <c r="P326" s="16">
        <f t="shared" si="136"/>
        <v>0</v>
      </c>
      <c r="Q326" s="16">
        <f t="shared" si="136"/>
        <v>0</v>
      </c>
      <c r="R326" s="16">
        <f t="shared" ca="1" si="136"/>
        <v>0</v>
      </c>
      <c r="T326" s="13" t="s">
        <v>26</v>
      </c>
      <c r="U326" s="16">
        <f t="shared" ref="U326:AA326" si="137">SUM(U308:U325)</f>
        <v>13783.32</v>
      </c>
      <c r="V326" s="16">
        <f t="shared" si="137"/>
        <v>0</v>
      </c>
      <c r="W326" s="16">
        <f t="shared" si="137"/>
        <v>0</v>
      </c>
      <c r="X326" s="16">
        <f t="shared" si="137"/>
        <v>833967.13</v>
      </c>
      <c r="Y326" s="16">
        <f t="shared" si="137"/>
        <v>5018686.5</v>
      </c>
      <c r="Z326" s="16">
        <f t="shared" si="137"/>
        <v>0</v>
      </c>
      <c r="AA326" s="16">
        <f t="shared" ca="1" si="137"/>
        <v>306276.6426294602</v>
      </c>
      <c r="AC326" s="139">
        <f t="shared" ca="1" si="134"/>
        <v>0</v>
      </c>
    </row>
    <row r="327" spans="2:29" ht="18.75" customHeight="1" thickBot="1">
      <c r="B327" s="10" t="s">
        <v>11</v>
      </c>
      <c r="C327" s="17">
        <f>VLOOKUP(C307,'FX RATES'!$E$1:$F$50,2,FALSE)*C326</f>
        <v>13783.32</v>
      </c>
      <c r="D327" s="17">
        <f ca="1">VLOOKUP(D307,'FX RATES'!$E$1:$F$50,2,FALSE)*D326</f>
        <v>0</v>
      </c>
      <c r="E327" s="17">
        <f ca="1">VLOOKUP(E307,'FX RATES'!$E$1:$F$50,2,FALSE)*E326</f>
        <v>0</v>
      </c>
      <c r="F327" s="17">
        <f ca="1">VLOOKUP(F307,'FX RATES'!$E$1:$F$50,2,FALSE)*F326</f>
        <v>227078.12721232913</v>
      </c>
      <c r="G327" s="17">
        <f ca="1">VLOOKUP(G307,'FX RATES'!$E$1:$F$50,2,FALSE)*G326</f>
        <v>65415.195417131014</v>
      </c>
      <c r="H327" s="17">
        <f ca="1">VLOOKUP(H307,'FX RATES'!$E$1:$F$50,2,FALSE)*H326</f>
        <v>0</v>
      </c>
      <c r="I327" s="16">
        <f ca="1">SUM(C327:H327)</f>
        <v>306276.64262946014</v>
      </c>
      <c r="K327" s="10" t="s">
        <v>11</v>
      </c>
      <c r="L327" s="17">
        <f>VLOOKUP(L307,'FX RATES'!$E$1:$F$50,2,FALSE)*L326</f>
        <v>0</v>
      </c>
      <c r="M327" s="17">
        <f ca="1">VLOOKUP(M307,'FX RATES'!$E$1:$F$50,2,FALSE)*M326</f>
        <v>0</v>
      </c>
      <c r="N327" s="17">
        <f ca="1">VLOOKUP(N307,'FX RATES'!$E$1:$F$50,2,FALSE)*N326</f>
        <v>0</v>
      </c>
      <c r="O327" s="17">
        <f ca="1">VLOOKUP(O307,'FX RATES'!$E$1:$F$50,2,FALSE)*O326</f>
        <v>0</v>
      </c>
      <c r="P327" s="17">
        <f ca="1">VLOOKUP(P307,'FX RATES'!$E$1:$F$50,2,FALSE)*P326</f>
        <v>0</v>
      </c>
      <c r="Q327" s="17">
        <f ca="1">VLOOKUP(Q307,'FX RATES'!$E$1:$F$50,2,FALSE)*Q326</f>
        <v>0</v>
      </c>
      <c r="R327" s="16">
        <f ca="1">SUM(L327:Q327)</f>
        <v>0</v>
      </c>
      <c r="T327" s="10" t="s">
        <v>11</v>
      </c>
      <c r="U327" s="17">
        <f>VLOOKUP(U307,'FX RATES'!$E$1:$F$50,2,FALSE)*U326</f>
        <v>13783.32</v>
      </c>
      <c r="V327" s="17">
        <f ca="1">VLOOKUP(V307,'FX RATES'!$E$1:$F$50,2,FALSE)*V326</f>
        <v>0</v>
      </c>
      <c r="W327" s="17">
        <f ca="1">VLOOKUP(W307,'FX RATES'!$E$1:$F$50,2,FALSE)*W326</f>
        <v>0</v>
      </c>
      <c r="X327" s="17">
        <f ca="1">VLOOKUP(X307,'FX RATES'!$E$1:$F$50,2,FALSE)*X326</f>
        <v>227078.12721232913</v>
      </c>
      <c r="Y327" s="17">
        <f ca="1">VLOOKUP(Y307,'FX RATES'!$E$1:$F$50,2,FALSE)*Y326</f>
        <v>65415.195417131014</v>
      </c>
      <c r="Z327" s="17">
        <f ca="1">VLOOKUP(Z307,'FX RATES'!$E$1:$F$50,2,FALSE)*Z326</f>
        <v>0</v>
      </c>
      <c r="AA327" s="16">
        <f ca="1">SUM(U327:Z327)</f>
        <v>306276.64262946014</v>
      </c>
      <c r="AC327" s="139">
        <f t="shared" ca="1" si="134"/>
        <v>0</v>
      </c>
    </row>
    <row r="333" spans="2:29" ht="18.75" customHeight="1" thickBot="1">
      <c r="C333" s="589" t="s">
        <v>57</v>
      </c>
      <c r="D333" s="589"/>
      <c r="F333" s="589" t="s">
        <v>58</v>
      </c>
      <c r="G333" s="589"/>
      <c r="I333" s="589" t="s">
        <v>59</v>
      </c>
      <c r="J333" s="589"/>
      <c r="K333" s="589"/>
      <c r="L333" s="589"/>
      <c r="N333" s="589" t="s">
        <v>60</v>
      </c>
      <c r="O333" s="589"/>
      <c r="P333" s="589"/>
      <c r="Q333" s="589"/>
    </row>
    <row r="334" spans="2:29" ht="18.75" customHeight="1">
      <c r="C334" s="8"/>
      <c r="F334" s="8"/>
      <c r="I334" s="8"/>
      <c r="N334" s="8"/>
      <c r="P334" s="8"/>
    </row>
    <row r="335" spans="2:29" ht="18.75" customHeight="1" thickBot="1">
      <c r="C335" s="11" t="s">
        <v>61</v>
      </c>
      <c r="D335" s="11" t="s">
        <v>11</v>
      </c>
      <c r="F335" s="11" t="s">
        <v>61</v>
      </c>
      <c r="G335" s="11" t="s">
        <v>11</v>
      </c>
      <c r="I335" s="11" t="s">
        <v>61</v>
      </c>
      <c r="J335" s="11" t="s">
        <v>11</v>
      </c>
      <c r="K335" s="11"/>
      <c r="L335" s="11"/>
      <c r="N335" s="11" t="s">
        <v>61</v>
      </c>
      <c r="O335" s="11" t="s">
        <v>11</v>
      </c>
      <c r="P335" s="11"/>
      <c r="Q335" s="11"/>
    </row>
    <row r="336" spans="2:29" ht="18.75" customHeight="1">
      <c r="C336" s="189" t="s">
        <v>0</v>
      </c>
      <c r="D336" s="190">
        <f ca="1">BALANCES!E58</f>
        <v>1194487.958854056</v>
      </c>
      <c r="F336" s="189" t="s">
        <v>0</v>
      </c>
      <c r="G336" s="190">
        <f ca="1">I26</f>
        <v>-84061.672339570461</v>
      </c>
      <c r="I336" s="189" t="s">
        <v>0</v>
      </c>
      <c r="J336" s="190">
        <f ca="1">C26+D26+E26+F26+H26-I7</f>
        <v>-100714.89630459704</v>
      </c>
      <c r="K336" s="190">
        <f>C17</f>
        <v>0</v>
      </c>
      <c r="L336" s="190" t="s">
        <v>22</v>
      </c>
      <c r="N336" s="189" t="s">
        <v>0</v>
      </c>
      <c r="O336" s="190" cm="1">
        <f t="array" aca="1" ref="O336" ca="1">J336+SUM(SUMIFS(DEALS!$AT:$AT,DEALS!$E:$E,$C$4,DEALS!$G:$G,N336,DEALS!$A:$A,{"*EXECUTED*","*SETTLED*"},DEALS!$C:$C,"*IMPORT*"))</f>
        <v>-100714.89630459704</v>
      </c>
      <c r="P336" s="190" cm="1">
        <f t="array" ref="P336">K336+SUM(SUMIFS(DEALS!$AT:$AT,DEALS!$E:$E,$C$4,DEALS!$G:$G,N336,DEALS!$M:$M,Q336,DEALS!$A:$A,{"*EXECUTED*","*SETTLED*"},DEALS!$C:$C,"*IMPORT*"))</f>
        <v>0</v>
      </c>
      <c r="Q336" s="190" t="s">
        <v>22</v>
      </c>
    </row>
    <row r="337" spans="3:17" ht="18.75" customHeight="1">
      <c r="C337" s="191" t="s">
        <v>27</v>
      </c>
      <c r="D337" s="192">
        <f ca="1">BALANCES!E75</f>
        <v>3482717.7035239819</v>
      </c>
      <c r="F337" s="191" t="s">
        <v>27</v>
      </c>
      <c r="G337" s="192">
        <f ca="1">I54</f>
        <v>3441456.3285239828</v>
      </c>
      <c r="I337" s="191" t="s">
        <v>27</v>
      </c>
      <c r="J337" s="192">
        <f ca="1">C54+D54+E54+F54+H54</f>
        <v>3441456.3285239828</v>
      </c>
      <c r="K337" s="192"/>
      <c r="L337" s="192"/>
      <c r="N337" s="191" t="s">
        <v>27</v>
      </c>
      <c r="O337" s="192" cm="1">
        <f t="array" aca="1" ref="O337" ca="1">J337+SUM(SUMIFS(DEALS!$AT:$AT,DEALS!$E:$E,$C$4,DEALS!$G:$G,N337,DEALS!$A:$A,{"*EXECUTED*","*SETTLED*"},DEALS!$C:$C,"*IMPORT*"))</f>
        <v>3441456.3285239828</v>
      </c>
      <c r="P337" s="192"/>
      <c r="Q337" s="192"/>
    </row>
    <row r="338" spans="3:17" ht="18.75" customHeight="1">
      <c r="C338" s="189" t="s">
        <v>31</v>
      </c>
      <c r="D338" s="190">
        <f ca="1">BALANCES!E85</f>
        <v>917557.98512346775</v>
      </c>
      <c r="F338" s="189" t="s">
        <v>31</v>
      </c>
      <c r="G338" s="190">
        <f ca="1">I82</f>
        <v>835871.98610369989</v>
      </c>
      <c r="I338" s="189" t="s">
        <v>31</v>
      </c>
      <c r="J338" s="190">
        <f ca="1">C82+D82+E82+F82+H82</f>
        <v>835871.98610369989</v>
      </c>
      <c r="K338" s="190"/>
      <c r="L338" s="190"/>
      <c r="N338" s="189" t="s">
        <v>31</v>
      </c>
      <c r="O338" s="190" cm="1">
        <f t="array" aca="1" ref="O338" ca="1">J338+SUM(SUMIFS(DEALS!$AT:$AT,DEALS!$E:$E,$C$4,DEALS!$G:$G,N338,DEALS!$A:$A,{"*EXECUTED*","*SETTLED*"},DEALS!$C:$C,"*IMPORT*"))</f>
        <v>835871.98610369989</v>
      </c>
      <c r="P338" s="190"/>
      <c r="Q338" s="190"/>
    </row>
    <row r="339" spans="3:17" ht="18.75" customHeight="1">
      <c r="C339" s="191" t="s">
        <v>34</v>
      </c>
      <c r="D339" s="192">
        <f ca="1">BALANCES!E124</f>
        <v>2817734.7373393145</v>
      </c>
      <c r="F339" s="191" t="s">
        <v>34</v>
      </c>
      <c r="G339" s="192">
        <f ca="1">I120</f>
        <v>1706619.7373393148</v>
      </c>
      <c r="I339" s="191" t="s">
        <v>34</v>
      </c>
      <c r="J339" s="192">
        <f ca="1">C120+D120+E120+F120+H120</f>
        <v>1699613.3119380204</v>
      </c>
      <c r="K339" s="192">
        <f ca="1">I101</f>
        <v>165278.9825251865</v>
      </c>
      <c r="L339" s="192" t="s">
        <v>13</v>
      </c>
      <c r="N339" s="191" t="s">
        <v>34</v>
      </c>
      <c r="O339" s="192" cm="1">
        <f t="array" aca="1" ref="O339" ca="1">J339+SUM(SUMIFS(DEALS!$AT:$AT,DEALS!$E:$E,$C$4,DEALS!$G:$G,N339,DEALS!$A:$A,{"*EXECUTED*","*SETTLED*"},DEALS!$C:$C,"*IMPORT*"))</f>
        <v>1699613.3119380204</v>
      </c>
      <c r="P339" s="192" cm="1">
        <f t="array" aca="1" ref="P339" ca="1">K339+SUM(SUMIFS(DEALS!$AT:$AT,DEALS!$E:$E,$C$4,DEALS!$G:$G,N339,DEALS!$M:$M,Q339,DEALS!$A:$A,{"*EXECUTED*","*SETTLED*"},DEALS!$C:$C,"*IMPORT*"))</f>
        <v>165278.9825251865</v>
      </c>
      <c r="Q339" s="192" t="s">
        <v>13</v>
      </c>
    </row>
    <row r="340" spans="3:17" ht="18.75" customHeight="1">
      <c r="C340" s="189" t="s">
        <v>39</v>
      </c>
      <c r="D340" s="190">
        <f ca="1">BALANCES!E149</f>
        <v>3612816.6498939828</v>
      </c>
      <c r="F340" s="189" t="s">
        <v>39</v>
      </c>
      <c r="G340" s="190">
        <f ca="1">I148</f>
        <v>-817292.86969835707</v>
      </c>
      <c r="I340" s="189" t="s">
        <v>39</v>
      </c>
      <c r="J340" s="190">
        <f ca="1">C148+D148+E148+F148+H148</f>
        <v>-944143.18402112601</v>
      </c>
      <c r="K340" s="190"/>
      <c r="L340" s="190"/>
      <c r="N340" s="189" t="s">
        <v>39</v>
      </c>
      <c r="O340" s="190" cm="1">
        <f t="array" aca="1" ref="O340" ca="1">J340+SUM(SUMIFS(DEALS!$AT:$AT,DEALS!$E:$E,$C$4,DEALS!$G:$G,N340,DEALS!$A:$A,{"*EXECUTED*","*SETTLED*"},DEALS!$C:$C,"*IMPORT*"))</f>
        <v>-2918418.2768556057</v>
      </c>
      <c r="P340" s="190"/>
      <c r="Q340" s="190"/>
    </row>
    <row r="341" spans="3:17" ht="18.75" customHeight="1">
      <c r="C341" s="191" t="s">
        <v>42</v>
      </c>
      <c r="D341" s="192">
        <f ca="1">BALANCES!E163</f>
        <v>122164.07430101429</v>
      </c>
      <c r="F341" s="191" t="s">
        <v>42</v>
      </c>
      <c r="G341" s="192">
        <f ca="1">I187</f>
        <v>122164.07430101429</v>
      </c>
      <c r="I341" s="191" t="s">
        <v>42</v>
      </c>
      <c r="J341" s="192">
        <f ca="1">C187+D187+E187+F187+H187</f>
        <v>121609.98510712218</v>
      </c>
      <c r="K341" s="192"/>
      <c r="L341" s="192"/>
      <c r="N341" s="191" t="s">
        <v>42</v>
      </c>
      <c r="O341" s="192" cm="1">
        <f t="array" aca="1" ref="O341" ca="1">J341+SUM(SUMIFS(DEALS!$AT:$AT,DEALS!$E:$E,$C$4,DEALS!$G:$G,N341,DEALS!$A:$A,{"*EXECUTED*","*SETTLED*"},DEALS!$C:$C,"*IMPORT*"))</f>
        <v>121609.98510712218</v>
      </c>
      <c r="P341" s="192"/>
      <c r="Q341" s="192"/>
    </row>
    <row r="342" spans="3:17" ht="18.75" customHeight="1">
      <c r="C342" s="189" t="s">
        <v>43</v>
      </c>
      <c r="D342" s="190">
        <f ca="1">BALANCES!E178</f>
        <v>67969.044233513036</v>
      </c>
      <c r="F342" s="189" t="s">
        <v>43</v>
      </c>
      <c r="G342" s="190">
        <f ca="1">I215</f>
        <v>54354.711063551702</v>
      </c>
      <c r="I342" s="189" t="s">
        <v>43</v>
      </c>
      <c r="J342" s="190">
        <f ca="1">C215+D215+E215+F215+H215</f>
        <v>54354.711063551702</v>
      </c>
      <c r="K342" s="190"/>
      <c r="L342" s="190"/>
      <c r="N342" s="189" t="s">
        <v>43</v>
      </c>
      <c r="O342" s="190" cm="1">
        <f t="array" aca="1" ref="O342" ca="1">J342+SUM(SUMIFS(DEALS!$AT:$AT,DEALS!$E:$E,$C$4,DEALS!$G:$G,N342,DEALS!$A:$A,{"*EXECUTED*","*SETTLED*"},DEALS!$C:$C,"*IMPORT*"))</f>
        <v>54354.711063551702</v>
      </c>
      <c r="P342" s="190"/>
      <c r="Q342" s="190"/>
    </row>
    <row r="343" spans="3:17" ht="18.75" customHeight="1">
      <c r="C343" s="191" t="s">
        <v>44</v>
      </c>
      <c r="D343" s="192">
        <f ca="1">BALANCES!E184</f>
        <v>816.49</v>
      </c>
      <c r="F343" s="191" t="s">
        <v>44</v>
      </c>
      <c r="G343" s="192">
        <f ca="1">I243</f>
        <v>816.49</v>
      </c>
      <c r="I343" s="191" t="s">
        <v>44</v>
      </c>
      <c r="J343" s="192">
        <f ca="1">C243+D243+E243+F243+G243+H243</f>
        <v>816.49</v>
      </c>
      <c r="K343" s="192"/>
      <c r="L343" s="192"/>
      <c r="N343" s="191" t="s">
        <v>44</v>
      </c>
      <c r="O343" s="192" cm="1">
        <f t="array" aca="1" ref="O343" ca="1">J343+SUM(SUMIFS(DEALS!$AT:$AT,DEALS!$E:$E,$C$4,DEALS!$G:$G,N343,DEALS!$A:$A,{"*EXECUTED*","*SETTLED*"},DEALS!$C:$C,"*IMPORT*"))</f>
        <v>816.49</v>
      </c>
      <c r="P343" s="192"/>
      <c r="Q343" s="192"/>
    </row>
    <row r="344" spans="3:17" ht="18.75" customHeight="1">
      <c r="C344" s="298" t="s">
        <v>45</v>
      </c>
      <c r="D344" s="299">
        <f ca="1">BALANCES!E198</f>
        <v>2496202.5979107236</v>
      </c>
      <c r="F344" s="298" t="s">
        <v>45</v>
      </c>
      <c r="G344" s="299">
        <f ca="1">I271</f>
        <v>2335533.437910724</v>
      </c>
      <c r="I344" s="298" t="s">
        <v>45</v>
      </c>
      <c r="J344" s="299">
        <f ca="1">C271+D271+E271+F271+G271+H271</f>
        <v>2335533.437910724</v>
      </c>
      <c r="K344" s="299"/>
      <c r="L344" s="299"/>
      <c r="N344" s="298" t="s">
        <v>45</v>
      </c>
      <c r="O344" s="299" cm="1">
        <f t="array" aca="1" ref="O344" ca="1">J344+SUM(SUMIFS(DEALS!$AT:$AT,DEALS!$E:$E,$C$4,DEALS!$G:$G,N344,DEALS!$A:$A,{"*EXECUTED*","*SETTLED*"},DEALS!$C:$C,"*IMPORT*"))</f>
        <v>2026832.1493953909</v>
      </c>
      <c r="P344" s="299"/>
      <c r="Q344" s="299"/>
    </row>
    <row r="345" spans="3:17" ht="18.75" customHeight="1">
      <c r="C345" s="200" t="s">
        <v>11</v>
      </c>
      <c r="D345" s="201">
        <f ca="1">SUM(D336:D344)</f>
        <v>14712467.241180051</v>
      </c>
      <c r="F345" s="200" t="s">
        <v>11</v>
      </c>
      <c r="G345" s="201">
        <f ca="1">SUM(G336:G344)</f>
        <v>7595462.2232043613</v>
      </c>
      <c r="I345" s="200" t="s">
        <v>11</v>
      </c>
      <c r="J345" s="201">
        <f ca="1">SUM(J336:J344)</f>
        <v>7444398.170321377</v>
      </c>
      <c r="K345" s="201"/>
      <c r="L345" s="201"/>
      <c r="N345" s="200" t="s">
        <v>11</v>
      </c>
      <c r="O345" s="201">
        <f ca="1">SUM(O336:O344)</f>
        <v>5161421.7889715657</v>
      </c>
      <c r="P345" s="201"/>
      <c r="Q345" s="201"/>
    </row>
    <row r="346" spans="3:17" ht="18.75" customHeight="1">
      <c r="P346" s="207"/>
    </row>
    <row r="347" spans="3:17" ht="18.75" customHeight="1">
      <c r="F347" s="340"/>
      <c r="O347" s="207"/>
      <c r="P347" s="207"/>
    </row>
    <row r="348" spans="3:17" ht="18.75" hidden="1" customHeight="1">
      <c r="N348" s="11" t="s">
        <v>61</v>
      </c>
      <c r="O348" s="11" t="s">
        <v>11</v>
      </c>
      <c r="P348" s="11"/>
      <c r="Q348" s="11"/>
    </row>
    <row r="349" spans="3:17" ht="18.75" hidden="1" customHeight="1">
      <c r="N349" s="189" t="s">
        <v>0</v>
      </c>
      <c r="O349" s="190">
        <f ca="1">O336</f>
        <v>-100714.89630459704</v>
      </c>
      <c r="P349" s="190">
        <f>-P336</f>
        <v>0</v>
      </c>
      <c r="Q349" s="190"/>
    </row>
    <row r="350" spans="3:17" ht="18.75" hidden="1" customHeight="1">
      <c r="N350" s="191" t="s">
        <v>27</v>
      </c>
      <c r="O350" s="192">
        <f ca="1">O337</f>
        <v>3441456.3285239828</v>
      </c>
      <c r="P350" s="192"/>
      <c r="Q350" s="192"/>
    </row>
    <row r="351" spans="3:17" ht="18.75" hidden="1" customHeight="1">
      <c r="N351" s="189" t="s">
        <v>31</v>
      </c>
      <c r="O351" s="190">
        <f ca="1">O338</f>
        <v>835871.98610369989</v>
      </c>
      <c r="P351" s="190"/>
      <c r="Q351" s="190"/>
    </row>
    <row r="352" spans="3:17" ht="18.75" hidden="1" customHeight="1">
      <c r="N352" s="191" t="s">
        <v>39</v>
      </c>
      <c r="O352" s="192">
        <f ca="1">O339+O340-P339</f>
        <v>-1384083.9474427719</v>
      </c>
      <c r="P352" s="192">
        <f ca="1">-P339</f>
        <v>-165278.9825251865</v>
      </c>
      <c r="Q352" s="192" t="s">
        <v>13</v>
      </c>
    </row>
    <row r="353" spans="3:19" ht="18.75" hidden="1" customHeight="1" thickBot="1">
      <c r="N353" s="198" t="s">
        <v>42</v>
      </c>
      <c r="O353" s="199">
        <f ca="1">O342</f>
        <v>54354.711063551702</v>
      </c>
      <c r="P353" s="199"/>
      <c r="Q353" s="199"/>
    </row>
    <row r="354" spans="3:19" ht="18.75" hidden="1" customHeight="1">
      <c r="N354" s="198"/>
      <c r="O354" s="199" cm="1">
        <f t="array" ref="O354">J354+SUM(SUMIFS(DEALS!$AT:$AT,DEALS!$E:$E,$C$4,DEALS!$G:$G,N354,DEALS!$A:$A,{"*EXECUTED*","*SETTLED*"},DEALS!$C:$C,"*IMPORT*"))</f>
        <v>0</v>
      </c>
      <c r="P354" s="199"/>
      <c r="Q354" s="199"/>
    </row>
    <row r="355" spans="3:19" ht="18.75" hidden="1" customHeight="1">
      <c r="N355" s="200" t="s">
        <v>11</v>
      </c>
      <c r="O355" s="201">
        <f ca="1">SUM(O349:O354)+P353</f>
        <v>2846884.1819438655</v>
      </c>
      <c r="P355" s="201"/>
      <c r="Q355" s="201"/>
    </row>
    <row r="356" spans="3:19" ht="18.75" customHeight="1">
      <c r="C356" s="544" t="s">
        <v>62</v>
      </c>
      <c r="D356" s="545" t="e">
        <f>SUM(D357:D361)</f>
        <v>#REF!</v>
      </c>
      <c r="F356" s="338"/>
    </row>
    <row r="357" spans="3:19" ht="18.75" customHeight="1">
      <c r="C357" s="546" t="s">
        <v>63</v>
      </c>
      <c r="D357" s="547">
        <f>FLOWS!C28/3.6725</f>
        <v>-816882.23281143641</v>
      </c>
      <c r="F357" s="338"/>
      <c r="G357" s="338"/>
    </row>
    <row r="358" spans="3:19" ht="18.75" customHeight="1">
      <c r="C358" s="546" t="s">
        <v>31</v>
      </c>
      <c r="D358" s="547" t="e">
        <f>FLOWS!#REF!/3.6725+FLOWS!C9</f>
        <v>#REF!</v>
      </c>
      <c r="G358" s="339"/>
    </row>
    <row r="359" spans="3:19" ht="18.75" customHeight="1">
      <c r="C359" s="546" t="s">
        <v>64</v>
      </c>
      <c r="D359" s="547" t="e">
        <f>SUM(FLOWS!#REF!)</f>
        <v>#REF!</v>
      </c>
    </row>
    <row r="360" spans="3:19" ht="18.75" customHeight="1">
      <c r="C360" s="546" t="s">
        <v>65</v>
      </c>
      <c r="D360" s="547" t="e">
        <f>DEALS!#REF!+DEALS!#REF!+DEALS!#REF!+DEALS!#REF!+DEALS!#REF!-500000</f>
        <v>#REF!</v>
      </c>
      <c r="N360" s="589" t="s">
        <v>66</v>
      </c>
      <c r="O360" s="589"/>
      <c r="P360" s="589"/>
      <c r="Q360" s="589"/>
      <c r="R360" s="589"/>
      <c r="S360" s="589"/>
    </row>
    <row r="361" spans="3:19" ht="18.75" customHeight="1">
      <c r="C361" s="546" t="s">
        <v>13</v>
      </c>
      <c r="D361" s="547">
        <v>-120000</v>
      </c>
    </row>
    <row r="362" spans="3:19" ht="18.75" customHeight="1">
      <c r="C362" s="546"/>
      <c r="D362" s="546"/>
      <c r="N362" s="11" t="s">
        <v>61</v>
      </c>
      <c r="O362" s="11" t="s">
        <v>11</v>
      </c>
      <c r="P362" s="11" t="s">
        <v>67</v>
      </c>
      <c r="Q362" s="11" t="s">
        <v>68</v>
      </c>
      <c r="R362" s="594" t="s">
        <v>69</v>
      </c>
      <c r="S362" s="594"/>
    </row>
    <row r="363" spans="3:19" ht="18.75" customHeight="1">
      <c r="C363" s="544" t="s">
        <v>70</v>
      </c>
      <c r="D363" s="548" t="e">
        <f ca="1">D345+D356</f>
        <v>#REF!</v>
      </c>
      <c r="N363" s="189" t="s">
        <v>0</v>
      </c>
      <c r="O363" s="190">
        <f>VLOOKUP($C$4,LQDT!$A:$AK,2,FALSE)</f>
        <v>4</v>
      </c>
      <c r="P363" s="190" t="str">
        <f>VLOOKUP($C$4,LQDT!$A:$AK,3,FALSE)</f>
        <v>USD</v>
      </c>
      <c r="Q363" s="190" t="str">
        <f>VLOOKUP($C$4,LQDT!$A:$AK,4,FALSE)</f>
        <v>TOD</v>
      </c>
      <c r="R363" s="590">
        <f>VLOOKUP($C$4,LQDT!$A:$AK,5,FALSE)</f>
        <v>0</v>
      </c>
      <c r="S363" s="590"/>
    </row>
    <row r="364" spans="3:19" ht="18.75" customHeight="1">
      <c r="N364" s="191" t="s">
        <v>27</v>
      </c>
      <c r="O364" s="192">
        <f>VLOOKUP($C$4,LQDT!$A:$AK,6,FALSE)</f>
        <v>3000001</v>
      </c>
      <c r="P364" s="192" t="str">
        <f>VLOOKUP($C$4,LQDT!$A:$AK,7,FALSE)</f>
        <v>USD</v>
      </c>
      <c r="Q364" s="192" t="str">
        <f>VLOOKUP($C$4,LQDT!$A:$AK,8,FALSE)</f>
        <v>TOD</v>
      </c>
      <c r="R364" s="591">
        <f>VLOOKUP($C$4,LQDT!$A:$AK,9,FALSE)</f>
        <v>0</v>
      </c>
      <c r="S364" s="591"/>
    </row>
    <row r="365" spans="3:19" ht="18.75" customHeight="1">
      <c r="N365" s="189" t="s">
        <v>31</v>
      </c>
      <c r="O365" s="190">
        <f>VLOOKUP($C$4,LQDT!$A:$AK,10,FALSE)</f>
        <v>3</v>
      </c>
      <c r="P365" s="190" t="str">
        <f>VLOOKUP($C$4,LQDT!$A:$AK,11,FALSE)</f>
        <v>USD</v>
      </c>
      <c r="Q365" s="190" t="str">
        <f>VLOOKUP($C$4,LQDT!$A:$AK,12,FALSE)</f>
        <v>TOD</v>
      </c>
      <c r="R365" s="590">
        <f>VLOOKUP($C$4,LQDT!$A:$AK,13,FALSE)</f>
        <v>0</v>
      </c>
      <c r="S365" s="590"/>
    </row>
    <row r="366" spans="3:19" ht="25.5" customHeight="1">
      <c r="N366" s="191" t="s">
        <v>71</v>
      </c>
      <c r="O366" s="192">
        <f>VLOOKUP($C$4,LQDT!$A:$AK,14,FALSE)</f>
        <v>0</v>
      </c>
      <c r="P366" s="192" t="str">
        <f>VLOOKUP($C$4,LQDT!$A:$AK,15,FALSE)</f>
        <v>USD</v>
      </c>
      <c r="Q366" s="192" t="str">
        <f>VLOOKUP($C$4,LQDT!$A:$AK,16,FALSE)</f>
        <v>TOD</v>
      </c>
      <c r="R366" s="592"/>
      <c r="S366" s="592"/>
    </row>
    <row r="367" spans="3:19" ht="18.75" customHeight="1">
      <c r="N367" s="189" t="s">
        <v>42</v>
      </c>
      <c r="O367" s="190">
        <f>VLOOKUP($C$4,LQDT!$A:$AK,18,FALSE)</f>
        <v>6</v>
      </c>
      <c r="P367" s="190" t="str">
        <f>VLOOKUP($C$4,LQDT!$A:$AK,19,FALSE)</f>
        <v>USD</v>
      </c>
      <c r="Q367" s="190" t="str">
        <f>VLOOKUP($C$4,LQDT!$A:$AK,20,FALSE)</f>
        <v>TOD</v>
      </c>
      <c r="R367" s="590">
        <f>VLOOKUP($C$4,LQDT!$A:$AK,21,FALSE)</f>
        <v>0</v>
      </c>
      <c r="S367" s="590"/>
    </row>
    <row r="368" spans="3:19" ht="18.75" customHeight="1">
      <c r="N368" s="191" t="s">
        <v>43</v>
      </c>
      <c r="O368" s="192">
        <f>VLOOKUP($C$4,LQDT!$A:$AK,22,FALSE)</f>
        <v>133</v>
      </c>
      <c r="P368" s="192" t="str">
        <f>VLOOKUP($C$4,LQDT!$A:$AK,23,FALSE)</f>
        <v>USD</v>
      </c>
      <c r="Q368" s="192" t="str">
        <f>VLOOKUP($C$4,LQDT!$A:$AK,24,FALSE)</f>
        <v>TOD</v>
      </c>
      <c r="R368" s="591">
        <f>VLOOKUP($C$4,LQDT!$A:$AK,25,FALSE)</f>
        <v>0</v>
      </c>
      <c r="S368" s="591"/>
    </row>
    <row r="369" spans="14:19" ht="18.75" customHeight="1">
      <c r="N369" s="189" t="s">
        <v>44</v>
      </c>
      <c r="O369" s="190">
        <f>VLOOKUP($C$4,LQDT!$A:$AK,26,FALSE)</f>
        <v>43</v>
      </c>
      <c r="P369" s="190" t="str">
        <f>VLOOKUP($C$4,LQDT!$A:$AK,27,FALSE)</f>
        <v>USD</v>
      </c>
      <c r="Q369" s="190" t="str">
        <f>VLOOKUP($C$4,LQDT!$A:$AK,28,FALSE)</f>
        <v>TOD</v>
      </c>
      <c r="R369" s="590">
        <f>VLOOKUP($C$4,LQDT!$A:$AK,29,FALSE)</f>
        <v>0</v>
      </c>
      <c r="S369" s="590"/>
    </row>
    <row r="370" spans="14:19" ht="18.75" customHeight="1">
      <c r="N370" s="191" t="s">
        <v>45</v>
      </c>
      <c r="O370" s="192">
        <f>VLOOKUP($C$4,LQDT!$A:$AK,30,FALSE)</f>
        <v>2200000</v>
      </c>
      <c r="P370" s="192" t="str">
        <f>VLOOKUP($C$4,LQDT!$A:$AK,31,FALSE)</f>
        <v>USD</v>
      </c>
      <c r="Q370" s="192" t="str">
        <f>VLOOKUP($C$4,LQDT!$A:$AK,32,FALSE)</f>
        <v>TOD</v>
      </c>
      <c r="R370" s="591">
        <f>VLOOKUP($C$4,LQDT!$A:$AK,33,FALSE)</f>
        <v>0</v>
      </c>
      <c r="S370" s="591"/>
    </row>
    <row r="371" spans="14:19" ht="18.75" customHeight="1">
      <c r="N371" s="298" t="s">
        <v>53</v>
      </c>
      <c r="O371" s="299">
        <f>VLOOKUP($C$4,LQDT!$A:$AK,34,FALSE)</f>
        <v>68474</v>
      </c>
      <c r="P371" s="299" t="str">
        <f>VLOOKUP($C$4,LQDT!$A:$AK,35,FALSE)</f>
        <v>USDT</v>
      </c>
      <c r="Q371" s="299">
        <f>VLOOKUP($C$4,LQDT!$A:$AK,36,FALSE)</f>
        <v>0</v>
      </c>
      <c r="R371" s="588">
        <f>VLOOKUP($C$4,LQDT!$A:$AK,37,FALSE)</f>
        <v>0</v>
      </c>
      <c r="S371" s="588"/>
    </row>
    <row r="372" spans="14:19" ht="18.75" customHeight="1">
      <c r="N372" s="200" t="s">
        <v>72</v>
      </c>
      <c r="O372" s="201">
        <f>SUM(O363:O371)</f>
        <v>5268664</v>
      </c>
      <c r="P372" s="382"/>
      <c r="Q372" s="382"/>
      <c r="R372" s="383"/>
      <c r="S372" s="383"/>
    </row>
    <row r="373" spans="14:19" ht="18.75" customHeight="1">
      <c r="N373" s="200" t="s">
        <v>11</v>
      </c>
      <c r="O373" s="201">
        <v>0</v>
      </c>
      <c r="P373" s="201"/>
      <c r="Q373" s="201"/>
      <c r="R373" s="587"/>
      <c r="S373" s="587"/>
    </row>
    <row r="374" spans="14:19" ht="18.75" customHeight="1">
      <c r="N374" s="200" t="s">
        <v>53</v>
      </c>
      <c r="O374" s="201"/>
      <c r="P374" s="201"/>
      <c r="Q374" s="201"/>
      <c r="R374" s="587"/>
      <c r="S374" s="587"/>
    </row>
    <row r="375" spans="14:19" ht="18.75" customHeight="1">
      <c r="N375" s="200" t="s">
        <v>73</v>
      </c>
      <c r="O375" s="201">
        <v>0</v>
      </c>
      <c r="P375" s="201"/>
      <c r="Q375" s="201"/>
      <c r="R375" s="587"/>
      <c r="S375" s="587"/>
    </row>
    <row r="383" spans="14:19" ht="22.5" customHeight="1"/>
  </sheetData>
  <mergeCells count="57">
    <mergeCell ref="B2:I2"/>
    <mergeCell ref="B96:I96"/>
    <mergeCell ref="K96:R96"/>
    <mergeCell ref="T96:AA96"/>
    <mergeCell ref="K2:R2"/>
    <mergeCell ref="T2:AA2"/>
    <mergeCell ref="B30:I30"/>
    <mergeCell ref="K30:R30"/>
    <mergeCell ref="T30:AA30"/>
    <mergeCell ref="B58:I58"/>
    <mergeCell ref="K58:R58"/>
    <mergeCell ref="T58:AA58"/>
    <mergeCell ref="B86:I86"/>
    <mergeCell ref="K86:R86"/>
    <mergeCell ref="T86:AA86"/>
    <mergeCell ref="T124:AA124"/>
    <mergeCell ref="C333:D333"/>
    <mergeCell ref="F333:G333"/>
    <mergeCell ref="B152:I152"/>
    <mergeCell ref="K152:R152"/>
    <mergeCell ref="T152:AA152"/>
    <mergeCell ref="N333:Q333"/>
    <mergeCell ref="I333:L333"/>
    <mergeCell ref="B163:I163"/>
    <mergeCell ref="K163:R163"/>
    <mergeCell ref="T163:AA163"/>
    <mergeCell ref="B303:I303"/>
    <mergeCell ref="K303:R303"/>
    <mergeCell ref="T303:AA303"/>
    <mergeCell ref="T191:AA191"/>
    <mergeCell ref="B219:I219"/>
    <mergeCell ref="B124:I124"/>
    <mergeCell ref="K124:R124"/>
    <mergeCell ref="R362:S362"/>
    <mergeCell ref="B191:I191"/>
    <mergeCell ref="K191:R191"/>
    <mergeCell ref="B247:I247"/>
    <mergeCell ref="K247:R247"/>
    <mergeCell ref="B275:I275"/>
    <mergeCell ref="T247:AA247"/>
    <mergeCell ref="K219:R219"/>
    <mergeCell ref="T219:AA219"/>
    <mergeCell ref="R373:S373"/>
    <mergeCell ref="R374:S374"/>
    <mergeCell ref="R368:S368"/>
    <mergeCell ref="K275:R275"/>
    <mergeCell ref="T275:AA275"/>
    <mergeCell ref="R375:S375"/>
    <mergeCell ref="R371:S371"/>
    <mergeCell ref="N360:S360"/>
    <mergeCell ref="R367:S367"/>
    <mergeCell ref="R364:S364"/>
    <mergeCell ref="R363:S363"/>
    <mergeCell ref="R366:S366"/>
    <mergeCell ref="R365:S365"/>
    <mergeCell ref="R369:S369"/>
    <mergeCell ref="R370:S370"/>
  </mergeCells>
  <dataValidations count="2">
    <dataValidation type="date" operator="greaterThan" allowBlank="1" showInputMessage="1" showErrorMessage="1" sqref="U98 U126 U154 U88 U165 U305" xr:uid="{A60EF679-3DDD-49F8-97E0-3F7888F1447D}">
      <formula1>C88</formula1>
    </dataValidation>
    <dataValidation allowBlank="1" showInputMessage="1" showErrorMessage="1" sqref="U193 U221 U249 U277" xr:uid="{94098E99-3A7F-4CCB-8BED-39774AE280D2}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DDB6114-2C1A-42F9-83DA-123BCA33E909}">
          <x14:formula1>
            <xm:f>DATA!$D$2:$D$51</xm:f>
          </x14:formula1>
          <xm:sqref>B101:B118 T63:T80 T35:T52 K129:K146 T252:T269 K168:K185 K7:K24 B7:B24 T7:T24 K196:K213 K224:K241 K35:K52 B35:B52 K63:K80 B63:B80 K101:K118 T101:T118 T129:T146 B129:B146 T168:T185 B168:B185 T196:T213 B196:B213 T224:T241 B224:B241 B252:B269 K252:K269 T308:T325 B308:B325 K308:K325 T280:T297 B280:B297 K280:K297</xm:sqref>
        </x14:dataValidation>
        <x14:dataValidation type="list" allowBlank="1" showInputMessage="1" showErrorMessage="1" xr:uid="{632327DA-F5A5-4519-9225-37A1C603DF79}">
          <x14:formula1>
            <xm:f>DATA!$C$2:$C$51</xm:f>
          </x14:formula1>
          <xm:sqref>C6:H6 C156:H156 C128:H128 C100:H100 C34:H34 C62:H62 C90:H90 C167:H167 C307:H307 C195:H195 C223:H223 C251:H251 C279:H279</xm:sqref>
        </x14:dataValidation>
        <x14:dataValidation type="list" allowBlank="1" showInputMessage="1" showErrorMessage="1" xr:uid="{BF0BBA55-4B31-45C2-A88F-D6CB62F78E95}">
          <x14:formula1>
            <xm:f>DATA!$C$2:$C$5</xm:f>
          </x14:formula1>
          <xm:sqref>L6:Q6 U6:Z6 L100:Q100 U100:Z100 L128:Q128 U128:Z128 L156:Q156 U156:Z156 L34:Q34 U34:Z34 L62:Q62 U62:Z62 L90:Q90 U90:Z90 L167:Q167 U167:Z167 L307:Q307 U307:Z307 L195:Q195 U195:Z195 L223:Q223 U223:Z223 L251:Q251 U251:Z251 L279:Q279 U279:Z279</xm:sqref>
        </x14:dataValidation>
        <x14:dataValidation type="list" allowBlank="1" showInputMessage="1" showErrorMessage="1" xr:uid="{FB5B72E4-98B7-4E61-AFD8-1CF9AFAED972}">
          <x14:formula1>
            <xm:f>DATA!$E$2:$E$15</xm:f>
          </x14:formula1>
          <xm:sqref>B96 B2 B124 B30 B58 B163 B191 B303 N349:N354</xm:sqref>
        </x14:dataValidation>
        <x14:dataValidation type="list" allowBlank="1" showInputMessage="1" showErrorMessage="1" xr:uid="{A3E8CBF5-AA65-4581-8190-A1F5B96728B7}">
          <x14:formula1>
            <xm:f>DATA!$E$2:$E$50</xm:f>
          </x14:formula1>
          <xm:sqref>B247:I247 B219:I219 C336:C344 F336:F344 I336:I344 N336:N344 B275:I275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9E45-D7E7-3743-88BE-A5F36C14AF93}">
  <sheetPr codeName="Sheet3">
    <tabColor theme="8"/>
  </sheetPr>
  <dimension ref="A1:BM260"/>
  <sheetViews>
    <sheetView topLeftCell="A189" zoomScale="110" zoomScaleNormal="110" workbookViewId="0">
      <pane xSplit="5" topLeftCell="G1" activePane="topRight" state="frozen"/>
      <selection activeCell="A3" sqref="A3"/>
      <selection pane="topRight" activeCell="G213" sqref="G213:G220"/>
    </sheetView>
  </sheetViews>
  <sheetFormatPr baseColWidth="10" defaultColWidth="10.33203125" defaultRowHeight="15.75" customHeight="1"/>
  <cols>
    <col min="1" max="1" width="6.5" style="2" customWidth="1"/>
    <col min="2" max="2" width="10.33203125" style="2"/>
    <col min="3" max="3" width="21.5" style="88" customWidth="1"/>
    <col min="4" max="4" width="11.33203125" style="2" customWidth="1"/>
    <col min="5" max="5" width="23.5" style="130" customWidth="1"/>
    <col min="6" max="6" width="0.5" style="235" hidden="1" customWidth="1"/>
    <col min="7" max="7" width="16.1640625" style="350" customWidth="1"/>
    <col min="8" max="8" width="14.5" style="5" customWidth="1"/>
    <col min="9" max="9" width="7.33203125" style="5" customWidth="1"/>
    <col min="10" max="10" width="32.5" style="5" customWidth="1"/>
    <col min="11" max="12" width="23.83203125" style="2" customWidth="1"/>
    <col min="13" max="13" width="10.33203125" style="2"/>
    <col min="14" max="14" width="13.5" style="2" bestFit="1" customWidth="1"/>
    <col min="15" max="16" width="10.33203125" style="2"/>
    <col min="17" max="17" width="10.33203125" style="2" customWidth="1"/>
    <col min="18" max="41" width="10.33203125" style="2"/>
    <col min="42" max="42" width="17.5" style="2" customWidth="1"/>
    <col min="43" max="16384" width="10.33203125" style="2"/>
  </cols>
  <sheetData>
    <row r="1" spans="1:65" ht="16.5" customHeight="1">
      <c r="A1" s="6" t="s">
        <v>74</v>
      </c>
      <c r="B1" s="596">
        <v>46073</v>
      </c>
      <c r="C1" s="596"/>
      <c r="D1" s="596"/>
      <c r="E1" s="596"/>
      <c r="H1" s="274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5"/>
      <c r="BH1" s="235"/>
      <c r="BI1" s="235"/>
      <c r="BJ1" s="235"/>
      <c r="BK1" s="235"/>
      <c r="BL1" s="235"/>
      <c r="BM1" s="235"/>
    </row>
    <row r="2" spans="1:65" ht="16">
      <c r="A2" s="3" t="s">
        <v>61</v>
      </c>
      <c r="B2" s="3" t="s">
        <v>4</v>
      </c>
      <c r="C2" s="3" t="s">
        <v>75</v>
      </c>
      <c r="D2" s="3" t="s">
        <v>33</v>
      </c>
      <c r="E2" s="3" t="s">
        <v>76</v>
      </c>
      <c r="H2" s="274"/>
      <c r="I2" s="235"/>
      <c r="J2" s="3" t="s">
        <v>77</v>
      </c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 t="s">
        <v>78</v>
      </c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K2" s="235"/>
      <c r="BL2" s="235"/>
      <c r="BM2" s="235"/>
    </row>
    <row r="3" spans="1:65" ht="16">
      <c r="A3" s="241" t="s">
        <v>0</v>
      </c>
      <c r="B3" s="241" t="s">
        <v>13</v>
      </c>
      <c r="C3" s="133">
        <v>2197.0300000000002</v>
      </c>
      <c r="D3" s="241" t="s">
        <v>5</v>
      </c>
      <c r="E3" s="242">
        <f>C3*VLOOKUP(D3,'FX RATES'!$E$1:$F$20,2,FALSE)</f>
        <v>2197.0300000000002</v>
      </c>
      <c r="F3" s="243"/>
      <c r="G3" s="561"/>
      <c r="H3" s="274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/>
      <c r="BF3" s="235"/>
      <c r="BG3" s="235"/>
      <c r="BH3" s="235"/>
      <c r="BI3" s="235"/>
      <c r="BJ3" s="235"/>
      <c r="BK3" s="235"/>
      <c r="BL3" s="235"/>
      <c r="BM3" s="235"/>
    </row>
    <row r="4" spans="1:65" ht="16">
      <c r="A4" s="241" t="s">
        <v>0</v>
      </c>
      <c r="B4" s="241" t="s">
        <v>13</v>
      </c>
      <c r="C4" s="133">
        <v>44.88</v>
      </c>
      <c r="D4" s="241" t="s">
        <v>6</v>
      </c>
      <c r="E4" s="242">
        <f ca="1">C4*VLOOKUP(D4,'FX RATES'!$E$1:$F$20,2,FALSE)</f>
        <v>52.868639999999999</v>
      </c>
      <c r="F4" s="243"/>
      <c r="G4" s="561">
        <f t="shared" ref="G4:G14" ca="1" si="0">E4</f>
        <v>52.868639999999999</v>
      </c>
      <c r="H4" s="274"/>
      <c r="I4" s="235" t="s">
        <v>79</v>
      </c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</row>
    <row r="5" spans="1:65" ht="16">
      <c r="A5" s="241" t="s">
        <v>0</v>
      </c>
      <c r="B5" s="241" t="s">
        <v>13</v>
      </c>
      <c r="C5" s="133">
        <v>54.77</v>
      </c>
      <c r="D5" s="241" t="s">
        <v>7</v>
      </c>
      <c r="E5" s="242">
        <f ca="1">C5*VLOOKUP(D5,'FX RATES'!$E$1:$F$20,2,FALSE)</f>
        <v>7.9284887087434859</v>
      </c>
      <c r="F5" s="243"/>
      <c r="G5" s="561">
        <f t="shared" ca="1" si="0"/>
        <v>7.9284887087434859</v>
      </c>
      <c r="H5" s="274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</row>
    <row r="6" spans="1:65" ht="16">
      <c r="A6" s="241" t="s">
        <v>0</v>
      </c>
      <c r="B6" s="241" t="s">
        <v>13</v>
      </c>
      <c r="C6" s="133">
        <v>6221.49</v>
      </c>
      <c r="D6" s="241" t="s">
        <v>8</v>
      </c>
      <c r="E6" s="242">
        <f ca="1">C6*VLOOKUP(D6,'FX RATES'!$E$1:$F$20,2,FALSE)</f>
        <v>1694.0287534716549</v>
      </c>
      <c r="F6" s="243"/>
      <c r="G6" s="561">
        <f t="shared" ca="1" si="0"/>
        <v>1694.0287534716549</v>
      </c>
      <c r="H6" s="274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</row>
    <row r="7" spans="1:65" ht="14.25" customHeight="1">
      <c r="A7" s="244" t="s">
        <v>0</v>
      </c>
      <c r="B7" s="244" t="s">
        <v>14</v>
      </c>
      <c r="C7" s="134">
        <v>553787.69999999995</v>
      </c>
      <c r="D7" s="244" t="s">
        <v>5</v>
      </c>
      <c r="E7" s="245">
        <f>C7*VLOOKUP(D7,'FX RATES'!$E$1:$F$20,2,FALSE)</f>
        <v>553787.69999999995</v>
      </c>
      <c r="F7" s="246"/>
      <c r="G7" s="565">
        <f t="shared" si="0"/>
        <v>553787.69999999995</v>
      </c>
      <c r="H7" s="274"/>
      <c r="I7" s="235"/>
      <c r="J7" s="431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</row>
    <row r="8" spans="1:65" ht="16">
      <c r="A8" s="244" t="s">
        <v>0</v>
      </c>
      <c r="B8" s="244" t="s">
        <v>14</v>
      </c>
      <c r="C8" s="134">
        <v>893.77</v>
      </c>
      <c r="D8" s="244" t="s">
        <v>6</v>
      </c>
      <c r="E8" s="245">
        <f ca="1">C8*VLOOKUP(D8,'FX RATES'!$E$1:$F$20,2,FALSE)</f>
        <v>1052.86106</v>
      </c>
      <c r="F8" s="239"/>
      <c r="G8" s="565">
        <f t="shared" ca="1" si="0"/>
        <v>1052.86106</v>
      </c>
      <c r="H8" s="274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</row>
    <row r="9" spans="1:65" ht="16">
      <c r="A9" s="244" t="s">
        <v>0</v>
      </c>
      <c r="B9" s="244" t="s">
        <v>14</v>
      </c>
      <c r="C9" s="134">
        <v>6100.28</v>
      </c>
      <c r="D9" s="244" t="s">
        <v>7</v>
      </c>
      <c r="E9" s="245">
        <f ca="1">C9*VLOOKUP(D9,'FX RATES'!$E$1:$F$20,2,FALSE)</f>
        <v>883.0746960046323</v>
      </c>
      <c r="F9" s="239"/>
      <c r="G9" s="565">
        <f t="shared" ca="1" si="0"/>
        <v>883.0746960046323</v>
      </c>
      <c r="H9" s="274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5"/>
      <c r="BM9" s="235"/>
    </row>
    <row r="10" spans="1:65" ht="16">
      <c r="A10" s="244" t="s">
        <v>0</v>
      </c>
      <c r="B10" s="244" t="s">
        <v>14</v>
      </c>
      <c r="C10" s="134">
        <v>1577693.51</v>
      </c>
      <c r="D10" s="244" t="s">
        <v>8</v>
      </c>
      <c r="E10" s="245">
        <f ca="1">C10*VLOOKUP(D10,'FX RATES'!$E$1:$F$20,2,FALSE)</f>
        <v>429584.90170451452</v>
      </c>
      <c r="F10" s="247"/>
      <c r="G10" s="565">
        <f ca="1">E10</f>
        <v>429584.90170451452</v>
      </c>
      <c r="H10" s="274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</row>
    <row r="11" spans="1:65" ht="16">
      <c r="A11" s="248" t="s">
        <v>0</v>
      </c>
      <c r="B11" s="248" t="s">
        <v>15</v>
      </c>
      <c r="C11" s="249">
        <v>2916.76</v>
      </c>
      <c r="D11" s="248" t="s">
        <v>5</v>
      </c>
      <c r="E11" s="250">
        <f>C11*VLOOKUP(D11,'FX RATES'!$E$1:$F$20,2,FALSE)</f>
        <v>2916.76</v>
      </c>
      <c r="F11" s="203"/>
      <c r="G11" s="561">
        <f t="shared" si="0"/>
        <v>2916.76</v>
      </c>
      <c r="H11" s="274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</row>
    <row r="12" spans="1:65" ht="16">
      <c r="A12" s="248" t="s">
        <v>0</v>
      </c>
      <c r="B12" s="248" t="s">
        <v>15</v>
      </c>
      <c r="C12" s="249">
        <v>712.19</v>
      </c>
      <c r="D12" s="248" t="s">
        <v>6</v>
      </c>
      <c r="E12" s="250">
        <f ca="1">C12*VLOOKUP(D12,'FX RATES'!$E$1:$F$20,2,FALSE)</f>
        <v>838.95982000000004</v>
      </c>
      <c r="F12" s="203"/>
      <c r="G12" s="561">
        <f t="shared" ca="1" si="0"/>
        <v>838.95982000000004</v>
      </c>
      <c r="H12" s="274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</row>
    <row r="13" spans="1:65" ht="16">
      <c r="A13" s="248" t="s">
        <v>0</v>
      </c>
      <c r="B13" s="248" t="s">
        <v>15</v>
      </c>
      <c r="C13" s="249">
        <v>0</v>
      </c>
      <c r="D13" s="248" t="s">
        <v>7</v>
      </c>
      <c r="E13" s="250">
        <f ca="1">C13*VLOOKUP(D13,'FX RATES'!$E$1:$F$20,2,FALSE)</f>
        <v>0</v>
      </c>
      <c r="F13" s="203"/>
      <c r="G13" s="561">
        <f t="shared" ca="1" si="0"/>
        <v>0</v>
      </c>
      <c r="H13" s="274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</row>
    <row r="14" spans="1:65" ht="16">
      <c r="A14" s="248" t="s">
        <v>0</v>
      </c>
      <c r="B14" s="248" t="s">
        <v>15</v>
      </c>
      <c r="C14" s="249">
        <v>4430.6099999999997</v>
      </c>
      <c r="D14" s="248" t="s">
        <v>8</v>
      </c>
      <c r="E14" s="250">
        <f ca="1">C14*VLOOKUP(D14,'FX RATES'!$E$1:$F$20,2,FALSE)</f>
        <v>1206.3960137232477</v>
      </c>
      <c r="F14" s="203"/>
      <c r="G14" s="562">
        <f t="shared" ca="1" si="0"/>
        <v>1206.3960137232477</v>
      </c>
      <c r="H14" s="274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</row>
    <row r="15" spans="1:65" ht="16">
      <c r="A15" s="255" t="s">
        <v>0</v>
      </c>
      <c r="B15" s="255" t="s">
        <v>16</v>
      </c>
      <c r="C15" s="256">
        <v>1080.98</v>
      </c>
      <c r="D15" s="255" t="s">
        <v>5</v>
      </c>
      <c r="E15" s="257">
        <f>C15*VLOOKUP(D15,'FX RATES'!$E$1:$F$20,2,FALSE)</f>
        <v>1080.98</v>
      </c>
      <c r="F15" s="239"/>
      <c r="G15" s="561" t="s">
        <v>80</v>
      </c>
      <c r="H15" s="274"/>
      <c r="I15" s="235"/>
      <c r="J15" s="235"/>
      <c r="K15" s="235"/>
      <c r="L15" s="235"/>
      <c r="M15" s="235" t="s">
        <v>38</v>
      </c>
      <c r="N15" s="235"/>
      <c r="O15" s="235"/>
      <c r="P15" s="235"/>
      <c r="Q15" s="235"/>
      <c r="R15" s="235"/>
      <c r="S15" s="235"/>
      <c r="T15" s="235"/>
      <c r="U15" s="235" t="s">
        <v>38</v>
      </c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235"/>
      <c r="BG15" s="235"/>
      <c r="BH15" s="235"/>
      <c r="BI15" s="235"/>
      <c r="BJ15" s="235"/>
      <c r="BK15" s="235"/>
      <c r="BL15" s="235"/>
      <c r="BM15" s="235"/>
    </row>
    <row r="16" spans="1:65" ht="16">
      <c r="A16" s="255" t="s">
        <v>0</v>
      </c>
      <c r="B16" s="255" t="s">
        <v>16</v>
      </c>
      <c r="C16" s="256">
        <v>0</v>
      </c>
      <c r="D16" s="255" t="s">
        <v>6</v>
      </c>
      <c r="E16" s="257">
        <f ca="1">C16*VLOOKUP(D16,'FX RATES'!$E$1:$F$20,2,FALSE)</f>
        <v>0</v>
      </c>
      <c r="F16" s="239"/>
      <c r="G16" s="561">
        <f t="shared" ref="G16:G21" ca="1" si="1">E16</f>
        <v>0</v>
      </c>
      <c r="H16" s="274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  <c r="BJ16" s="235"/>
      <c r="BK16" s="235"/>
      <c r="BL16" s="235"/>
      <c r="BM16" s="235"/>
    </row>
    <row r="17" spans="1:65" ht="16">
      <c r="A17" s="255" t="s">
        <v>0</v>
      </c>
      <c r="B17" s="255" t="s">
        <v>16</v>
      </c>
      <c r="C17" s="256">
        <v>0</v>
      </c>
      <c r="D17" s="255" t="s">
        <v>7</v>
      </c>
      <c r="E17" s="257">
        <f ca="1">C17*VLOOKUP(D17,'FX RATES'!$E$1:$F$20,2,FALSE)</f>
        <v>0</v>
      </c>
      <c r="F17" s="239"/>
      <c r="G17" s="561">
        <f t="shared" ca="1" si="1"/>
        <v>0</v>
      </c>
      <c r="H17" s="274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</row>
    <row r="18" spans="1:65" ht="16">
      <c r="A18" s="255" t="s">
        <v>0</v>
      </c>
      <c r="B18" s="255" t="s">
        <v>16</v>
      </c>
      <c r="C18" s="256">
        <v>164092.25</v>
      </c>
      <c r="D18" s="255" t="s">
        <v>8</v>
      </c>
      <c r="E18" s="257">
        <f ca="1">C18*VLOOKUP(D18,'FX RATES'!$E$1:$F$20,2,FALSE)</f>
        <v>44680.131242171759</v>
      </c>
      <c r="F18" s="247"/>
      <c r="G18" s="561">
        <f t="shared" ca="1" si="1"/>
        <v>44680.131242171759</v>
      </c>
      <c r="H18" s="274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</row>
    <row r="19" spans="1:65" ht="16">
      <c r="A19" s="294" t="s">
        <v>0</v>
      </c>
      <c r="B19" s="294" t="s">
        <v>17</v>
      </c>
      <c r="C19" s="295">
        <v>12811.26</v>
      </c>
      <c r="D19" s="294" t="s">
        <v>5</v>
      </c>
      <c r="E19" s="296">
        <f>C19*VLOOKUP(D19,'FX RATES'!$E$1:$F$20,2,FALSE)</f>
        <v>12811.26</v>
      </c>
      <c r="F19" s="247"/>
      <c r="G19" s="561">
        <f t="shared" si="1"/>
        <v>12811.26</v>
      </c>
      <c r="H19" s="274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</row>
    <row r="20" spans="1:65" ht="16">
      <c r="A20" s="294" t="s">
        <v>0</v>
      </c>
      <c r="B20" s="294" t="s">
        <v>17</v>
      </c>
      <c r="C20" s="295">
        <v>2901.34</v>
      </c>
      <c r="D20" s="294" t="s">
        <v>6</v>
      </c>
      <c r="E20" s="296">
        <f ca="1">C20*VLOOKUP(D20,'FX RATES'!$E$1:$F$20,2,FALSE)</f>
        <v>3417.7785199999998</v>
      </c>
      <c r="F20" s="247"/>
      <c r="G20" s="561">
        <f t="shared" ca="1" si="1"/>
        <v>3417.7785199999998</v>
      </c>
      <c r="H20" s="274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35"/>
      <c r="BL20" s="235"/>
      <c r="BM20" s="235"/>
    </row>
    <row r="21" spans="1:65" ht="16">
      <c r="A21" s="294" t="s">
        <v>0</v>
      </c>
      <c r="B21" s="294" t="s">
        <v>17</v>
      </c>
      <c r="C21" s="295">
        <v>0</v>
      </c>
      <c r="D21" s="294" t="s">
        <v>7</v>
      </c>
      <c r="E21" s="296">
        <f ca="1">C21*VLOOKUP(D21,'FX RATES'!$E$1:$F$20,2,FALSE)</f>
        <v>0</v>
      </c>
      <c r="F21" s="247"/>
      <c r="G21" s="561">
        <f t="shared" ca="1" si="1"/>
        <v>0</v>
      </c>
      <c r="H21" s="274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35"/>
      <c r="BE21" s="235"/>
      <c r="BF21" s="235"/>
      <c r="BG21" s="235"/>
      <c r="BH21" s="235"/>
      <c r="BI21" s="235"/>
      <c r="BJ21" s="235"/>
      <c r="BK21" s="235"/>
      <c r="BL21" s="235"/>
      <c r="BM21" s="235"/>
    </row>
    <row r="22" spans="1:65" ht="16">
      <c r="A22" s="294" t="s">
        <v>0</v>
      </c>
      <c r="B22" s="294" t="s">
        <v>17</v>
      </c>
      <c r="C22" s="295">
        <v>172343.49</v>
      </c>
      <c r="D22" s="294" t="s">
        <v>8</v>
      </c>
      <c r="E22" s="296">
        <f ca="1">C22*VLOOKUP(D22,'FX RATES'!$E$1:$F$20,2,FALSE)</f>
        <v>46926.833850677991</v>
      </c>
      <c r="F22" s="247"/>
      <c r="G22" s="561">
        <f ca="1">E22</f>
        <v>46926.833850677991</v>
      </c>
      <c r="H22" s="274"/>
      <c r="I22" s="235"/>
      <c r="J22" s="235"/>
      <c r="K22" s="235"/>
      <c r="L22" s="235"/>
      <c r="M22" s="240"/>
      <c r="N22" s="235"/>
      <c r="O22" s="235"/>
      <c r="P22" s="235" t="s">
        <v>38</v>
      </c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</row>
    <row r="23" spans="1:65" ht="16">
      <c r="A23" s="385" t="s">
        <v>0</v>
      </c>
      <c r="B23" s="385" t="s">
        <v>20</v>
      </c>
      <c r="C23" s="386">
        <v>703.27</v>
      </c>
      <c r="D23" s="385" t="s">
        <v>5</v>
      </c>
      <c r="E23" s="387">
        <f>C23*VLOOKUP(D23,'FX RATES'!$E$1:$F$20,2,FALSE)</f>
        <v>703.27</v>
      </c>
      <c r="F23" s="247"/>
      <c r="G23" s="561"/>
      <c r="H23" s="274"/>
      <c r="I23" s="235" t="s">
        <v>81</v>
      </c>
      <c r="J23" s="235"/>
      <c r="K23" s="235"/>
      <c r="L23" s="235"/>
      <c r="M23" s="240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</row>
    <row r="24" spans="1:65" ht="16">
      <c r="A24" s="385" t="s">
        <v>0</v>
      </c>
      <c r="B24" s="385" t="s">
        <v>20</v>
      </c>
      <c r="C24" s="386">
        <v>0</v>
      </c>
      <c r="D24" s="385" t="s">
        <v>6</v>
      </c>
      <c r="E24" s="387">
        <f ca="1">C24*VLOOKUP(D24,'FX RATES'!$E$1:$F$20,2,FALSE)</f>
        <v>0</v>
      </c>
      <c r="F24" s="247"/>
      <c r="G24" s="561"/>
      <c r="H24" s="274"/>
      <c r="I24" s="235"/>
      <c r="J24" s="235"/>
      <c r="K24" s="235"/>
      <c r="L24" s="235"/>
      <c r="M24" s="240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</row>
    <row r="25" spans="1:65" ht="16">
      <c r="A25" s="385" t="s">
        <v>0</v>
      </c>
      <c r="B25" s="385" t="s">
        <v>20</v>
      </c>
      <c r="C25" s="386">
        <v>0.5</v>
      </c>
      <c r="D25" s="385" t="s">
        <v>7</v>
      </c>
      <c r="E25" s="387">
        <f ca="1">C25*VLOOKUP(D25,'FX RATES'!$E$1:$F$20,2,FALSE)</f>
        <v>7.2379849449913145E-2</v>
      </c>
      <c r="F25" s="247"/>
      <c r="G25" s="561"/>
      <c r="H25" s="274"/>
      <c r="I25" s="235"/>
      <c r="J25" s="235"/>
      <c r="K25" s="235"/>
      <c r="L25" s="235"/>
      <c r="M25" s="240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</row>
    <row r="26" spans="1:65" ht="16">
      <c r="A26" s="385" t="s">
        <v>0</v>
      </c>
      <c r="B26" s="385" t="s">
        <v>20</v>
      </c>
      <c r="C26" s="386">
        <v>56383.25</v>
      </c>
      <c r="D26" s="385" t="s">
        <v>8</v>
      </c>
      <c r="E26" s="387">
        <f ca="1">C26*VLOOKUP(D26,'FX RATES'!$E$1:$F$20,2,FALSE)</f>
        <v>15352.407014104449</v>
      </c>
      <c r="F26" s="247"/>
      <c r="G26" s="561"/>
      <c r="H26" s="274"/>
      <c r="I26" s="235"/>
      <c r="J26" s="235"/>
      <c r="K26" s="235"/>
      <c r="L26" s="235"/>
      <c r="M26" s="240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</row>
    <row r="27" spans="1:65" ht="16">
      <c r="A27" s="260" t="s">
        <v>0</v>
      </c>
      <c r="B27" s="260" t="s">
        <v>18</v>
      </c>
      <c r="C27" s="146">
        <v>6486.39</v>
      </c>
      <c r="D27" s="260" t="s">
        <v>5</v>
      </c>
      <c r="E27" s="261">
        <f>C27*VLOOKUP(D27,'FX RATES'!$E$1:$F$20,2,FALSE)</f>
        <v>6486.39</v>
      </c>
      <c r="F27" s="254" t="s">
        <v>82</v>
      </c>
      <c r="G27" s="351">
        <f t="shared" ref="G27:G40" si="2">E27</f>
        <v>6486.39</v>
      </c>
      <c r="H27" s="274" t="s">
        <v>83</v>
      </c>
      <c r="I27" s="235"/>
      <c r="J27" s="235"/>
      <c r="K27" s="235" t="s">
        <v>38</v>
      </c>
      <c r="L27" s="235"/>
      <c r="M27" s="240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  <c r="BJ27" s="235"/>
      <c r="BK27" s="235"/>
      <c r="BL27" s="235"/>
      <c r="BM27" s="235"/>
    </row>
    <row r="28" spans="1:65" ht="16">
      <c r="A28" s="260" t="s">
        <v>0</v>
      </c>
      <c r="B28" s="260" t="s">
        <v>18</v>
      </c>
      <c r="C28" s="146">
        <v>0</v>
      </c>
      <c r="D28" s="260" t="s">
        <v>6</v>
      </c>
      <c r="E28" s="261">
        <f ca="1">C28*VLOOKUP(D28,'FX RATES'!$E$1:$F$20,2,FALSE)</f>
        <v>0</v>
      </c>
      <c r="F28" s="254" t="s">
        <v>82</v>
      </c>
      <c r="G28" s="351">
        <f t="shared" ca="1" si="2"/>
        <v>0</v>
      </c>
      <c r="H28" s="274"/>
      <c r="I28" s="235"/>
      <c r="J28" s="235"/>
      <c r="K28" s="235"/>
      <c r="L28" s="235"/>
      <c r="M28" s="240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35"/>
      <c r="BE28" s="235"/>
      <c r="BF28" s="235"/>
      <c r="BG28" s="235"/>
      <c r="BH28" s="235"/>
      <c r="BI28" s="235"/>
      <c r="BJ28" s="235"/>
      <c r="BK28" s="235"/>
      <c r="BL28" s="235"/>
      <c r="BM28" s="235"/>
    </row>
    <row r="29" spans="1:65" ht="16">
      <c r="A29" s="260" t="s">
        <v>0</v>
      </c>
      <c r="B29" s="260" t="s">
        <v>18</v>
      </c>
      <c r="C29" s="146">
        <v>0</v>
      </c>
      <c r="D29" s="260" t="s">
        <v>7</v>
      </c>
      <c r="E29" s="261">
        <f ca="1">C29*VLOOKUP(D29,'FX RATES'!$E$1:$F$20,2,FALSE)</f>
        <v>0</v>
      </c>
      <c r="F29" s="254" t="s">
        <v>82</v>
      </c>
      <c r="G29" s="351">
        <f t="shared" ca="1" si="2"/>
        <v>0</v>
      </c>
      <c r="H29" s="274"/>
      <c r="I29" s="235"/>
      <c r="J29" s="235"/>
      <c r="K29" s="235"/>
      <c r="L29" s="235"/>
      <c r="M29" s="240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 t="s">
        <v>38</v>
      </c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</row>
    <row r="30" spans="1:65" ht="16">
      <c r="A30" s="260" t="s">
        <v>0</v>
      </c>
      <c r="B30" s="260" t="s">
        <v>18</v>
      </c>
      <c r="C30" s="146">
        <v>2284.19</v>
      </c>
      <c r="D30" s="260" t="s">
        <v>8</v>
      </c>
      <c r="E30" s="261">
        <f ca="1">C30*VLOOKUP(D30,'FX RATES'!$E$1:$F$20,2,FALSE)</f>
        <v>621.95447366987958</v>
      </c>
      <c r="F30" s="254" t="s">
        <v>82</v>
      </c>
      <c r="G30" s="351">
        <f t="shared" ca="1" si="2"/>
        <v>621.95447366987958</v>
      </c>
      <c r="H30" s="274"/>
      <c r="I30" s="235"/>
      <c r="J30" s="235"/>
      <c r="K30" s="235"/>
      <c r="L30" s="235"/>
      <c r="M30" s="240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</row>
    <row r="31" spans="1:65" ht="16">
      <c r="A31" s="262" t="s">
        <v>0</v>
      </c>
      <c r="B31" s="262" t="s">
        <v>19</v>
      </c>
      <c r="C31" s="193">
        <v>33041.58</v>
      </c>
      <c r="D31" s="262" t="s">
        <v>5</v>
      </c>
      <c r="E31" s="263">
        <f>C31*VLOOKUP(D31,'FX RATES'!$E$1:$F$20,2,FALSE)</f>
        <v>33041.58</v>
      </c>
      <c r="F31" s="247"/>
      <c r="G31" s="561">
        <f t="shared" si="2"/>
        <v>33041.58</v>
      </c>
      <c r="H31" s="274"/>
      <c r="I31" s="264"/>
      <c r="J31" s="264"/>
      <c r="K31" s="235"/>
      <c r="L31" s="235"/>
      <c r="M31" s="240"/>
      <c r="N31" s="235" t="s">
        <v>84</v>
      </c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</row>
    <row r="32" spans="1:65" ht="16">
      <c r="A32" s="262" t="s">
        <v>0</v>
      </c>
      <c r="B32" s="262" t="s">
        <v>19</v>
      </c>
      <c r="C32" s="193">
        <v>6449.57</v>
      </c>
      <c r="D32" s="262" t="s">
        <v>6</v>
      </c>
      <c r="E32" s="263">
        <f ca="1">C32*VLOOKUP(D32,'FX RATES'!$E$1:$F$20,2,FALSE)</f>
        <v>7597.5934599999991</v>
      </c>
      <c r="F32" s="246"/>
      <c r="G32" s="561">
        <f t="shared" ca="1" si="2"/>
        <v>7597.5934599999991</v>
      </c>
      <c r="H32" s="274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5"/>
      <c r="BJ32" s="235"/>
      <c r="BK32" s="235"/>
      <c r="BL32" s="235"/>
      <c r="BM32" s="235"/>
    </row>
    <row r="33" spans="1:65" ht="16">
      <c r="A33" s="262" t="s">
        <v>0</v>
      </c>
      <c r="B33" s="262" t="s">
        <v>19</v>
      </c>
      <c r="C33" s="193">
        <v>0</v>
      </c>
      <c r="D33" s="262" t="s">
        <v>7</v>
      </c>
      <c r="E33" s="263">
        <f ca="1">C33*VLOOKUP(D33,'FX RATES'!$E$1:$F$20,2,FALSE)</f>
        <v>0</v>
      </c>
      <c r="F33" s="239"/>
      <c r="G33" s="561">
        <f t="shared" ca="1" si="2"/>
        <v>0</v>
      </c>
      <c r="H33" s="274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</row>
    <row r="34" spans="1:65" ht="16">
      <c r="A34" s="262" t="s">
        <v>0</v>
      </c>
      <c r="B34" s="262" t="s">
        <v>19</v>
      </c>
      <c r="C34" s="193">
        <v>0</v>
      </c>
      <c r="D34" s="262" t="s">
        <v>8</v>
      </c>
      <c r="E34" s="263">
        <f ca="1">C34*VLOOKUP(D34,'FX RATES'!$E$1:$F$20,2,FALSE)</f>
        <v>0</v>
      </c>
      <c r="F34" s="239"/>
      <c r="G34" s="561">
        <f t="shared" ca="1" si="2"/>
        <v>0</v>
      </c>
      <c r="H34" s="274" t="s">
        <v>38</v>
      </c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5"/>
      <c r="BH34" s="235"/>
      <c r="BI34" s="235"/>
      <c r="BJ34" s="235"/>
      <c r="BK34" s="235"/>
      <c r="BL34" s="235"/>
      <c r="BM34" s="235"/>
    </row>
    <row r="35" spans="1:65" ht="16">
      <c r="A35" s="258" t="s">
        <v>0</v>
      </c>
      <c r="B35" s="258" t="s">
        <v>85</v>
      </c>
      <c r="C35" s="135">
        <v>0</v>
      </c>
      <c r="D35" s="258" t="s">
        <v>5</v>
      </c>
      <c r="E35" s="259">
        <f>C35*VLOOKUP(D35,'FX RATES'!$E$1:$F$20,2,FALSE)</f>
        <v>0</v>
      </c>
      <c r="F35" s="254" t="s">
        <v>82</v>
      </c>
      <c r="G35" s="561">
        <f t="shared" si="2"/>
        <v>0</v>
      </c>
      <c r="H35" s="274" t="s">
        <v>86</v>
      </c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5"/>
      <c r="BH35" s="235"/>
      <c r="BI35" s="235"/>
      <c r="BJ35" s="235"/>
      <c r="BK35" s="235"/>
      <c r="BL35" s="235"/>
      <c r="BM35" s="235"/>
    </row>
    <row r="36" spans="1:65" ht="16">
      <c r="A36" s="258" t="s">
        <v>0</v>
      </c>
      <c r="B36" s="258" t="s">
        <v>85</v>
      </c>
      <c r="C36" s="135">
        <v>0</v>
      </c>
      <c r="D36" s="258" t="s">
        <v>6</v>
      </c>
      <c r="E36" s="259">
        <f ca="1">C36*VLOOKUP(D36,'FX RATES'!$E$1:$F$20,2,FALSE)</f>
        <v>0</v>
      </c>
      <c r="F36" s="254" t="s">
        <v>82</v>
      </c>
      <c r="G36" s="561">
        <f t="shared" ca="1" si="2"/>
        <v>0</v>
      </c>
      <c r="H36" s="274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5"/>
      <c r="BH36" s="235"/>
      <c r="BI36" s="235"/>
      <c r="BJ36" s="235"/>
      <c r="BK36" s="235"/>
      <c r="BL36" s="235"/>
      <c r="BM36" s="235"/>
    </row>
    <row r="37" spans="1:65" ht="16">
      <c r="A37" s="258" t="s">
        <v>0</v>
      </c>
      <c r="B37" s="258" t="s">
        <v>85</v>
      </c>
      <c r="C37" s="135">
        <v>0</v>
      </c>
      <c r="D37" s="258" t="s">
        <v>7</v>
      </c>
      <c r="E37" s="259">
        <f ca="1">C37*VLOOKUP(D37,'FX RATES'!$E$1:$F$20,2,FALSE)</f>
        <v>0</v>
      </c>
      <c r="F37" s="254" t="s">
        <v>82</v>
      </c>
      <c r="G37" s="561">
        <f t="shared" ca="1" si="2"/>
        <v>0</v>
      </c>
      <c r="H37" s="274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5"/>
      <c r="BH37" s="235"/>
      <c r="BI37" s="235"/>
      <c r="BJ37" s="235"/>
      <c r="BK37" s="235"/>
      <c r="BL37" s="235"/>
      <c r="BM37" s="235"/>
    </row>
    <row r="38" spans="1:65" ht="16">
      <c r="A38" s="258" t="s">
        <v>0</v>
      </c>
      <c r="B38" s="258" t="s">
        <v>85</v>
      </c>
      <c r="C38" s="135">
        <v>0</v>
      </c>
      <c r="D38" s="258" t="s">
        <v>8</v>
      </c>
      <c r="E38" s="259">
        <f ca="1">C38*VLOOKUP(D38,'FX RATES'!$E$1:$F$20,2,FALSE)</f>
        <v>0</v>
      </c>
      <c r="F38" s="254" t="s">
        <v>82</v>
      </c>
      <c r="G38" s="561">
        <f t="shared" ca="1" si="2"/>
        <v>0</v>
      </c>
      <c r="H38" s="274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</row>
    <row r="39" spans="1:65" ht="16">
      <c r="A39" s="320" t="s">
        <v>0</v>
      </c>
      <c r="B39" s="320" t="s">
        <v>21</v>
      </c>
      <c r="C39" s="321">
        <v>0.52</v>
      </c>
      <c r="D39" s="320" t="s">
        <v>5</v>
      </c>
      <c r="E39" s="322">
        <f>C39*VLOOKUP(D39,'FX RATES'!$E$1:$F$20,2,FALSE)</f>
        <v>0.52</v>
      </c>
      <c r="F39" s="254" t="s">
        <v>87</v>
      </c>
      <c r="G39" s="561">
        <f t="shared" si="2"/>
        <v>0.52</v>
      </c>
      <c r="H39" s="274" t="s">
        <v>86</v>
      </c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35"/>
      <c r="BB39" s="235"/>
      <c r="BC39" s="235"/>
      <c r="BD39" s="235"/>
      <c r="BE39" s="235"/>
      <c r="BF39" s="235"/>
      <c r="BG39" s="235"/>
      <c r="BH39" s="235"/>
      <c r="BI39" s="235"/>
      <c r="BJ39" s="235"/>
      <c r="BK39" s="235"/>
      <c r="BL39" s="235"/>
      <c r="BM39" s="235"/>
    </row>
    <row r="40" spans="1:65" ht="16">
      <c r="A40" s="320" t="s">
        <v>0</v>
      </c>
      <c r="B40" s="320" t="s">
        <v>21</v>
      </c>
      <c r="C40" s="321">
        <v>0</v>
      </c>
      <c r="D40" s="320" t="s">
        <v>6</v>
      </c>
      <c r="E40" s="322">
        <v>1210</v>
      </c>
      <c r="F40" s="254" t="s">
        <v>87</v>
      </c>
      <c r="G40" s="561">
        <f t="shared" si="2"/>
        <v>1210</v>
      </c>
      <c r="H40" s="274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5"/>
      <c r="BD40" s="235"/>
      <c r="BE40" s="235"/>
      <c r="BF40" s="235"/>
      <c r="BG40" s="235"/>
      <c r="BH40" s="235"/>
      <c r="BI40" s="235"/>
      <c r="BJ40" s="235"/>
      <c r="BK40" s="235"/>
      <c r="BL40" s="235"/>
      <c r="BM40" s="235"/>
    </row>
    <row r="41" spans="1:65" ht="16">
      <c r="A41" s="320" t="s">
        <v>0</v>
      </c>
      <c r="B41" s="320" t="s">
        <v>21</v>
      </c>
      <c r="C41" s="321">
        <v>80965.19</v>
      </c>
      <c r="D41" s="320" t="s">
        <v>7</v>
      </c>
      <c r="E41" s="322">
        <f ca="1">C41*VLOOKUP(D41,'FX RATES'!$E$1:$F$20,2,FALSE)</f>
        <v>11720.496525767227</v>
      </c>
      <c r="F41" s="254" t="s">
        <v>87</v>
      </c>
      <c r="G41" s="561"/>
      <c r="H41" s="274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 t="s">
        <v>88</v>
      </c>
      <c r="V41" s="235"/>
      <c r="W41" s="235"/>
      <c r="X41" s="235"/>
      <c r="Y41" s="235"/>
      <c r="Z41" s="235" t="s">
        <v>89</v>
      </c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235"/>
      <c r="BB41" s="235"/>
      <c r="BC41" s="235"/>
      <c r="BD41" s="235"/>
      <c r="BE41" s="235"/>
      <c r="BF41" s="235"/>
      <c r="BG41" s="235"/>
      <c r="BH41" s="235"/>
      <c r="BI41" s="235"/>
      <c r="BJ41" s="235"/>
      <c r="BK41" s="235"/>
      <c r="BL41" s="235"/>
      <c r="BM41" s="235"/>
    </row>
    <row r="42" spans="1:65" ht="16">
      <c r="A42" s="320" t="s">
        <v>0</v>
      </c>
      <c r="B42" s="320" t="s">
        <v>21</v>
      </c>
      <c r="C42" s="321">
        <v>0</v>
      </c>
      <c r="D42" s="320" t="s">
        <v>8</v>
      </c>
      <c r="E42" s="322">
        <f ca="1">C42*VLOOKUP(D42,'FX RATES'!$E$1:$F$20,2,FALSE)</f>
        <v>0</v>
      </c>
      <c r="F42" s="254" t="s">
        <v>87</v>
      </c>
      <c r="G42" s="561"/>
      <c r="H42" s="274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  <c r="BA42" s="235"/>
      <c r="BB42" s="235"/>
      <c r="BC42" s="235"/>
      <c r="BD42" s="235"/>
      <c r="BE42" s="235"/>
      <c r="BF42" s="235"/>
      <c r="BG42" s="235"/>
      <c r="BH42" s="235"/>
      <c r="BI42" s="235"/>
      <c r="BJ42" s="235"/>
      <c r="BK42" s="235"/>
      <c r="BL42" s="235"/>
      <c r="BM42" s="235"/>
    </row>
    <row r="43" spans="1:65" ht="16">
      <c r="A43" s="317" t="s">
        <v>0</v>
      </c>
      <c r="B43" s="317" t="s">
        <v>90</v>
      </c>
      <c r="C43" s="318">
        <v>0</v>
      </c>
      <c r="D43" s="317" t="s">
        <v>5</v>
      </c>
      <c r="E43" s="319">
        <f>C43*VLOOKUP(D43,'FX RATES'!$E$1:$F$20,2,FALSE)</f>
        <v>0</v>
      </c>
      <c r="F43" s="254" t="s">
        <v>82</v>
      </c>
      <c r="G43" s="561">
        <f t="shared" ref="G43:G51" si="3">E43</f>
        <v>0</v>
      </c>
      <c r="H43" s="274" t="s">
        <v>86</v>
      </c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</row>
    <row r="44" spans="1:65" ht="16">
      <c r="A44" s="317" t="s">
        <v>0</v>
      </c>
      <c r="B44" s="317" t="s">
        <v>90</v>
      </c>
      <c r="C44" s="318">
        <v>0</v>
      </c>
      <c r="D44" s="317" t="s">
        <v>6</v>
      </c>
      <c r="E44" s="319">
        <f ca="1">C44*VLOOKUP(D44,'FX RATES'!$E$1:$F$20,2,FALSE)</f>
        <v>0</v>
      </c>
      <c r="F44" s="254" t="s">
        <v>82</v>
      </c>
      <c r="G44" s="561">
        <f t="shared" ca="1" si="3"/>
        <v>0</v>
      </c>
      <c r="H44" s="274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235"/>
      <c r="BC44" s="235"/>
      <c r="BD44" s="235"/>
      <c r="BE44" s="235"/>
      <c r="BF44" s="235"/>
      <c r="BG44" s="235"/>
      <c r="BH44" s="235"/>
      <c r="BI44" s="235"/>
      <c r="BJ44" s="235"/>
      <c r="BK44" s="235"/>
      <c r="BL44" s="235"/>
      <c r="BM44" s="235"/>
    </row>
    <row r="45" spans="1:65" ht="16">
      <c r="A45" s="317" t="s">
        <v>0</v>
      </c>
      <c r="B45" s="317" t="s">
        <v>90</v>
      </c>
      <c r="C45" s="318">
        <v>3313.36</v>
      </c>
      <c r="D45" s="317" t="s">
        <v>7</v>
      </c>
      <c r="E45" s="319">
        <f ca="1">C45*VLOOKUP(D45,'FX RATES'!$E$1:$F$20,2,FALSE)</f>
        <v>479.64099594672842</v>
      </c>
      <c r="F45" s="254" t="s">
        <v>82</v>
      </c>
      <c r="G45" s="561">
        <f t="shared" ca="1" si="3"/>
        <v>479.64099594672842</v>
      </c>
      <c r="H45" s="274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235"/>
      <c r="BB45" s="235"/>
      <c r="BC45" s="235"/>
      <c r="BD45" s="235"/>
      <c r="BE45" s="235"/>
      <c r="BF45" s="235"/>
      <c r="BG45" s="235"/>
      <c r="BH45" s="235"/>
      <c r="BI45" s="235"/>
      <c r="BJ45" s="235"/>
      <c r="BK45" s="235"/>
      <c r="BL45" s="235"/>
      <c r="BM45" s="235"/>
    </row>
    <row r="46" spans="1:65" ht="16">
      <c r="A46" s="317" t="s">
        <v>0</v>
      </c>
      <c r="B46" s="317" t="s">
        <v>90</v>
      </c>
      <c r="C46" s="318">
        <v>0</v>
      </c>
      <c r="D46" s="317" t="s">
        <v>8</v>
      </c>
      <c r="E46" s="319">
        <f ca="1">C46*VLOOKUP(D46,'FX RATES'!$E$1:$F$20,2,FALSE)</f>
        <v>0</v>
      </c>
      <c r="F46" s="254" t="s">
        <v>82</v>
      </c>
      <c r="G46" s="561">
        <f t="shared" ca="1" si="3"/>
        <v>0</v>
      </c>
      <c r="H46" s="274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 t="s">
        <v>38</v>
      </c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  <c r="BD46" s="235"/>
      <c r="BE46" s="235"/>
      <c r="BF46" s="235"/>
      <c r="BG46" s="235"/>
      <c r="BH46" s="235"/>
      <c r="BI46" s="235"/>
      <c r="BJ46" s="235"/>
      <c r="BK46" s="235"/>
      <c r="BL46" s="235"/>
      <c r="BM46" s="235"/>
    </row>
    <row r="47" spans="1:65" ht="16">
      <c r="A47" s="312" t="s">
        <v>0</v>
      </c>
      <c r="B47" s="312" t="s">
        <v>22</v>
      </c>
      <c r="C47" s="315">
        <v>0</v>
      </c>
      <c r="D47" s="312" t="s">
        <v>5</v>
      </c>
      <c r="E47" s="314">
        <f>C47*VLOOKUP(D47,'FX RATES'!$E$1:$F$20,2,FALSE)</f>
        <v>0</v>
      </c>
      <c r="F47" s="254" t="s">
        <v>87</v>
      </c>
      <c r="G47" s="561">
        <f t="shared" si="3"/>
        <v>0</v>
      </c>
      <c r="H47" s="274" t="s">
        <v>86</v>
      </c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235"/>
      <c r="BB47" s="235"/>
      <c r="BC47" s="235"/>
      <c r="BD47" s="235"/>
      <c r="BE47" s="235"/>
      <c r="BF47" s="235"/>
      <c r="BG47" s="235"/>
      <c r="BH47" s="235"/>
      <c r="BI47" s="235"/>
      <c r="BJ47" s="235"/>
      <c r="BK47" s="235"/>
      <c r="BL47" s="235"/>
      <c r="BM47" s="235"/>
    </row>
    <row r="48" spans="1:65" ht="16">
      <c r="A48" s="312" t="s">
        <v>0</v>
      </c>
      <c r="B48" s="312" t="s">
        <v>22</v>
      </c>
      <c r="C48" s="315">
        <v>0</v>
      </c>
      <c r="D48" s="312" t="s">
        <v>6</v>
      </c>
      <c r="E48" s="314">
        <f ca="1">C48*VLOOKUP(D48,'FX RATES'!$E$1:$F$20,2,FALSE)</f>
        <v>0</v>
      </c>
      <c r="F48" s="254" t="s">
        <v>87</v>
      </c>
      <c r="G48" s="561">
        <f t="shared" ca="1" si="3"/>
        <v>0</v>
      </c>
      <c r="H48" s="274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35"/>
      <c r="BB48" s="235"/>
      <c r="BC48" s="235"/>
      <c r="BD48" s="235"/>
      <c r="BE48" s="235"/>
      <c r="BF48" s="235"/>
      <c r="BG48" s="235"/>
      <c r="BH48" s="235"/>
      <c r="BI48" s="235"/>
      <c r="BJ48" s="235"/>
      <c r="BK48" s="235"/>
      <c r="BL48" s="235"/>
      <c r="BM48" s="235"/>
    </row>
    <row r="49" spans="1:65" ht="16">
      <c r="A49" s="312" t="s">
        <v>0</v>
      </c>
      <c r="B49" s="312" t="s">
        <v>22</v>
      </c>
      <c r="C49" s="315">
        <v>9899.35</v>
      </c>
      <c r="D49" s="312" t="s">
        <v>7</v>
      </c>
      <c r="E49" s="314">
        <f ca="1">C49*VLOOKUP(D49,'FX RATES'!$E$1:$F$20,2,FALSE)</f>
        <v>1433.0269253039955</v>
      </c>
      <c r="F49" s="254" t="s">
        <v>87</v>
      </c>
      <c r="G49" s="561">
        <f t="shared" ca="1" si="3"/>
        <v>1433.0269253039955</v>
      </c>
      <c r="H49" s="274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</row>
    <row r="50" spans="1:65" ht="16">
      <c r="A50" s="312" t="s">
        <v>0</v>
      </c>
      <c r="B50" s="312" t="s">
        <v>22</v>
      </c>
      <c r="C50" s="315">
        <v>0</v>
      </c>
      <c r="D50" s="312" t="s">
        <v>48</v>
      </c>
      <c r="E50" s="314">
        <f ca="1">C50*VLOOKUP(D50,'FX RATES'!$E$1:$F$20,2,FALSE)</f>
        <v>0</v>
      </c>
      <c r="F50" s="254" t="s">
        <v>87</v>
      </c>
      <c r="G50" s="561">
        <f t="shared" ca="1" si="3"/>
        <v>0</v>
      </c>
      <c r="H50" s="274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35"/>
      <c r="BK50" s="235"/>
      <c r="BL50" s="235"/>
      <c r="BM50" s="235"/>
    </row>
    <row r="51" spans="1:65" ht="16">
      <c r="A51" s="312" t="s">
        <v>0</v>
      </c>
      <c r="B51" s="312" t="s">
        <v>22</v>
      </c>
      <c r="C51" s="316">
        <v>0</v>
      </c>
      <c r="D51" s="312" t="s">
        <v>8</v>
      </c>
      <c r="E51" s="314">
        <f ca="1">C51*VLOOKUP(D51,'FX RATES'!$E$1:$F$20,2,FALSE)</f>
        <v>0</v>
      </c>
      <c r="F51" s="254" t="s">
        <v>87</v>
      </c>
      <c r="G51" s="561">
        <f t="shared" ca="1" si="3"/>
        <v>0</v>
      </c>
      <c r="H51" s="274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5"/>
      <c r="BG51" s="235"/>
      <c r="BH51" s="235"/>
      <c r="BI51" s="235"/>
      <c r="BJ51" s="235"/>
      <c r="BK51" s="235"/>
      <c r="BL51" s="235"/>
      <c r="BM51" s="235"/>
    </row>
    <row r="52" spans="1:65" ht="16">
      <c r="A52" s="258" t="s">
        <v>0</v>
      </c>
      <c r="B52" s="258" t="s">
        <v>25</v>
      </c>
      <c r="C52" s="136">
        <v>1.01</v>
      </c>
      <c r="D52" s="258" t="s">
        <v>7</v>
      </c>
      <c r="E52" s="259">
        <f ca="1">C52*VLOOKUP(D52,'FX RATES'!$E$1:$F$20,2,FALSE)</f>
        <v>0.14620729588882456</v>
      </c>
      <c r="F52" s="239"/>
      <c r="G52" s="561"/>
      <c r="H52" s="274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35"/>
      <c r="BK52" s="235"/>
      <c r="BL52" s="235"/>
      <c r="BM52" s="235"/>
    </row>
    <row r="53" spans="1:65" ht="16">
      <c r="A53" s="258" t="s">
        <v>0</v>
      </c>
      <c r="B53" s="258" t="s">
        <v>25</v>
      </c>
      <c r="C53" s="135">
        <v>329009.57</v>
      </c>
      <c r="D53" s="258" t="s">
        <v>9</v>
      </c>
      <c r="E53" s="259">
        <f ca="1">C53*VLOOKUP(D53,'FX RATES'!$E$1:$F$20,2,FALSE)</f>
        <v>4288.4179586942209</v>
      </c>
      <c r="F53" s="246"/>
      <c r="G53" s="561"/>
      <c r="H53" s="274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5"/>
      <c r="BC53" s="235"/>
      <c r="BD53" s="235"/>
      <c r="BE53" s="235"/>
      <c r="BF53" s="235"/>
      <c r="BG53" s="235"/>
      <c r="BH53" s="235"/>
      <c r="BI53" s="235"/>
      <c r="BJ53" s="235"/>
      <c r="BK53" s="235"/>
      <c r="BL53" s="235"/>
      <c r="BM53" s="235"/>
    </row>
    <row r="54" spans="1:65" ht="16">
      <c r="A54" s="244" t="s">
        <v>0</v>
      </c>
      <c r="B54" s="244" t="s">
        <v>23</v>
      </c>
      <c r="C54" s="156">
        <v>0</v>
      </c>
      <c r="D54" s="244" t="s">
        <v>91</v>
      </c>
      <c r="E54" s="245">
        <f ca="1">C54*VLOOKUP(D54,'FX RATES'!$E$1:$F$20,2,FALSE)</f>
        <v>0</v>
      </c>
      <c r="F54" s="265"/>
      <c r="G54" s="351">
        <f ca="1">E54</f>
        <v>0</v>
      </c>
      <c r="H54" s="274" t="s">
        <v>83</v>
      </c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/>
      <c r="BK54" s="235"/>
      <c r="BL54" s="235"/>
      <c r="BM54" s="235"/>
    </row>
    <row r="55" spans="1:65" ht="16">
      <c r="A55" s="244" t="s">
        <v>0</v>
      </c>
      <c r="B55" s="244" t="s">
        <v>23</v>
      </c>
      <c r="C55" s="156">
        <v>638946.37</v>
      </c>
      <c r="D55" s="244" t="s">
        <v>9</v>
      </c>
      <c r="E55" s="245">
        <f ca="1">C55*VLOOKUP(D55,'FX RATES'!$E$1:$F$20,2,FALSE)</f>
        <v>8328.2352174451407</v>
      </c>
      <c r="F55" s="265"/>
      <c r="G55" s="351"/>
      <c r="H55" s="274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</row>
    <row r="56" spans="1:65" ht="16">
      <c r="A56" s="266" t="s">
        <v>0</v>
      </c>
      <c r="B56" s="266" t="s">
        <v>24</v>
      </c>
      <c r="C56" s="157">
        <v>0</v>
      </c>
      <c r="D56" s="266" t="s">
        <v>91</v>
      </c>
      <c r="E56" s="267">
        <f ca="1">C56*VLOOKUP(D56,'FX RATES'!$E$1:$F$20,2,FALSE)</f>
        <v>0</v>
      </c>
      <c r="F56" s="239"/>
      <c r="G56" s="351"/>
      <c r="H56" s="274" t="s">
        <v>92</v>
      </c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35"/>
      <c r="AK56" s="235"/>
      <c r="AL56" s="235"/>
      <c r="AM56" s="235"/>
      <c r="AN56" s="235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  <c r="BA56" s="235"/>
      <c r="BB56" s="235"/>
      <c r="BC56" s="235"/>
      <c r="BD56" s="235"/>
      <c r="BE56" s="235"/>
      <c r="BF56" s="235"/>
      <c r="BG56" s="235"/>
      <c r="BH56" s="235"/>
      <c r="BI56" s="235"/>
      <c r="BJ56" s="235"/>
      <c r="BK56" s="235"/>
      <c r="BL56" s="235"/>
      <c r="BM56" s="235"/>
    </row>
    <row r="57" spans="1:65" ht="16">
      <c r="A57" s="266" t="s">
        <v>0</v>
      </c>
      <c r="B57" s="266" t="s">
        <v>24</v>
      </c>
      <c r="C57" s="157">
        <v>6499.37</v>
      </c>
      <c r="D57" s="266" t="s">
        <v>9</v>
      </c>
      <c r="E57" s="267">
        <f ca="1">C57*VLOOKUP(D57,'FX RATES'!$E$1:$F$20,2,FALSE)</f>
        <v>84.714906706812386</v>
      </c>
      <c r="F57" s="239"/>
      <c r="G57" s="351">
        <f ca="1">E57</f>
        <v>84.714906706812386</v>
      </c>
      <c r="H57" s="274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235"/>
      <c r="AM57" s="235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235"/>
      <c r="BG57" s="235"/>
      <c r="BH57" s="235"/>
      <c r="BI57" s="235"/>
      <c r="BJ57" s="235"/>
      <c r="BK57" s="235"/>
      <c r="BL57" s="235"/>
      <c r="BM57" s="235"/>
    </row>
    <row r="58" spans="1:65" ht="16">
      <c r="A58" s="595" t="s">
        <v>11</v>
      </c>
      <c r="B58" s="595"/>
      <c r="C58" s="595"/>
      <c r="D58" s="595"/>
      <c r="E58" s="129">
        <f ca="1">SUM(E3:E57)</f>
        <v>1194487.958854056</v>
      </c>
      <c r="F58" s="129">
        <f>SUM(F3:F57)</f>
        <v>0</v>
      </c>
      <c r="G58" s="352">
        <f ca="1">SUM(G3:G57)</f>
        <v>1150816.9035508996</v>
      </c>
      <c r="H58" s="274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35"/>
      <c r="AF58" s="235"/>
      <c r="AG58" s="235"/>
      <c r="AH58" s="235"/>
      <c r="AI58" s="235"/>
      <c r="AJ58" s="235"/>
      <c r="AK58" s="235"/>
      <c r="AL58" s="235"/>
      <c r="AM58" s="235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5"/>
      <c r="BC58" s="235"/>
      <c r="BD58" s="235"/>
      <c r="BE58" s="235"/>
      <c r="BF58" s="235"/>
      <c r="BG58" s="235"/>
      <c r="BH58" s="235"/>
      <c r="BI58" s="235"/>
      <c r="BJ58" s="235"/>
      <c r="BK58" s="235"/>
      <c r="BL58" s="235"/>
      <c r="BM58" s="235"/>
    </row>
    <row r="59" spans="1:65" ht="15.75" customHeight="1">
      <c r="A59" s="235"/>
      <c r="B59" s="235"/>
      <c r="C59" s="270"/>
      <c r="D59" s="235"/>
      <c r="E59" s="268"/>
      <c r="H59" s="274"/>
      <c r="I59" s="274"/>
      <c r="J59" s="274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35"/>
      <c r="BK59" s="235"/>
      <c r="BL59" s="235"/>
      <c r="BM59" s="235"/>
    </row>
    <row r="60" spans="1:65" ht="15.75" customHeight="1">
      <c r="A60" s="235"/>
      <c r="B60" s="235"/>
      <c r="C60" s="270"/>
      <c r="D60" s="235"/>
      <c r="E60" s="268">
        <v>683715</v>
      </c>
      <c r="H60" s="274"/>
      <c r="I60" s="274"/>
      <c r="J60" s="274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35"/>
      <c r="AH60" s="235"/>
      <c r="AI60" s="235"/>
      <c r="AJ60" s="235"/>
      <c r="AK60" s="235"/>
      <c r="AL60" s="235"/>
      <c r="AM60" s="235"/>
      <c r="AN60" s="235"/>
      <c r="AO60" s="235"/>
      <c r="AP60" s="235"/>
      <c r="AQ60" s="235"/>
      <c r="AR60" s="235"/>
      <c r="AS60" s="235"/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5"/>
      <c r="BE60" s="235"/>
      <c r="BF60" s="235"/>
      <c r="BG60" s="235"/>
      <c r="BH60" s="235"/>
      <c r="BI60" s="235"/>
      <c r="BJ60" s="235"/>
      <c r="BK60" s="235"/>
      <c r="BL60" s="235"/>
      <c r="BM60" s="235"/>
    </row>
    <row r="61" spans="1:65" ht="16">
      <c r="A61" s="3" t="str">
        <f>A$2</f>
        <v>LE</v>
      </c>
      <c r="B61" s="3" t="str">
        <f>B$2</f>
        <v>BANK</v>
      </c>
      <c r="C61" s="3" t="str">
        <f>C$2</f>
        <v>AMOUNT</v>
      </c>
      <c r="D61" s="3" t="str">
        <f>D$2</f>
        <v>CCY</v>
      </c>
      <c r="E61" s="3" t="str">
        <f>E$2</f>
        <v>USD AMOUNT</v>
      </c>
      <c r="H61" s="274" t="s">
        <v>93</v>
      </c>
      <c r="I61" s="235"/>
      <c r="J61" s="235"/>
      <c r="K61" s="235" t="s">
        <v>38</v>
      </c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/>
      <c r="BK61" s="235"/>
      <c r="BL61" s="235" t="s">
        <v>38</v>
      </c>
      <c r="BM61" s="235"/>
    </row>
    <row r="62" spans="1:65" ht="16">
      <c r="A62" s="300" t="s">
        <v>27</v>
      </c>
      <c r="B62" s="300" t="s">
        <v>28</v>
      </c>
      <c r="C62" s="301">
        <v>3453617.63</v>
      </c>
      <c r="D62" s="300" t="s">
        <v>5</v>
      </c>
      <c r="E62" s="302">
        <f>C62*VLOOKUP(D62,'FX RATES'!$E$1:$F$20,2,FALSE)</f>
        <v>3453617.63</v>
      </c>
      <c r="F62" s="239"/>
      <c r="G62" s="562"/>
      <c r="H62" s="274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35"/>
      <c r="AM62" s="235"/>
      <c r="AN62" s="235"/>
      <c r="AO62" s="235"/>
      <c r="AP62" s="235"/>
      <c r="AQ62" s="235"/>
      <c r="AR62" s="235"/>
      <c r="AS62" s="235"/>
      <c r="AT62" s="235"/>
      <c r="AU62" s="235"/>
      <c r="AV62" s="235"/>
      <c r="AW62" s="235"/>
      <c r="AX62" s="235"/>
      <c r="AY62" s="235"/>
      <c r="AZ62" s="235"/>
      <c r="BA62" s="235"/>
      <c r="BB62" s="235"/>
      <c r="BC62" s="235"/>
      <c r="BD62" s="235"/>
      <c r="BE62" s="235"/>
      <c r="BF62" s="235"/>
      <c r="BG62" s="235"/>
      <c r="BH62" s="235"/>
      <c r="BI62" s="235"/>
      <c r="BJ62" s="235"/>
      <c r="BK62" s="235"/>
      <c r="BL62" s="235"/>
      <c r="BM62" s="235"/>
    </row>
    <row r="63" spans="1:65" ht="16">
      <c r="A63" s="300" t="s">
        <v>27</v>
      </c>
      <c r="B63" s="300" t="s">
        <v>28</v>
      </c>
      <c r="C63" s="301">
        <v>587.58000000000004</v>
      </c>
      <c r="D63" s="300" t="s">
        <v>6</v>
      </c>
      <c r="E63" s="302">
        <f ca="1">C63*VLOOKUP(D63,'FX RATES'!$E$1:$F$20,2,FALSE)</f>
        <v>692.16924000000006</v>
      </c>
      <c r="F63" s="239"/>
      <c r="G63" s="561"/>
      <c r="H63" s="274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35"/>
      <c r="AH63" s="235"/>
      <c r="AI63" s="235"/>
      <c r="AJ63" s="235"/>
      <c r="AK63" s="235"/>
      <c r="AL63" s="235"/>
      <c r="AM63" s="235"/>
      <c r="AN63" s="235"/>
      <c r="AO63" s="235"/>
      <c r="AP63" s="235"/>
      <c r="AQ63" s="235"/>
      <c r="AR63" s="235"/>
      <c r="AS63" s="235"/>
      <c r="AT63" s="235"/>
      <c r="AU63" s="235"/>
      <c r="AV63" s="235"/>
      <c r="AW63" s="235"/>
      <c r="AX63" s="235"/>
      <c r="AY63" s="235"/>
      <c r="AZ63" s="235"/>
      <c r="BA63" s="235"/>
      <c r="BB63" s="235"/>
      <c r="BC63" s="235"/>
      <c r="BD63" s="235"/>
      <c r="BE63" s="235"/>
      <c r="BF63" s="235"/>
      <c r="BG63" s="235"/>
      <c r="BH63" s="235"/>
      <c r="BI63" s="235"/>
      <c r="BJ63" s="235"/>
      <c r="BK63" s="235"/>
      <c r="BL63" s="235"/>
      <c r="BM63" s="235"/>
    </row>
    <row r="64" spans="1:65" ht="16">
      <c r="A64" s="300" t="s">
        <v>27</v>
      </c>
      <c r="B64" s="300" t="s">
        <v>28</v>
      </c>
      <c r="C64" s="301">
        <v>851.46600000000001</v>
      </c>
      <c r="D64" s="300" t="s">
        <v>10</v>
      </c>
      <c r="E64" s="302">
        <f ca="1">C64*VLOOKUP(D64,'FX RATES'!$E$1:$F$20,2,FALSE)</f>
        <v>2212.1745908028056</v>
      </c>
      <c r="F64" s="239"/>
      <c r="G64" s="561"/>
      <c r="H64" s="274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 t="s">
        <v>38</v>
      </c>
      <c r="AD64" s="235"/>
      <c r="AE64" s="235"/>
      <c r="AF64" s="235"/>
      <c r="AG64" s="235"/>
      <c r="AH64" s="235"/>
      <c r="AI64" s="235"/>
      <c r="AJ64" s="235"/>
      <c r="AK64" s="235"/>
      <c r="AL64" s="235"/>
      <c r="AM64" s="235"/>
      <c r="AN64" s="235"/>
      <c r="AO64" s="235"/>
      <c r="AP64" s="235"/>
      <c r="AQ64" s="235"/>
      <c r="AR64" s="235"/>
      <c r="AS64" s="235"/>
      <c r="AT64" s="235"/>
      <c r="AU64" s="235"/>
      <c r="AV64" s="235"/>
      <c r="AW64" s="235"/>
      <c r="AX64" s="235"/>
      <c r="AY64" s="235"/>
      <c r="AZ64" s="235"/>
      <c r="BA64" s="235"/>
      <c r="BB64" s="235"/>
      <c r="BC64" s="235"/>
      <c r="BD64" s="235"/>
      <c r="BE64" s="235"/>
      <c r="BF64" s="235"/>
      <c r="BG64" s="235"/>
      <c r="BH64" s="235"/>
      <c r="BI64" s="235"/>
      <c r="BJ64" s="235"/>
      <c r="BK64" s="235"/>
      <c r="BL64" s="235"/>
      <c r="BM64" s="235"/>
    </row>
    <row r="65" spans="1:65" ht="16">
      <c r="A65" s="300" t="s">
        <v>27</v>
      </c>
      <c r="B65" s="300" t="s">
        <v>28</v>
      </c>
      <c r="C65" s="301">
        <v>2458.27</v>
      </c>
      <c r="D65" s="300" t="s">
        <v>8</v>
      </c>
      <c r="E65" s="302">
        <f ca="1">C65*VLOOKUP(D65,'FX RATES'!$E$1:$F$20,2,FALSE)</f>
        <v>669.35413603441702</v>
      </c>
      <c r="F65" s="239"/>
      <c r="G65" s="561"/>
      <c r="H65" s="274"/>
      <c r="I65" s="274"/>
      <c r="J65" s="274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35"/>
      <c r="AZ65" s="235"/>
      <c r="BA65" s="235"/>
      <c r="BB65" s="235"/>
      <c r="BC65" s="235"/>
      <c r="BD65" s="235"/>
      <c r="BE65" s="235"/>
      <c r="BF65" s="235"/>
      <c r="BG65" s="235"/>
      <c r="BH65" s="235"/>
      <c r="BI65" s="235"/>
      <c r="BJ65" s="235"/>
      <c r="BK65" s="235"/>
      <c r="BL65" s="235"/>
      <c r="BM65" s="235"/>
    </row>
    <row r="66" spans="1:65" ht="16">
      <c r="A66" s="304" t="s">
        <v>27</v>
      </c>
      <c r="B66" s="304" t="s">
        <v>29</v>
      </c>
      <c r="C66" s="305">
        <v>1920.52</v>
      </c>
      <c r="D66" s="304" t="s">
        <v>5</v>
      </c>
      <c r="E66" s="306">
        <f>C66*VLOOKUP(D66,'FX RATES'!$E$1:$F$20,2,FALSE)</f>
        <v>1920.52</v>
      </c>
      <c r="F66" s="239"/>
      <c r="G66" s="561"/>
      <c r="H66" s="274"/>
      <c r="I66" s="274"/>
      <c r="J66" s="274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5"/>
      <c r="AS66" s="235"/>
      <c r="AT66" s="235"/>
      <c r="AU66" s="235"/>
      <c r="AV66" s="235"/>
      <c r="AW66" s="235"/>
      <c r="AX66" s="235"/>
      <c r="AY66" s="235"/>
      <c r="AZ66" s="235"/>
      <c r="BA66" s="235"/>
      <c r="BB66" s="235"/>
      <c r="BC66" s="235"/>
      <c r="BD66" s="235"/>
      <c r="BE66" s="235"/>
      <c r="BF66" s="235"/>
      <c r="BG66" s="235"/>
      <c r="BH66" s="235"/>
      <c r="BI66" s="235"/>
      <c r="BJ66" s="235"/>
      <c r="BK66" s="235"/>
      <c r="BL66" s="235"/>
      <c r="BM66" s="235"/>
    </row>
    <row r="67" spans="1:65" ht="16">
      <c r="A67" s="304" t="s">
        <v>27</v>
      </c>
      <c r="B67" s="304" t="s">
        <v>29</v>
      </c>
      <c r="C67" s="305">
        <v>994.75</v>
      </c>
      <c r="D67" s="304" t="s">
        <v>6</v>
      </c>
      <c r="E67" s="306">
        <f ca="1">C67*VLOOKUP(D67,'FX RATES'!$E$1:$F$20,2,FALSE)</f>
        <v>1171.8154999999999</v>
      </c>
      <c r="F67" s="239"/>
      <c r="G67" s="561"/>
      <c r="H67" s="274"/>
      <c r="I67" s="274"/>
      <c r="J67" s="274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235"/>
      <c r="AU67" s="235"/>
      <c r="AV67" s="235"/>
      <c r="AW67" s="235"/>
      <c r="AX67" s="235"/>
      <c r="AY67" s="235"/>
      <c r="AZ67" s="235"/>
      <c r="BA67" s="235"/>
      <c r="BB67" s="235"/>
      <c r="BC67" s="235"/>
      <c r="BD67" s="235"/>
      <c r="BE67" s="235"/>
      <c r="BF67" s="235"/>
      <c r="BG67" s="235"/>
      <c r="BH67" s="235"/>
      <c r="BI67" s="235"/>
      <c r="BJ67" s="235"/>
      <c r="BK67" s="235"/>
      <c r="BL67" s="235"/>
      <c r="BM67" s="235"/>
    </row>
    <row r="68" spans="1:65" ht="16">
      <c r="A68" s="304" t="s">
        <v>27</v>
      </c>
      <c r="B68" s="304" t="s">
        <v>29</v>
      </c>
      <c r="C68" s="305">
        <v>1020.715</v>
      </c>
      <c r="D68" s="304" t="s">
        <v>10</v>
      </c>
      <c r="E68" s="306">
        <f ca="1">C68*VLOOKUP(D68,'FX RATES'!$E$1:$F$20,2,FALSE)</f>
        <v>2651.8965965185762</v>
      </c>
      <c r="F68" s="239"/>
      <c r="G68" s="561"/>
      <c r="H68" s="274"/>
      <c r="I68" s="274"/>
      <c r="J68" s="274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/>
      <c r="BK68" s="235"/>
      <c r="BL68" s="235"/>
      <c r="BM68" s="235"/>
    </row>
    <row r="69" spans="1:65" ht="16">
      <c r="A69" s="304" t="s">
        <v>27</v>
      </c>
      <c r="B69" s="304" t="s">
        <v>29</v>
      </c>
      <c r="C69" s="305">
        <v>9379.1</v>
      </c>
      <c r="D69" s="304" t="s">
        <v>7</v>
      </c>
      <c r="E69" s="306">
        <f ca="1">C69*VLOOKUP(D69,'FX RATES'!$E$1:$F$20,2,FALSE)</f>
        <v>1357.7156919513609</v>
      </c>
      <c r="F69" s="239"/>
      <c r="G69" s="561"/>
      <c r="H69" s="274"/>
      <c r="I69" s="274"/>
      <c r="J69" s="274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235"/>
      <c r="AU69" s="235"/>
      <c r="AV69" s="235"/>
      <c r="AW69" s="235"/>
      <c r="AX69" s="235"/>
      <c r="AY69" s="235"/>
      <c r="AZ69" s="235"/>
      <c r="BA69" s="235"/>
      <c r="BB69" s="235"/>
      <c r="BC69" s="235"/>
      <c r="BD69" s="235"/>
      <c r="BE69" s="235"/>
      <c r="BF69" s="235"/>
      <c r="BG69" s="235"/>
      <c r="BH69" s="235"/>
      <c r="BI69" s="235"/>
      <c r="BJ69" s="235"/>
      <c r="BK69" s="235"/>
      <c r="BL69" s="235"/>
      <c r="BM69" s="235"/>
    </row>
    <row r="70" spans="1:65" ht="16">
      <c r="A70" s="304" t="s">
        <v>27</v>
      </c>
      <c r="B70" s="304" t="s">
        <v>29</v>
      </c>
      <c r="C70" s="305">
        <v>17139.11</v>
      </c>
      <c r="D70" s="304" t="s">
        <v>8</v>
      </c>
      <c r="E70" s="306">
        <f ca="1">C70*VLOOKUP(D70,'FX RATES'!$E$1:$F$20,2,FALSE)</f>
        <v>4666.7510755323201</v>
      </c>
      <c r="F70" s="239"/>
      <c r="G70" s="561"/>
      <c r="H70" s="274"/>
      <c r="I70" s="274"/>
      <c r="J70" s="274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  <c r="AD70" s="235"/>
      <c r="AE70" s="235"/>
      <c r="AF70" s="235"/>
      <c r="AG70" s="235"/>
      <c r="AH70" s="235"/>
      <c r="AI70" s="235"/>
      <c r="AJ70" s="235"/>
      <c r="AK70" s="235"/>
      <c r="AL70" s="235"/>
      <c r="AM70" s="235"/>
      <c r="AN70" s="235"/>
      <c r="AO70" s="235"/>
      <c r="AP70" s="235"/>
      <c r="AQ70" s="235"/>
      <c r="AR70" s="235"/>
      <c r="AS70" s="235"/>
      <c r="AT70" s="235"/>
      <c r="AU70" s="235"/>
      <c r="AV70" s="235"/>
      <c r="AW70" s="235"/>
      <c r="AX70" s="235"/>
      <c r="AY70" s="235"/>
      <c r="AZ70" s="235"/>
      <c r="BA70" s="235"/>
      <c r="BB70" s="235"/>
      <c r="BC70" s="235"/>
      <c r="BD70" s="235"/>
      <c r="BE70" s="235"/>
      <c r="BF70" s="235"/>
      <c r="BG70" s="235"/>
      <c r="BH70" s="235"/>
      <c r="BI70" s="235"/>
      <c r="BJ70" s="235"/>
      <c r="BK70" s="235"/>
      <c r="BL70" s="235"/>
      <c r="BM70" s="235"/>
    </row>
    <row r="71" spans="1:65" ht="16">
      <c r="A71" s="260" t="s">
        <v>27</v>
      </c>
      <c r="B71" s="260" t="s">
        <v>30</v>
      </c>
      <c r="C71" s="303">
        <v>2502.59</v>
      </c>
      <c r="D71" s="260" t="s">
        <v>5</v>
      </c>
      <c r="E71" s="261">
        <f>C71*VLOOKUP(D71,'FX RATES'!$E$1:$F$20,2,FALSE)</f>
        <v>2502.59</v>
      </c>
      <c r="F71" s="239"/>
      <c r="G71" s="561"/>
      <c r="H71" s="274"/>
      <c r="I71" s="274"/>
      <c r="J71" s="274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35"/>
      <c r="AH71" s="235"/>
      <c r="AI71" s="235"/>
      <c r="AJ71" s="235"/>
      <c r="AK71" s="235"/>
      <c r="AL71" s="235"/>
      <c r="AM71" s="235"/>
      <c r="AN71" s="235"/>
      <c r="AO71" s="235"/>
      <c r="AP71" s="235"/>
      <c r="AQ71" s="235"/>
      <c r="AR71" s="235"/>
      <c r="AS71" s="235"/>
      <c r="AT71" s="235"/>
      <c r="AU71" s="235"/>
      <c r="AV71" s="235"/>
      <c r="AW71" s="235"/>
      <c r="AX71" s="235"/>
      <c r="AY71" s="235"/>
      <c r="AZ71" s="235"/>
      <c r="BA71" s="235"/>
      <c r="BB71" s="235"/>
      <c r="BC71" s="235"/>
      <c r="BD71" s="235"/>
      <c r="BE71" s="235"/>
      <c r="BF71" s="235"/>
      <c r="BG71" s="235"/>
      <c r="BH71" s="235"/>
      <c r="BI71" s="235"/>
      <c r="BJ71" s="235"/>
      <c r="BK71" s="235"/>
      <c r="BL71" s="235"/>
      <c r="BM71" s="235"/>
    </row>
    <row r="72" spans="1:65" ht="16">
      <c r="A72" s="260" t="s">
        <v>27</v>
      </c>
      <c r="B72" s="260" t="s">
        <v>30</v>
      </c>
      <c r="C72" s="303">
        <v>1385.24</v>
      </c>
      <c r="D72" s="260" t="s">
        <v>6</v>
      </c>
      <c r="E72" s="261">
        <f ca="1">C72*VLOOKUP(D72,'FX RATES'!$E$1:$F$20,2,FALSE)</f>
        <v>1631.8127199999999</v>
      </c>
      <c r="G72" s="561"/>
      <c r="H72" s="274"/>
      <c r="I72" s="274"/>
      <c r="J72" s="274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  <c r="AS72" s="235"/>
      <c r="AT72" s="235"/>
      <c r="AU72" s="235"/>
      <c r="AV72" s="235"/>
      <c r="AW72" s="235"/>
      <c r="AX72" s="235"/>
      <c r="AY72" s="235"/>
      <c r="AZ72" s="235"/>
      <c r="BA72" s="235"/>
      <c r="BB72" s="235"/>
      <c r="BC72" s="235"/>
      <c r="BD72" s="235"/>
      <c r="BE72" s="235"/>
      <c r="BF72" s="235"/>
      <c r="BG72" s="235"/>
      <c r="BH72" s="235"/>
      <c r="BI72" s="235"/>
      <c r="BJ72" s="235"/>
      <c r="BK72" s="235"/>
      <c r="BL72" s="235"/>
      <c r="BM72" s="235"/>
    </row>
    <row r="73" spans="1:65" ht="16">
      <c r="A73" s="260" t="s">
        <v>27</v>
      </c>
      <c r="B73" s="260" t="s">
        <v>30</v>
      </c>
      <c r="C73" s="303">
        <v>1300.77</v>
      </c>
      <c r="D73" s="260" t="s">
        <v>10</v>
      </c>
      <c r="E73" s="261">
        <f ca="1">C73*VLOOKUP(D73,'FX RATES'!$E$1:$F$20,2,FALSE)</f>
        <v>3379.5011691348395</v>
      </c>
      <c r="G73" s="561"/>
      <c r="H73" s="274"/>
      <c r="I73" s="274"/>
      <c r="J73" s="274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35"/>
      <c r="AE73" s="235"/>
      <c r="AF73" s="235"/>
      <c r="AG73" s="235"/>
      <c r="AH73" s="235"/>
      <c r="AI73" s="235"/>
      <c r="AJ73" s="235"/>
      <c r="AK73" s="235"/>
      <c r="AL73" s="235"/>
      <c r="AM73" s="235"/>
      <c r="AN73" s="235"/>
      <c r="AO73" s="235"/>
      <c r="AP73" s="235"/>
      <c r="AQ73" s="235"/>
      <c r="AR73" s="235"/>
      <c r="AS73" s="235"/>
      <c r="AT73" s="235"/>
      <c r="AU73" s="235"/>
      <c r="AV73" s="235"/>
      <c r="AW73" s="235"/>
      <c r="AX73" s="235"/>
      <c r="AY73" s="235"/>
      <c r="AZ73" s="235"/>
      <c r="BA73" s="235"/>
      <c r="BB73" s="235"/>
      <c r="BC73" s="235"/>
      <c r="BD73" s="235"/>
      <c r="BE73" s="235"/>
      <c r="BF73" s="235"/>
      <c r="BG73" s="235"/>
      <c r="BH73" s="235"/>
      <c r="BI73" s="235"/>
      <c r="BJ73" s="235"/>
      <c r="BK73" s="235"/>
      <c r="BL73" s="235"/>
      <c r="BM73" s="235"/>
    </row>
    <row r="74" spans="1:65" ht="16">
      <c r="A74" s="260" t="s">
        <v>27</v>
      </c>
      <c r="B74" s="260" t="s">
        <v>30</v>
      </c>
      <c r="C74" s="303">
        <v>22930.880000000001</v>
      </c>
      <c r="D74" s="260" t="s">
        <v>8</v>
      </c>
      <c r="E74" s="261">
        <f ca="1">C74*VLOOKUP(D74,'FX RATES'!$E$1:$F$20,2,FALSE)</f>
        <v>6243.7728040080592</v>
      </c>
      <c r="G74" s="561"/>
      <c r="H74" s="274"/>
      <c r="I74" s="274"/>
      <c r="J74" s="274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35"/>
      <c r="AH74" s="235"/>
      <c r="AI74" s="235"/>
      <c r="AJ74" s="235"/>
      <c r="AK74" s="235"/>
      <c r="AL74" s="235"/>
      <c r="AM74" s="235"/>
      <c r="AN74" s="235"/>
      <c r="AO74" s="235"/>
      <c r="AP74" s="235"/>
      <c r="AQ74" s="235"/>
      <c r="AR74" s="235"/>
      <c r="AS74" s="235"/>
      <c r="AT74" s="235"/>
      <c r="AU74" s="235"/>
      <c r="AV74" s="235"/>
      <c r="AW74" s="235"/>
      <c r="AX74" s="235"/>
      <c r="AY74" s="235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35"/>
      <c r="BK74" s="235"/>
      <c r="BL74" s="235"/>
      <c r="BM74" s="235"/>
    </row>
    <row r="75" spans="1:65" ht="16">
      <c r="A75" s="595" t="s">
        <v>11</v>
      </c>
      <c r="B75" s="595"/>
      <c r="C75" s="595"/>
      <c r="D75" s="595"/>
      <c r="E75" s="129">
        <f ca="1">SUM(E62:E74)</f>
        <v>3482717.7035239819</v>
      </c>
      <c r="G75" s="354">
        <f ca="1">E75+E58+E85</f>
        <v>5594763.647501505</v>
      </c>
      <c r="H75" s="421"/>
      <c r="I75" s="274"/>
      <c r="J75" s="274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5"/>
      <c r="AE75" s="235"/>
      <c r="AF75" s="235"/>
      <c r="AG75" s="235"/>
      <c r="AH75" s="235"/>
      <c r="AI75" s="235"/>
      <c r="AJ75" s="235"/>
      <c r="AK75" s="235"/>
      <c r="AL75" s="235"/>
      <c r="AM75" s="235"/>
      <c r="AN75" s="235"/>
      <c r="AO75" s="235"/>
      <c r="AP75" s="235"/>
      <c r="AQ75" s="235"/>
      <c r="AR75" s="235"/>
      <c r="AS75" s="235"/>
      <c r="AT75" s="235"/>
      <c r="AU75" s="235"/>
      <c r="AV75" s="235"/>
      <c r="AW75" s="235"/>
      <c r="AX75" s="235"/>
      <c r="AY75" s="235"/>
      <c r="AZ75" s="235"/>
      <c r="BA75" s="235"/>
      <c r="BB75" s="235"/>
      <c r="BC75" s="235"/>
      <c r="BD75" s="235"/>
      <c r="BE75" s="235"/>
      <c r="BF75" s="235"/>
      <c r="BG75" s="235"/>
      <c r="BH75" s="235"/>
      <c r="BI75" s="235"/>
      <c r="BJ75" s="235"/>
      <c r="BK75" s="235"/>
      <c r="BL75" s="235"/>
      <c r="BM75" s="235"/>
    </row>
    <row r="76" spans="1:65" ht="15.75" customHeight="1">
      <c r="A76" s="235"/>
      <c r="B76" s="235"/>
      <c r="C76" s="270"/>
      <c r="D76" s="235"/>
      <c r="E76" s="268"/>
      <c r="H76" s="274"/>
      <c r="I76" s="274"/>
      <c r="J76" s="274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5"/>
      <c r="BE76" s="235"/>
      <c r="BF76" s="235"/>
      <c r="BG76" s="235"/>
      <c r="BH76" s="235"/>
      <c r="BI76" s="235"/>
      <c r="BJ76" s="235"/>
      <c r="BK76" s="235"/>
      <c r="BL76" s="235"/>
      <c r="BM76" s="235"/>
    </row>
    <row r="77" spans="1:65" ht="16">
      <c r="A77" s="235"/>
      <c r="B77" s="235"/>
      <c r="C77" s="270"/>
      <c r="D77" s="235"/>
      <c r="E77" s="268" t="s">
        <v>38</v>
      </c>
      <c r="H77" s="274"/>
      <c r="I77" s="274"/>
      <c r="J77" s="274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5"/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5"/>
      <c r="AS77" s="235"/>
      <c r="AT77" s="235"/>
      <c r="AU77" s="235"/>
      <c r="AV77" s="235"/>
      <c r="AW77" s="235"/>
      <c r="AX77" s="235"/>
      <c r="AY77" s="235"/>
      <c r="AZ77" s="235"/>
      <c r="BA77" s="235"/>
      <c r="BB77" s="235"/>
      <c r="BC77" s="235"/>
      <c r="BD77" s="235"/>
      <c r="BE77" s="235"/>
      <c r="BF77" s="235"/>
      <c r="BG77" s="235"/>
      <c r="BH77" s="235"/>
      <c r="BI77" s="235"/>
      <c r="BJ77" s="235"/>
      <c r="BK77" s="235"/>
      <c r="BL77" s="235"/>
      <c r="BM77" s="235"/>
    </row>
    <row r="78" spans="1:65" ht="16">
      <c r="A78" s="3" t="str">
        <f>A$2</f>
        <v>LE</v>
      </c>
      <c r="B78" s="3" t="str">
        <f>B$2</f>
        <v>BANK</v>
      </c>
      <c r="C78" s="3" t="str">
        <f>C$2</f>
        <v>AMOUNT</v>
      </c>
      <c r="D78" s="3" t="str">
        <f>D$2</f>
        <v>CCY</v>
      </c>
      <c r="E78" s="3" t="str">
        <f>E$2</f>
        <v>USD AMOUNT</v>
      </c>
      <c r="H78" s="274"/>
      <c r="I78" s="274"/>
      <c r="J78" s="274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  <c r="AD78" s="235"/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5"/>
      <c r="AS78" s="235"/>
      <c r="AT78" s="235"/>
      <c r="AU78" s="235"/>
      <c r="AV78" s="235"/>
      <c r="AW78" s="235"/>
      <c r="AX78" s="235"/>
      <c r="AY78" s="235"/>
      <c r="AZ78" s="235"/>
      <c r="BA78" s="235"/>
      <c r="BB78" s="235"/>
      <c r="BC78" s="235"/>
      <c r="BD78" s="235"/>
      <c r="BE78" s="235"/>
      <c r="BF78" s="235"/>
      <c r="BG78" s="235"/>
      <c r="BH78" s="235"/>
      <c r="BI78" s="235"/>
      <c r="BJ78" s="235"/>
      <c r="BK78" s="235"/>
      <c r="BL78" s="235"/>
      <c r="BM78" s="235"/>
    </row>
    <row r="79" spans="1:65" ht="16">
      <c r="A79" s="248" t="s">
        <v>31</v>
      </c>
      <c r="B79" s="248" t="s">
        <v>15</v>
      </c>
      <c r="C79" s="308">
        <v>1625.23</v>
      </c>
      <c r="D79" s="248" t="s">
        <v>5</v>
      </c>
      <c r="E79" s="250">
        <f>C79*VLOOKUP(D79,'FX RATES'!$E$1:$F$20,2,FALSE)</f>
        <v>1625.23</v>
      </c>
      <c r="G79" s="557"/>
      <c r="H79" s="274"/>
      <c r="I79" s="274"/>
      <c r="J79" s="274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/>
      <c r="BK79" s="235"/>
      <c r="BL79" s="235"/>
      <c r="BM79" s="235"/>
    </row>
    <row r="80" spans="1:65" ht="18.75" customHeight="1">
      <c r="A80" s="248" t="s">
        <v>31</v>
      </c>
      <c r="B80" s="248" t="s">
        <v>15</v>
      </c>
      <c r="C80" s="308">
        <v>931.43</v>
      </c>
      <c r="D80" s="248" t="s">
        <v>8</v>
      </c>
      <c r="E80" s="250">
        <f ca="1">C80*VLOOKUP(D80,'FX RATES'!$E$1:$F$20,2,FALSE)</f>
        <v>253.61596688994172</v>
      </c>
      <c r="G80" s="557"/>
      <c r="H80" s="274"/>
      <c r="I80" s="274"/>
      <c r="J80" s="274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  <c r="AA80" s="235"/>
      <c r="AB80" s="235"/>
      <c r="AC80" s="235"/>
      <c r="AD80" s="235"/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5"/>
      <c r="AS80" s="235"/>
      <c r="AT80" s="235"/>
      <c r="AU80" s="235"/>
      <c r="AV80" s="235"/>
      <c r="AW80" s="235"/>
      <c r="AX80" s="235"/>
      <c r="AY80" s="235"/>
      <c r="AZ80" s="235"/>
      <c r="BA80" s="235"/>
      <c r="BB80" s="235"/>
      <c r="BC80" s="235"/>
      <c r="BD80" s="235"/>
      <c r="BE80" s="235"/>
      <c r="BF80" s="235"/>
      <c r="BG80" s="235"/>
      <c r="BH80" s="235"/>
      <c r="BI80" s="235"/>
      <c r="BJ80" s="235"/>
      <c r="BK80" s="235"/>
      <c r="BL80" s="235"/>
      <c r="BM80" s="235"/>
    </row>
    <row r="81" spans="1:65" ht="16">
      <c r="A81" s="244" t="s">
        <v>31</v>
      </c>
      <c r="B81" s="244" t="s">
        <v>14</v>
      </c>
      <c r="C81" s="134">
        <v>72339.83</v>
      </c>
      <c r="D81" s="244" t="s">
        <v>5</v>
      </c>
      <c r="E81" s="245">
        <f>C81*VLOOKUP(D81,'FX RATES'!$E$1:$F$20,2,FALSE)</f>
        <v>72339.83</v>
      </c>
      <c r="G81" s="557"/>
      <c r="H81" s="274"/>
      <c r="I81" s="274"/>
      <c r="J81" s="274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  <c r="AD81" s="235"/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5"/>
      <c r="AS81" s="235"/>
      <c r="AT81" s="235"/>
      <c r="AU81" s="235"/>
      <c r="AV81" s="235"/>
      <c r="AW81" s="235"/>
      <c r="AX81" s="235"/>
      <c r="AY81" s="235"/>
      <c r="AZ81" s="235"/>
      <c r="BA81" s="235"/>
      <c r="BB81" s="235"/>
      <c r="BC81" s="235"/>
      <c r="BD81" s="235"/>
      <c r="BE81" s="235"/>
      <c r="BF81" s="235"/>
      <c r="BG81" s="235"/>
      <c r="BH81" s="235"/>
      <c r="BI81" s="235"/>
      <c r="BJ81" s="235"/>
      <c r="BK81" s="235"/>
      <c r="BL81" s="235"/>
      <c r="BM81" s="235"/>
    </row>
    <row r="82" spans="1:65" ht="16">
      <c r="A82" s="244" t="s">
        <v>31</v>
      </c>
      <c r="B82" s="244" t="s">
        <v>14</v>
      </c>
      <c r="C82" s="134">
        <v>956.16</v>
      </c>
      <c r="D82" s="244" t="s">
        <v>6</v>
      </c>
      <c r="E82" s="245">
        <f ca="1">C82*VLOOKUP(D82,'FX RATES'!$E$1:$F$20,2,FALSE)</f>
        <v>1126.3564799999999</v>
      </c>
      <c r="G82" s="557"/>
      <c r="H82" s="274"/>
      <c r="I82" s="274"/>
      <c r="J82" s="274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5"/>
      <c r="BF82" s="235"/>
      <c r="BG82" s="235"/>
      <c r="BH82" s="235"/>
      <c r="BI82" s="235"/>
      <c r="BJ82" s="235"/>
      <c r="BK82" s="235"/>
      <c r="BL82" s="235"/>
      <c r="BM82" s="235"/>
    </row>
    <row r="83" spans="1:65" ht="16">
      <c r="A83" s="244" t="s">
        <v>31</v>
      </c>
      <c r="B83" s="244" t="s">
        <v>14</v>
      </c>
      <c r="C83" s="134">
        <v>0</v>
      </c>
      <c r="D83" s="244" t="s">
        <v>7</v>
      </c>
      <c r="E83" s="245">
        <f ca="1">C83*VLOOKUP(D83,'FX RATES'!$E$1:$F$20,2,FALSE)</f>
        <v>0</v>
      </c>
      <c r="G83" s="557"/>
      <c r="H83" s="274"/>
      <c r="I83" s="274"/>
      <c r="J83" s="274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5"/>
      <c r="BH83" s="235"/>
      <c r="BI83" s="235"/>
      <c r="BJ83" s="235"/>
      <c r="BK83" s="235"/>
      <c r="BL83" s="235"/>
      <c r="BM83" s="235"/>
    </row>
    <row r="84" spans="1:65" ht="16">
      <c r="A84" s="244" t="s">
        <v>31</v>
      </c>
      <c r="B84" s="244" t="s">
        <v>14</v>
      </c>
      <c r="C84" s="134">
        <v>3093111.29</v>
      </c>
      <c r="D84" s="244" t="s">
        <v>8</v>
      </c>
      <c r="E84" s="245">
        <f ca="1">C84*VLOOKUP(D84,'FX RATES'!$E$1:$F$20,2,FALSE)</f>
        <v>842212.95267657784</v>
      </c>
      <c r="G84" s="557"/>
      <c r="H84" s="274"/>
      <c r="I84" s="274"/>
      <c r="J84" s="274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/>
      <c r="BK84" s="235"/>
      <c r="BL84" s="235"/>
      <c r="BM84" s="235"/>
    </row>
    <row r="85" spans="1:65" ht="16">
      <c r="A85" s="595" t="s">
        <v>11</v>
      </c>
      <c r="B85" s="595"/>
      <c r="C85" s="595"/>
      <c r="D85" s="595"/>
      <c r="E85" s="129">
        <f ca="1">SUM(E79:E84)</f>
        <v>917557.98512346775</v>
      </c>
      <c r="G85" s="355"/>
      <c r="H85" s="274"/>
      <c r="I85" s="274"/>
      <c r="J85" s="274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35"/>
      <c r="AY85" s="235"/>
      <c r="AZ85" s="235"/>
      <c r="BA85" s="235"/>
      <c r="BB85" s="235"/>
      <c r="BC85" s="235"/>
      <c r="BD85" s="235"/>
      <c r="BE85" s="235"/>
      <c r="BF85" s="235"/>
      <c r="BG85" s="235"/>
      <c r="BH85" s="235"/>
      <c r="BI85" s="235"/>
      <c r="BJ85" s="235"/>
      <c r="BK85" s="235"/>
      <c r="BL85" s="235"/>
      <c r="BM85" s="235"/>
    </row>
    <row r="86" spans="1:65" ht="15.75" customHeight="1">
      <c r="A86" s="235"/>
      <c r="B86" s="235"/>
      <c r="C86" s="270"/>
      <c r="D86" s="235"/>
      <c r="E86" s="268"/>
      <c r="H86" s="274"/>
      <c r="I86" s="274"/>
      <c r="J86" s="274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  <c r="AD86" s="235"/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5"/>
      <c r="AS86" s="235"/>
      <c r="AT86" s="235"/>
      <c r="AU86" s="235"/>
      <c r="AV86" s="235"/>
      <c r="AW86" s="235"/>
      <c r="AX86" s="235"/>
      <c r="AY86" s="235"/>
      <c r="AZ86" s="235"/>
      <c r="BA86" s="235"/>
      <c r="BB86" s="235"/>
      <c r="BC86" s="235"/>
      <c r="BD86" s="235"/>
      <c r="BE86" s="235"/>
      <c r="BF86" s="235"/>
      <c r="BG86" s="235"/>
      <c r="BH86" s="235"/>
      <c r="BI86" s="235"/>
      <c r="BJ86" s="235"/>
      <c r="BK86" s="235"/>
      <c r="BL86" s="235"/>
      <c r="BM86" s="235"/>
    </row>
    <row r="87" spans="1:65" ht="15.75" customHeight="1">
      <c r="A87" s="235"/>
      <c r="B87" s="235"/>
      <c r="C87" s="270"/>
      <c r="D87" s="235"/>
      <c r="E87" s="268"/>
      <c r="H87" s="274"/>
      <c r="I87" s="274"/>
      <c r="J87" s="274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</row>
    <row r="88" spans="1:65" ht="16">
      <c r="A88" s="595" t="s">
        <v>94</v>
      </c>
      <c r="B88" s="595"/>
      <c r="C88" s="595"/>
      <c r="D88" s="595"/>
      <c r="E88" s="129">
        <f ca="1">E58+E75+E85</f>
        <v>5594763.647501505</v>
      </c>
      <c r="G88" s="356">
        <f ca="1">E85+E75+G58</f>
        <v>5551092.5921983495</v>
      </c>
      <c r="H88" s="274"/>
      <c r="I88" s="274"/>
      <c r="J88" s="274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5"/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5"/>
      <c r="BH88" s="235"/>
      <c r="BI88" s="235"/>
      <c r="BJ88" s="235"/>
      <c r="BK88" s="235"/>
      <c r="BL88" s="235"/>
      <c r="BM88" s="235"/>
    </row>
    <row r="89" spans="1:65" ht="16">
      <c r="A89" s="6"/>
      <c r="B89" s="6"/>
      <c r="C89" s="132"/>
      <c r="D89" s="6"/>
      <c r="E89" s="131"/>
      <c r="H89" s="274"/>
      <c r="I89" s="274"/>
      <c r="J89" s="274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5"/>
      <c r="BH89" s="235"/>
      <c r="BI89" s="235"/>
      <c r="BJ89" s="235"/>
      <c r="BK89" s="235"/>
      <c r="BL89" s="235"/>
      <c r="BM89" s="235"/>
    </row>
    <row r="90" spans="1:65" ht="16">
      <c r="A90" s="235"/>
      <c r="B90" s="235"/>
      <c r="C90" s="270"/>
      <c r="D90" s="235"/>
      <c r="E90" s="268"/>
      <c r="H90" s="274"/>
      <c r="I90" s="274"/>
      <c r="J90" s="274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  <c r="AD90" s="235"/>
      <c r="AE90" s="235"/>
      <c r="AF90" s="235"/>
      <c r="AG90" s="235"/>
      <c r="AH90" s="235"/>
      <c r="AI90" s="235"/>
      <c r="AJ90" s="235"/>
      <c r="AK90" s="235"/>
      <c r="AL90" s="235"/>
      <c r="AM90" s="235"/>
      <c r="AN90" s="235"/>
      <c r="AO90" s="235"/>
      <c r="AP90" s="235"/>
      <c r="AQ90" s="235"/>
      <c r="AR90" s="235"/>
      <c r="AS90" s="235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5"/>
      <c r="BH90" s="235"/>
      <c r="BI90" s="235"/>
      <c r="BJ90" s="235"/>
      <c r="BK90" s="235"/>
      <c r="BL90" s="235"/>
      <c r="BM90" s="235"/>
    </row>
    <row r="91" spans="1:65" ht="16">
      <c r="A91" s="3" t="str">
        <f>A$2</f>
        <v>LE</v>
      </c>
      <c r="B91" s="3" t="str">
        <f>B$2</f>
        <v>BANK</v>
      </c>
      <c r="C91" s="3" t="str">
        <f>C$2</f>
        <v>AMOUNT</v>
      </c>
      <c r="D91" s="3" t="str">
        <f>D$2</f>
        <v>CCY</v>
      </c>
      <c r="E91" s="3" t="str">
        <f>E$2</f>
        <v>USD AMOUNT</v>
      </c>
      <c r="F91" s="269"/>
      <c r="H91" s="274"/>
      <c r="I91" s="274"/>
      <c r="J91" s="274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  <c r="AA91" s="235"/>
      <c r="AB91" s="235"/>
      <c r="AC91" s="235"/>
      <c r="AD91" s="235"/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5"/>
      <c r="AS91" s="235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5"/>
      <c r="BH91" s="235"/>
      <c r="BI91" s="235"/>
      <c r="BJ91" s="235"/>
      <c r="BK91" s="235"/>
      <c r="BL91" s="235"/>
      <c r="BM91" s="235"/>
    </row>
    <row r="92" spans="1:65" ht="16">
      <c r="A92" s="241" t="s">
        <v>34</v>
      </c>
      <c r="B92" s="241" t="s">
        <v>13</v>
      </c>
      <c r="C92" s="133">
        <v>54688.97</v>
      </c>
      <c r="D92" s="241" t="s">
        <v>5</v>
      </c>
      <c r="E92" s="242">
        <f>C92*VLOOKUP(D92,'FX RATES'!$E$1:$F$20,2,FALSE)</f>
        <v>54688.97</v>
      </c>
      <c r="F92" s="246"/>
      <c r="G92" s="555"/>
      <c r="H92" s="274"/>
      <c r="I92" s="274"/>
      <c r="J92" s="274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  <c r="AD92" s="235"/>
      <c r="AE92" s="235"/>
      <c r="AF92" s="235"/>
      <c r="AG92" s="235"/>
      <c r="AH92" s="235"/>
      <c r="AI92" s="235"/>
      <c r="AJ92" s="235"/>
      <c r="AK92" s="235"/>
      <c r="AL92" s="235"/>
      <c r="AM92" s="235"/>
      <c r="AN92" s="235"/>
      <c r="AO92" s="235"/>
      <c r="AP92" s="235"/>
      <c r="AQ92" s="235"/>
      <c r="AR92" s="235"/>
      <c r="AS92" s="235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5"/>
      <c r="BH92" s="235"/>
      <c r="BI92" s="235"/>
      <c r="BJ92" s="235"/>
      <c r="BK92" s="235"/>
      <c r="BL92" s="235"/>
      <c r="BM92" s="235"/>
    </row>
    <row r="93" spans="1:65" ht="16">
      <c r="A93" s="241" t="s">
        <v>34</v>
      </c>
      <c r="B93" s="241" t="s">
        <v>13</v>
      </c>
      <c r="C93" s="133">
        <v>0</v>
      </c>
      <c r="D93" s="241" t="s">
        <v>6</v>
      </c>
      <c r="E93" s="242">
        <f ca="1">C93*VLOOKUP(D93,'FX RATES'!$E$1:$F$20,2,FALSE)</f>
        <v>0</v>
      </c>
      <c r="F93" s="246"/>
      <c r="G93" s="556"/>
      <c r="H93" s="274"/>
      <c r="I93" s="274"/>
      <c r="J93" s="274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  <c r="AD93" s="235"/>
      <c r="AE93" s="235"/>
      <c r="AF93" s="235"/>
      <c r="AG93" s="235"/>
      <c r="AH93" s="235"/>
      <c r="AI93" s="235"/>
      <c r="AJ93" s="235"/>
      <c r="AK93" s="235"/>
      <c r="AL93" s="235"/>
      <c r="AM93" s="235"/>
      <c r="AN93" s="235"/>
      <c r="AO93" s="235"/>
      <c r="AP93" s="235"/>
      <c r="AQ93" s="235"/>
      <c r="AR93" s="235"/>
      <c r="AS93" s="235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5"/>
      <c r="BH93" s="235"/>
      <c r="BI93" s="235"/>
      <c r="BJ93" s="235"/>
      <c r="BK93" s="235"/>
      <c r="BL93" s="235"/>
      <c r="BM93" s="235"/>
    </row>
    <row r="94" spans="1:65" ht="16">
      <c r="A94" s="241" t="s">
        <v>34</v>
      </c>
      <c r="B94" s="241" t="s">
        <v>13</v>
      </c>
      <c r="C94" s="133">
        <v>0</v>
      </c>
      <c r="D94" s="241" t="s">
        <v>7</v>
      </c>
      <c r="E94" s="242">
        <f ca="1">C94*VLOOKUP(D94,'FX RATES'!$E$1:$F$20,2,FALSE)</f>
        <v>0</v>
      </c>
      <c r="F94" s="246"/>
      <c r="G94" s="556"/>
      <c r="H94" s="274"/>
      <c r="I94" s="274"/>
      <c r="J94" s="274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AR94" s="235"/>
      <c r="AS94" s="235"/>
      <c r="AT94" s="235"/>
      <c r="AU94" s="235"/>
      <c r="AV94" s="235"/>
      <c r="AW94" s="235"/>
      <c r="AX94" s="235"/>
      <c r="AY94" s="235"/>
      <c r="AZ94" s="235"/>
      <c r="BA94" s="235"/>
      <c r="BB94" s="235"/>
      <c r="BC94" s="235"/>
      <c r="BD94" s="235"/>
      <c r="BE94" s="235"/>
      <c r="BF94" s="235"/>
      <c r="BG94" s="235"/>
      <c r="BH94" s="235"/>
      <c r="BI94" s="235"/>
      <c r="BJ94" s="235"/>
      <c r="BK94" s="235"/>
      <c r="BL94" s="235"/>
      <c r="BM94" s="235"/>
    </row>
    <row r="95" spans="1:65" ht="16">
      <c r="A95" s="241" t="s">
        <v>34</v>
      </c>
      <c r="B95" s="241" t="s">
        <v>13</v>
      </c>
      <c r="C95" s="133">
        <v>406152.88</v>
      </c>
      <c r="D95" s="241" t="s">
        <v>8</v>
      </c>
      <c r="E95" s="242">
        <f ca="1">C95*VLOOKUP(D95,'FX RATES'!$E$1:$F$20,2,FALSE)</f>
        <v>110590.01252518651</v>
      </c>
      <c r="F95" s="246"/>
      <c r="G95" s="556"/>
      <c r="H95" s="274"/>
      <c r="I95" s="274"/>
      <c r="J95" s="274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  <c r="AD95" s="235"/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5"/>
      <c r="AS95" s="235"/>
      <c r="AT95" s="235"/>
      <c r="AU95" s="235"/>
      <c r="AV95" s="235"/>
      <c r="AW95" s="235"/>
      <c r="AX95" s="235"/>
      <c r="AY95" s="235"/>
      <c r="AZ95" s="235"/>
      <c r="BA95" s="235"/>
      <c r="BB95" s="235"/>
      <c r="BC95" s="235"/>
      <c r="BD95" s="235"/>
      <c r="BE95" s="235"/>
      <c r="BF95" s="235"/>
      <c r="BG95" s="235"/>
      <c r="BH95" s="235"/>
      <c r="BI95" s="235"/>
      <c r="BJ95" s="235"/>
      <c r="BK95" s="235"/>
      <c r="BL95" s="235"/>
      <c r="BM95" s="235"/>
    </row>
    <row r="96" spans="1:65" ht="16">
      <c r="A96" s="244" t="s">
        <v>34</v>
      </c>
      <c r="B96" s="244" t="s">
        <v>14</v>
      </c>
      <c r="C96" s="134">
        <v>302671.94</v>
      </c>
      <c r="D96" s="244" t="s">
        <v>8</v>
      </c>
      <c r="E96" s="245">
        <f ca="1">C96*VLOOKUP(D96,'FX RATES'!$E$1:$F$20,2,FALSE)</f>
        <v>82413.532647170941</v>
      </c>
      <c r="F96" s="246"/>
      <c r="G96" s="557"/>
      <c r="H96" s="274"/>
      <c r="I96" s="274"/>
      <c r="J96" s="42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235"/>
      <c r="AB96" s="235"/>
      <c r="AC96" s="235"/>
      <c r="AD96" s="235"/>
      <c r="AE96" s="235"/>
      <c r="AF96" s="235"/>
      <c r="AG96" s="235"/>
      <c r="AH96" s="235"/>
      <c r="AI96" s="235"/>
      <c r="AJ96" s="235"/>
      <c r="AK96" s="235"/>
      <c r="AL96" s="235"/>
      <c r="AM96" s="235"/>
      <c r="AN96" s="235"/>
      <c r="AO96" s="235"/>
      <c r="AP96" s="235"/>
      <c r="AQ96" s="235"/>
      <c r="AR96" s="235"/>
      <c r="AS96" s="235"/>
      <c r="AT96" s="235"/>
      <c r="AU96" s="235"/>
      <c r="AV96" s="235"/>
      <c r="AW96" s="235"/>
      <c r="AX96" s="235"/>
      <c r="AY96" s="235"/>
      <c r="AZ96" s="235"/>
      <c r="BA96" s="235"/>
      <c r="BB96" s="235"/>
      <c r="BC96" s="235"/>
      <c r="BD96" s="235"/>
      <c r="BE96" s="235"/>
      <c r="BF96" s="235"/>
      <c r="BG96" s="235"/>
      <c r="BH96" s="235"/>
      <c r="BI96" s="235"/>
      <c r="BJ96" s="235"/>
      <c r="BK96" s="235"/>
      <c r="BL96" s="235"/>
      <c r="BM96" s="235"/>
    </row>
    <row r="97" spans="1:65" ht="16">
      <c r="A97" s="244" t="s">
        <v>34</v>
      </c>
      <c r="B97" s="244" t="s">
        <v>14</v>
      </c>
      <c r="C97" s="134">
        <v>0</v>
      </c>
      <c r="D97" s="244" t="s">
        <v>7</v>
      </c>
      <c r="E97" s="245">
        <f ca="1">C97*VLOOKUP(D97,'FX RATES'!$E$1:$F$20,2,FALSE)</f>
        <v>0</v>
      </c>
      <c r="F97" s="239"/>
      <c r="G97" s="558"/>
      <c r="H97" s="274"/>
      <c r="I97" s="274"/>
      <c r="J97" s="274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35"/>
      <c r="AG97" s="235"/>
      <c r="AH97" s="235"/>
      <c r="AI97" s="235"/>
      <c r="AJ97" s="235"/>
      <c r="AK97" s="235"/>
      <c r="AL97" s="235"/>
      <c r="AM97" s="235"/>
      <c r="AN97" s="235"/>
      <c r="AO97" s="235"/>
      <c r="AP97" s="235"/>
      <c r="AQ97" s="235"/>
      <c r="AR97" s="235"/>
      <c r="AS97" s="235"/>
      <c r="AT97" s="235"/>
      <c r="AU97" s="235"/>
      <c r="AV97" s="235"/>
      <c r="AW97" s="235"/>
      <c r="AX97" s="235"/>
      <c r="AY97" s="235"/>
      <c r="AZ97" s="235"/>
      <c r="BA97" s="235"/>
      <c r="BB97" s="235"/>
      <c r="BC97" s="235"/>
      <c r="BD97" s="235"/>
      <c r="BE97" s="235"/>
      <c r="BF97" s="235"/>
      <c r="BG97" s="235"/>
      <c r="BH97" s="235"/>
      <c r="BI97" s="235"/>
      <c r="BJ97" s="235"/>
      <c r="BK97" s="235"/>
      <c r="BL97" s="235"/>
      <c r="BM97" s="235"/>
    </row>
    <row r="98" spans="1:65" ht="20.25" customHeight="1">
      <c r="A98" s="244" t="s">
        <v>34</v>
      </c>
      <c r="B98" s="244" t="s">
        <v>14</v>
      </c>
      <c r="C98" s="134">
        <v>19632.21</v>
      </c>
      <c r="D98" s="244" t="s">
        <v>5</v>
      </c>
      <c r="E98" s="245">
        <f>C98*VLOOKUP(D98,'FX RATES'!$E$1:$F$20,2,FALSE)</f>
        <v>19632.21</v>
      </c>
      <c r="F98" s="246"/>
      <c r="G98" s="558"/>
      <c r="H98" s="422" t="s">
        <v>95</v>
      </c>
      <c r="I98" s="359">
        <v>422.01</v>
      </c>
      <c r="J98" s="274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  <c r="AD98" s="235"/>
      <c r="AE98" s="235"/>
      <c r="AF98" s="235"/>
      <c r="AG98" s="235"/>
      <c r="AH98" s="235"/>
      <c r="AI98" s="235"/>
      <c r="AJ98" s="235"/>
      <c r="AK98" s="235"/>
      <c r="AL98" s="235"/>
      <c r="AM98" s="235"/>
      <c r="AN98" s="235"/>
      <c r="AO98" s="235"/>
      <c r="AP98" s="235"/>
      <c r="AQ98" s="235"/>
      <c r="AR98" s="235"/>
      <c r="AS98" s="235"/>
      <c r="AT98" s="235"/>
      <c r="AU98" s="235"/>
      <c r="AV98" s="235"/>
      <c r="AW98" s="235"/>
      <c r="AX98" s="235"/>
      <c r="AY98" s="235"/>
      <c r="AZ98" s="235"/>
      <c r="BA98" s="235"/>
      <c r="BB98" s="235"/>
      <c r="BC98" s="235"/>
      <c r="BD98" s="235"/>
      <c r="BE98" s="235"/>
      <c r="BF98" s="235"/>
      <c r="BG98" s="235"/>
      <c r="BH98" s="235"/>
      <c r="BI98" s="235"/>
      <c r="BJ98" s="235"/>
      <c r="BK98" s="235"/>
      <c r="BL98" s="235"/>
      <c r="BM98" s="235"/>
    </row>
    <row r="99" spans="1:65" s="235" customFormat="1" ht="16">
      <c r="A99" s="332" t="s">
        <v>34</v>
      </c>
      <c r="B99" s="332" t="s">
        <v>36</v>
      </c>
      <c r="C99" s="333">
        <v>0</v>
      </c>
      <c r="D99" s="332" t="s">
        <v>5</v>
      </c>
      <c r="E99" s="334">
        <f>C99*VLOOKUP(D99,'FX RATES'!$E$1:$F$20,2,FALSE)</f>
        <v>0</v>
      </c>
      <c r="F99" s="335"/>
      <c r="G99" s="357"/>
      <c r="H99" s="274" t="s">
        <v>83</v>
      </c>
      <c r="I99" s="274"/>
    </row>
    <row r="100" spans="1:65" s="235" customFormat="1" ht="16">
      <c r="A100" s="332" t="s">
        <v>34</v>
      </c>
      <c r="B100" s="332" t="s">
        <v>36</v>
      </c>
      <c r="C100" s="333">
        <v>0</v>
      </c>
      <c r="D100" s="332" t="s">
        <v>6</v>
      </c>
      <c r="E100" s="334">
        <f ca="1">C100*VLOOKUP(D100,'FX RATES'!$E$1:$F$20,2,FALSE)</f>
        <v>0</v>
      </c>
      <c r="F100" s="335"/>
      <c r="G100" s="357"/>
      <c r="H100" s="274"/>
      <c r="I100" s="274"/>
    </row>
    <row r="101" spans="1:65" s="235" customFormat="1" ht="16">
      <c r="A101" s="332" t="s">
        <v>34</v>
      </c>
      <c r="B101" s="332" t="s">
        <v>36</v>
      </c>
      <c r="C101" s="333">
        <v>0</v>
      </c>
      <c r="D101" s="332" t="s">
        <v>7</v>
      </c>
      <c r="E101" s="334">
        <f ca="1">C101*VLOOKUP(D101,'FX RATES'!$E$1:$F$20,2,FALSE)</f>
        <v>0</v>
      </c>
      <c r="F101" s="335"/>
      <c r="G101" s="357"/>
      <c r="H101" s="274"/>
      <c r="I101" s="274"/>
    </row>
    <row r="102" spans="1:65" s="235" customFormat="1" ht="16">
      <c r="A102" s="332" t="s">
        <v>34</v>
      </c>
      <c r="B102" s="332" t="s">
        <v>36</v>
      </c>
      <c r="C102" s="333">
        <v>0</v>
      </c>
      <c r="D102" s="332" t="s">
        <v>8</v>
      </c>
      <c r="E102" s="334">
        <f ca="1">C102*VLOOKUP(D102,'FX RATES'!$E$1:$F$20,2,FALSE)</f>
        <v>0</v>
      </c>
      <c r="F102" s="335"/>
      <c r="G102" s="357"/>
      <c r="H102" s="274"/>
      <c r="I102" s="274"/>
    </row>
    <row r="103" spans="1:65" ht="16">
      <c r="A103" s="248" t="s">
        <v>34</v>
      </c>
      <c r="B103" s="248" t="s">
        <v>15</v>
      </c>
      <c r="C103" s="249">
        <v>0</v>
      </c>
      <c r="D103" s="248" t="s">
        <v>5</v>
      </c>
      <c r="E103" s="250">
        <f>C103*VLOOKUP(D103,'FX RATES'!$E$1:$F$20,2,FALSE)</f>
        <v>0</v>
      </c>
      <c r="F103" s="239"/>
      <c r="G103" s="557"/>
      <c r="H103" s="274"/>
      <c r="I103" s="274"/>
      <c r="J103" s="274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35"/>
      <c r="AH103" s="235"/>
      <c r="AI103" s="235"/>
      <c r="AJ103" s="235"/>
      <c r="AK103" s="235"/>
      <c r="AL103" s="235"/>
      <c r="AM103" s="235"/>
      <c r="AN103" s="235"/>
      <c r="AO103" s="235"/>
      <c r="AP103" s="235"/>
      <c r="AQ103" s="235"/>
      <c r="AR103" s="235"/>
      <c r="AS103" s="235"/>
      <c r="AT103" s="235"/>
      <c r="AU103" s="235"/>
      <c r="AV103" s="235"/>
      <c r="AW103" s="235"/>
      <c r="AX103" s="235"/>
      <c r="AY103" s="235"/>
      <c r="AZ103" s="235"/>
      <c r="BA103" s="235"/>
      <c r="BB103" s="235"/>
      <c r="BC103" s="235"/>
      <c r="BD103" s="235"/>
      <c r="BE103" s="235"/>
      <c r="BF103" s="235"/>
      <c r="BG103" s="235"/>
      <c r="BH103" s="235"/>
      <c r="BI103" s="235"/>
      <c r="BJ103" s="235"/>
      <c r="BK103" s="235"/>
      <c r="BL103" s="235"/>
      <c r="BM103" s="235"/>
    </row>
    <row r="104" spans="1:65" ht="16">
      <c r="A104" s="248" t="s">
        <v>34</v>
      </c>
      <c r="B104" s="248" t="s">
        <v>15</v>
      </c>
      <c r="C104" s="249">
        <v>0</v>
      </c>
      <c r="D104" s="248" t="s">
        <v>6</v>
      </c>
      <c r="E104" s="250">
        <f ca="1">C104*VLOOKUP(D104,'FX RATES'!$E$1:$F$20,2,FALSE)</f>
        <v>0</v>
      </c>
      <c r="F104" s="239"/>
      <c r="G104" s="557"/>
      <c r="H104" s="274"/>
      <c r="I104" s="274"/>
      <c r="J104" s="274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  <c r="AL104" s="235"/>
      <c r="AM104" s="235"/>
      <c r="AN104" s="235"/>
      <c r="AO104" s="235"/>
      <c r="AP104" s="235"/>
      <c r="AQ104" s="235"/>
      <c r="AR104" s="235"/>
      <c r="AS104" s="235"/>
      <c r="AT104" s="235"/>
      <c r="AU104" s="235"/>
      <c r="AV104" s="235"/>
      <c r="AW104" s="235"/>
      <c r="AX104" s="235"/>
      <c r="AY104" s="235"/>
      <c r="AZ104" s="235"/>
      <c r="BA104" s="235"/>
      <c r="BB104" s="235"/>
      <c r="BC104" s="235"/>
      <c r="BD104" s="235"/>
      <c r="BE104" s="235"/>
      <c r="BF104" s="235"/>
      <c r="BG104" s="235"/>
      <c r="BH104" s="235"/>
      <c r="BI104" s="235"/>
      <c r="BJ104" s="235"/>
      <c r="BK104" s="235"/>
      <c r="BL104" s="235"/>
      <c r="BM104" s="235"/>
    </row>
    <row r="105" spans="1:65" ht="16">
      <c r="A105" s="248" t="s">
        <v>34</v>
      </c>
      <c r="B105" s="248" t="s">
        <v>15</v>
      </c>
      <c r="C105" s="249">
        <v>0</v>
      </c>
      <c r="D105" s="248" t="s">
        <v>7</v>
      </c>
      <c r="E105" s="250">
        <f ca="1">C105*VLOOKUP(D105,'FX RATES'!$E$1:$F$20,2,FALSE)</f>
        <v>0</v>
      </c>
      <c r="F105" s="239"/>
      <c r="G105" s="557"/>
      <c r="H105" s="274"/>
      <c r="I105" s="274"/>
      <c r="J105" s="274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35"/>
      <c r="AH105" s="235"/>
      <c r="AI105" s="235"/>
      <c r="AJ105" s="235"/>
      <c r="AK105" s="235"/>
      <c r="AL105" s="235"/>
      <c r="AM105" s="235"/>
      <c r="AN105" s="235"/>
      <c r="AO105" s="235"/>
      <c r="AP105" s="235"/>
      <c r="AQ105" s="235"/>
      <c r="AR105" s="235"/>
      <c r="AS105" s="235"/>
      <c r="AT105" s="235"/>
      <c r="AU105" s="235"/>
      <c r="AV105" s="235"/>
      <c r="AW105" s="235"/>
      <c r="AX105" s="235"/>
      <c r="AY105" s="235"/>
      <c r="AZ105" s="235"/>
      <c r="BA105" s="235"/>
      <c r="BB105" s="235"/>
      <c r="BC105" s="235"/>
      <c r="BD105" s="235"/>
      <c r="BE105" s="235"/>
      <c r="BF105" s="235"/>
      <c r="BG105" s="235"/>
      <c r="BH105" s="235"/>
      <c r="BI105" s="235"/>
      <c r="BJ105" s="235"/>
      <c r="BK105" s="235"/>
      <c r="BL105" s="235"/>
      <c r="BM105" s="235"/>
    </row>
    <row r="106" spans="1:65" ht="16">
      <c r="A106" s="248" t="s">
        <v>34</v>
      </c>
      <c r="B106" s="248" t="s">
        <v>15</v>
      </c>
      <c r="C106" s="249">
        <v>4300.3900000000003</v>
      </c>
      <c r="D106" s="248" t="s">
        <v>8</v>
      </c>
      <c r="E106" s="250">
        <f ca="1">C106*VLOOKUP(D106,'FX RATES'!$E$1:$F$20,2,FALSE)</f>
        <v>1170.9388444154006</v>
      </c>
      <c r="F106" s="239"/>
      <c r="G106" s="558"/>
      <c r="H106" s="274"/>
      <c r="I106" s="274"/>
      <c r="J106" s="274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35"/>
      <c r="AH106" s="235"/>
      <c r="AI106" s="235"/>
      <c r="AJ106" s="235"/>
      <c r="AK106" s="235"/>
      <c r="AL106" s="235"/>
      <c r="AM106" s="235"/>
      <c r="AN106" s="235"/>
      <c r="AO106" s="235"/>
      <c r="AP106" s="235"/>
      <c r="AQ106" s="235"/>
      <c r="AR106" s="235"/>
      <c r="AS106" s="235"/>
      <c r="AT106" s="235"/>
      <c r="AU106" s="235"/>
      <c r="AV106" s="235"/>
      <c r="AW106" s="235"/>
      <c r="AX106" s="235"/>
      <c r="AY106" s="235"/>
      <c r="AZ106" s="235"/>
      <c r="BA106" s="235"/>
      <c r="BB106" s="235"/>
      <c r="BC106" s="235"/>
      <c r="BD106" s="235"/>
      <c r="BE106" s="235"/>
      <c r="BF106" s="235"/>
      <c r="BG106" s="235"/>
      <c r="BH106" s="235"/>
      <c r="BI106" s="235"/>
      <c r="BJ106" s="235"/>
      <c r="BK106" s="235"/>
      <c r="BL106" s="235"/>
      <c r="BM106" s="235"/>
    </row>
    <row r="107" spans="1:65" ht="16">
      <c r="A107" s="323" t="s">
        <v>34</v>
      </c>
      <c r="B107" s="323" t="s">
        <v>20</v>
      </c>
      <c r="C107" s="324">
        <v>0</v>
      </c>
      <c r="D107" s="323" t="s">
        <v>5</v>
      </c>
      <c r="E107" s="325">
        <f>C107*VLOOKUP(D107,'FX RATES'!$E$1:$F$20,2,FALSE)</f>
        <v>0</v>
      </c>
      <c r="F107" s="239"/>
      <c r="G107" s="558"/>
      <c r="H107" s="274"/>
      <c r="I107" s="274"/>
      <c r="J107" s="274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35"/>
      <c r="AH107" s="235"/>
      <c r="AI107" s="235"/>
      <c r="AJ107" s="235"/>
      <c r="AK107" s="235"/>
      <c r="AL107" s="235"/>
      <c r="AM107" s="235"/>
      <c r="AN107" s="235"/>
      <c r="AO107" s="235"/>
      <c r="AP107" s="235"/>
      <c r="AQ107" s="235"/>
      <c r="AR107" s="235"/>
      <c r="AS107" s="235"/>
      <c r="AT107" s="235"/>
      <c r="AU107" s="235"/>
      <c r="AV107" s="235"/>
      <c r="AW107" s="235"/>
      <c r="AX107" s="235"/>
      <c r="AY107" s="235"/>
      <c r="AZ107" s="235"/>
      <c r="BA107" s="235"/>
      <c r="BB107" s="235"/>
      <c r="BC107" s="235"/>
      <c r="BD107" s="235"/>
      <c r="BE107" s="235"/>
      <c r="BF107" s="235"/>
      <c r="BG107" s="235"/>
      <c r="BH107" s="235"/>
      <c r="BI107" s="235"/>
      <c r="BJ107" s="235"/>
      <c r="BK107" s="235"/>
      <c r="BL107" s="235"/>
      <c r="BM107" s="235"/>
    </row>
    <row r="108" spans="1:65" ht="16">
      <c r="A108" s="323" t="s">
        <v>34</v>
      </c>
      <c r="B108" s="323" t="s">
        <v>20</v>
      </c>
      <c r="C108" s="324">
        <v>0</v>
      </c>
      <c r="D108" s="323" t="s">
        <v>6</v>
      </c>
      <c r="E108" s="325">
        <f ca="1">C108*VLOOKUP(D108,'FX RATES'!$E$1:$F$20,2,FALSE)</f>
        <v>0</v>
      </c>
      <c r="F108" s="239"/>
      <c r="G108" s="558"/>
      <c r="H108" s="274"/>
      <c r="I108" s="274"/>
      <c r="J108" s="274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  <c r="AD108" s="235"/>
      <c r="AE108" s="235"/>
      <c r="AF108" s="235"/>
      <c r="AG108" s="235"/>
      <c r="AH108" s="235"/>
      <c r="AI108" s="235"/>
      <c r="AJ108" s="235"/>
      <c r="AK108" s="235"/>
      <c r="AL108" s="235"/>
      <c r="AM108" s="235"/>
      <c r="AN108" s="235"/>
      <c r="AO108" s="235"/>
      <c r="AP108" s="235"/>
      <c r="AQ108" s="235"/>
      <c r="AR108" s="235"/>
      <c r="AS108" s="235"/>
      <c r="AT108" s="235"/>
      <c r="AU108" s="235"/>
      <c r="AV108" s="235"/>
      <c r="AW108" s="235"/>
      <c r="AX108" s="235"/>
      <c r="AY108" s="235"/>
      <c r="AZ108" s="235"/>
      <c r="BA108" s="235"/>
      <c r="BB108" s="235"/>
      <c r="BC108" s="235"/>
      <c r="BD108" s="235"/>
      <c r="BE108" s="235"/>
      <c r="BF108" s="235"/>
      <c r="BG108" s="235"/>
      <c r="BH108" s="235"/>
      <c r="BI108" s="235"/>
      <c r="BJ108" s="235"/>
      <c r="BK108" s="235"/>
      <c r="BL108" s="235"/>
      <c r="BM108" s="235"/>
    </row>
    <row r="109" spans="1:65" ht="16">
      <c r="A109" s="323" t="s">
        <v>34</v>
      </c>
      <c r="B109" s="323" t="s">
        <v>20</v>
      </c>
      <c r="C109" s="324">
        <v>0</v>
      </c>
      <c r="D109" s="323" t="s">
        <v>7</v>
      </c>
      <c r="E109" s="325">
        <f ca="1">C109*VLOOKUP(D109,'FX RATES'!$E$1:$F$20,2,FALSE)</f>
        <v>0</v>
      </c>
      <c r="F109" s="239"/>
      <c r="G109" s="558"/>
      <c r="H109" s="274"/>
      <c r="I109" s="274"/>
      <c r="J109" s="274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35"/>
      <c r="AH109" s="235"/>
      <c r="AI109" s="235"/>
      <c r="AJ109" s="235"/>
      <c r="AK109" s="235"/>
      <c r="AL109" s="235"/>
      <c r="AM109" s="235"/>
      <c r="AN109" s="235"/>
      <c r="AO109" s="235"/>
      <c r="AP109" s="235"/>
      <c r="AQ109" s="235"/>
      <c r="AR109" s="235"/>
      <c r="AS109" s="235"/>
      <c r="AT109" s="235"/>
      <c r="AU109" s="235"/>
      <c r="AV109" s="235"/>
      <c r="AW109" s="235"/>
      <c r="AX109" s="235"/>
      <c r="AY109" s="235"/>
      <c r="AZ109" s="235"/>
      <c r="BA109" s="235"/>
      <c r="BB109" s="235"/>
      <c r="BC109" s="235"/>
      <c r="BD109" s="235"/>
      <c r="BE109" s="235"/>
      <c r="BF109" s="235"/>
      <c r="BG109" s="235"/>
      <c r="BH109" s="235"/>
      <c r="BI109" s="235"/>
      <c r="BJ109" s="235"/>
      <c r="BK109" s="235"/>
      <c r="BL109" s="235"/>
      <c r="BM109" s="235"/>
    </row>
    <row r="110" spans="1:65" ht="16">
      <c r="A110" s="323" t="s">
        <v>34</v>
      </c>
      <c r="B110" s="323" t="s">
        <v>20</v>
      </c>
      <c r="C110" s="324">
        <v>25064.45</v>
      </c>
      <c r="D110" s="323" t="s">
        <v>8</v>
      </c>
      <c r="E110" s="325">
        <f ca="1">C110*VLOOKUP(D110,'FX RATES'!$E$1:$F$20,2,FALSE)</f>
        <v>6824.7154604367479</v>
      </c>
      <c r="F110" s="239"/>
      <c r="G110" s="558"/>
      <c r="H110" s="274"/>
      <c r="I110" s="274"/>
      <c r="J110" s="274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  <c r="AD110" s="235"/>
      <c r="AE110" s="235"/>
      <c r="AF110" s="235"/>
      <c r="AG110" s="235"/>
      <c r="AH110" s="235"/>
      <c r="AI110" s="235"/>
      <c r="AJ110" s="235"/>
      <c r="AK110" s="235"/>
      <c r="AL110" s="235"/>
      <c r="AM110" s="235"/>
      <c r="AN110" s="235"/>
      <c r="AO110" s="235"/>
      <c r="AP110" s="235"/>
      <c r="AQ110" s="235"/>
      <c r="AR110" s="235"/>
      <c r="AS110" s="235"/>
      <c r="AT110" s="235"/>
      <c r="AU110" s="235"/>
      <c r="AV110" s="235"/>
      <c r="AW110" s="235"/>
      <c r="AX110" s="235"/>
      <c r="AY110" s="235"/>
      <c r="AZ110" s="235"/>
      <c r="BA110" s="235"/>
      <c r="BB110" s="235"/>
      <c r="BC110" s="235"/>
      <c r="BD110" s="235"/>
      <c r="BE110" s="235"/>
      <c r="BF110" s="235"/>
      <c r="BG110" s="235"/>
      <c r="BH110" s="235"/>
      <c r="BI110" s="235"/>
      <c r="BJ110" s="235"/>
      <c r="BK110" s="235"/>
      <c r="BL110" s="235"/>
      <c r="BM110" s="235"/>
    </row>
    <row r="111" spans="1:65" ht="16">
      <c r="A111" s="255" t="s">
        <v>34</v>
      </c>
      <c r="B111" s="255" t="s">
        <v>16</v>
      </c>
      <c r="C111" s="347">
        <v>14.34</v>
      </c>
      <c r="D111" s="255" t="s">
        <v>5</v>
      </c>
      <c r="E111" s="257">
        <f>C111*VLOOKUP(D111,'FX RATES'!$E$1:$F$20,2,FALSE)</f>
        <v>14.34</v>
      </c>
      <c r="F111" s="239"/>
      <c r="G111" s="357"/>
      <c r="H111" s="274" t="s">
        <v>96</v>
      </c>
      <c r="I111" s="274"/>
      <c r="J111" s="274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35"/>
      <c r="AH111" s="235"/>
      <c r="AI111" s="235"/>
      <c r="AJ111" s="235"/>
      <c r="AK111" s="235"/>
      <c r="AL111" s="235"/>
      <c r="AM111" s="235"/>
      <c r="AN111" s="235"/>
      <c r="AO111" s="235"/>
      <c r="AP111" s="235"/>
      <c r="AQ111" s="235"/>
      <c r="AR111" s="235"/>
      <c r="AS111" s="235"/>
      <c r="AT111" s="235"/>
      <c r="AU111" s="235"/>
      <c r="AV111" s="235"/>
      <c r="AW111" s="235"/>
      <c r="AX111" s="235"/>
      <c r="AY111" s="235"/>
      <c r="AZ111" s="235"/>
      <c r="BA111" s="235"/>
      <c r="BB111" s="235"/>
      <c r="BC111" s="235"/>
      <c r="BD111" s="235"/>
      <c r="BE111" s="235"/>
      <c r="BF111" s="235"/>
      <c r="BG111" s="235"/>
      <c r="BH111" s="235"/>
      <c r="BI111" s="235"/>
      <c r="BJ111" s="235"/>
      <c r="BK111" s="235"/>
      <c r="BL111" s="235"/>
      <c r="BM111" s="235"/>
    </row>
    <row r="112" spans="1:65" ht="16">
      <c r="A112" s="255" t="s">
        <v>34</v>
      </c>
      <c r="B112" s="255" t="s">
        <v>16</v>
      </c>
      <c r="C112" s="347">
        <v>0</v>
      </c>
      <c r="D112" s="255" t="s">
        <v>6</v>
      </c>
      <c r="E112" s="257">
        <f ca="1">C112*VLOOKUP(D112,'FX RATES'!$E$1:$F$20,2,FALSE)</f>
        <v>0</v>
      </c>
      <c r="F112" s="239"/>
      <c r="G112" s="357"/>
      <c r="H112" s="274"/>
      <c r="I112" s="274"/>
      <c r="J112" s="274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5"/>
      <c r="AE112" s="235"/>
      <c r="AF112" s="235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  <c r="AS112" s="235"/>
      <c r="AT112" s="235"/>
      <c r="AU112" s="235"/>
      <c r="AV112" s="235"/>
      <c r="AW112" s="235"/>
      <c r="AX112" s="235"/>
      <c r="AY112" s="235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35"/>
      <c r="BK112" s="235"/>
      <c r="BL112" s="235"/>
      <c r="BM112" s="235"/>
    </row>
    <row r="113" spans="1:65" ht="16">
      <c r="A113" s="255" t="s">
        <v>34</v>
      </c>
      <c r="B113" s="255" t="s">
        <v>16</v>
      </c>
      <c r="C113" s="347">
        <v>0</v>
      </c>
      <c r="D113" s="255" t="s">
        <v>7</v>
      </c>
      <c r="E113" s="257">
        <f ca="1">C113*VLOOKUP(D113,'FX RATES'!$E$1:$F$20,2,FALSE)</f>
        <v>0</v>
      </c>
      <c r="F113" s="239"/>
      <c r="G113" s="353"/>
      <c r="H113" s="274"/>
      <c r="I113" s="235"/>
      <c r="J113" s="274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5"/>
      <c r="AE113" s="235"/>
      <c r="AF113" s="235"/>
      <c r="AG113" s="235"/>
      <c r="AH113" s="235"/>
      <c r="AI113" s="235"/>
      <c r="AJ113" s="235"/>
      <c r="AK113" s="235"/>
      <c r="AL113" s="235"/>
      <c r="AM113" s="235"/>
      <c r="AN113" s="235"/>
      <c r="AO113" s="235"/>
      <c r="AP113" s="235"/>
      <c r="AQ113" s="235"/>
      <c r="AR113" s="235"/>
      <c r="AS113" s="235"/>
      <c r="AT113" s="235"/>
      <c r="AU113" s="235"/>
      <c r="AV113" s="235"/>
      <c r="AW113" s="235"/>
      <c r="AX113" s="235"/>
      <c r="AY113" s="235"/>
      <c r="AZ113" s="235"/>
      <c r="BA113" s="235"/>
      <c r="BB113" s="235"/>
      <c r="BC113" s="235"/>
      <c r="BD113" s="235"/>
      <c r="BE113" s="235"/>
      <c r="BF113" s="235"/>
      <c r="BG113" s="235"/>
      <c r="BH113" s="235"/>
      <c r="BI113" s="235"/>
      <c r="BJ113" s="235"/>
      <c r="BK113" s="235"/>
      <c r="BL113" s="235"/>
      <c r="BM113" s="235"/>
    </row>
    <row r="114" spans="1:65" ht="16">
      <c r="A114" s="255" t="s">
        <v>34</v>
      </c>
      <c r="B114" s="255" t="s">
        <v>16</v>
      </c>
      <c r="C114" s="347">
        <v>15787.75</v>
      </c>
      <c r="D114" s="255" t="s">
        <v>8</v>
      </c>
      <c r="E114" s="257">
        <f ca="1">C114*VLOOKUP(D114,'FX RATES'!$E$1:$F$20,2,FALSE)</f>
        <v>4298.7937700811408</v>
      </c>
      <c r="F114" s="239"/>
      <c r="G114" s="353"/>
      <c r="H114" s="274"/>
      <c r="I114" s="235"/>
      <c r="J114" s="274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</row>
    <row r="115" spans="1:65" ht="16">
      <c r="A115" s="294" t="s">
        <v>34</v>
      </c>
      <c r="B115" s="294" t="s">
        <v>17</v>
      </c>
      <c r="C115" s="295">
        <v>8708098.7599999998</v>
      </c>
      <c r="D115" s="294" t="s">
        <v>8</v>
      </c>
      <c r="E115" s="296">
        <f ca="1">C115*VLOOKUP(D115,'FX RATES'!$E$1:$F$20,2,FALSE)</f>
        <v>2371099.1559113432</v>
      </c>
      <c r="F115" s="246"/>
      <c r="G115" s="559"/>
      <c r="H115" s="274"/>
      <c r="I115" s="235"/>
      <c r="J115" s="419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  <c r="AD115" s="235"/>
      <c r="AE115" s="235"/>
      <c r="AF115" s="235"/>
      <c r="AG115" s="235"/>
      <c r="AH115" s="235"/>
      <c r="AI115" s="235"/>
      <c r="AJ115" s="235"/>
      <c r="AK115" s="235"/>
      <c r="AL115" s="235"/>
      <c r="AM115" s="235"/>
      <c r="AN115" s="235"/>
      <c r="AO115" s="235"/>
      <c r="AP115" s="235"/>
      <c r="AQ115" s="235"/>
      <c r="AR115" s="235"/>
      <c r="AS115" s="235"/>
      <c r="AT115" s="235"/>
      <c r="AU115" s="235"/>
      <c r="AV115" s="235"/>
      <c r="AW115" s="235"/>
      <c r="AX115" s="235"/>
      <c r="AY115" s="235"/>
      <c r="AZ115" s="235"/>
      <c r="BA115" s="235"/>
      <c r="BB115" s="235"/>
      <c r="BC115" s="235"/>
      <c r="BD115" s="235"/>
      <c r="BE115" s="235"/>
      <c r="BF115" s="235"/>
      <c r="BG115" s="235"/>
      <c r="BH115" s="235"/>
      <c r="BI115" s="235"/>
      <c r="BJ115" s="235"/>
      <c r="BK115" s="235"/>
      <c r="BL115" s="235"/>
      <c r="BM115" s="235"/>
    </row>
    <row r="116" spans="1:65" ht="16">
      <c r="A116" s="294" t="s">
        <v>34</v>
      </c>
      <c r="B116" s="294" t="s">
        <v>17</v>
      </c>
      <c r="C116" s="295">
        <v>7000</v>
      </c>
      <c r="D116" s="294" t="s">
        <v>5</v>
      </c>
      <c r="E116" s="296">
        <f>C116*VLOOKUP(D116,'FX RATES'!$E$1:$F$20,2,FALSE)</f>
        <v>7000</v>
      </c>
      <c r="F116" s="246"/>
      <c r="G116" s="556"/>
      <c r="H116" s="274"/>
      <c r="I116" s="235"/>
      <c r="J116" s="274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  <c r="AD116" s="235"/>
      <c r="AE116" s="235"/>
      <c r="AF116" s="235"/>
      <c r="AG116" s="235"/>
      <c r="AH116" s="235"/>
      <c r="AI116" s="235"/>
      <c r="AJ116" s="235"/>
      <c r="AK116" s="235"/>
      <c r="AL116" s="235"/>
      <c r="AM116" s="235"/>
      <c r="AN116" s="235"/>
      <c r="AO116" s="235"/>
      <c r="AP116" s="235"/>
      <c r="AQ116" s="235"/>
      <c r="AR116" s="235"/>
      <c r="AS116" s="235"/>
      <c r="AT116" s="235"/>
      <c r="AU116" s="235"/>
      <c r="AV116" s="235"/>
      <c r="AW116" s="235"/>
      <c r="AX116" s="235"/>
      <c r="AY116" s="235"/>
      <c r="AZ116" s="235"/>
      <c r="BA116" s="235"/>
      <c r="BB116" s="235"/>
      <c r="BC116" s="235"/>
      <c r="BD116" s="235"/>
      <c r="BE116" s="235"/>
      <c r="BF116" s="235"/>
      <c r="BG116" s="235"/>
      <c r="BH116" s="235"/>
      <c r="BI116" s="235"/>
      <c r="BJ116" s="235"/>
      <c r="BK116" s="235"/>
      <c r="BL116" s="235"/>
      <c r="BM116" s="235"/>
    </row>
    <row r="117" spans="1:65" ht="16">
      <c r="A117" s="312" t="s">
        <v>34</v>
      </c>
      <c r="B117" s="312" t="s">
        <v>22</v>
      </c>
      <c r="C117" s="315">
        <v>10000.75</v>
      </c>
      <c r="D117" s="312" t="s">
        <v>7</v>
      </c>
      <c r="E117" s="314">
        <f ca="1">C117*VLOOKUP(D117,'FX RATES'!$E$1:$F$20,2,FALSE)</f>
        <v>1447.7055587724378</v>
      </c>
      <c r="F117" s="246"/>
      <c r="G117" s="556"/>
      <c r="H117" s="274" t="s">
        <v>86</v>
      </c>
      <c r="I117" s="235"/>
      <c r="J117" s="274">
        <v>5782245</v>
      </c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  <c r="AD117" s="235"/>
      <c r="AE117" s="235"/>
      <c r="AF117" s="235"/>
      <c r="AG117" s="235"/>
      <c r="AH117" s="235"/>
      <c r="AI117" s="235"/>
      <c r="AJ117" s="235"/>
      <c r="AK117" s="235"/>
      <c r="AL117" s="235"/>
      <c r="AM117" s="235"/>
      <c r="AN117" s="235"/>
      <c r="AO117" s="235"/>
      <c r="AP117" s="235"/>
      <c r="AQ117" s="235"/>
      <c r="AR117" s="235"/>
      <c r="AS117" s="235"/>
      <c r="AT117" s="235"/>
      <c r="AU117" s="235"/>
      <c r="AV117" s="235"/>
      <c r="AW117" s="235"/>
      <c r="AX117" s="235"/>
      <c r="AY117" s="235"/>
      <c r="AZ117" s="235"/>
      <c r="BA117" s="235"/>
      <c r="BB117" s="235"/>
      <c r="BC117" s="235"/>
      <c r="BD117" s="235"/>
      <c r="BE117" s="235"/>
      <c r="BF117" s="235"/>
      <c r="BG117" s="235"/>
      <c r="BH117" s="235"/>
      <c r="BI117" s="235"/>
      <c r="BJ117" s="235"/>
      <c r="BK117" s="235"/>
      <c r="BL117" s="235"/>
      <c r="BM117" s="235"/>
    </row>
    <row r="118" spans="1:65" ht="16">
      <c r="A118" s="312" t="s">
        <v>34</v>
      </c>
      <c r="B118" s="312" t="s">
        <v>22</v>
      </c>
      <c r="C118" s="315">
        <v>14333.32</v>
      </c>
      <c r="D118" s="312" t="s">
        <v>5</v>
      </c>
      <c r="E118" s="314">
        <f>C118*VLOOKUP(D118,'FX RATES'!$E$1:$F$20,2,FALSE)</f>
        <v>14333.32</v>
      </c>
      <c r="F118" s="246"/>
      <c r="G118" s="556"/>
      <c r="H118" s="274"/>
      <c r="I118" s="235"/>
      <c r="J118" s="274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35"/>
      <c r="AH118" s="235"/>
      <c r="AI118" s="235"/>
      <c r="AJ118" s="235"/>
      <c r="AK118" s="235"/>
      <c r="AL118" s="235"/>
      <c r="AM118" s="235"/>
      <c r="AN118" s="235"/>
      <c r="AO118" s="235"/>
      <c r="AP118" s="235"/>
      <c r="AQ118" s="235"/>
      <c r="AR118" s="235"/>
      <c r="AS118" s="235"/>
      <c r="AT118" s="235"/>
      <c r="AU118" s="235"/>
      <c r="AV118" s="235"/>
      <c r="AW118" s="235"/>
      <c r="AX118" s="235"/>
      <c r="AY118" s="235"/>
      <c r="AZ118" s="235"/>
      <c r="BA118" s="235"/>
      <c r="BB118" s="235"/>
      <c r="BC118" s="235"/>
      <c r="BD118" s="235"/>
      <c r="BE118" s="235"/>
      <c r="BF118" s="235"/>
      <c r="BG118" s="235"/>
      <c r="BH118" s="235"/>
      <c r="BI118" s="235"/>
      <c r="BJ118" s="235"/>
      <c r="BK118" s="235"/>
      <c r="BL118" s="235"/>
      <c r="BM118" s="235"/>
    </row>
    <row r="119" spans="1:65" ht="16">
      <c r="A119" s="309" t="s">
        <v>34</v>
      </c>
      <c r="B119" s="309" t="s">
        <v>37</v>
      </c>
      <c r="C119" s="310">
        <v>1542.22</v>
      </c>
      <c r="D119" s="309" t="s">
        <v>5</v>
      </c>
      <c r="E119" s="311">
        <f>C119*VLOOKUP(D119,'FX RATES'!$E$1:$F$20,2,FALSE)</f>
        <v>1542.22</v>
      </c>
      <c r="F119" s="246"/>
      <c r="G119" s="556"/>
      <c r="H119" s="274" t="s">
        <v>86</v>
      </c>
      <c r="I119" s="235"/>
      <c r="J119" s="274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35"/>
      <c r="AH119" s="235"/>
      <c r="AI119" s="235"/>
      <c r="AJ119" s="235"/>
      <c r="AK119" s="235"/>
      <c r="AL119" s="235"/>
      <c r="AM119" s="235"/>
      <c r="AN119" s="235"/>
      <c r="AO119" s="235"/>
      <c r="AP119" s="235"/>
      <c r="AQ119" s="235"/>
      <c r="AR119" s="235"/>
      <c r="AS119" s="235"/>
      <c r="AT119" s="235"/>
      <c r="AU119" s="235"/>
      <c r="AV119" s="235"/>
      <c r="AW119" s="235"/>
      <c r="AX119" s="235"/>
      <c r="AY119" s="235"/>
      <c r="AZ119" s="235"/>
      <c r="BA119" s="235"/>
      <c r="BB119" s="235"/>
      <c r="BC119" s="235"/>
      <c r="BD119" s="235"/>
      <c r="BE119" s="235"/>
      <c r="BF119" s="235"/>
      <c r="BG119" s="235"/>
      <c r="BH119" s="235"/>
      <c r="BI119" s="235"/>
      <c r="BJ119" s="235"/>
      <c r="BK119" s="235"/>
      <c r="BL119" s="235"/>
      <c r="BM119" s="235"/>
    </row>
    <row r="120" spans="1:65" ht="16">
      <c r="A120" s="309" t="s">
        <v>34</v>
      </c>
      <c r="B120" s="309" t="s">
        <v>37</v>
      </c>
      <c r="C120" s="310">
        <v>0</v>
      </c>
      <c r="D120" s="309" t="s">
        <v>6</v>
      </c>
      <c r="E120" s="311">
        <f ca="1">C120*VLOOKUP(D120,'FX RATES'!$E$1:$F$20,2,FALSE)</f>
        <v>0</v>
      </c>
      <c r="F120" s="246"/>
      <c r="G120" s="556"/>
      <c r="H120" s="274"/>
      <c r="I120" s="235"/>
      <c r="J120" s="274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  <c r="AA120" s="235"/>
      <c r="AB120" s="235"/>
      <c r="AC120" s="235"/>
      <c r="AD120" s="235"/>
      <c r="AE120" s="235"/>
      <c r="AF120" s="235"/>
      <c r="AG120" s="235"/>
      <c r="AH120" s="235"/>
      <c r="AI120" s="235"/>
      <c r="AJ120" s="235"/>
      <c r="AK120" s="235"/>
      <c r="AL120" s="235"/>
      <c r="AM120" s="235"/>
      <c r="AN120" s="235"/>
      <c r="AO120" s="235"/>
      <c r="AP120" s="235"/>
      <c r="AQ120" s="235"/>
      <c r="AR120" s="235"/>
      <c r="AS120" s="235"/>
      <c r="AT120" s="235"/>
      <c r="AU120" s="235"/>
      <c r="AV120" s="235"/>
      <c r="AW120" s="235"/>
      <c r="AX120" s="235"/>
      <c r="AY120" s="235"/>
      <c r="AZ120" s="235"/>
      <c r="BA120" s="235"/>
      <c r="BB120" s="235"/>
      <c r="BC120" s="235"/>
      <c r="BD120" s="235"/>
      <c r="BE120" s="235"/>
      <c r="BF120" s="235"/>
      <c r="BG120" s="235"/>
      <c r="BH120" s="235"/>
      <c r="BI120" s="235"/>
      <c r="BJ120" s="235"/>
      <c r="BK120" s="235"/>
      <c r="BL120" s="235"/>
      <c r="BM120" s="235"/>
    </row>
    <row r="121" spans="1:65" ht="16">
      <c r="A121" s="309" t="s">
        <v>34</v>
      </c>
      <c r="B121" s="309" t="s">
        <v>37</v>
      </c>
      <c r="C121" s="310">
        <v>937224.92</v>
      </c>
      <c r="D121" s="309" t="s">
        <v>7</v>
      </c>
      <c r="E121" s="311">
        <f ca="1">C121*VLOOKUP(D121,'FX RATES'!$E$1:$F$20,2,FALSE)</f>
        <v>135672.39722061378</v>
      </c>
      <c r="F121" s="246"/>
      <c r="G121" s="556"/>
      <c r="H121" s="274"/>
      <c r="I121" s="235"/>
      <c r="J121" s="274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  <c r="AD121" s="235"/>
      <c r="AE121" s="235"/>
      <c r="AF121" s="235"/>
      <c r="AG121" s="235"/>
      <c r="AH121" s="235"/>
      <c r="AI121" s="235"/>
      <c r="AJ121" s="235"/>
      <c r="AK121" s="235"/>
      <c r="AL121" s="235"/>
      <c r="AM121" s="235"/>
      <c r="AN121" s="235"/>
      <c r="AO121" s="235"/>
      <c r="AP121" s="235"/>
      <c r="AQ121" s="235"/>
      <c r="AR121" s="235"/>
      <c r="AS121" s="235"/>
      <c r="AT121" s="235"/>
      <c r="AU121" s="235"/>
      <c r="AV121" s="235"/>
      <c r="AW121" s="235"/>
      <c r="AX121" s="235"/>
      <c r="AY121" s="235"/>
      <c r="AZ121" s="235"/>
      <c r="BA121" s="235"/>
      <c r="BB121" s="235"/>
      <c r="BC121" s="235"/>
      <c r="BD121" s="235"/>
      <c r="BE121" s="235"/>
      <c r="BF121" s="235"/>
      <c r="BG121" s="235"/>
      <c r="BH121" s="235"/>
      <c r="BI121" s="235"/>
      <c r="BJ121" s="235"/>
      <c r="BK121" s="235"/>
      <c r="BL121" s="235"/>
      <c r="BM121" s="235"/>
    </row>
    <row r="122" spans="1:65" ht="16">
      <c r="A122" s="309" t="s">
        <v>34</v>
      </c>
      <c r="B122" s="309" t="s">
        <v>37</v>
      </c>
      <c r="C122" s="310">
        <v>0</v>
      </c>
      <c r="D122" s="309" t="s">
        <v>35</v>
      </c>
      <c r="E122" s="311">
        <f ca="1">C122*VLOOKUP(D122,'FX RATES'!$E$1:$F$20,2,FALSE)</f>
        <v>0</v>
      </c>
      <c r="F122" s="246"/>
      <c r="G122" s="556"/>
      <c r="H122" s="274"/>
      <c r="I122" s="235"/>
      <c r="J122" s="274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35"/>
      <c r="AH122" s="235"/>
      <c r="AI122" s="235"/>
      <c r="AJ122" s="235"/>
      <c r="AK122" s="235"/>
      <c r="AL122" s="235"/>
      <c r="AM122" s="235"/>
      <c r="AN122" s="235"/>
      <c r="AO122" s="235"/>
      <c r="AP122" s="235"/>
      <c r="AQ122" s="235"/>
      <c r="AR122" s="235"/>
      <c r="AS122" s="235"/>
      <c r="AT122" s="235"/>
      <c r="AU122" s="235"/>
      <c r="AV122" s="235"/>
      <c r="AW122" s="235"/>
      <c r="AX122" s="235"/>
      <c r="AY122" s="235"/>
      <c r="AZ122" s="235"/>
      <c r="BA122" s="235"/>
      <c r="BB122" s="235"/>
      <c r="BC122" s="235"/>
      <c r="BD122" s="235"/>
      <c r="BE122" s="235"/>
      <c r="BF122" s="235"/>
      <c r="BG122" s="235"/>
      <c r="BH122" s="235"/>
      <c r="BI122" s="235"/>
      <c r="BJ122" s="235"/>
      <c r="BK122" s="235"/>
      <c r="BL122" s="235"/>
      <c r="BM122" s="235"/>
    </row>
    <row r="123" spans="1:65" ht="17.25" customHeight="1">
      <c r="A123" s="258" t="s">
        <v>34</v>
      </c>
      <c r="B123" s="258" t="s">
        <v>25</v>
      </c>
      <c r="C123" s="135">
        <v>537536.46</v>
      </c>
      <c r="D123" s="258" t="s">
        <v>9</v>
      </c>
      <c r="E123" s="259">
        <f ca="1">C123*VLOOKUP(D123,'FX RATES'!$E$1:$F$20,2,FALSE)</f>
        <v>7006.4254012943084</v>
      </c>
      <c r="F123" s="246"/>
      <c r="G123" s="353"/>
      <c r="H123" s="274"/>
      <c r="I123" s="235"/>
      <c r="J123" s="274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235"/>
      <c r="AB123" s="235"/>
      <c r="AC123" s="235"/>
      <c r="AD123" s="235"/>
      <c r="AE123" s="235"/>
      <c r="AF123" s="235"/>
      <c r="AG123" s="235"/>
      <c r="AH123" s="235"/>
      <c r="AI123" s="235"/>
      <c r="AJ123" s="235"/>
      <c r="AK123" s="235"/>
      <c r="AL123" s="235"/>
      <c r="AM123" s="235"/>
      <c r="AN123" s="235"/>
      <c r="AO123" s="235"/>
      <c r="AP123" s="235"/>
      <c r="AQ123" s="235"/>
      <c r="AR123" s="235"/>
      <c r="AS123" s="235"/>
      <c r="AT123" s="235"/>
      <c r="AU123" s="235"/>
      <c r="AV123" s="235"/>
      <c r="AW123" s="235"/>
      <c r="AX123" s="235"/>
      <c r="AY123" s="235"/>
      <c r="AZ123" s="235"/>
      <c r="BA123" s="235"/>
      <c r="BB123" s="235"/>
      <c r="BC123" s="235"/>
      <c r="BD123" s="235"/>
      <c r="BE123" s="235"/>
      <c r="BF123" s="235"/>
      <c r="BG123" s="235"/>
      <c r="BH123" s="235"/>
      <c r="BI123" s="235"/>
      <c r="BJ123" s="235"/>
      <c r="BK123" s="235"/>
      <c r="BL123" s="235"/>
      <c r="BM123" s="235"/>
    </row>
    <row r="124" spans="1:65" ht="17.25" customHeight="1">
      <c r="A124" s="595" t="s">
        <v>11</v>
      </c>
      <c r="B124" s="595"/>
      <c r="C124" s="595"/>
      <c r="D124" s="595"/>
      <c r="E124" s="129">
        <f ca="1">SUM(E92:E123)</f>
        <v>2817734.7373393145</v>
      </c>
      <c r="F124" s="271">
        <f ca="1">E124-E106-E92</f>
        <v>2761874.828494899</v>
      </c>
      <c r="G124" s="358"/>
      <c r="H124" s="274"/>
      <c r="I124" s="235"/>
      <c r="J124" s="274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  <c r="AD124" s="235"/>
      <c r="AE124" s="235"/>
      <c r="AF124" s="235"/>
      <c r="AG124" s="235"/>
      <c r="AH124" s="235"/>
      <c r="AI124" s="235"/>
      <c r="AJ124" s="235"/>
      <c r="AK124" s="235"/>
      <c r="AL124" s="235"/>
      <c r="AM124" s="235"/>
      <c r="AN124" s="235"/>
      <c r="AO124" s="235"/>
      <c r="AP124" s="235"/>
      <c r="AQ124" s="235"/>
      <c r="AR124" s="235"/>
      <c r="AS124" s="235"/>
      <c r="AT124" s="235"/>
      <c r="AU124" s="235"/>
      <c r="AV124" s="235"/>
      <c r="AW124" s="235"/>
      <c r="AX124" s="235"/>
      <c r="AY124" s="235"/>
      <c r="AZ124" s="235"/>
      <c r="BA124" s="235"/>
      <c r="BB124" s="235"/>
      <c r="BC124" s="235"/>
      <c r="BD124" s="235"/>
      <c r="BE124" s="235"/>
      <c r="BF124" s="235"/>
      <c r="BG124" s="235"/>
      <c r="BH124" s="235"/>
      <c r="BI124" s="235"/>
      <c r="BJ124" s="235"/>
      <c r="BK124" s="235"/>
      <c r="BL124" s="235"/>
      <c r="BM124" s="235"/>
    </row>
    <row r="125" spans="1:65" ht="16">
      <c r="A125" s="235"/>
      <c r="B125" s="235"/>
      <c r="C125" s="270"/>
      <c r="D125" s="235"/>
      <c r="E125" s="268">
        <f ca="1">E124-E121</f>
        <v>2682062.3401187006</v>
      </c>
      <c r="H125" s="274"/>
      <c r="I125" s="235"/>
      <c r="J125" s="274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  <c r="AA125" s="235"/>
      <c r="AB125" s="235"/>
      <c r="AC125" s="235"/>
      <c r="AD125" s="235"/>
      <c r="AE125" s="235"/>
      <c r="AF125" s="235"/>
      <c r="AG125" s="235"/>
      <c r="AH125" s="235"/>
      <c r="AI125" s="235"/>
      <c r="AJ125" s="235"/>
      <c r="AK125" s="235"/>
      <c r="AL125" s="235"/>
      <c r="AM125" s="235"/>
      <c r="AN125" s="235"/>
      <c r="AO125" s="235"/>
      <c r="AP125" s="235"/>
      <c r="AQ125" s="235"/>
      <c r="AR125" s="235"/>
      <c r="AS125" s="235"/>
      <c r="AT125" s="235"/>
      <c r="AU125" s="235"/>
      <c r="AV125" s="235"/>
      <c r="AW125" s="235"/>
      <c r="AX125" s="235"/>
      <c r="AY125" s="235"/>
      <c r="AZ125" s="235"/>
      <c r="BA125" s="235"/>
      <c r="BB125" s="235"/>
      <c r="BC125" s="235"/>
      <c r="BD125" s="235"/>
      <c r="BE125" s="235"/>
      <c r="BF125" s="235"/>
      <c r="BG125" s="235"/>
      <c r="BH125" s="235"/>
      <c r="BI125" s="235"/>
      <c r="BJ125" s="235"/>
      <c r="BK125" s="235"/>
      <c r="BL125" s="235"/>
      <c r="BM125" s="235"/>
    </row>
    <row r="126" spans="1:65" ht="16">
      <c r="A126" s="235"/>
      <c r="B126" s="235"/>
      <c r="C126" s="270"/>
      <c r="D126" s="235"/>
      <c r="E126" s="268" t="s">
        <v>89</v>
      </c>
      <c r="H126" s="274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35"/>
      <c r="AH126" s="235"/>
      <c r="AI126" s="235"/>
      <c r="AJ126" s="235"/>
      <c r="AK126" s="235"/>
      <c r="AL126" s="235"/>
      <c r="AM126" s="235"/>
      <c r="AN126" s="235"/>
      <c r="AO126" s="235"/>
      <c r="AP126" s="235"/>
      <c r="AQ126" s="235"/>
      <c r="AR126" s="235"/>
      <c r="AS126" s="235"/>
      <c r="AT126" s="235"/>
      <c r="AU126" s="235"/>
      <c r="AV126" s="235"/>
      <c r="AW126" s="235"/>
      <c r="AX126" s="235"/>
      <c r="AY126" s="235"/>
      <c r="AZ126" s="235"/>
      <c r="BA126" s="235"/>
      <c r="BB126" s="235"/>
      <c r="BC126" s="235"/>
      <c r="BD126" s="235"/>
      <c r="BE126" s="235"/>
      <c r="BF126" s="235"/>
      <c r="BG126" s="235"/>
      <c r="BH126" s="235"/>
      <c r="BI126" s="235"/>
      <c r="BJ126" s="235"/>
      <c r="BK126" s="235"/>
      <c r="BL126" s="235"/>
      <c r="BM126" s="235"/>
    </row>
    <row r="127" spans="1:65" ht="16">
      <c r="A127" s="3" t="str">
        <f>A$2</f>
        <v>LE</v>
      </c>
      <c r="B127" s="3" t="str">
        <f>B$2</f>
        <v>BANK</v>
      </c>
      <c r="C127" s="3" t="str">
        <f>C$2</f>
        <v>AMOUNT</v>
      </c>
      <c r="D127" s="3" t="str">
        <f>D$2</f>
        <v>CCY</v>
      </c>
      <c r="E127" s="3" t="str">
        <f>E$2</f>
        <v>USD AMOUNT</v>
      </c>
      <c r="H127" s="274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35"/>
      <c r="AH127" s="235"/>
      <c r="AI127" s="235"/>
      <c r="AJ127" s="235"/>
      <c r="AK127" s="235"/>
      <c r="AL127" s="235"/>
      <c r="AM127" s="235"/>
      <c r="AN127" s="235" t="s">
        <v>97</v>
      </c>
      <c r="AO127" s="235"/>
      <c r="AP127" s="235"/>
      <c r="AQ127" s="235"/>
      <c r="AR127" s="235"/>
      <c r="AS127" s="235"/>
      <c r="AT127" s="235"/>
      <c r="AU127" s="235"/>
      <c r="AV127" s="235"/>
      <c r="AW127" s="235"/>
      <c r="AX127" s="235"/>
      <c r="AY127" s="235"/>
      <c r="AZ127" s="235"/>
      <c r="BA127" s="235"/>
      <c r="BB127" s="235"/>
      <c r="BC127" s="235"/>
      <c r="BD127" s="235"/>
      <c r="BE127" s="235"/>
      <c r="BF127" s="235"/>
      <c r="BG127" s="235"/>
      <c r="BH127" s="235"/>
      <c r="BI127" s="235"/>
      <c r="BJ127" s="235"/>
      <c r="BK127" s="235"/>
      <c r="BL127" s="235"/>
      <c r="BM127" s="235"/>
    </row>
    <row r="128" spans="1:65" ht="15" customHeight="1">
      <c r="A128" s="251" t="s">
        <v>39</v>
      </c>
      <c r="B128" s="251" t="s">
        <v>40</v>
      </c>
      <c r="C128" s="252">
        <v>97.95</v>
      </c>
      <c r="D128" s="251" t="s">
        <v>5</v>
      </c>
      <c r="E128" s="253">
        <f>C128*VLOOKUP(D128,'FX RATES'!$E$1:$F$20,2,FALSE)</f>
        <v>97.95</v>
      </c>
      <c r="F128" s="265"/>
      <c r="G128" s="353"/>
      <c r="H128" s="274" t="s">
        <v>83</v>
      </c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  <c r="AD128" s="235"/>
      <c r="AE128" s="235"/>
      <c r="AF128" s="235"/>
      <c r="AG128" s="235"/>
      <c r="AH128" s="235"/>
      <c r="AI128" s="235"/>
      <c r="AJ128" s="235"/>
      <c r="AK128" s="235"/>
      <c r="AL128" s="235"/>
      <c r="AM128" s="235"/>
      <c r="AN128" s="235"/>
      <c r="AO128" s="235"/>
      <c r="AP128" s="235"/>
      <c r="AQ128" s="235"/>
      <c r="AR128" s="235"/>
      <c r="AS128" s="235"/>
      <c r="AT128" s="235"/>
      <c r="AU128" s="235"/>
      <c r="AV128" s="235"/>
      <c r="AW128" s="235"/>
      <c r="AX128" s="235"/>
      <c r="AY128" s="235"/>
      <c r="AZ128" s="235"/>
      <c r="BA128" s="235"/>
      <c r="BB128" s="235"/>
      <c r="BC128" s="235"/>
      <c r="BD128" s="235"/>
      <c r="BE128" s="235"/>
      <c r="BF128" s="235"/>
      <c r="BG128" s="235"/>
      <c r="BH128" s="235"/>
      <c r="BI128" s="235"/>
      <c r="BJ128" s="235"/>
      <c r="BK128" s="235"/>
      <c r="BL128" s="235"/>
      <c r="BM128" s="235"/>
    </row>
    <row r="129" spans="1:65" ht="16">
      <c r="A129" s="251" t="s">
        <v>39</v>
      </c>
      <c r="B129" s="251" t="s">
        <v>40</v>
      </c>
      <c r="C129" s="252">
        <v>0</v>
      </c>
      <c r="D129" s="251" t="s">
        <v>6</v>
      </c>
      <c r="E129" s="253">
        <f ca="1">C129*VLOOKUP(D129,'FX RATES'!$E$1:$F$20,2,FALSE)</f>
        <v>0</v>
      </c>
      <c r="F129" s="265"/>
      <c r="G129" s="353"/>
      <c r="H129" s="274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35"/>
      <c r="AY129" s="235"/>
      <c r="AZ129" s="235"/>
      <c r="BA129" s="235"/>
      <c r="BB129" s="235"/>
      <c r="BC129" s="235"/>
      <c r="BD129" s="235"/>
      <c r="BE129" s="235"/>
      <c r="BF129" s="235"/>
      <c r="BG129" s="235"/>
      <c r="BH129" s="235"/>
      <c r="BI129" s="235"/>
      <c r="BJ129" s="235"/>
      <c r="BK129" s="235"/>
      <c r="BL129" s="235"/>
      <c r="BM129" s="235"/>
    </row>
    <row r="130" spans="1:65" ht="16">
      <c r="A130" s="251" t="s">
        <v>39</v>
      </c>
      <c r="B130" s="251" t="s">
        <v>40</v>
      </c>
      <c r="C130" s="252">
        <v>0</v>
      </c>
      <c r="D130" s="251" t="s">
        <v>7</v>
      </c>
      <c r="E130" s="253">
        <f ca="1">C130*VLOOKUP(D130,'FX RATES'!$E$1:$F$20,2,FALSE)</f>
        <v>0</v>
      </c>
      <c r="F130" s="265"/>
      <c r="G130" s="353"/>
      <c r="H130" s="274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35"/>
      <c r="AY130" s="235"/>
      <c r="AZ130" s="235"/>
      <c r="BA130" s="235"/>
      <c r="BB130" s="235"/>
      <c r="BC130" s="235"/>
      <c r="BD130" s="235"/>
      <c r="BE130" s="235"/>
      <c r="BF130" s="235"/>
      <c r="BG130" s="235"/>
      <c r="BH130" s="235"/>
      <c r="BI130" s="235"/>
      <c r="BJ130" s="235"/>
      <c r="BK130" s="235"/>
      <c r="BL130" s="235"/>
      <c r="BM130" s="235"/>
    </row>
    <row r="131" spans="1:65" ht="16">
      <c r="A131" s="251" t="s">
        <v>39</v>
      </c>
      <c r="B131" s="251" t="s">
        <v>40</v>
      </c>
      <c r="C131" s="252">
        <v>0</v>
      </c>
      <c r="D131" s="251" t="s">
        <v>8</v>
      </c>
      <c r="E131" s="253">
        <f ca="1">C131*VLOOKUP(D131,'FX RATES'!$E$1:$F$20,2,FALSE)</f>
        <v>0</v>
      </c>
      <c r="F131" s="243"/>
      <c r="G131" s="353"/>
      <c r="H131" s="274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  <c r="AD131" s="235"/>
      <c r="AE131" s="235"/>
      <c r="AF131" s="235" t="s">
        <v>38</v>
      </c>
      <c r="AG131" s="235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  <c r="BA131" s="235"/>
      <c r="BB131" s="235"/>
      <c r="BC131" s="235"/>
      <c r="BD131" s="235"/>
      <c r="BE131" s="235"/>
      <c r="BF131" s="235"/>
      <c r="BG131" s="235"/>
      <c r="BH131" s="235"/>
      <c r="BI131" s="235"/>
      <c r="BJ131" s="235"/>
      <c r="BK131" s="235"/>
      <c r="BL131" s="235"/>
      <c r="BM131" s="235"/>
    </row>
    <row r="132" spans="1:65" ht="16">
      <c r="A132" s="244" t="s">
        <v>39</v>
      </c>
      <c r="B132" s="244" t="s">
        <v>14</v>
      </c>
      <c r="C132" s="134">
        <v>36250.629999999997</v>
      </c>
      <c r="D132" s="244" t="s">
        <v>8</v>
      </c>
      <c r="E132" s="245">
        <f ca="1">C132*VLOOKUP(D132,'FX RATES'!$E$1:$F$20,2,FALSE)</f>
        <v>9870.5630888199084</v>
      </c>
      <c r="F132" s="243"/>
      <c r="G132" s="556"/>
      <c r="H132" s="423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  <c r="AD132" s="235"/>
      <c r="AE132" s="235"/>
      <c r="AF132" s="235"/>
      <c r="AG132" s="235"/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235"/>
      <c r="AR132" s="235"/>
      <c r="AS132" s="235"/>
      <c r="AT132" s="235"/>
      <c r="AU132" s="235"/>
      <c r="AV132" s="235"/>
      <c r="AW132" s="235"/>
      <c r="AX132" s="235"/>
      <c r="AY132" s="235"/>
      <c r="AZ132" s="235"/>
      <c r="BA132" s="235"/>
      <c r="BB132" s="235"/>
      <c r="BC132" s="235"/>
      <c r="BD132" s="235"/>
      <c r="BE132" s="235"/>
      <c r="BF132" s="235"/>
      <c r="BG132" s="235"/>
      <c r="BH132" s="235"/>
      <c r="BI132" s="235"/>
      <c r="BJ132" s="235"/>
      <c r="BK132" s="235"/>
      <c r="BL132" s="235"/>
      <c r="BM132" s="235"/>
    </row>
    <row r="133" spans="1:65" ht="16">
      <c r="A133" s="244" t="s">
        <v>39</v>
      </c>
      <c r="B133" s="244" t="s">
        <v>14</v>
      </c>
      <c r="C133" s="134">
        <v>900.32</v>
      </c>
      <c r="D133" s="244" t="s">
        <v>5</v>
      </c>
      <c r="E133" s="245">
        <f>C133*VLOOKUP(D133,'FX RATES'!$E$1:$F$20,2,FALSE)</f>
        <v>900.32</v>
      </c>
      <c r="F133" s="243"/>
      <c r="G133" s="560"/>
      <c r="H133" s="424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  <c r="AD133" s="235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235"/>
      <c r="BA133" s="235"/>
      <c r="BB133" s="235"/>
      <c r="BC133" s="235"/>
      <c r="BD133" s="235"/>
      <c r="BE133" s="235"/>
      <c r="BF133" s="235"/>
      <c r="BG133" s="235"/>
      <c r="BH133" s="235"/>
      <c r="BI133" s="235"/>
      <c r="BJ133" s="235"/>
      <c r="BK133" s="235"/>
      <c r="BL133" s="235"/>
      <c r="BM133" s="235"/>
    </row>
    <row r="134" spans="1:65" ht="16">
      <c r="A134" s="244" t="s">
        <v>39</v>
      </c>
      <c r="B134" s="244" t="s">
        <v>14</v>
      </c>
      <c r="C134" s="134">
        <v>2269.83</v>
      </c>
      <c r="D134" s="244" t="s">
        <v>7</v>
      </c>
      <c r="E134" s="245">
        <f ca="1">C134*VLOOKUP(D134,'FX RATES'!$E$1:$F$20,2,FALSE)</f>
        <v>328.57990735379269</v>
      </c>
      <c r="F134" s="243"/>
      <c r="G134" s="560"/>
      <c r="H134" s="274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  <c r="AD134" s="235"/>
      <c r="AE134" s="235"/>
      <c r="AF134" s="235"/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  <c r="AS134" s="235"/>
      <c r="AT134" s="235"/>
      <c r="AU134" s="235"/>
      <c r="AV134" s="235"/>
      <c r="AW134" s="235"/>
      <c r="AX134" s="235"/>
      <c r="AY134" s="235"/>
      <c r="AZ134" s="235"/>
      <c r="BA134" s="235"/>
      <c r="BB134" s="235"/>
      <c r="BC134" s="235"/>
      <c r="BD134" s="235"/>
      <c r="BE134" s="235"/>
      <c r="BF134" s="235"/>
      <c r="BG134" s="235"/>
      <c r="BH134" s="235"/>
      <c r="BI134" s="235"/>
      <c r="BJ134" s="235"/>
      <c r="BK134" s="235"/>
      <c r="BL134" s="235"/>
      <c r="BM134" s="235"/>
    </row>
    <row r="135" spans="1:65" ht="16">
      <c r="A135" s="244" t="s">
        <v>39</v>
      </c>
      <c r="B135" s="244" t="s">
        <v>14</v>
      </c>
      <c r="C135" s="134">
        <v>104.39</v>
      </c>
      <c r="D135" s="244" t="s">
        <v>6</v>
      </c>
      <c r="E135" s="245">
        <f ca="1">C135*VLOOKUP(D135,'FX RATES'!$E$1:$F$20,2,FALSE)</f>
        <v>122.97141999999999</v>
      </c>
      <c r="F135" s="243"/>
      <c r="G135" s="560"/>
      <c r="H135" s="274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  <c r="AD135" s="235"/>
      <c r="AE135" s="235"/>
      <c r="AF135" s="235"/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235"/>
      <c r="AX135" s="235"/>
      <c r="AY135" s="235"/>
      <c r="AZ135" s="235"/>
      <c r="BA135" s="235"/>
      <c r="BB135" s="235"/>
      <c r="BC135" s="235"/>
      <c r="BD135" s="235"/>
      <c r="BE135" s="235"/>
      <c r="BF135" s="235"/>
      <c r="BG135" s="235"/>
      <c r="BH135" s="235"/>
      <c r="BI135" s="235"/>
      <c r="BJ135" s="235"/>
      <c r="BK135" s="235"/>
      <c r="BL135" s="235"/>
      <c r="BM135" s="235"/>
    </row>
    <row r="136" spans="1:65" ht="16">
      <c r="A136" s="248" t="s">
        <v>39</v>
      </c>
      <c r="B136" s="248" t="s">
        <v>15</v>
      </c>
      <c r="C136" s="249">
        <v>0</v>
      </c>
      <c r="D136" s="248" t="s">
        <v>5</v>
      </c>
      <c r="E136" s="250">
        <f>C136*VLOOKUP(D136,'FX RATES'!$E$1:$F$20,2,FALSE)</f>
        <v>0</v>
      </c>
      <c r="F136" s="246"/>
      <c r="G136" s="556"/>
      <c r="H136" s="274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  <c r="AA136" s="235"/>
      <c r="AB136" s="235"/>
      <c r="AC136" s="235"/>
      <c r="AD136" s="235"/>
      <c r="AE136" s="235"/>
      <c r="AF136" s="235"/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  <c r="AS136" s="235"/>
      <c r="AT136" s="235"/>
      <c r="AU136" s="235"/>
      <c r="AV136" s="235"/>
      <c r="AW136" s="235"/>
      <c r="AX136" s="235"/>
      <c r="AY136" s="235"/>
      <c r="AZ136" s="235"/>
      <c r="BA136" s="235"/>
      <c r="BB136" s="235"/>
      <c r="BC136" s="235"/>
      <c r="BD136" s="235"/>
      <c r="BE136" s="235"/>
      <c r="BF136" s="235"/>
      <c r="BG136" s="235"/>
      <c r="BH136" s="235"/>
      <c r="BI136" s="235"/>
      <c r="BJ136" s="235"/>
      <c r="BK136" s="235"/>
      <c r="BL136" s="235"/>
      <c r="BM136" s="235"/>
    </row>
    <row r="137" spans="1:65" ht="16">
      <c r="A137" s="248" t="s">
        <v>39</v>
      </c>
      <c r="B137" s="248" t="s">
        <v>15</v>
      </c>
      <c r="C137" s="249">
        <v>0</v>
      </c>
      <c r="D137" s="248" t="s">
        <v>6</v>
      </c>
      <c r="E137" s="250">
        <f ca="1">C137*VLOOKUP(D137,'FX RATES'!$E$1:$F$20,2,FALSE)</f>
        <v>0</v>
      </c>
      <c r="F137" s="246"/>
      <c r="G137" s="556"/>
      <c r="H137" s="274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  <c r="AA137" s="235"/>
      <c r="AB137" s="235"/>
      <c r="AC137" s="235"/>
      <c r="AD137" s="235"/>
      <c r="AE137" s="235"/>
      <c r="AF137" s="235"/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  <c r="AS137" s="235"/>
      <c r="AT137" s="235"/>
      <c r="AU137" s="235"/>
      <c r="AV137" s="235"/>
      <c r="AW137" s="235"/>
      <c r="AX137" s="235"/>
      <c r="AY137" s="235"/>
      <c r="AZ137" s="235"/>
      <c r="BA137" s="235"/>
      <c r="BB137" s="235"/>
      <c r="BC137" s="235"/>
      <c r="BD137" s="235"/>
      <c r="BE137" s="235"/>
      <c r="BF137" s="235"/>
      <c r="BG137" s="235"/>
      <c r="BH137" s="235"/>
      <c r="BI137" s="235"/>
      <c r="BJ137" s="235"/>
      <c r="BK137" s="235"/>
      <c r="BL137" s="235"/>
      <c r="BM137" s="235"/>
    </row>
    <row r="138" spans="1:65" ht="16">
      <c r="A138" s="248" t="s">
        <v>39</v>
      </c>
      <c r="B138" s="248" t="s">
        <v>15</v>
      </c>
      <c r="C138" s="249">
        <v>0</v>
      </c>
      <c r="D138" s="248" t="s">
        <v>7</v>
      </c>
      <c r="E138" s="250">
        <f ca="1">C138*VLOOKUP(D138,'FX RATES'!$E$1:$F$20,2,FALSE)</f>
        <v>0</v>
      </c>
      <c r="F138" s="246"/>
      <c r="G138" s="556"/>
      <c r="H138" s="274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  <c r="AA138" s="235"/>
      <c r="AB138" s="235"/>
      <c r="AC138" s="235"/>
      <c r="AD138" s="235"/>
      <c r="AE138" s="235"/>
      <c r="AF138" s="235"/>
      <c r="AG138" s="235"/>
      <c r="AH138" s="235"/>
      <c r="AI138" s="235"/>
      <c r="AJ138" s="235"/>
      <c r="AK138" s="235"/>
      <c r="AL138" s="235"/>
      <c r="AM138" s="235"/>
      <c r="AN138" s="235"/>
      <c r="AO138" s="235"/>
      <c r="AP138" s="235"/>
      <c r="AQ138" s="235"/>
      <c r="AR138" s="235"/>
      <c r="AS138" s="235"/>
      <c r="AT138" s="235"/>
      <c r="AU138" s="235"/>
      <c r="AV138" s="235"/>
      <c r="AW138" s="235"/>
      <c r="AX138" s="235"/>
      <c r="AY138" s="235"/>
      <c r="AZ138" s="235"/>
      <c r="BA138" s="235"/>
      <c r="BB138" s="235"/>
      <c r="BC138" s="235"/>
      <c r="BD138" s="235"/>
      <c r="BE138" s="235"/>
      <c r="BF138" s="235"/>
      <c r="BG138" s="235"/>
      <c r="BH138" s="235"/>
      <c r="BI138" s="235"/>
      <c r="BJ138" s="235"/>
      <c r="BK138" s="235"/>
      <c r="BL138" s="235"/>
      <c r="BM138" s="235"/>
    </row>
    <row r="139" spans="1:65" ht="16">
      <c r="A139" s="248" t="s">
        <v>39</v>
      </c>
      <c r="B139" s="248" t="s">
        <v>15</v>
      </c>
      <c r="C139" s="249">
        <v>53767.96</v>
      </c>
      <c r="D139" s="248" t="s">
        <v>8</v>
      </c>
      <c r="E139" s="250">
        <f ca="1">C139*VLOOKUP(D139,'FX RATES'!$E$1:$F$20,2,FALSE)</f>
        <v>14640.298426183084</v>
      </c>
      <c r="F139" s="246"/>
      <c r="G139" s="556"/>
      <c r="H139" s="274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  <c r="AA139" s="235"/>
      <c r="AB139" s="235"/>
      <c r="AC139" s="235"/>
      <c r="AD139" s="235"/>
      <c r="AE139" s="235"/>
      <c r="AF139" s="235"/>
      <c r="AG139" s="235"/>
      <c r="AH139" s="235"/>
      <c r="AI139" s="235"/>
      <c r="AJ139" s="235"/>
      <c r="AK139" s="235"/>
      <c r="AL139" s="235"/>
      <c r="AM139" s="235"/>
      <c r="AN139" s="235"/>
      <c r="AO139" s="235"/>
      <c r="AP139" s="235"/>
      <c r="AQ139" s="235"/>
      <c r="AR139" s="235"/>
      <c r="AS139" s="235"/>
      <c r="AT139" s="235"/>
      <c r="AU139" s="235"/>
      <c r="AV139" s="235"/>
      <c r="AW139" s="235"/>
      <c r="AX139" s="235"/>
      <c r="AY139" s="235"/>
      <c r="AZ139" s="235"/>
      <c r="BA139" s="235"/>
      <c r="BB139" s="235"/>
      <c r="BC139" s="235"/>
      <c r="BD139" s="235"/>
      <c r="BE139" s="235"/>
      <c r="BF139" s="235"/>
      <c r="BG139" s="235"/>
      <c r="BH139" s="235"/>
      <c r="BI139" s="235"/>
      <c r="BJ139" s="235"/>
      <c r="BK139" s="235"/>
      <c r="BL139" s="235"/>
      <c r="BM139" s="235"/>
    </row>
    <row r="140" spans="1:65" ht="16">
      <c r="A140" s="323" t="s">
        <v>39</v>
      </c>
      <c r="B140" s="323" t="s">
        <v>20</v>
      </c>
      <c r="C140" s="324">
        <v>132.62</v>
      </c>
      <c r="D140" s="323" t="s">
        <v>5</v>
      </c>
      <c r="E140" s="325">
        <f>C140*VLOOKUP(D140,'FX RATES'!$E$1:$F$20,2,FALSE)</f>
        <v>132.62</v>
      </c>
      <c r="F140" s="246"/>
      <c r="G140" s="556"/>
      <c r="H140" s="274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  <c r="AA140" s="235"/>
      <c r="AB140" s="235"/>
      <c r="AC140" s="235"/>
      <c r="AD140" s="235"/>
      <c r="AE140" s="235"/>
      <c r="AF140" s="235"/>
      <c r="AG140" s="235"/>
      <c r="AH140" s="235"/>
      <c r="AI140" s="235"/>
      <c r="AJ140" s="235"/>
      <c r="AK140" s="235"/>
      <c r="AL140" s="235"/>
      <c r="AM140" s="235"/>
      <c r="AN140" s="235"/>
      <c r="AO140" s="235"/>
      <c r="AP140" s="235"/>
      <c r="AQ140" s="235"/>
      <c r="AR140" s="235"/>
      <c r="AS140" s="235"/>
      <c r="AT140" s="235"/>
      <c r="AU140" s="235"/>
      <c r="AV140" s="235"/>
      <c r="AW140" s="235"/>
      <c r="AX140" s="235"/>
      <c r="AY140" s="235"/>
      <c r="AZ140" s="235"/>
      <c r="BA140" s="235"/>
      <c r="BB140" s="235"/>
      <c r="BC140" s="235"/>
      <c r="BD140" s="235"/>
      <c r="BE140" s="235"/>
      <c r="BF140" s="235"/>
      <c r="BG140" s="235"/>
      <c r="BH140" s="235"/>
      <c r="BI140" s="235"/>
      <c r="BJ140" s="235"/>
      <c r="BK140" s="235"/>
      <c r="BL140" s="235"/>
      <c r="BM140" s="235"/>
    </row>
    <row r="141" spans="1:65" ht="16">
      <c r="A141" s="323" t="s">
        <v>39</v>
      </c>
      <c r="B141" s="323" t="s">
        <v>20</v>
      </c>
      <c r="C141" s="324">
        <v>0</v>
      </c>
      <c r="D141" s="323" t="s">
        <v>6</v>
      </c>
      <c r="E141" s="325">
        <f ca="1">C141*VLOOKUP(D141,'FX RATES'!$E$1:$F$20,2,FALSE)</f>
        <v>0</v>
      </c>
      <c r="F141" s="246"/>
      <c r="G141" s="556"/>
      <c r="H141" s="274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  <c r="AD141" s="235"/>
      <c r="AE141" s="235"/>
      <c r="AF141" s="235"/>
      <c r="AG141" s="235"/>
      <c r="AH141" s="235"/>
      <c r="AI141" s="235"/>
      <c r="AJ141" s="235"/>
      <c r="AK141" s="235"/>
      <c r="AL141" s="235"/>
      <c r="AM141" s="235"/>
      <c r="AN141" s="235"/>
      <c r="AO141" s="235"/>
      <c r="AP141" s="235"/>
      <c r="AQ141" s="235"/>
      <c r="AR141" s="235"/>
      <c r="AS141" s="235"/>
      <c r="AT141" s="235"/>
      <c r="AU141" s="235"/>
      <c r="AV141" s="235"/>
      <c r="AW141" s="235"/>
      <c r="AX141" s="235"/>
      <c r="AY141" s="235"/>
      <c r="AZ141" s="235"/>
      <c r="BA141" s="235"/>
      <c r="BB141" s="235"/>
      <c r="BC141" s="235"/>
      <c r="BD141" s="235"/>
      <c r="BE141" s="235"/>
      <c r="BF141" s="235"/>
      <c r="BG141" s="235"/>
      <c r="BH141" s="235"/>
      <c r="BI141" s="235"/>
      <c r="BJ141" s="235"/>
      <c r="BK141" s="235"/>
      <c r="BL141" s="235"/>
      <c r="BM141" s="235"/>
    </row>
    <row r="142" spans="1:65" ht="16">
      <c r="A142" s="323" t="s">
        <v>39</v>
      </c>
      <c r="B142" s="323" t="s">
        <v>20</v>
      </c>
      <c r="C142" s="324">
        <v>0</v>
      </c>
      <c r="D142" s="323" t="s">
        <v>7</v>
      </c>
      <c r="E142" s="325">
        <f ca="1">C142*VLOOKUP(D142,'FX RATES'!$E$1:$F$20,2,FALSE)</f>
        <v>0</v>
      </c>
      <c r="F142" s="246"/>
      <c r="G142" s="556"/>
      <c r="H142" s="274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  <c r="AD142" s="235"/>
      <c r="AE142" s="235"/>
      <c r="AF142" s="235"/>
      <c r="AG142" s="235"/>
      <c r="AH142" s="235"/>
      <c r="AI142" s="235"/>
      <c r="AJ142" s="235"/>
      <c r="AK142" s="235"/>
      <c r="AL142" s="235"/>
      <c r="AM142" s="235"/>
      <c r="AN142" s="235"/>
      <c r="AO142" s="235"/>
      <c r="AP142" s="235"/>
      <c r="AQ142" s="235"/>
      <c r="AR142" s="235"/>
      <c r="AS142" s="235"/>
      <c r="AT142" s="235"/>
      <c r="AU142" s="235"/>
      <c r="AV142" s="235"/>
      <c r="AW142" s="235"/>
      <c r="AX142" s="235"/>
      <c r="AY142" s="235"/>
      <c r="AZ142" s="235"/>
      <c r="BA142" s="235"/>
      <c r="BB142" s="235"/>
      <c r="BC142" s="235"/>
      <c r="BD142" s="235"/>
      <c r="BE142" s="235"/>
      <c r="BF142" s="235"/>
      <c r="BG142" s="235"/>
      <c r="BH142" s="235"/>
      <c r="BI142" s="235"/>
      <c r="BJ142" s="235"/>
      <c r="BK142" s="235"/>
      <c r="BL142" s="235"/>
      <c r="BM142" s="235"/>
    </row>
    <row r="143" spans="1:65" ht="16">
      <c r="A143" s="323" t="s">
        <v>39</v>
      </c>
      <c r="B143" s="323" t="s">
        <v>20</v>
      </c>
      <c r="C143" s="324">
        <v>10022849.07</v>
      </c>
      <c r="D143" s="323" t="s">
        <v>8</v>
      </c>
      <c r="E143" s="325">
        <f ca="1">C143*VLOOKUP(D143,'FX RATES'!$E$1:$F$20,2,FALSE)</f>
        <v>2729088.1310243425</v>
      </c>
      <c r="F143" s="246"/>
      <c r="G143" s="559"/>
      <c r="H143" s="402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  <c r="AD143" s="235"/>
      <c r="AE143" s="235"/>
      <c r="AF143" s="235"/>
      <c r="AG143" s="235"/>
      <c r="AH143" s="235"/>
      <c r="AI143" s="235"/>
      <c r="AJ143" s="235"/>
      <c r="AK143" s="235"/>
      <c r="AL143" s="235"/>
      <c r="AM143" s="235"/>
      <c r="AN143" s="235"/>
      <c r="AO143" s="235"/>
      <c r="AP143" s="235"/>
      <c r="AQ143" s="235"/>
      <c r="AR143" s="235"/>
      <c r="AS143" s="235"/>
      <c r="AT143" s="235"/>
      <c r="AU143" s="235"/>
      <c r="AV143" s="235"/>
      <c r="AW143" s="235"/>
      <c r="AX143" s="235"/>
      <c r="AY143" s="235"/>
      <c r="AZ143" s="235"/>
      <c r="BA143" s="235"/>
      <c r="BB143" s="235"/>
      <c r="BC143" s="235"/>
      <c r="BD143" s="235"/>
      <c r="BE143" s="235"/>
      <c r="BF143" s="235"/>
      <c r="BG143" s="235"/>
      <c r="BH143" s="235"/>
      <c r="BI143" s="235"/>
      <c r="BJ143" s="235"/>
      <c r="BK143" s="235"/>
      <c r="BL143" s="235"/>
      <c r="BM143" s="235"/>
    </row>
    <row r="144" spans="1:65" ht="16">
      <c r="A144" s="255" t="s">
        <v>39</v>
      </c>
      <c r="B144" s="255" t="s">
        <v>16</v>
      </c>
      <c r="C144" s="347">
        <v>2441.1999999999998</v>
      </c>
      <c r="D144" s="255" t="s">
        <v>8</v>
      </c>
      <c r="E144" s="257">
        <f ca="1">C144*VLOOKUP(D144,'FX RATES'!$E$1:$F$20,2,FALSE)</f>
        <v>664.70620269019219</v>
      </c>
      <c r="F144" s="239"/>
      <c r="G144" s="353"/>
      <c r="H144" s="274" t="s">
        <v>96</v>
      </c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35"/>
      <c r="AH144" s="235"/>
      <c r="AI144" s="235"/>
      <c r="AJ144" s="235"/>
      <c r="AK144" s="235"/>
      <c r="AL144" s="235"/>
      <c r="AM144" s="235"/>
      <c r="AN144" s="235"/>
      <c r="AO144" s="235"/>
      <c r="AP144" s="235"/>
      <c r="AQ144" s="235"/>
      <c r="AR144" s="235"/>
      <c r="AS144" s="235"/>
      <c r="AT144" s="235"/>
      <c r="AU144" s="235"/>
      <c r="AV144" s="235"/>
      <c r="AW144" s="235"/>
      <c r="AX144" s="235"/>
      <c r="AY144" s="235"/>
      <c r="AZ144" s="235"/>
      <c r="BA144" s="235"/>
      <c r="BB144" s="235"/>
      <c r="BC144" s="235"/>
      <c r="BD144" s="235"/>
      <c r="BE144" s="235"/>
      <c r="BF144" s="235"/>
      <c r="BG144" s="235"/>
      <c r="BH144" s="235"/>
      <c r="BI144" s="235"/>
      <c r="BJ144" s="235"/>
      <c r="BK144" s="235"/>
      <c r="BL144" s="235"/>
      <c r="BM144" s="235"/>
    </row>
    <row r="145" spans="1:65" ht="16">
      <c r="A145" s="255" t="s">
        <v>39</v>
      </c>
      <c r="B145" s="255" t="s">
        <v>16</v>
      </c>
      <c r="C145" s="256">
        <v>0</v>
      </c>
      <c r="D145" s="255" t="s">
        <v>5</v>
      </c>
      <c r="E145" s="257">
        <f>C145*VLOOKUP(D145,'FX RATES'!$E$1:$F$20,2,FALSE)</f>
        <v>0</v>
      </c>
      <c r="F145" s="239"/>
      <c r="G145" s="353"/>
      <c r="H145" s="274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  <c r="AS145" s="235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5"/>
      <c r="BH145" s="235"/>
      <c r="BI145" s="235"/>
      <c r="BJ145" s="235"/>
      <c r="BK145" s="235"/>
      <c r="BL145" s="235"/>
      <c r="BM145" s="235"/>
    </row>
    <row r="146" spans="1:65" ht="16">
      <c r="A146" s="294" t="s">
        <v>39</v>
      </c>
      <c r="B146" s="294" t="s">
        <v>17</v>
      </c>
      <c r="C146" s="295">
        <v>2655731.23</v>
      </c>
      <c r="D146" s="294" t="s">
        <v>8</v>
      </c>
      <c r="E146" s="296">
        <f ca="1">C146*VLOOKUP(D146,'FX RATES'!$E$1:$F$20,2,FALSE)</f>
        <v>723120.19550182426</v>
      </c>
      <c r="F146" s="243"/>
      <c r="G146" s="559"/>
      <c r="H146" s="274"/>
      <c r="I146" s="235"/>
      <c r="J146" s="420">
        <v>430000</v>
      </c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35"/>
      <c r="AH146" s="235"/>
      <c r="AI146" s="235"/>
      <c r="AJ146" s="235"/>
      <c r="AK146" s="235"/>
      <c r="AL146" s="235"/>
      <c r="AM146" s="235"/>
      <c r="AN146" s="235"/>
      <c r="AO146" s="235"/>
      <c r="AP146" s="235"/>
      <c r="AQ146" s="235"/>
      <c r="AR146" s="235"/>
      <c r="AS146" s="235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5"/>
      <c r="BH146" s="235"/>
      <c r="BI146" s="235"/>
      <c r="BJ146" s="235"/>
      <c r="BK146" s="235"/>
      <c r="BL146" s="235"/>
      <c r="BM146" s="235"/>
    </row>
    <row r="147" spans="1:65" ht="16">
      <c r="A147" s="294" t="s">
        <v>39</v>
      </c>
      <c r="B147" s="294" t="s">
        <v>17</v>
      </c>
      <c r="C147" s="295">
        <v>7000</v>
      </c>
      <c r="D147" s="294" t="s">
        <v>5</v>
      </c>
      <c r="E147" s="296">
        <f>C147*VLOOKUP(D147,'FX RATES'!$E$1:$F$20,2,FALSE)</f>
        <v>7000</v>
      </c>
      <c r="F147" s="243"/>
      <c r="G147" s="556"/>
      <c r="H147" s="274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35"/>
      <c r="AH147" s="235"/>
      <c r="AI147" s="235"/>
      <c r="AJ147" s="235"/>
      <c r="AK147" s="235"/>
      <c r="AL147" s="235"/>
      <c r="AM147" s="235"/>
      <c r="AN147" s="235"/>
      <c r="AO147" s="235"/>
      <c r="AP147" s="235"/>
      <c r="AQ147" s="235"/>
      <c r="AR147" s="235"/>
      <c r="AS147" s="235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5"/>
      <c r="BH147" s="235"/>
      <c r="BI147" s="235"/>
      <c r="BJ147" s="235"/>
      <c r="BK147" s="235"/>
      <c r="BL147" s="235"/>
      <c r="BM147" s="235"/>
    </row>
    <row r="148" spans="1:65" ht="16">
      <c r="A148" s="258" t="s">
        <v>39</v>
      </c>
      <c r="B148" s="258" t="s">
        <v>25</v>
      </c>
      <c r="C148" s="135">
        <v>9732019.5399999991</v>
      </c>
      <c r="D148" s="258" t="s">
        <v>9</v>
      </c>
      <c r="E148" s="259">
        <f ca="1">C148*VLOOKUP(D148,'FX RATES'!$E$1:$F$20,2,FALSE)</f>
        <v>126850.314322769</v>
      </c>
      <c r="F148" s="246"/>
      <c r="G148" s="559"/>
      <c r="H148" s="274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35"/>
      <c r="AH148" s="235"/>
      <c r="AI148" s="235"/>
      <c r="AJ148" s="235"/>
      <c r="AK148" s="235"/>
      <c r="AL148" s="235"/>
      <c r="AM148" s="235"/>
      <c r="AN148" s="235"/>
      <c r="AO148" s="235"/>
      <c r="AP148" s="235"/>
      <c r="AQ148" s="235"/>
      <c r="AR148" s="235"/>
      <c r="AS148" s="235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5"/>
      <c r="BH148" s="235"/>
      <c r="BI148" s="235"/>
      <c r="BJ148" s="235"/>
      <c r="BK148" s="235"/>
      <c r="BL148" s="235"/>
      <c r="BM148" s="235"/>
    </row>
    <row r="149" spans="1:65" ht="16">
      <c r="A149" s="595" t="s">
        <v>11</v>
      </c>
      <c r="B149" s="595"/>
      <c r="C149" s="595"/>
      <c r="D149" s="595"/>
      <c r="E149" s="129">
        <f ca="1">SUM(E128:E148)</f>
        <v>3612816.6498939828</v>
      </c>
      <c r="F149" s="264"/>
      <c r="G149" s="356">
        <f ca="1">E146+E133</f>
        <v>724020.51550182421</v>
      </c>
      <c r="H149" s="274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 t="s">
        <v>38</v>
      </c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35"/>
      <c r="AH149" s="235"/>
      <c r="AI149" s="235"/>
      <c r="AJ149" s="235"/>
      <c r="AK149" s="235"/>
      <c r="AL149" s="235"/>
      <c r="AM149" s="235"/>
      <c r="AN149" s="235"/>
      <c r="AO149" s="235"/>
      <c r="AP149" s="235"/>
      <c r="AQ149" s="235"/>
      <c r="AR149" s="235"/>
      <c r="AS149" s="235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5"/>
      <c r="BH149" s="235"/>
      <c r="BI149" s="235"/>
      <c r="BJ149" s="235"/>
      <c r="BK149" s="235"/>
      <c r="BL149" s="235"/>
      <c r="BM149" s="235"/>
    </row>
    <row r="150" spans="1:65" ht="16">
      <c r="A150" s="6"/>
      <c r="B150" s="6"/>
      <c r="C150" s="6"/>
      <c r="D150" s="6"/>
      <c r="E150" s="131"/>
      <c r="F150" s="264"/>
      <c r="G150" s="358"/>
      <c r="H150" s="274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  <c r="AD150" s="235"/>
      <c r="AE150" s="235"/>
      <c r="AF150" s="235"/>
      <c r="AG150" s="235"/>
      <c r="AH150" s="235"/>
      <c r="AI150" s="235"/>
      <c r="AJ150" s="235"/>
      <c r="AK150" s="235"/>
      <c r="AL150" s="235"/>
      <c r="AM150" s="235"/>
      <c r="AN150" s="235"/>
      <c r="AO150" s="235"/>
      <c r="AP150" s="235"/>
      <c r="AQ150" s="235"/>
      <c r="AR150" s="235"/>
      <c r="AS150" s="235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5"/>
      <c r="BH150" s="235"/>
      <c r="BI150" s="235"/>
      <c r="BJ150" s="235"/>
      <c r="BK150" s="235"/>
      <c r="BL150" s="235"/>
      <c r="BM150" s="235"/>
    </row>
    <row r="151" spans="1:65" ht="16">
      <c r="A151" s="6"/>
      <c r="B151" s="6"/>
      <c r="C151" s="6"/>
      <c r="D151" s="6"/>
      <c r="E151" s="131"/>
      <c r="F151" s="264"/>
      <c r="G151" s="358"/>
      <c r="H151" s="274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  <c r="AD151" s="235"/>
      <c r="AE151" s="235"/>
      <c r="AF151" s="235"/>
      <c r="AG151" s="235"/>
      <c r="AH151" s="235"/>
      <c r="AI151" s="235"/>
      <c r="AJ151" s="235"/>
      <c r="AK151" s="235"/>
      <c r="AL151" s="235"/>
      <c r="AM151" s="235"/>
      <c r="AN151" s="235"/>
      <c r="AO151" s="235"/>
      <c r="AP151" s="235"/>
      <c r="AQ151" s="235"/>
      <c r="AR151" s="235"/>
      <c r="AS151" s="235"/>
      <c r="AT151" s="235"/>
      <c r="AU151" s="235"/>
      <c r="AV151" s="235"/>
      <c r="AW151" s="235"/>
      <c r="AX151" s="235"/>
      <c r="AY151" s="235"/>
      <c r="AZ151" s="235"/>
      <c r="BA151" s="235"/>
      <c r="BB151" s="235"/>
      <c r="BC151" s="235"/>
      <c r="BD151" s="235"/>
      <c r="BE151" s="235"/>
      <c r="BF151" s="235"/>
      <c r="BG151" s="235"/>
      <c r="BH151" s="235"/>
      <c r="BI151" s="235"/>
      <c r="BJ151" s="235"/>
      <c r="BK151" s="235"/>
      <c r="BL151" s="235"/>
      <c r="BM151" s="235"/>
    </row>
    <row r="152" spans="1:65" ht="16">
      <c r="A152" s="3" t="str">
        <f>A$2</f>
        <v>LE</v>
      </c>
      <c r="B152" s="3" t="str">
        <f>B$2</f>
        <v>BANK</v>
      </c>
      <c r="C152" s="3" t="str">
        <f>C$2</f>
        <v>AMOUNT</v>
      </c>
      <c r="D152" s="3" t="str">
        <f>D$2</f>
        <v>CCY</v>
      </c>
      <c r="E152" s="3" t="str">
        <f>E$2</f>
        <v>USD AMOUNT</v>
      </c>
      <c r="F152" s="264"/>
      <c r="G152" s="358" t="s">
        <v>38</v>
      </c>
      <c r="H152" s="274" t="s">
        <v>86</v>
      </c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  <c r="AD152" s="235"/>
      <c r="AE152" s="235"/>
      <c r="AF152" s="235"/>
      <c r="AG152" s="235"/>
      <c r="AH152" s="235"/>
      <c r="AI152" s="235"/>
      <c r="AJ152" s="235"/>
      <c r="AK152" s="235"/>
      <c r="AL152" s="235"/>
      <c r="AM152" s="235"/>
      <c r="AN152" s="235"/>
      <c r="AO152" s="235"/>
      <c r="AP152" s="235"/>
      <c r="AQ152" s="235"/>
      <c r="AR152" s="235"/>
      <c r="AS152" s="235"/>
      <c r="AT152" s="235"/>
      <c r="AU152" s="235"/>
      <c r="AV152" s="235"/>
      <c r="AW152" s="235"/>
      <c r="AX152" s="235"/>
      <c r="AY152" s="235"/>
      <c r="AZ152" s="235"/>
      <c r="BA152" s="235"/>
      <c r="BB152" s="235"/>
      <c r="BC152" s="235"/>
      <c r="BD152" s="235"/>
      <c r="BE152" s="235"/>
      <c r="BF152" s="235"/>
      <c r="BG152" s="235"/>
      <c r="BH152" s="235"/>
      <c r="BI152" s="235"/>
      <c r="BJ152" s="235"/>
      <c r="BK152" s="235"/>
      <c r="BL152" s="235"/>
      <c r="BM152" s="235"/>
    </row>
    <row r="153" spans="1:65" ht="16">
      <c r="A153" s="309" t="s">
        <v>42</v>
      </c>
      <c r="B153" s="309" t="s">
        <v>37</v>
      </c>
      <c r="C153" s="310">
        <v>82488.95</v>
      </c>
      <c r="D153" s="309" t="s">
        <v>5</v>
      </c>
      <c r="E153" s="311">
        <f>C153*VLOOKUP(D153,'FX RATES'!$E$1:$F$20,2,FALSE)</f>
        <v>82488.95</v>
      </c>
      <c r="F153" s="264"/>
      <c r="G153" s="556"/>
      <c r="H153" s="274"/>
      <c r="I153" s="235"/>
      <c r="J153" s="235"/>
      <c r="K153" s="235"/>
      <c r="L153" s="235"/>
      <c r="M153" s="307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  <c r="AD153" s="235"/>
      <c r="AE153" s="235"/>
      <c r="AF153" s="235"/>
      <c r="AG153" s="235"/>
      <c r="AH153" s="235"/>
      <c r="AI153" s="235"/>
      <c r="AJ153" s="235"/>
      <c r="AK153" s="235"/>
      <c r="AL153" s="235"/>
      <c r="AM153" s="235"/>
      <c r="AN153" s="235"/>
      <c r="AO153" s="235"/>
      <c r="AP153" s="235"/>
      <c r="AQ153" s="235"/>
      <c r="AR153" s="235"/>
      <c r="AS153" s="235"/>
      <c r="AT153" s="235"/>
      <c r="AU153" s="235"/>
      <c r="AV153" s="235"/>
      <c r="AW153" s="235"/>
      <c r="AX153" s="235"/>
      <c r="AY153" s="235"/>
      <c r="AZ153" s="235"/>
      <c r="BA153" s="235"/>
      <c r="BB153" s="235"/>
      <c r="BC153" s="235"/>
      <c r="BD153" s="235"/>
      <c r="BE153" s="235"/>
      <c r="BF153" s="235"/>
      <c r="BG153" s="235"/>
      <c r="BH153" s="235"/>
      <c r="BI153" s="235"/>
      <c r="BJ153" s="235"/>
      <c r="BK153" s="235"/>
      <c r="BL153" s="235"/>
      <c r="BM153" s="235"/>
    </row>
    <row r="154" spans="1:65" ht="16">
      <c r="A154" s="309" t="s">
        <v>42</v>
      </c>
      <c r="B154" s="309" t="s">
        <v>37</v>
      </c>
      <c r="C154" s="310">
        <v>0</v>
      </c>
      <c r="D154" s="309" t="s">
        <v>6</v>
      </c>
      <c r="E154" s="311">
        <f ca="1">C154*VLOOKUP(D154,'FX RATES'!$E$1:$F$20,2,FALSE)</f>
        <v>0</v>
      </c>
      <c r="F154" s="264"/>
      <c r="G154" s="563"/>
      <c r="H154" s="274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35"/>
      <c r="AH154" s="235"/>
      <c r="AI154" s="235"/>
      <c r="AJ154" s="235"/>
      <c r="AK154" s="235"/>
      <c r="AL154" s="235"/>
      <c r="AM154" s="235"/>
      <c r="AN154" s="235"/>
      <c r="AO154" s="235"/>
      <c r="AP154" s="235"/>
      <c r="AQ154" s="235"/>
      <c r="AR154" s="235"/>
      <c r="AS154" s="235"/>
      <c r="AT154" s="235"/>
      <c r="AU154" s="235"/>
      <c r="AV154" s="235"/>
      <c r="AW154" s="235"/>
      <c r="AX154" s="235"/>
      <c r="AY154" s="235"/>
      <c r="AZ154" s="235"/>
      <c r="BA154" s="235"/>
      <c r="BB154" s="235"/>
      <c r="BC154" s="235"/>
      <c r="BD154" s="235"/>
      <c r="BE154" s="235"/>
      <c r="BF154" s="235"/>
      <c r="BG154" s="235"/>
      <c r="BH154" s="235"/>
      <c r="BI154" s="235"/>
      <c r="BJ154" s="235"/>
      <c r="BK154" s="235"/>
      <c r="BL154" s="235"/>
      <c r="BM154" s="235"/>
    </row>
    <row r="155" spans="1:65" ht="16">
      <c r="A155" s="309" t="s">
        <v>42</v>
      </c>
      <c r="B155" s="309" t="s">
        <v>37</v>
      </c>
      <c r="C155" s="310">
        <v>0</v>
      </c>
      <c r="D155" s="309" t="s">
        <v>35</v>
      </c>
      <c r="E155" s="311">
        <f ca="1">C155*VLOOKUP(D155,'FX RATES'!$E$1:$F$20,2,FALSE)</f>
        <v>0</v>
      </c>
      <c r="F155" s="264"/>
      <c r="G155" s="563"/>
      <c r="H155" s="274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  <c r="AA155" s="235"/>
      <c r="AB155" s="235"/>
      <c r="AC155" s="235"/>
      <c r="AD155" s="235"/>
      <c r="AE155" s="235"/>
      <c r="AF155" s="235"/>
      <c r="AG155" s="235"/>
      <c r="AH155" s="235"/>
      <c r="AI155" s="235"/>
      <c r="AJ155" s="235"/>
      <c r="AK155" s="235"/>
      <c r="AL155" s="235"/>
      <c r="AM155" s="235"/>
      <c r="AN155" s="235"/>
      <c r="AO155" s="235"/>
      <c r="AP155" s="235"/>
      <c r="AQ155" s="235"/>
      <c r="AR155" s="235"/>
      <c r="AS155" s="235"/>
      <c r="AT155" s="235"/>
      <c r="AU155" s="235"/>
      <c r="AV155" s="235"/>
      <c r="AW155" s="235"/>
      <c r="AX155" s="235"/>
      <c r="AY155" s="235"/>
      <c r="AZ155" s="235"/>
      <c r="BA155" s="235"/>
      <c r="BB155" s="235"/>
      <c r="BC155" s="235"/>
      <c r="BD155" s="235"/>
      <c r="BE155" s="235"/>
      <c r="BF155" s="235"/>
      <c r="BG155" s="235"/>
      <c r="BH155" s="235"/>
      <c r="BI155" s="235"/>
      <c r="BJ155" s="235"/>
      <c r="BK155" s="235"/>
      <c r="BL155" s="235"/>
      <c r="BM155" s="235"/>
    </row>
    <row r="156" spans="1:65" ht="16">
      <c r="A156" s="309" t="s">
        <v>42</v>
      </c>
      <c r="B156" s="309" t="s">
        <v>37</v>
      </c>
      <c r="C156" s="310">
        <v>876.37</v>
      </c>
      <c r="D156" s="309" t="s">
        <v>7</v>
      </c>
      <c r="E156" s="311">
        <f ca="1">C156*VLOOKUP(D156,'FX RATES'!$E$1:$F$20,2,FALSE)</f>
        <v>126.86305732484077</v>
      </c>
      <c r="F156" s="264"/>
      <c r="G156" s="563"/>
      <c r="H156" s="274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  <c r="AA156" s="235"/>
      <c r="AB156" s="235"/>
      <c r="AC156" s="235"/>
      <c r="AD156" s="235"/>
      <c r="AE156" s="235"/>
      <c r="AF156" s="235"/>
      <c r="AG156" s="235"/>
      <c r="AH156" s="235"/>
      <c r="AI156" s="235"/>
      <c r="AJ156" s="235"/>
      <c r="AK156" s="235"/>
      <c r="AL156" s="235"/>
      <c r="AM156" s="235"/>
      <c r="AN156" s="235"/>
      <c r="AO156" s="235"/>
      <c r="AP156" s="235"/>
      <c r="AQ156" s="235"/>
      <c r="AR156" s="235"/>
      <c r="AS156" s="235"/>
      <c r="AT156" s="235"/>
      <c r="AU156" s="235"/>
      <c r="AV156" s="235"/>
      <c r="AW156" s="235"/>
      <c r="AX156" s="235"/>
      <c r="AY156" s="235"/>
      <c r="AZ156" s="235"/>
      <c r="BA156" s="235"/>
      <c r="BB156" s="235"/>
      <c r="BC156" s="235"/>
      <c r="BD156" s="235"/>
      <c r="BE156" s="235"/>
      <c r="BF156" s="235"/>
      <c r="BG156" s="235"/>
      <c r="BH156" s="235"/>
      <c r="BI156" s="235"/>
      <c r="BJ156" s="235"/>
      <c r="BK156" s="235"/>
      <c r="BL156" s="235"/>
      <c r="BM156" s="235"/>
    </row>
    <row r="157" spans="1:65" ht="16">
      <c r="A157" s="312" t="s">
        <v>42</v>
      </c>
      <c r="B157" s="312" t="s">
        <v>22</v>
      </c>
      <c r="C157" s="313">
        <v>1111.19</v>
      </c>
      <c r="D157" s="312" t="s">
        <v>5</v>
      </c>
      <c r="E157" s="314">
        <f>C157*VLOOKUP(D157,'FX RATES'!$E$1:$F$20,2,FALSE)</f>
        <v>1111.19</v>
      </c>
      <c r="F157" s="264"/>
      <c r="G157" s="556"/>
      <c r="H157" s="274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  <c r="AA157" s="235"/>
      <c r="AB157" s="235"/>
      <c r="AC157" s="235"/>
      <c r="AD157" s="235"/>
      <c r="AE157" s="235"/>
      <c r="AF157" s="235"/>
      <c r="AG157" s="235"/>
      <c r="AH157" s="235"/>
      <c r="AI157" s="235"/>
      <c r="AJ157" s="235"/>
      <c r="AK157" s="235"/>
      <c r="AL157" s="235"/>
      <c r="AM157" s="235"/>
      <c r="AN157" s="235"/>
      <c r="AO157" s="235"/>
      <c r="AP157" s="235"/>
      <c r="AQ157" s="235"/>
      <c r="AR157" s="235"/>
      <c r="AS157" s="235"/>
      <c r="AT157" s="235"/>
      <c r="AU157" s="235"/>
      <c r="AV157" s="235"/>
      <c r="AW157" s="235"/>
      <c r="AX157" s="235"/>
      <c r="AY157" s="235"/>
      <c r="AZ157" s="235"/>
      <c r="BA157" s="235"/>
      <c r="BB157" s="235"/>
      <c r="BC157" s="235"/>
      <c r="BD157" s="235"/>
      <c r="BE157" s="235"/>
      <c r="BF157" s="235"/>
      <c r="BG157" s="235"/>
      <c r="BH157" s="235"/>
      <c r="BI157" s="235"/>
      <c r="BJ157" s="235"/>
      <c r="BK157" s="235"/>
      <c r="BL157" s="235"/>
      <c r="BM157" s="235"/>
    </row>
    <row r="158" spans="1:65" ht="16">
      <c r="A158" s="312" t="s">
        <v>42</v>
      </c>
      <c r="B158" s="312" t="s">
        <v>22</v>
      </c>
      <c r="C158" s="313">
        <v>0</v>
      </c>
      <c r="D158" s="312" t="s">
        <v>6</v>
      </c>
      <c r="E158" s="314">
        <f ca="1">C158*VLOOKUP(D158,'FX RATES'!$E$1:$F$20,2,FALSE)</f>
        <v>0</v>
      </c>
      <c r="F158" s="264"/>
      <c r="G158" s="556"/>
      <c r="H158" s="274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  <c r="AA158" s="235"/>
      <c r="AB158" s="235"/>
      <c r="AC158" s="235"/>
      <c r="AD158" s="235"/>
      <c r="AE158" s="235"/>
      <c r="AF158" s="235"/>
      <c r="AG158" s="235"/>
      <c r="AH158" s="235"/>
      <c r="AI158" s="235"/>
      <c r="AJ158" s="235"/>
      <c r="AK158" s="235"/>
      <c r="AL158" s="235"/>
      <c r="AM158" s="235"/>
      <c r="AN158" s="235"/>
      <c r="AO158" s="235"/>
      <c r="AP158" s="235"/>
      <c r="AQ158" s="235"/>
      <c r="AR158" s="235"/>
      <c r="AS158" s="235"/>
      <c r="AT158" s="235"/>
      <c r="AU158" s="235"/>
      <c r="AV158" s="235"/>
      <c r="AW158" s="235"/>
      <c r="AX158" s="235"/>
      <c r="AY158" s="235"/>
      <c r="AZ158" s="235"/>
      <c r="BA158" s="235"/>
      <c r="BB158" s="235"/>
      <c r="BC158" s="235"/>
      <c r="BD158" s="235"/>
      <c r="BE158" s="235"/>
      <c r="BF158" s="235"/>
      <c r="BG158" s="235"/>
      <c r="BH158" s="235"/>
      <c r="BI158" s="235"/>
      <c r="BJ158" s="235"/>
      <c r="BK158" s="235"/>
      <c r="BL158" s="235"/>
      <c r="BM158" s="235"/>
    </row>
    <row r="159" spans="1:65" ht="16">
      <c r="A159" s="312" t="s">
        <v>42</v>
      </c>
      <c r="B159" s="312" t="s">
        <v>22</v>
      </c>
      <c r="C159" s="313">
        <v>0</v>
      </c>
      <c r="D159" s="312" t="s">
        <v>35</v>
      </c>
      <c r="E159" s="314">
        <f ca="1">C159*VLOOKUP(D159,'FX RATES'!$E$1:$F$20,2,FALSE)</f>
        <v>0</v>
      </c>
      <c r="F159" s="264"/>
      <c r="G159" s="556"/>
      <c r="H159" s="274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  <c r="AD159" s="235"/>
      <c r="AE159" s="235"/>
      <c r="AF159" s="235"/>
      <c r="AG159" s="235"/>
      <c r="AH159" s="235"/>
      <c r="AI159" s="235"/>
      <c r="AJ159" s="235"/>
      <c r="AK159" s="235"/>
      <c r="AL159" s="235"/>
      <c r="AM159" s="235"/>
      <c r="AN159" s="235"/>
      <c r="AO159" s="235"/>
      <c r="AP159" s="235"/>
      <c r="AQ159" s="235"/>
      <c r="AR159" s="235"/>
      <c r="AS159" s="235"/>
      <c r="AT159" s="235"/>
      <c r="AU159" s="235"/>
      <c r="AV159" s="235"/>
      <c r="AW159" s="235"/>
      <c r="AX159" s="235"/>
      <c r="AY159" s="235"/>
      <c r="AZ159" s="235"/>
      <c r="BA159" s="235"/>
      <c r="BB159" s="235"/>
      <c r="BC159" s="235"/>
      <c r="BD159" s="235"/>
      <c r="BE159" s="235"/>
      <c r="BF159" s="235"/>
      <c r="BG159" s="235"/>
      <c r="BH159" s="235"/>
      <c r="BI159" s="235"/>
      <c r="BJ159" s="235"/>
      <c r="BK159" s="235"/>
      <c r="BL159" s="235"/>
      <c r="BM159" s="235"/>
    </row>
    <row r="160" spans="1:65" ht="16">
      <c r="A160" s="312" t="s">
        <v>42</v>
      </c>
      <c r="B160" s="312" t="s">
        <v>22</v>
      </c>
      <c r="C160" s="313">
        <v>261695.64</v>
      </c>
      <c r="D160" s="312" t="s">
        <v>7</v>
      </c>
      <c r="E160" s="314">
        <f ca="1">C160*VLOOKUP(D160,'FX RATES'!$E$1:$F$20,2,FALSE)</f>
        <v>37882.982049797341</v>
      </c>
      <c r="F160" s="264"/>
      <c r="G160" s="556"/>
      <c r="H160" s="388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  <c r="AA160" s="235"/>
      <c r="AB160" s="235"/>
      <c r="AC160" s="235"/>
      <c r="AD160" s="235"/>
      <c r="AE160" s="235"/>
      <c r="AF160" s="235"/>
      <c r="AG160" s="235"/>
      <c r="AH160" s="235"/>
      <c r="AI160" s="235"/>
      <c r="AJ160" s="235"/>
      <c r="AK160" s="235"/>
      <c r="AL160" s="235"/>
      <c r="AM160" s="235"/>
      <c r="AN160" s="235"/>
      <c r="AO160" s="235"/>
      <c r="AP160" s="235"/>
      <c r="AQ160" s="235"/>
      <c r="AR160" s="235"/>
      <c r="AS160" s="235"/>
      <c r="AT160" s="235"/>
      <c r="AU160" s="235"/>
      <c r="AV160" s="235"/>
      <c r="AW160" s="235"/>
      <c r="AX160" s="235"/>
      <c r="AY160" s="235"/>
      <c r="AZ160" s="235"/>
      <c r="BA160" s="235"/>
      <c r="BB160" s="235"/>
      <c r="BC160" s="235"/>
      <c r="BD160" s="235"/>
      <c r="BE160" s="235"/>
      <c r="BF160" s="235"/>
      <c r="BG160" s="235"/>
      <c r="BH160" s="235"/>
      <c r="BI160" s="235"/>
      <c r="BJ160" s="235"/>
      <c r="BK160" s="235"/>
      <c r="BL160" s="235"/>
      <c r="BM160" s="235"/>
    </row>
    <row r="161" spans="1:65" ht="16">
      <c r="A161" s="312" t="s">
        <v>42</v>
      </c>
      <c r="B161" s="312" t="s">
        <v>22</v>
      </c>
      <c r="C161" s="313">
        <v>0</v>
      </c>
      <c r="D161" s="312" t="s">
        <v>9</v>
      </c>
      <c r="E161" s="314">
        <f ca="1">C161*VLOOKUP(D161,'FX RATES'!$E$1:$F$20,2,FALSE)</f>
        <v>0</v>
      </c>
      <c r="F161" s="264"/>
      <c r="G161" s="556"/>
      <c r="H161" s="274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  <c r="AD161" s="235"/>
      <c r="AE161" s="235"/>
      <c r="AF161" s="235"/>
      <c r="AG161" s="235"/>
      <c r="AH161" s="235"/>
      <c r="AI161" s="235"/>
      <c r="AJ161" s="235"/>
      <c r="AK161" s="235"/>
      <c r="AL161" s="235"/>
      <c r="AM161" s="235"/>
      <c r="AN161" s="235"/>
      <c r="AO161" s="235"/>
      <c r="AP161" s="235"/>
      <c r="AQ161" s="235"/>
      <c r="AR161" s="235"/>
      <c r="AS161" s="235"/>
      <c r="AT161" s="235"/>
      <c r="AU161" s="235"/>
      <c r="AV161" s="235"/>
      <c r="AW161" s="235"/>
      <c r="AX161" s="235"/>
      <c r="AY161" s="235"/>
      <c r="AZ161" s="235"/>
      <c r="BA161" s="235"/>
      <c r="BB161" s="235"/>
      <c r="BC161" s="235"/>
      <c r="BD161" s="235"/>
      <c r="BE161" s="235"/>
      <c r="BF161" s="235"/>
      <c r="BG161" s="235"/>
      <c r="BH161" s="235"/>
      <c r="BI161" s="235"/>
      <c r="BJ161" s="235"/>
      <c r="BK161" s="235"/>
      <c r="BL161" s="235"/>
      <c r="BM161" s="235"/>
    </row>
    <row r="162" spans="1:65" ht="16">
      <c r="A162" s="258" t="s">
        <v>42</v>
      </c>
      <c r="B162" s="258" t="s">
        <v>25</v>
      </c>
      <c r="C162" s="135">
        <v>42510</v>
      </c>
      <c r="D162" s="258" t="s">
        <v>9</v>
      </c>
      <c r="E162" s="259">
        <f ca="1">C162*VLOOKUP(D162,'FX RATES'!$E$1:$F$20,2,FALSE)</f>
        <v>554.08919389211485</v>
      </c>
      <c r="F162" s="264"/>
      <c r="G162" s="563"/>
      <c r="H162" s="274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  <c r="AA162" s="235"/>
      <c r="AB162" s="235"/>
      <c r="AC162" s="235"/>
      <c r="AD162" s="235"/>
      <c r="AE162" s="235"/>
      <c r="AF162" s="235"/>
      <c r="AG162" s="235"/>
      <c r="AH162" s="235"/>
      <c r="AI162" s="235"/>
      <c r="AJ162" s="235"/>
      <c r="AK162" s="235"/>
      <c r="AL162" s="235"/>
      <c r="AM162" s="235"/>
      <c r="AN162" s="235"/>
      <c r="AO162" s="235"/>
      <c r="AP162" s="235"/>
      <c r="AQ162" s="235"/>
      <c r="AR162" s="235"/>
      <c r="AS162" s="235"/>
      <c r="AT162" s="235"/>
      <c r="AU162" s="235"/>
      <c r="AV162" s="235"/>
      <c r="AW162" s="235"/>
      <c r="AX162" s="235"/>
      <c r="AY162" s="235"/>
      <c r="AZ162" s="235"/>
      <c r="BA162" s="235"/>
      <c r="BB162" s="235"/>
      <c r="BC162" s="235"/>
      <c r="BD162" s="235"/>
      <c r="BE162" s="235"/>
      <c r="BF162" s="235"/>
      <c r="BG162" s="235"/>
      <c r="BH162" s="235"/>
      <c r="BI162" s="235"/>
      <c r="BJ162" s="235"/>
      <c r="BK162" s="235"/>
      <c r="BL162" s="235"/>
      <c r="BM162" s="235"/>
    </row>
    <row r="163" spans="1:65" ht="16">
      <c r="A163" s="595" t="s">
        <v>11</v>
      </c>
      <c r="B163" s="595"/>
      <c r="C163" s="595"/>
      <c r="D163" s="595"/>
      <c r="E163" s="129">
        <f ca="1">SUM(E153:E162)</f>
        <v>122164.07430101429</v>
      </c>
      <c r="G163" s="356">
        <f ca="1">E161+E149</f>
        <v>3612816.6498939828</v>
      </c>
      <c r="H163" s="274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  <c r="AA163" s="235"/>
      <c r="AB163" s="235"/>
      <c r="AC163" s="235"/>
      <c r="AD163" s="235"/>
      <c r="AE163" s="235"/>
      <c r="AF163" s="235"/>
      <c r="AG163" s="235"/>
      <c r="AH163" s="235"/>
      <c r="AI163" s="235"/>
      <c r="AJ163" s="235"/>
      <c r="AK163" s="235"/>
      <c r="AL163" s="235"/>
      <c r="AM163" s="235"/>
      <c r="AN163" s="235"/>
      <c r="AO163" s="235"/>
      <c r="AP163" s="235"/>
      <c r="AQ163" s="235"/>
      <c r="AR163" s="235"/>
      <c r="AS163" s="235"/>
      <c r="AT163" s="235"/>
      <c r="AU163" s="235"/>
      <c r="AV163" s="235"/>
      <c r="AW163" s="235"/>
      <c r="AX163" s="235"/>
      <c r="AY163" s="235"/>
      <c r="AZ163" s="235"/>
      <c r="BA163" s="235"/>
      <c r="BB163" s="235"/>
      <c r="BC163" s="235"/>
      <c r="BD163" s="235"/>
      <c r="BE163" s="235"/>
      <c r="BF163" s="235"/>
      <c r="BG163" s="235"/>
      <c r="BH163" s="235"/>
      <c r="BI163" s="235"/>
      <c r="BJ163" s="235"/>
      <c r="BK163" s="235"/>
      <c r="BL163" s="235"/>
      <c r="BM163" s="235"/>
    </row>
    <row r="164" spans="1:65" ht="15.75" customHeight="1">
      <c r="A164" s="235"/>
      <c r="B164" s="235"/>
      <c r="C164" s="270"/>
      <c r="D164" s="235"/>
      <c r="E164" s="268"/>
      <c r="H164" s="274"/>
      <c r="I164" s="274"/>
      <c r="J164" s="274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  <c r="AA164" s="235"/>
      <c r="AB164" s="235"/>
      <c r="AC164" s="235"/>
      <c r="AD164" s="235"/>
      <c r="AE164" s="235"/>
      <c r="AF164" s="235"/>
      <c r="AG164" s="235"/>
      <c r="AH164" s="235"/>
      <c r="AI164" s="235"/>
      <c r="AJ164" s="235"/>
      <c r="AK164" s="235"/>
      <c r="AL164" s="235"/>
      <c r="AM164" s="235"/>
      <c r="AN164" s="235"/>
      <c r="AO164" s="235"/>
      <c r="AP164" s="235"/>
      <c r="AQ164" s="235"/>
      <c r="AR164" s="235"/>
      <c r="AS164" s="235"/>
      <c r="AT164" s="235"/>
      <c r="AU164" s="235"/>
      <c r="AV164" s="235"/>
      <c r="AW164" s="235"/>
      <c r="AX164" s="235"/>
      <c r="AY164" s="235"/>
      <c r="AZ164" s="235"/>
      <c r="BA164" s="235"/>
      <c r="BB164" s="235"/>
      <c r="BC164" s="235"/>
      <c r="BD164" s="235"/>
      <c r="BE164" s="235"/>
      <c r="BF164" s="235"/>
      <c r="BG164" s="235"/>
      <c r="BH164" s="235"/>
      <c r="BI164" s="235"/>
      <c r="BJ164" s="235"/>
      <c r="BK164" s="235"/>
      <c r="BL164" s="235"/>
      <c r="BM164" s="235"/>
    </row>
    <row r="165" spans="1:65" ht="16">
      <c r="A165" s="235"/>
      <c r="B165" s="235"/>
      <c r="C165" s="270"/>
      <c r="D165" s="235"/>
      <c r="E165" s="268"/>
      <c r="H165" s="274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  <c r="AA165" s="235"/>
      <c r="AB165" s="235"/>
      <c r="AC165" s="235"/>
      <c r="AD165" s="235"/>
      <c r="AE165" s="235"/>
      <c r="AF165" s="235"/>
      <c r="AG165" s="235"/>
      <c r="AH165" s="235"/>
      <c r="AI165" s="235"/>
      <c r="AJ165" s="235"/>
      <c r="AK165" s="235"/>
      <c r="AL165" s="235"/>
      <c r="AM165" s="235"/>
      <c r="AN165" s="235"/>
      <c r="AO165" s="235"/>
      <c r="AP165" s="235"/>
      <c r="AQ165" s="235"/>
      <c r="AR165" s="235"/>
      <c r="AS165" s="235"/>
      <c r="AT165" s="235"/>
      <c r="AU165" s="235" t="s">
        <v>38</v>
      </c>
      <c r="AV165" s="235"/>
      <c r="AW165" s="235"/>
      <c r="AX165" s="235"/>
      <c r="AY165" s="235"/>
      <c r="AZ165" s="235"/>
      <c r="BA165" s="235"/>
      <c r="BB165" s="235"/>
      <c r="BC165" s="235"/>
      <c r="BD165" s="235"/>
      <c r="BE165" s="235"/>
      <c r="BF165" s="235"/>
      <c r="BG165" s="235"/>
      <c r="BH165" s="235"/>
      <c r="BI165" s="235"/>
      <c r="BJ165" s="235"/>
      <c r="BK165" s="235"/>
      <c r="BL165" s="235"/>
      <c r="BM165" s="235"/>
    </row>
    <row r="166" spans="1:65" ht="16">
      <c r="A166" s="595" t="s">
        <v>98</v>
      </c>
      <c r="B166" s="595"/>
      <c r="C166" s="595"/>
      <c r="D166" s="595"/>
      <c r="E166" s="129">
        <f ca="1">E124+E149+E163</f>
        <v>6552715.461534312</v>
      </c>
      <c r="H166" s="274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  <c r="AA166" s="235"/>
      <c r="AB166" s="235"/>
      <c r="AC166" s="235"/>
      <c r="AD166" s="235"/>
      <c r="AE166" s="235"/>
      <c r="AF166" s="235"/>
      <c r="AG166" s="235"/>
      <c r="AH166" s="235"/>
      <c r="AI166" s="235"/>
      <c r="AJ166" s="235"/>
      <c r="AK166" s="235"/>
      <c r="AL166" s="235"/>
      <c r="AM166" s="235"/>
      <c r="AN166" s="235"/>
      <c r="AO166" s="235"/>
      <c r="AP166" s="235"/>
      <c r="AQ166" s="235"/>
      <c r="AR166" s="235"/>
      <c r="AS166" s="235"/>
      <c r="AT166" s="235"/>
      <c r="AU166" s="235"/>
      <c r="AV166" s="235"/>
      <c r="AW166" s="235"/>
      <c r="AX166" s="235"/>
      <c r="AY166" s="235"/>
      <c r="AZ166" s="235"/>
      <c r="BA166" s="235"/>
      <c r="BB166" s="235"/>
      <c r="BC166" s="235"/>
      <c r="BD166" s="235"/>
      <c r="BE166" s="235"/>
      <c r="BF166" s="235"/>
      <c r="BG166" s="235"/>
      <c r="BH166" s="235"/>
      <c r="BI166" s="235"/>
      <c r="BJ166" s="235"/>
      <c r="BK166" s="235"/>
      <c r="BL166" s="235"/>
      <c r="BM166" s="235"/>
    </row>
    <row r="167" spans="1:65" ht="16">
      <c r="A167" s="6"/>
      <c r="B167" s="6"/>
      <c r="C167" s="6"/>
      <c r="D167" s="6"/>
      <c r="E167" s="131"/>
      <c r="H167" s="274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  <c r="AA167" s="235"/>
      <c r="AB167" s="235"/>
      <c r="AC167" s="235"/>
      <c r="AD167" s="235"/>
      <c r="AE167" s="235"/>
      <c r="AF167" s="235"/>
      <c r="AG167" s="235"/>
      <c r="AH167" s="235"/>
      <c r="AI167" s="235"/>
      <c r="AJ167" s="235"/>
      <c r="AK167" s="235"/>
      <c r="AL167" s="235"/>
      <c r="AM167" s="235"/>
      <c r="AN167" s="235"/>
      <c r="AO167" s="235"/>
      <c r="AP167" s="235"/>
      <c r="AQ167" s="235"/>
      <c r="AR167" s="235"/>
      <c r="AS167" s="235"/>
      <c r="AT167" s="235"/>
      <c r="AU167" s="235"/>
      <c r="AV167" s="235"/>
      <c r="AW167" s="235"/>
      <c r="AX167" s="235"/>
      <c r="AY167" s="235"/>
      <c r="AZ167" s="235"/>
      <c r="BA167" s="235"/>
      <c r="BB167" s="235"/>
      <c r="BC167" s="235"/>
      <c r="BD167" s="235"/>
      <c r="BE167" s="235"/>
      <c r="BF167" s="235"/>
      <c r="BG167" s="235"/>
      <c r="BH167" s="235"/>
      <c r="BI167" s="235"/>
      <c r="BJ167" s="235"/>
      <c r="BK167" s="235"/>
      <c r="BL167" s="235"/>
      <c r="BM167" s="235"/>
    </row>
    <row r="168" spans="1:65" ht="16">
      <c r="A168" s="6"/>
      <c r="B168" s="6"/>
      <c r="C168" s="6"/>
      <c r="D168" s="6"/>
      <c r="E168" s="131"/>
      <c r="H168" s="274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  <c r="AA168" s="235"/>
      <c r="AB168" s="235"/>
      <c r="AC168" s="235"/>
      <c r="AD168" s="235"/>
      <c r="AE168" s="235"/>
      <c r="AF168" s="235"/>
      <c r="AG168" s="235"/>
      <c r="AH168" s="235"/>
      <c r="AI168" s="235"/>
      <c r="AJ168" s="235"/>
      <c r="AK168" s="235"/>
      <c r="AL168" s="235"/>
      <c r="AM168" s="235"/>
      <c r="AN168" s="235"/>
      <c r="AO168" s="235"/>
      <c r="AP168" s="235"/>
      <c r="AQ168" s="235"/>
      <c r="AR168" s="235"/>
      <c r="AS168" s="235"/>
      <c r="AT168" s="235"/>
      <c r="AU168" s="235"/>
      <c r="AV168" s="235"/>
      <c r="AW168" s="235"/>
      <c r="AX168" s="235"/>
      <c r="AY168" s="235"/>
      <c r="AZ168" s="235"/>
      <c r="BA168" s="235"/>
      <c r="BB168" s="235"/>
      <c r="BC168" s="235"/>
      <c r="BD168" s="235"/>
      <c r="BE168" s="235"/>
      <c r="BF168" s="235"/>
      <c r="BG168" s="235"/>
      <c r="BH168" s="235"/>
      <c r="BI168" s="235"/>
      <c r="BJ168" s="235"/>
      <c r="BK168" s="235"/>
      <c r="BL168" s="235"/>
      <c r="BM168" s="235"/>
    </row>
    <row r="169" spans="1:65" ht="16">
      <c r="A169" s="3" t="str">
        <f>A$2</f>
        <v>LE</v>
      </c>
      <c r="B169" s="3" t="str">
        <f>B$2</f>
        <v>BANK</v>
      </c>
      <c r="C169" s="3" t="str">
        <f>C$2</f>
        <v>AMOUNT</v>
      </c>
      <c r="D169" s="3" t="str">
        <f>D$2</f>
        <v>CCY</v>
      </c>
      <c r="E169" s="3" t="str">
        <f>E$2</f>
        <v>USD AMOUNT</v>
      </c>
      <c r="H169" s="274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  <c r="AA169" s="235"/>
      <c r="AB169" s="235"/>
      <c r="AC169" s="235"/>
      <c r="AD169" s="235"/>
      <c r="AE169" s="235"/>
      <c r="AF169" s="235"/>
      <c r="AG169" s="235"/>
      <c r="AH169" s="235"/>
      <c r="AI169" s="235"/>
      <c r="AJ169" s="235"/>
      <c r="AK169" s="235"/>
      <c r="AL169" s="235"/>
      <c r="AM169" s="235"/>
      <c r="AN169" s="235"/>
      <c r="AO169" s="235"/>
      <c r="AP169" s="235"/>
      <c r="AQ169" s="235"/>
      <c r="AR169" s="235"/>
      <c r="AS169" s="235"/>
      <c r="AT169" s="235"/>
      <c r="AU169" s="235"/>
      <c r="AV169" s="235"/>
      <c r="AW169" s="235"/>
      <c r="AX169" s="235"/>
      <c r="AY169" s="235"/>
      <c r="AZ169" s="235"/>
      <c r="BA169" s="235"/>
      <c r="BB169" s="235"/>
      <c r="BC169" s="235"/>
      <c r="BD169" s="235"/>
      <c r="BE169" s="235"/>
      <c r="BF169" s="235"/>
      <c r="BG169" s="235"/>
      <c r="BH169" s="235"/>
      <c r="BI169" s="235"/>
      <c r="BJ169" s="235"/>
      <c r="BK169" s="235"/>
      <c r="BL169" s="235"/>
      <c r="BM169" s="235"/>
    </row>
    <row r="170" spans="1:65" ht="16">
      <c r="A170" s="554"/>
      <c r="B170" s="554"/>
      <c r="C170" s="554"/>
      <c r="D170" s="554"/>
      <c r="E170" s="554"/>
      <c r="H170" s="274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  <c r="AD170" s="235"/>
      <c r="AE170" s="235"/>
      <c r="AF170" s="235"/>
      <c r="AG170" s="235"/>
      <c r="AH170" s="235"/>
      <c r="AI170" s="235"/>
      <c r="AJ170" s="235"/>
      <c r="AK170" s="235"/>
      <c r="AL170" s="235"/>
      <c r="AM170" s="235"/>
      <c r="AN170" s="235"/>
      <c r="AO170" s="235"/>
      <c r="AP170" s="235"/>
      <c r="AQ170" s="235"/>
      <c r="AR170" s="235"/>
      <c r="AS170" s="235"/>
      <c r="AT170" s="235"/>
      <c r="AU170" s="235"/>
      <c r="AV170" s="235"/>
      <c r="AW170" s="235"/>
      <c r="AX170" s="235"/>
      <c r="AY170" s="235"/>
      <c r="AZ170" s="235"/>
      <c r="BA170" s="235"/>
      <c r="BB170" s="235"/>
      <c r="BC170" s="235"/>
      <c r="BD170" s="235"/>
      <c r="BE170" s="235"/>
      <c r="BF170" s="235"/>
      <c r="BG170" s="235"/>
      <c r="BH170" s="235"/>
      <c r="BI170" s="235"/>
      <c r="BJ170" s="235"/>
      <c r="BK170" s="235"/>
      <c r="BL170" s="235"/>
      <c r="BM170" s="235"/>
    </row>
    <row r="171" spans="1:65" ht="16">
      <c r="A171" s="294" t="s">
        <v>43</v>
      </c>
      <c r="B171" s="294" t="s">
        <v>17</v>
      </c>
      <c r="C171" s="297">
        <v>185389.84</v>
      </c>
      <c r="D171" s="294" t="s">
        <v>8</v>
      </c>
      <c r="E171" s="296">
        <f ca="1">C171*VLOOKUP(D171,'FX RATES'!$E$1:$F$20,2,FALSE)</f>
        <v>50479.180961716491</v>
      </c>
      <c r="G171" s="353"/>
      <c r="H171" s="274"/>
      <c r="I171" s="274"/>
      <c r="J171" s="274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  <c r="AA171" s="235"/>
      <c r="AB171" s="235"/>
      <c r="AC171" s="235"/>
      <c r="AD171" s="235"/>
      <c r="AE171" s="235"/>
      <c r="AF171" s="235"/>
      <c r="AG171" s="235"/>
      <c r="AH171" s="235"/>
      <c r="AI171" s="235"/>
      <c r="AJ171" s="235"/>
      <c r="AK171" s="235"/>
      <c r="AL171" s="235"/>
      <c r="AM171" s="235"/>
      <c r="AN171" s="235"/>
      <c r="AO171" s="235"/>
      <c r="AP171" s="235"/>
      <c r="AQ171" s="235"/>
      <c r="AR171" s="235"/>
      <c r="AS171" s="235"/>
      <c r="AT171" s="235"/>
      <c r="AU171" s="235"/>
      <c r="AV171" s="235"/>
      <c r="AW171" s="235"/>
      <c r="AX171" s="235"/>
      <c r="AY171" s="235"/>
      <c r="AZ171" s="235"/>
      <c r="BA171" s="235"/>
      <c r="BB171" s="235"/>
      <c r="BC171" s="235"/>
      <c r="BD171" s="235"/>
      <c r="BE171" s="235"/>
      <c r="BF171" s="235"/>
      <c r="BG171" s="235"/>
      <c r="BH171" s="235"/>
      <c r="BI171" s="235"/>
      <c r="BJ171" s="235"/>
      <c r="BK171" s="235"/>
      <c r="BL171" s="235"/>
      <c r="BM171" s="235"/>
    </row>
    <row r="172" spans="1:65" ht="16">
      <c r="A172" s="294" t="s">
        <v>43</v>
      </c>
      <c r="B172" s="294" t="s">
        <v>17</v>
      </c>
      <c r="C172" s="297">
        <v>10484.02</v>
      </c>
      <c r="D172" s="294" t="s">
        <v>5</v>
      </c>
      <c r="E172" s="296">
        <f>C172*VLOOKUP(D172,'FX RATES'!$E$1:$F$20,2,FALSE)</f>
        <v>10484.02</v>
      </c>
      <c r="G172" s="353"/>
      <c r="H172" s="274"/>
      <c r="I172" s="274"/>
      <c r="J172" s="274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  <c r="AA172" s="235"/>
      <c r="AB172" s="235"/>
      <c r="AC172" s="235"/>
      <c r="AD172" s="235"/>
      <c r="AE172" s="235"/>
      <c r="AF172" s="235"/>
      <c r="AG172" s="235"/>
      <c r="AH172" s="235"/>
      <c r="AI172" s="235"/>
      <c r="AJ172" s="235"/>
      <c r="AK172" s="235"/>
      <c r="AL172" s="235"/>
      <c r="AM172" s="235"/>
      <c r="AN172" s="235"/>
      <c r="AO172" s="235"/>
      <c r="AP172" s="235"/>
      <c r="AQ172" s="235"/>
      <c r="AR172" s="235"/>
      <c r="AS172" s="235"/>
      <c r="AT172" s="235"/>
      <c r="AU172" s="235"/>
      <c r="AV172" s="235"/>
      <c r="AW172" s="235"/>
      <c r="AX172" s="235"/>
      <c r="AY172" s="235"/>
      <c r="AZ172" s="235"/>
      <c r="BA172" s="235"/>
      <c r="BB172" s="235"/>
      <c r="BC172" s="235"/>
      <c r="BD172" s="235"/>
      <c r="BE172" s="235"/>
      <c r="BF172" s="235"/>
      <c r="BG172" s="235"/>
      <c r="BH172" s="235"/>
      <c r="BI172" s="235"/>
      <c r="BJ172" s="235"/>
      <c r="BK172" s="235"/>
      <c r="BL172" s="235"/>
      <c r="BM172" s="235"/>
    </row>
    <row r="173" spans="1:65" ht="16">
      <c r="A173" s="294" t="s">
        <v>43</v>
      </c>
      <c r="B173" s="294" t="s">
        <v>17</v>
      </c>
      <c r="C173" s="297">
        <v>0</v>
      </c>
      <c r="D173" s="294" t="s">
        <v>6</v>
      </c>
      <c r="E173" s="296">
        <f ca="1">C173*VLOOKUP(D173,'FX RATES'!$E$1:$F$20,2,FALSE)</f>
        <v>0</v>
      </c>
      <c r="G173" s="353"/>
      <c r="H173" s="274"/>
      <c r="I173" s="274"/>
      <c r="J173" s="274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  <c r="AA173" s="235"/>
      <c r="AB173" s="235"/>
      <c r="AC173" s="235"/>
      <c r="AD173" s="235"/>
      <c r="AE173" s="235"/>
      <c r="AF173" s="235"/>
      <c r="AG173" s="235"/>
      <c r="AH173" s="235"/>
      <c r="AI173" s="235"/>
      <c r="AJ173" s="235"/>
      <c r="AK173" s="235"/>
      <c r="AL173" s="235"/>
      <c r="AM173" s="235"/>
      <c r="AN173" s="235"/>
      <c r="AO173" s="235"/>
      <c r="AP173" s="235"/>
      <c r="AQ173" s="235"/>
      <c r="AR173" s="235"/>
      <c r="AS173" s="235"/>
      <c r="AT173" s="235"/>
      <c r="AU173" s="235"/>
      <c r="AV173" s="235"/>
      <c r="AW173" s="235"/>
      <c r="AX173" s="235"/>
      <c r="AY173" s="235"/>
      <c r="AZ173" s="235"/>
      <c r="BA173" s="235"/>
      <c r="BB173" s="235"/>
      <c r="BC173" s="235"/>
      <c r="BD173" s="235"/>
      <c r="BE173" s="235"/>
      <c r="BF173" s="235"/>
      <c r="BG173" s="235"/>
      <c r="BH173" s="235"/>
      <c r="BI173" s="235"/>
      <c r="BJ173" s="235"/>
      <c r="BK173" s="235"/>
      <c r="BL173" s="235"/>
      <c r="BM173" s="235"/>
    </row>
    <row r="174" spans="1:65" ht="16">
      <c r="A174" s="399" t="s">
        <v>43</v>
      </c>
      <c r="B174" s="399" t="s">
        <v>36</v>
      </c>
      <c r="C174" s="400">
        <v>900</v>
      </c>
      <c r="D174" s="399" t="s">
        <v>8</v>
      </c>
      <c r="E174" s="401">
        <f ca="1">C174*VLOOKUP(D174,'FX RATES'!$E$1:$F$20,2,FALSE)</f>
        <v>245.05799705930403</v>
      </c>
      <c r="G174" s="353"/>
      <c r="H174" s="274" t="s">
        <v>81</v>
      </c>
      <c r="I174" s="274"/>
      <c r="J174" s="274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  <c r="AA174" s="235"/>
      <c r="AB174" s="235"/>
      <c r="AC174" s="235"/>
      <c r="AD174" s="235"/>
      <c r="AE174" s="235"/>
      <c r="AF174" s="235"/>
      <c r="AG174" s="235"/>
      <c r="AH174" s="235"/>
      <c r="AI174" s="235"/>
      <c r="AJ174" s="235"/>
      <c r="AK174" s="235"/>
      <c r="AL174" s="235"/>
      <c r="AM174" s="235"/>
      <c r="AN174" s="235"/>
      <c r="AO174" s="235"/>
      <c r="AP174" s="235"/>
      <c r="AQ174" s="235"/>
      <c r="AR174" s="235"/>
      <c r="AS174" s="235"/>
      <c r="AT174" s="235"/>
      <c r="AU174" s="235"/>
      <c r="AV174" s="235"/>
      <c r="AW174" s="235"/>
      <c r="AX174" s="235"/>
      <c r="AY174" s="235"/>
      <c r="AZ174" s="235"/>
      <c r="BA174" s="235"/>
      <c r="BB174" s="235"/>
      <c r="BC174" s="235"/>
      <c r="BD174" s="235"/>
      <c r="BE174" s="235"/>
      <c r="BF174" s="235"/>
      <c r="BG174" s="235"/>
      <c r="BH174" s="235"/>
      <c r="BI174" s="235"/>
      <c r="BJ174" s="235"/>
      <c r="BK174" s="235"/>
      <c r="BL174" s="235"/>
      <c r="BM174" s="235"/>
    </row>
    <row r="175" spans="1:65" ht="16">
      <c r="A175" s="399" t="s">
        <v>43</v>
      </c>
      <c r="B175" s="399" t="s">
        <v>36</v>
      </c>
      <c r="C175" s="400">
        <v>0</v>
      </c>
      <c r="D175" s="399" t="s">
        <v>5</v>
      </c>
      <c r="E175" s="401">
        <f>C175*VLOOKUP(D175,'FX RATES'!$E$1:$F$20,2,FALSE)</f>
        <v>0</v>
      </c>
      <c r="G175" s="353"/>
      <c r="H175" s="274"/>
      <c r="I175" s="274"/>
      <c r="J175" s="274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  <c r="AA175" s="235"/>
      <c r="AB175" s="235"/>
      <c r="AC175" s="235"/>
      <c r="AD175" s="235"/>
      <c r="AE175" s="235"/>
      <c r="AF175" s="235"/>
      <c r="AG175" s="235"/>
      <c r="AH175" s="235"/>
      <c r="AI175" s="235"/>
      <c r="AJ175" s="235"/>
      <c r="AK175" s="235"/>
      <c r="AL175" s="235"/>
      <c r="AM175" s="235"/>
      <c r="AN175" s="235"/>
      <c r="AO175" s="235"/>
      <c r="AP175" s="235"/>
      <c r="AQ175" s="235"/>
      <c r="AR175" s="235"/>
      <c r="AS175" s="235"/>
      <c r="AT175" s="235"/>
      <c r="AU175" s="235"/>
      <c r="AV175" s="235"/>
      <c r="AW175" s="235"/>
      <c r="AX175" s="235"/>
      <c r="AY175" s="235"/>
      <c r="AZ175" s="235"/>
      <c r="BA175" s="235"/>
      <c r="BB175" s="235"/>
      <c r="BC175" s="235"/>
      <c r="BD175" s="235"/>
      <c r="BE175" s="235"/>
      <c r="BF175" s="235"/>
      <c r="BG175" s="235"/>
      <c r="BH175" s="235"/>
      <c r="BI175" s="235"/>
      <c r="BJ175" s="235"/>
      <c r="BK175" s="235"/>
      <c r="BL175" s="235"/>
      <c r="BM175" s="235"/>
    </row>
    <row r="176" spans="1:65" ht="16">
      <c r="A176" s="399" t="s">
        <v>43</v>
      </c>
      <c r="B176" s="399" t="s">
        <v>36</v>
      </c>
      <c r="C176" s="400">
        <v>0</v>
      </c>
      <c r="D176" s="399" t="s">
        <v>7</v>
      </c>
      <c r="E176" s="401">
        <f ca="1">C176*VLOOKUP(D176,'FX RATES'!$E$1:$F$20,2,FALSE)</f>
        <v>0</v>
      </c>
      <c r="G176" s="353"/>
      <c r="H176" s="274"/>
      <c r="I176" s="274"/>
      <c r="J176" s="274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  <c r="AA176" s="235"/>
      <c r="AB176" s="235"/>
      <c r="AC176" s="235"/>
      <c r="AD176" s="235"/>
      <c r="AE176" s="235"/>
      <c r="AF176" s="235"/>
      <c r="AG176" s="235"/>
      <c r="AH176" s="235"/>
      <c r="AI176" s="235"/>
      <c r="AJ176" s="235"/>
      <c r="AK176" s="235"/>
      <c r="AL176" s="235"/>
      <c r="AM176" s="235"/>
      <c r="AN176" s="235"/>
      <c r="AO176" s="235"/>
      <c r="AP176" s="235"/>
      <c r="AQ176" s="235"/>
      <c r="AR176" s="235"/>
      <c r="AS176" s="235"/>
      <c r="AT176" s="235"/>
      <c r="AU176" s="235"/>
      <c r="AV176" s="235"/>
      <c r="AW176" s="235"/>
      <c r="AX176" s="235"/>
      <c r="AY176" s="235"/>
      <c r="AZ176" s="235"/>
      <c r="BA176" s="235"/>
      <c r="BB176" s="235"/>
      <c r="BC176" s="235"/>
      <c r="BD176" s="235"/>
      <c r="BE176" s="235"/>
      <c r="BF176" s="235"/>
      <c r="BG176" s="235"/>
      <c r="BH176" s="235"/>
      <c r="BI176" s="235"/>
      <c r="BJ176" s="235"/>
      <c r="BK176" s="235"/>
      <c r="BL176" s="235"/>
      <c r="BM176" s="235"/>
    </row>
    <row r="177" spans="1:65" ht="16">
      <c r="A177" s="244" t="s">
        <v>43</v>
      </c>
      <c r="B177" s="244" t="s">
        <v>14</v>
      </c>
      <c r="C177" s="134">
        <v>24829.66</v>
      </c>
      <c r="D177" s="244" t="s">
        <v>8</v>
      </c>
      <c r="E177" s="245">
        <f ca="1">C177*VLOOKUP(D177,'FX RATES'!$E$1:$F$20,2,FALSE)</f>
        <v>6760.7852747372426</v>
      </c>
      <c r="G177" s="556"/>
      <c r="H177" s="274"/>
      <c r="I177" s="274"/>
      <c r="J177" s="274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  <c r="AA177" s="235"/>
      <c r="AB177" s="235"/>
      <c r="AC177" s="235"/>
      <c r="AD177" s="235"/>
      <c r="AE177" s="235"/>
      <c r="AF177" s="235"/>
      <c r="AG177" s="235"/>
      <c r="AH177" s="235"/>
      <c r="AI177" s="235"/>
      <c r="AJ177" s="235"/>
      <c r="AK177" s="235"/>
      <c r="AL177" s="235"/>
      <c r="AM177" s="235"/>
      <c r="AN177" s="235"/>
      <c r="AO177" s="235"/>
      <c r="AP177" s="235"/>
      <c r="AQ177" s="235"/>
      <c r="AR177" s="235"/>
      <c r="AS177" s="235"/>
      <c r="AT177" s="235"/>
      <c r="AU177" s="235"/>
      <c r="AV177" s="235"/>
      <c r="AW177" s="235"/>
      <c r="AX177" s="235"/>
      <c r="AY177" s="235"/>
      <c r="AZ177" s="235"/>
      <c r="BA177" s="235"/>
      <c r="BB177" s="235"/>
      <c r="BC177" s="235"/>
      <c r="BD177" s="235"/>
      <c r="BE177" s="235"/>
      <c r="BF177" s="235"/>
      <c r="BG177" s="235"/>
      <c r="BH177" s="235"/>
      <c r="BI177" s="235"/>
      <c r="BJ177" s="235"/>
      <c r="BK177" s="235"/>
      <c r="BL177" s="235"/>
      <c r="BM177" s="235"/>
    </row>
    <row r="178" spans="1:65" ht="16">
      <c r="A178" s="595" t="s">
        <v>11</v>
      </c>
      <c r="B178" s="595"/>
      <c r="C178" s="595"/>
      <c r="D178" s="595"/>
      <c r="E178" s="129">
        <f ca="1">SUM(E171:E177)</f>
        <v>67969.044233513036</v>
      </c>
      <c r="H178" s="274"/>
      <c r="I178" s="274"/>
      <c r="J178" s="274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35"/>
      <c r="AC178" s="235"/>
      <c r="AD178" s="235"/>
      <c r="AE178" s="235"/>
      <c r="AF178" s="235"/>
      <c r="AG178" s="235"/>
      <c r="AH178" s="235"/>
      <c r="AI178" s="235"/>
      <c r="AJ178" s="235"/>
      <c r="AK178" s="235"/>
      <c r="AL178" s="235"/>
      <c r="AM178" s="235"/>
      <c r="AN178" s="235"/>
      <c r="AO178" s="235"/>
      <c r="AP178" s="235"/>
      <c r="AQ178" s="235"/>
      <c r="AR178" s="235"/>
      <c r="AS178" s="235"/>
      <c r="AT178" s="235"/>
      <c r="AU178" s="235"/>
      <c r="AV178" s="235"/>
      <c r="AW178" s="235"/>
      <c r="AX178" s="235"/>
      <c r="AY178" s="235"/>
      <c r="AZ178" s="235"/>
      <c r="BA178" s="235"/>
      <c r="BB178" s="235"/>
      <c r="BC178" s="235"/>
      <c r="BD178" s="235"/>
      <c r="BE178" s="235"/>
      <c r="BF178" s="235"/>
      <c r="BG178" s="235"/>
      <c r="BH178" s="235"/>
      <c r="BI178" s="235"/>
      <c r="BJ178" s="235"/>
      <c r="BK178" s="235"/>
      <c r="BL178" s="235"/>
      <c r="BM178" s="235"/>
    </row>
    <row r="179" spans="1:65" ht="16">
      <c r="A179" s="6"/>
      <c r="B179" s="6"/>
      <c r="C179" s="6"/>
      <c r="D179" s="6"/>
      <c r="E179" s="131"/>
      <c r="H179" s="274"/>
      <c r="I179" s="274"/>
      <c r="J179" s="274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  <c r="AD179" s="235"/>
      <c r="AE179" s="235"/>
      <c r="AF179" s="235"/>
      <c r="AG179" s="235"/>
      <c r="AH179" s="235"/>
      <c r="AI179" s="235"/>
      <c r="AJ179" s="235"/>
      <c r="AK179" s="235"/>
      <c r="AL179" s="235"/>
      <c r="AM179" s="235"/>
      <c r="AN179" s="235"/>
      <c r="AO179" s="235"/>
      <c r="AP179" s="235"/>
      <c r="AQ179" s="235"/>
      <c r="AR179" s="235"/>
      <c r="AS179" s="235"/>
      <c r="AT179" s="235"/>
      <c r="AU179" s="235"/>
      <c r="AV179" s="235"/>
      <c r="AW179" s="235"/>
      <c r="AX179" s="235"/>
      <c r="AY179" s="235"/>
      <c r="AZ179" s="235"/>
      <c r="BA179" s="235"/>
      <c r="BB179" s="235"/>
      <c r="BC179" s="235"/>
      <c r="BD179" s="235"/>
      <c r="BE179" s="235"/>
      <c r="BF179" s="235"/>
      <c r="BG179" s="235"/>
      <c r="BH179" s="235"/>
      <c r="BI179" s="235"/>
      <c r="BJ179" s="235"/>
      <c r="BK179" s="235"/>
      <c r="BL179" s="235"/>
      <c r="BM179" s="235"/>
    </row>
    <row r="180" spans="1:65" ht="16">
      <c r="A180" s="6"/>
      <c r="B180" s="6"/>
      <c r="C180" s="6"/>
      <c r="D180" s="6"/>
      <c r="E180" s="131"/>
      <c r="H180" s="274"/>
      <c r="I180" s="274"/>
      <c r="J180" s="274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  <c r="AA180" s="235"/>
      <c r="AB180" s="235"/>
      <c r="AC180" s="235"/>
      <c r="AD180" s="235"/>
      <c r="AE180" s="235"/>
      <c r="AF180" s="235"/>
      <c r="AG180" s="235"/>
      <c r="AH180" s="235"/>
      <c r="AI180" s="235"/>
      <c r="AJ180" s="235"/>
      <c r="AK180" s="235"/>
      <c r="AL180" s="235"/>
      <c r="AM180" s="235"/>
      <c r="AN180" s="235"/>
      <c r="AO180" s="235"/>
      <c r="AP180" s="235"/>
      <c r="AQ180" s="235"/>
      <c r="AR180" s="235"/>
      <c r="AS180" s="235"/>
      <c r="AT180" s="235"/>
      <c r="AU180" s="235"/>
      <c r="AV180" s="235"/>
      <c r="AW180" s="235"/>
      <c r="AX180" s="235"/>
      <c r="AY180" s="235"/>
      <c r="AZ180" s="235"/>
      <c r="BA180" s="235"/>
      <c r="BB180" s="235"/>
      <c r="BC180" s="235"/>
      <c r="BD180" s="235"/>
      <c r="BE180" s="235"/>
      <c r="BF180" s="235"/>
      <c r="BG180" s="235"/>
      <c r="BH180" s="235"/>
      <c r="BI180" s="235"/>
      <c r="BJ180" s="235"/>
      <c r="BK180" s="235"/>
      <c r="BL180" s="235"/>
      <c r="BM180" s="235"/>
    </row>
    <row r="181" spans="1:65" ht="16">
      <c r="A181" s="3" t="str">
        <f>A$2</f>
        <v>LE</v>
      </c>
      <c r="B181" s="3" t="str">
        <f>B$2</f>
        <v>BANK</v>
      </c>
      <c r="C181" s="3" t="str">
        <f>C$2</f>
        <v>AMOUNT</v>
      </c>
      <c r="D181" s="3" t="str">
        <f>D$2</f>
        <v>CCY</v>
      </c>
      <c r="E181" s="3" t="str">
        <f>E$2</f>
        <v>USD AMOUNT</v>
      </c>
      <c r="H181" s="274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  <c r="AD181" s="235"/>
      <c r="AE181" s="235"/>
      <c r="AF181" s="235"/>
      <c r="AG181" s="235"/>
      <c r="AH181" s="235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  <c r="AS181" s="235"/>
      <c r="AT181" s="235"/>
      <c r="AU181" s="235"/>
      <c r="AV181" s="235"/>
      <c r="AW181" s="235"/>
      <c r="AX181" s="235"/>
      <c r="AY181" s="235"/>
      <c r="AZ181" s="235"/>
      <c r="BA181" s="235"/>
      <c r="BB181" s="235"/>
      <c r="BC181" s="235"/>
      <c r="BD181" s="235"/>
      <c r="BE181" s="235"/>
      <c r="BF181" s="235"/>
      <c r="BG181" s="235"/>
      <c r="BH181" s="235"/>
      <c r="BI181" s="235"/>
      <c r="BJ181" s="235"/>
      <c r="BK181" s="235"/>
      <c r="BL181" s="235"/>
      <c r="BM181" s="235"/>
    </row>
    <row r="182" spans="1:65" ht="16">
      <c r="A182" s="312" t="s">
        <v>44</v>
      </c>
      <c r="B182" s="312" t="s">
        <v>22</v>
      </c>
      <c r="C182" s="313">
        <v>0</v>
      </c>
      <c r="D182" s="312" t="s">
        <v>7</v>
      </c>
      <c r="E182" s="314">
        <f ca="1">C182*VLOOKUP(D182,'FX RATES'!$E$1:$F$20,2,FALSE)</f>
        <v>0</v>
      </c>
      <c r="G182" s="353"/>
      <c r="H182" s="274"/>
      <c r="I182" s="274"/>
      <c r="J182" s="274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5"/>
      <c r="AO182" s="235"/>
      <c r="AP182" s="235"/>
      <c r="AQ182" s="235"/>
      <c r="AR182" s="235"/>
      <c r="AS182" s="235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</row>
    <row r="183" spans="1:65" ht="16">
      <c r="A183" s="312" t="s">
        <v>44</v>
      </c>
      <c r="B183" s="312" t="s">
        <v>22</v>
      </c>
      <c r="C183" s="313">
        <v>816.49</v>
      </c>
      <c r="D183" s="312" t="s">
        <v>5</v>
      </c>
      <c r="E183" s="314">
        <f>C183*VLOOKUP(D183,'FX RATES'!$E$1:$F$20,2,FALSE)</f>
        <v>816.49</v>
      </c>
      <c r="G183" s="353"/>
      <c r="H183" s="274"/>
      <c r="I183" s="274"/>
      <c r="J183" s="274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  <c r="AD183" s="235"/>
      <c r="AE183" s="235"/>
      <c r="AF183" s="235"/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AR183" s="235"/>
      <c r="AS183" s="235"/>
      <c r="AT183" s="235"/>
      <c r="AU183" s="235"/>
      <c r="AV183" s="235"/>
      <c r="AW183" s="235"/>
      <c r="AX183" s="235"/>
      <c r="AY183" s="235"/>
      <c r="AZ183" s="235"/>
      <c r="BA183" s="235"/>
      <c r="BB183" s="235"/>
      <c r="BC183" s="235"/>
      <c r="BD183" s="235"/>
      <c r="BE183" s="235"/>
      <c r="BF183" s="235"/>
      <c r="BG183" s="235"/>
      <c r="BH183" s="235"/>
      <c r="BI183" s="235"/>
      <c r="BJ183" s="235"/>
      <c r="BK183" s="235"/>
      <c r="BL183" s="235"/>
      <c r="BM183" s="235"/>
    </row>
    <row r="184" spans="1:65" ht="16">
      <c r="A184" s="595" t="s">
        <v>11</v>
      </c>
      <c r="B184" s="595"/>
      <c r="C184" s="595"/>
      <c r="D184" s="595"/>
      <c r="E184" s="129">
        <f ca="1">SUM(E182:E183)</f>
        <v>816.49</v>
      </c>
      <c r="H184" s="274"/>
      <c r="I184" s="274"/>
      <c r="J184" s="274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  <c r="AA184" s="235"/>
      <c r="AB184" s="235"/>
      <c r="AC184" s="235"/>
      <c r="AD184" s="235"/>
      <c r="AE184" s="235"/>
      <c r="AF184" s="235"/>
      <c r="AG184" s="235"/>
      <c r="AH184" s="235"/>
      <c r="AI184" s="235"/>
      <c r="AJ184" s="235"/>
      <c r="AK184" s="235"/>
      <c r="AL184" s="235"/>
      <c r="AM184" s="235"/>
      <c r="AN184" s="235"/>
      <c r="AO184" s="235"/>
      <c r="AP184" s="235"/>
      <c r="AQ184" s="235"/>
      <c r="AR184" s="235"/>
      <c r="AS184" s="235"/>
      <c r="AT184" s="235"/>
      <c r="AU184" s="235"/>
      <c r="AV184" s="235"/>
      <c r="AW184" s="235"/>
      <c r="AX184" s="235"/>
      <c r="AY184" s="235"/>
      <c r="AZ184" s="235"/>
      <c r="BA184" s="235"/>
      <c r="BB184" s="235"/>
      <c r="BC184" s="235"/>
      <c r="BD184" s="235"/>
      <c r="BE184" s="235"/>
      <c r="BF184" s="235"/>
      <c r="BG184" s="235"/>
      <c r="BH184" s="235"/>
      <c r="BI184" s="235"/>
      <c r="BJ184" s="235"/>
      <c r="BK184" s="235"/>
      <c r="BL184" s="235"/>
      <c r="BM184" s="235"/>
    </row>
    <row r="185" spans="1:65" ht="16">
      <c r="A185" s="6"/>
      <c r="B185" s="6"/>
      <c r="C185" s="6"/>
      <c r="D185" s="6"/>
      <c r="E185" s="131"/>
      <c r="H185" s="274"/>
      <c r="I185" s="274"/>
      <c r="J185" s="274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  <c r="AA185" s="235"/>
      <c r="AB185" s="235"/>
      <c r="AC185" s="235"/>
      <c r="AD185" s="235"/>
      <c r="AE185" s="235"/>
      <c r="AF185" s="235"/>
      <c r="AG185" s="235"/>
      <c r="AH185" s="235"/>
      <c r="AI185" s="235"/>
      <c r="AJ185" s="235"/>
      <c r="AK185" s="235"/>
      <c r="AL185" s="235"/>
      <c r="AM185" s="235"/>
      <c r="AN185" s="235"/>
      <c r="AO185" s="235"/>
      <c r="AP185" s="235"/>
      <c r="AQ185" s="235"/>
      <c r="AR185" s="235"/>
      <c r="AS185" s="235"/>
      <c r="AT185" s="235"/>
      <c r="AU185" s="235"/>
      <c r="AV185" s="235"/>
      <c r="AW185" s="235"/>
      <c r="AX185" s="235"/>
      <c r="AY185" s="235"/>
      <c r="AZ185" s="235"/>
      <c r="BA185" s="235"/>
      <c r="BB185" s="235"/>
      <c r="BC185" s="235"/>
      <c r="BD185" s="235"/>
      <c r="BE185" s="235"/>
      <c r="BF185" s="235"/>
      <c r="BG185" s="235"/>
      <c r="BH185" s="235"/>
      <c r="BI185" s="235"/>
      <c r="BJ185" s="235"/>
      <c r="BK185" s="235"/>
      <c r="BL185" s="235"/>
      <c r="BM185" s="235"/>
    </row>
    <row r="186" spans="1:65" ht="16">
      <c r="A186" s="6"/>
      <c r="B186" s="6"/>
      <c r="C186" s="6"/>
      <c r="D186" s="6"/>
      <c r="E186" s="131"/>
      <c r="H186" s="274"/>
      <c r="I186" s="274"/>
      <c r="J186" s="274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  <c r="AA186" s="235"/>
      <c r="AB186" s="235"/>
      <c r="AC186" s="235"/>
      <c r="AD186" s="235"/>
      <c r="AE186" s="235"/>
      <c r="AF186" s="235"/>
      <c r="AG186" s="235"/>
      <c r="AH186" s="235"/>
      <c r="AI186" s="235"/>
      <c r="AJ186" s="235"/>
      <c r="AK186" s="235"/>
      <c r="AL186" s="235"/>
      <c r="AM186" s="235"/>
      <c r="AN186" s="235"/>
      <c r="AO186" s="235"/>
      <c r="AP186" s="235"/>
      <c r="AQ186" s="235"/>
      <c r="AR186" s="235"/>
      <c r="AS186" s="235"/>
      <c r="AT186" s="235"/>
      <c r="AU186" s="235"/>
      <c r="AV186" s="235"/>
      <c r="AW186" s="235"/>
      <c r="AX186" s="235"/>
      <c r="AY186" s="235"/>
      <c r="AZ186" s="235"/>
      <c r="BA186" s="235"/>
      <c r="BB186" s="235"/>
      <c r="BC186" s="235"/>
      <c r="BD186" s="235"/>
      <c r="BE186" s="235"/>
      <c r="BF186" s="235"/>
      <c r="BG186" s="235"/>
      <c r="BH186" s="235"/>
      <c r="BI186" s="235"/>
      <c r="BJ186" s="235"/>
      <c r="BK186" s="235"/>
      <c r="BL186" s="235"/>
      <c r="BM186" s="235"/>
    </row>
    <row r="187" spans="1:65" ht="16">
      <c r="A187" s="3" t="str">
        <f>A$2</f>
        <v>LE</v>
      </c>
      <c r="B187" s="3" t="str">
        <f>B$2</f>
        <v>BANK</v>
      </c>
      <c r="C187" s="3" t="str">
        <f>C$2</f>
        <v>AMOUNT</v>
      </c>
      <c r="D187" s="3" t="str">
        <f>D$2</f>
        <v>CCY</v>
      </c>
      <c r="E187" s="3" t="str">
        <f>E$2</f>
        <v>USD AMOUNT</v>
      </c>
      <c r="H187" s="274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  <c r="AD187" s="235"/>
      <c r="AE187" s="235"/>
      <c r="AF187" s="235"/>
      <c r="AG187" s="235"/>
      <c r="AH187" s="235"/>
      <c r="AI187" s="235"/>
      <c r="AJ187" s="235"/>
      <c r="AK187" s="235"/>
      <c r="AL187" s="235"/>
      <c r="AM187" s="235"/>
      <c r="AN187" s="235"/>
      <c r="AO187" s="235"/>
      <c r="AP187" s="235"/>
      <c r="AQ187" s="235"/>
      <c r="AR187" s="235"/>
      <c r="AS187" s="235"/>
      <c r="AT187" s="235"/>
      <c r="AU187" s="235"/>
      <c r="AV187" s="235"/>
      <c r="AW187" s="235"/>
      <c r="AX187" s="235"/>
      <c r="AY187" s="235"/>
      <c r="AZ187" s="235"/>
      <c r="BA187" s="235"/>
      <c r="BB187" s="235"/>
      <c r="BC187" s="235"/>
      <c r="BD187" s="235"/>
      <c r="BE187" s="235"/>
      <c r="BF187" s="235"/>
      <c r="BG187" s="235"/>
      <c r="BH187" s="235"/>
      <c r="BI187" s="235"/>
      <c r="BJ187" s="235"/>
      <c r="BK187" s="235"/>
      <c r="BL187" s="235"/>
      <c r="BM187" s="235"/>
    </row>
    <row r="188" spans="1:65" ht="16">
      <c r="A188" s="294" t="s">
        <v>45</v>
      </c>
      <c r="B188" s="294" t="s">
        <v>49</v>
      </c>
      <c r="C188" s="297">
        <v>2165363.2799999998</v>
      </c>
      <c r="D188" s="294" t="s">
        <v>5</v>
      </c>
      <c r="E188" s="296">
        <f>C188*VLOOKUP(D188,'FX RATES'!$E$1:$F$20,2,FALSE)</f>
        <v>2165363.2799999998</v>
      </c>
      <c r="G188" s="559"/>
      <c r="H188" s="274"/>
      <c r="I188" s="274"/>
      <c r="J188" s="274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  <c r="AD188" s="235"/>
      <c r="AE188" s="235"/>
      <c r="AF188" s="235"/>
      <c r="AG188" s="235"/>
      <c r="AH188" s="235"/>
      <c r="AI188" s="235"/>
      <c r="AJ188" s="235"/>
      <c r="AK188" s="235"/>
      <c r="AL188" s="235"/>
      <c r="AM188" s="235"/>
      <c r="AN188" s="235"/>
      <c r="AO188" s="235"/>
      <c r="AP188" s="235"/>
      <c r="AQ188" s="235"/>
      <c r="AR188" s="235"/>
      <c r="AS188" s="235"/>
      <c r="AT188" s="235"/>
      <c r="AU188" s="235"/>
      <c r="AV188" s="235"/>
      <c r="AW188" s="235"/>
      <c r="AX188" s="235"/>
      <c r="AY188" s="235"/>
      <c r="AZ188" s="235"/>
      <c r="BA188" s="235"/>
      <c r="BB188" s="235"/>
      <c r="BC188" s="235"/>
      <c r="BD188" s="235"/>
      <c r="BE188" s="235"/>
      <c r="BF188" s="235"/>
      <c r="BG188" s="235"/>
      <c r="BH188" s="235"/>
      <c r="BI188" s="235"/>
      <c r="BJ188" s="235"/>
      <c r="BK188" s="235"/>
      <c r="BL188" s="235"/>
      <c r="BM188" s="235"/>
    </row>
    <row r="189" spans="1:65" ht="16">
      <c r="A189" s="294" t="s">
        <v>45</v>
      </c>
      <c r="B189" s="294" t="s">
        <v>49</v>
      </c>
      <c r="C189" s="297">
        <v>18219.060000000001</v>
      </c>
      <c r="D189" s="294" t="s">
        <v>6</v>
      </c>
      <c r="E189" s="296">
        <f ca="1">C189*VLOOKUP(D189,'FX RATES'!$E$1:$F$20,2,FALSE)</f>
        <v>21462.052680000001</v>
      </c>
      <c r="G189" s="559"/>
      <c r="H189" s="274"/>
      <c r="I189" s="274"/>
      <c r="J189" s="274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  <c r="AD189" s="235"/>
      <c r="AE189" s="235"/>
      <c r="AF189" s="235"/>
      <c r="AG189" s="235"/>
      <c r="AH189" s="235"/>
      <c r="AI189" s="235"/>
      <c r="AJ189" s="235"/>
      <c r="AK189" s="235"/>
      <c r="AL189" s="235"/>
      <c r="AM189" s="235"/>
      <c r="AN189" s="235"/>
      <c r="AO189" s="235"/>
      <c r="AP189" s="235"/>
      <c r="AQ189" s="235"/>
      <c r="AR189" s="235"/>
      <c r="AS189" s="235"/>
      <c r="AT189" s="235"/>
      <c r="AU189" s="235"/>
      <c r="AV189" s="235"/>
      <c r="AW189" s="235"/>
      <c r="AX189" s="235"/>
      <c r="AY189" s="235"/>
      <c r="AZ189" s="235"/>
      <c r="BA189" s="235"/>
      <c r="BB189" s="235"/>
      <c r="BC189" s="235"/>
      <c r="BD189" s="235"/>
      <c r="BE189" s="235"/>
      <c r="BF189" s="235"/>
      <c r="BG189" s="235"/>
      <c r="BH189" s="235"/>
      <c r="BI189" s="235"/>
      <c r="BJ189" s="235"/>
      <c r="BK189" s="235"/>
      <c r="BL189" s="235"/>
      <c r="BM189" s="235"/>
    </row>
    <row r="190" spans="1:65" ht="16">
      <c r="A190" s="294" t="s">
        <v>45</v>
      </c>
      <c r="B190" s="294" t="s">
        <v>49</v>
      </c>
      <c r="C190" s="297">
        <v>615136.99</v>
      </c>
      <c r="D190" s="294" t="s">
        <v>47</v>
      </c>
      <c r="E190" s="296">
        <f ca="1">C190*VLOOKUP(D190,'FX RATES'!$E$1:$F$20,2,FALSE)</f>
        <v>36.484993475682089</v>
      </c>
      <c r="G190" s="556"/>
      <c r="H190" s="274"/>
      <c r="I190" s="274"/>
      <c r="J190" s="274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  <c r="AA190" s="235"/>
      <c r="AB190" s="235"/>
      <c r="AC190" s="235"/>
      <c r="AD190" s="235"/>
      <c r="AE190" s="235"/>
      <c r="AF190" s="235"/>
      <c r="AG190" s="235"/>
      <c r="AH190" s="235"/>
      <c r="AI190" s="235"/>
      <c r="AJ190" s="235"/>
      <c r="AK190" s="235"/>
      <c r="AL190" s="235"/>
      <c r="AM190" s="235"/>
      <c r="AN190" s="235"/>
      <c r="AO190" s="235"/>
      <c r="AP190" s="235"/>
      <c r="AQ190" s="235"/>
      <c r="AR190" s="235"/>
      <c r="AS190" s="235"/>
      <c r="AT190" s="235"/>
      <c r="AU190" s="235"/>
      <c r="AV190" s="235"/>
      <c r="AW190" s="235"/>
      <c r="AX190" s="235"/>
      <c r="AY190" s="235"/>
      <c r="AZ190" s="235"/>
      <c r="BA190" s="235"/>
      <c r="BB190" s="235"/>
      <c r="BC190" s="235"/>
      <c r="BD190" s="235"/>
      <c r="BE190" s="235"/>
      <c r="BF190" s="235"/>
      <c r="BG190" s="235"/>
      <c r="BH190" s="235"/>
      <c r="BI190" s="235"/>
      <c r="BJ190" s="235"/>
      <c r="BK190" s="235"/>
      <c r="BL190" s="235"/>
      <c r="BM190" s="235"/>
    </row>
    <row r="191" spans="1:65" ht="16">
      <c r="A191" s="294" t="s">
        <v>45</v>
      </c>
      <c r="B191" s="294" t="s">
        <v>49</v>
      </c>
      <c r="C191" s="297">
        <v>0</v>
      </c>
      <c r="D191" s="294" t="s">
        <v>46</v>
      </c>
      <c r="E191" s="296">
        <f ca="1">C191*VLOOKUP(D191,'FX RATES'!$E$1:$F$20,2,FALSE)</f>
        <v>0</v>
      </c>
      <c r="G191" s="556"/>
      <c r="H191" s="274"/>
      <c r="I191" s="274"/>
      <c r="J191" s="274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  <c r="AA191" s="235"/>
      <c r="AB191" s="235"/>
      <c r="AC191" s="235"/>
      <c r="AD191" s="235"/>
      <c r="AE191" s="235"/>
      <c r="AF191" s="235"/>
      <c r="AG191" s="235"/>
      <c r="AH191" s="235"/>
      <c r="AI191" s="235"/>
      <c r="AJ191" s="235"/>
      <c r="AK191" s="235"/>
      <c r="AL191" s="235"/>
      <c r="AM191" s="235"/>
      <c r="AN191" s="235"/>
      <c r="AO191" s="235"/>
      <c r="AP191" s="235"/>
      <c r="AQ191" s="235"/>
      <c r="AR191" s="235"/>
      <c r="AS191" s="235"/>
      <c r="AT191" s="235"/>
      <c r="AU191" s="235"/>
      <c r="AV191" s="235"/>
      <c r="AW191" s="235"/>
      <c r="AX191" s="235"/>
      <c r="AY191" s="235"/>
      <c r="AZ191" s="235"/>
      <c r="BA191" s="235"/>
      <c r="BB191" s="235"/>
      <c r="BC191" s="235"/>
      <c r="BD191" s="235"/>
      <c r="BE191" s="235"/>
      <c r="BF191" s="235"/>
      <c r="BG191" s="235"/>
      <c r="BH191" s="235"/>
      <c r="BI191" s="235"/>
      <c r="BJ191" s="235"/>
      <c r="BK191" s="235"/>
      <c r="BL191" s="235"/>
      <c r="BM191" s="235"/>
    </row>
    <row r="192" spans="1:65" ht="16">
      <c r="A192" s="399" t="s">
        <v>45</v>
      </c>
      <c r="B192" s="399" t="s">
        <v>50</v>
      </c>
      <c r="C192" s="400">
        <v>92310.99</v>
      </c>
      <c r="D192" s="399" t="s">
        <v>5</v>
      </c>
      <c r="E192" s="401">
        <f>C192*VLOOKUP(D192,'FX RATES'!$E$1:$F$20,2,FALSE)</f>
        <v>92310.99</v>
      </c>
      <c r="G192" s="556"/>
      <c r="H192" s="274" t="s">
        <v>81</v>
      </c>
      <c r="I192" s="274"/>
      <c r="J192" s="274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  <c r="AA192" s="235"/>
      <c r="AB192" s="235"/>
      <c r="AC192" s="235"/>
      <c r="AD192" s="235"/>
      <c r="AE192" s="235"/>
      <c r="AF192" s="235"/>
      <c r="AG192" s="235"/>
      <c r="AH192" s="235"/>
      <c r="AI192" s="235"/>
      <c r="AJ192" s="235"/>
      <c r="AK192" s="235"/>
      <c r="AL192" s="235"/>
      <c r="AM192" s="235"/>
      <c r="AN192" s="235"/>
      <c r="AO192" s="235"/>
      <c r="AP192" s="235"/>
      <c r="AQ192" s="235"/>
      <c r="AR192" s="235"/>
      <c r="AS192" s="235"/>
      <c r="AT192" s="235"/>
      <c r="AU192" s="235"/>
      <c r="AV192" s="235"/>
      <c r="AW192" s="235"/>
      <c r="AX192" s="235"/>
      <c r="AY192" s="235"/>
      <c r="AZ192" s="235"/>
      <c r="BA192" s="235"/>
      <c r="BB192" s="235"/>
      <c r="BC192" s="235"/>
      <c r="BD192" s="235"/>
      <c r="BE192" s="235"/>
      <c r="BF192" s="235"/>
      <c r="BG192" s="235"/>
      <c r="BH192" s="235"/>
      <c r="BI192" s="235"/>
      <c r="BJ192" s="235"/>
      <c r="BK192" s="235"/>
      <c r="BL192" s="235"/>
      <c r="BM192" s="235"/>
    </row>
    <row r="193" spans="1:65" ht="16">
      <c r="A193" s="399" t="s">
        <v>45</v>
      </c>
      <c r="B193" s="399" t="s">
        <v>50</v>
      </c>
      <c r="C193" s="400">
        <v>0</v>
      </c>
      <c r="D193" s="399" t="s">
        <v>6</v>
      </c>
      <c r="E193" s="401">
        <f ca="1">C193*VLOOKUP(D193,'FX RATES'!$E$1:$F$20,2,FALSE)</f>
        <v>0</v>
      </c>
      <c r="G193" s="556"/>
      <c r="H193" s="274"/>
      <c r="I193" s="274"/>
      <c r="J193" s="274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  <c r="AA193" s="235"/>
      <c r="AB193" s="235"/>
      <c r="AC193" s="235"/>
      <c r="AD193" s="235"/>
      <c r="AE193" s="235"/>
      <c r="AF193" s="235"/>
      <c r="AG193" s="235"/>
      <c r="AH193" s="235"/>
      <c r="AI193" s="235"/>
      <c r="AJ193" s="235"/>
      <c r="AK193" s="235"/>
      <c r="AL193" s="235"/>
      <c r="AM193" s="235"/>
      <c r="AN193" s="235"/>
      <c r="AO193" s="235"/>
      <c r="AP193" s="235"/>
      <c r="AQ193" s="235"/>
      <c r="AR193" s="235"/>
      <c r="AS193" s="235"/>
      <c r="AT193" s="235"/>
      <c r="AU193" s="235"/>
      <c r="AV193" s="235"/>
      <c r="AW193" s="235"/>
      <c r="AX193" s="235"/>
      <c r="AY193" s="235"/>
      <c r="AZ193" s="235"/>
      <c r="BA193" s="235"/>
      <c r="BB193" s="235"/>
      <c r="BC193" s="235"/>
      <c r="BD193" s="235"/>
      <c r="BE193" s="235"/>
      <c r="BF193" s="235"/>
      <c r="BG193" s="235"/>
      <c r="BH193" s="235"/>
      <c r="BI193" s="235"/>
      <c r="BJ193" s="235"/>
      <c r="BK193" s="235"/>
      <c r="BL193" s="235"/>
      <c r="BM193" s="235"/>
    </row>
    <row r="194" spans="1:65" ht="16">
      <c r="A194" s="399" t="s">
        <v>45</v>
      </c>
      <c r="B194" s="399" t="s">
        <v>50</v>
      </c>
      <c r="C194" s="400">
        <v>1255000</v>
      </c>
      <c r="D194" s="399" t="s">
        <v>47</v>
      </c>
      <c r="E194" s="401">
        <f ca="1">C194*VLOOKUP(D194,'FX RATES'!$E$1:$F$20,2,FALSE)</f>
        <v>74.436536180308423</v>
      </c>
      <c r="G194" s="556"/>
      <c r="H194" s="274"/>
      <c r="I194" s="274"/>
      <c r="J194" s="274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  <c r="AA194" s="235"/>
      <c r="AB194" s="235"/>
      <c r="AC194" s="235"/>
      <c r="AD194" s="235"/>
      <c r="AE194" s="235"/>
      <c r="AF194" s="235"/>
      <c r="AG194" s="235"/>
      <c r="AH194" s="235"/>
      <c r="AI194" s="235"/>
      <c r="AJ194" s="235"/>
      <c r="AK194" s="235"/>
      <c r="AL194" s="235"/>
      <c r="AM194" s="235"/>
      <c r="AN194" s="235"/>
      <c r="AO194" s="235"/>
      <c r="AP194" s="235"/>
      <c r="AQ194" s="235"/>
      <c r="AR194" s="235"/>
      <c r="AS194" s="235"/>
      <c r="AT194" s="235"/>
      <c r="AU194" s="235"/>
      <c r="AV194" s="235"/>
      <c r="AW194" s="235"/>
      <c r="AX194" s="235"/>
      <c r="AY194" s="235"/>
      <c r="AZ194" s="235"/>
      <c r="BA194" s="235"/>
      <c r="BB194" s="235"/>
      <c r="BC194" s="235"/>
      <c r="BD194" s="235"/>
      <c r="BE194" s="235"/>
      <c r="BF194" s="235"/>
      <c r="BG194" s="235"/>
      <c r="BH194" s="235"/>
      <c r="BI194" s="235"/>
      <c r="BJ194" s="235"/>
      <c r="BK194" s="235"/>
      <c r="BL194" s="235"/>
      <c r="BM194" s="235"/>
    </row>
    <row r="195" spans="1:65" ht="16">
      <c r="A195" s="262" t="s">
        <v>45</v>
      </c>
      <c r="B195" s="262" t="s">
        <v>51</v>
      </c>
      <c r="C195" s="193">
        <v>214262.14</v>
      </c>
      <c r="D195" s="262" t="s">
        <v>5</v>
      </c>
      <c r="E195" s="263">
        <f>C195*VLOOKUP(D195,'FX RATES'!$E$1:$F$20,2,FALSE)</f>
        <v>214262.14</v>
      </c>
      <c r="G195" s="559"/>
      <c r="H195" s="274"/>
      <c r="I195" s="274"/>
      <c r="J195" s="274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35"/>
      <c r="AE195" s="235"/>
      <c r="AF195" s="235"/>
      <c r="AG195" s="235"/>
      <c r="AH195" s="235"/>
      <c r="AI195" s="235"/>
      <c r="AJ195" s="235"/>
      <c r="AK195" s="235"/>
      <c r="AL195" s="235"/>
      <c r="AM195" s="235"/>
      <c r="AN195" s="235"/>
      <c r="AO195" s="235"/>
      <c r="AP195" s="235"/>
      <c r="AQ195" s="235"/>
      <c r="AR195" s="235"/>
      <c r="AS195" s="235"/>
      <c r="AT195" s="235"/>
      <c r="AU195" s="235"/>
      <c r="AV195" s="235"/>
      <c r="AW195" s="235"/>
      <c r="AX195" s="235"/>
      <c r="AY195" s="235"/>
      <c r="AZ195" s="235"/>
      <c r="BA195" s="235"/>
      <c r="BB195" s="235"/>
      <c r="BC195" s="235"/>
      <c r="BD195" s="235"/>
      <c r="BE195" s="235"/>
      <c r="BF195" s="235"/>
      <c r="BG195" s="235"/>
      <c r="BH195" s="235"/>
      <c r="BI195" s="235"/>
      <c r="BJ195" s="235"/>
      <c r="BK195" s="235"/>
      <c r="BL195" s="235"/>
      <c r="BM195" s="235"/>
    </row>
    <row r="196" spans="1:65" ht="16">
      <c r="A196" s="262" t="s">
        <v>45</v>
      </c>
      <c r="B196" s="262" t="s">
        <v>51</v>
      </c>
      <c r="C196" s="193">
        <v>0</v>
      </c>
      <c r="D196" s="262" t="s">
        <v>6</v>
      </c>
      <c r="E196" s="263">
        <f ca="1">C196*VLOOKUP(D196,'FX RATES'!$E$1:$F$20,2,FALSE)</f>
        <v>0</v>
      </c>
      <c r="G196" s="556"/>
      <c r="H196" s="274"/>
      <c r="I196" s="274"/>
      <c r="J196" s="274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35"/>
      <c r="AD196" s="235"/>
      <c r="AE196" s="235"/>
      <c r="AF196" s="235"/>
      <c r="AG196" s="235"/>
      <c r="AH196" s="235"/>
      <c r="AI196" s="235"/>
      <c r="AJ196" s="235"/>
      <c r="AK196" s="235"/>
      <c r="AL196" s="235"/>
      <c r="AM196" s="235"/>
      <c r="AN196" s="235"/>
      <c r="AO196" s="235"/>
      <c r="AP196" s="235"/>
      <c r="AQ196" s="235"/>
      <c r="AR196" s="235"/>
      <c r="AS196" s="235"/>
      <c r="AT196" s="235"/>
      <c r="AU196" s="235"/>
      <c r="AV196" s="235"/>
      <c r="AW196" s="235"/>
      <c r="AX196" s="235"/>
      <c r="AY196" s="235"/>
      <c r="AZ196" s="235"/>
      <c r="BA196" s="235"/>
      <c r="BB196" s="235"/>
      <c r="BC196" s="235"/>
      <c r="BD196" s="235"/>
      <c r="BE196" s="235"/>
      <c r="BF196" s="235"/>
      <c r="BG196" s="235"/>
      <c r="BH196" s="235"/>
      <c r="BI196" s="235"/>
      <c r="BJ196" s="235"/>
      <c r="BK196" s="235"/>
      <c r="BL196" s="235"/>
      <c r="BM196" s="235"/>
    </row>
    <row r="197" spans="1:65" ht="16">
      <c r="A197" s="262" t="s">
        <v>45</v>
      </c>
      <c r="B197" s="262" t="s">
        <v>51</v>
      </c>
      <c r="C197" s="193">
        <v>45407583</v>
      </c>
      <c r="D197" s="262" t="s">
        <v>47</v>
      </c>
      <c r="E197" s="263">
        <f ca="1">C197*VLOOKUP(D197,'FX RATES'!$E$1:$F$20,2,FALSE)</f>
        <v>2693.2137010676156</v>
      </c>
      <c r="G197" s="556"/>
      <c r="H197" s="274"/>
      <c r="I197" s="274"/>
      <c r="J197" s="274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  <c r="AD197" s="235"/>
      <c r="AE197" s="235"/>
      <c r="AF197" s="235"/>
      <c r="AG197" s="235"/>
      <c r="AH197" s="235"/>
      <c r="AI197" s="235"/>
      <c r="AJ197" s="235"/>
      <c r="AK197" s="235"/>
      <c r="AL197" s="235"/>
      <c r="AM197" s="235"/>
      <c r="AN197" s="235"/>
      <c r="AO197" s="235"/>
      <c r="AP197" s="235"/>
      <c r="AQ197" s="235"/>
      <c r="AR197" s="235"/>
      <c r="AS197" s="235"/>
      <c r="AT197" s="235"/>
      <c r="AU197" s="235"/>
      <c r="AV197" s="235"/>
      <c r="AW197" s="235"/>
      <c r="AX197" s="235"/>
      <c r="AY197" s="235"/>
      <c r="AZ197" s="235"/>
      <c r="BA197" s="235"/>
      <c r="BB197" s="235"/>
      <c r="BC197" s="235"/>
      <c r="BD197" s="235"/>
      <c r="BE197" s="235"/>
      <c r="BF197" s="235"/>
      <c r="BG197" s="235"/>
      <c r="BH197" s="235"/>
      <c r="BI197" s="235"/>
      <c r="BJ197" s="235"/>
      <c r="BK197" s="235"/>
      <c r="BL197" s="235"/>
      <c r="BM197" s="235"/>
    </row>
    <row r="198" spans="1:65" ht="16">
      <c r="A198" s="595" t="s">
        <v>11</v>
      </c>
      <c r="B198" s="595"/>
      <c r="C198" s="595"/>
      <c r="D198" s="595"/>
      <c r="E198" s="129">
        <f ca="1">SUM(E188:E197)</f>
        <v>2496202.5979107236</v>
      </c>
      <c r="H198" s="274"/>
      <c r="I198" s="274"/>
      <c r="J198" s="274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  <c r="AD198" s="235"/>
      <c r="AE198" s="235"/>
      <c r="AF198" s="235"/>
      <c r="AG198" s="235"/>
      <c r="AH198" s="235"/>
      <c r="AI198" s="235"/>
      <c r="AJ198" s="235"/>
      <c r="AK198" s="235"/>
      <c r="AL198" s="235"/>
      <c r="AM198" s="235"/>
      <c r="AN198" s="235"/>
      <c r="AO198" s="235"/>
      <c r="AP198" s="235"/>
      <c r="AQ198" s="235"/>
      <c r="AR198" s="235"/>
      <c r="AS198" s="235"/>
      <c r="AT198" s="235"/>
      <c r="AU198" s="235"/>
      <c r="AV198" s="235"/>
      <c r="AW198" s="235"/>
      <c r="AX198" s="235"/>
      <c r="AY198" s="235"/>
      <c r="AZ198" s="235"/>
      <c r="BA198" s="235"/>
      <c r="BB198" s="235"/>
      <c r="BC198" s="235"/>
      <c r="BD198" s="235"/>
      <c r="BE198" s="235"/>
      <c r="BF198" s="235"/>
      <c r="BG198" s="235"/>
      <c r="BH198" s="235"/>
      <c r="BI198" s="235"/>
      <c r="BJ198" s="235"/>
      <c r="BK198" s="235"/>
      <c r="BL198" s="235"/>
      <c r="BM198" s="235"/>
    </row>
    <row r="199" spans="1:65" ht="16">
      <c r="A199" s="6"/>
      <c r="B199" s="6"/>
      <c r="C199" s="6"/>
      <c r="D199" s="6"/>
      <c r="E199" s="131"/>
      <c r="H199" s="274"/>
      <c r="I199" s="274"/>
      <c r="J199" s="274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  <c r="AA199" s="235"/>
      <c r="AB199" s="235"/>
      <c r="AC199" s="235"/>
      <c r="AD199" s="235"/>
      <c r="AE199" s="235"/>
      <c r="AF199" s="235"/>
      <c r="AG199" s="235"/>
      <c r="AH199" s="235"/>
      <c r="AI199" s="235"/>
      <c r="AJ199" s="235"/>
      <c r="AK199" s="235"/>
      <c r="AL199" s="235"/>
      <c r="AM199" s="235"/>
      <c r="AN199" s="235"/>
      <c r="AO199" s="235"/>
      <c r="AP199" s="235"/>
      <c r="AQ199" s="235"/>
      <c r="AR199" s="235"/>
      <c r="AS199" s="235"/>
      <c r="AT199" s="235"/>
      <c r="AU199" s="235"/>
      <c r="AV199" s="235"/>
      <c r="AW199" s="235"/>
      <c r="AX199" s="235"/>
      <c r="AY199" s="235"/>
      <c r="AZ199" s="235"/>
      <c r="BA199" s="235"/>
      <c r="BB199" s="235"/>
      <c r="BC199" s="235"/>
      <c r="BD199" s="235"/>
      <c r="BE199" s="235"/>
      <c r="BF199" s="235"/>
      <c r="BG199" s="235"/>
      <c r="BH199" s="235"/>
      <c r="BI199" s="235"/>
      <c r="BJ199" s="235"/>
      <c r="BK199" s="235"/>
      <c r="BL199" s="235"/>
      <c r="BM199" s="235"/>
    </row>
    <row r="200" spans="1:65" ht="16">
      <c r="A200" s="235"/>
      <c r="B200" s="235"/>
      <c r="C200" s="270"/>
      <c r="D200" s="235"/>
      <c r="E200" s="268"/>
      <c r="H200" s="274"/>
      <c r="I200" s="274"/>
      <c r="J200" s="274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  <c r="AA200" s="235"/>
      <c r="AB200" s="235"/>
      <c r="AC200" s="235"/>
      <c r="AD200" s="235"/>
      <c r="AE200" s="235"/>
      <c r="AF200" s="235"/>
      <c r="AG200" s="235"/>
      <c r="AH200" s="235"/>
      <c r="AI200" s="235"/>
      <c r="AJ200" s="235"/>
      <c r="AK200" s="235"/>
      <c r="AL200" s="235"/>
      <c r="AM200" s="235"/>
      <c r="AN200" s="235"/>
      <c r="AO200" s="235"/>
      <c r="AP200" s="235"/>
      <c r="AQ200" s="235"/>
      <c r="AR200" s="235"/>
      <c r="AS200" s="235"/>
      <c r="AT200" s="235"/>
      <c r="AU200" s="235"/>
      <c r="AV200" s="235"/>
      <c r="AW200" s="235"/>
      <c r="AX200" s="235"/>
      <c r="AY200" s="235"/>
      <c r="AZ200" s="235"/>
      <c r="BA200" s="235"/>
      <c r="BB200" s="235"/>
      <c r="BC200" s="235"/>
      <c r="BD200" s="235"/>
      <c r="BE200" s="235"/>
      <c r="BF200" s="235"/>
      <c r="BG200" s="235"/>
      <c r="BH200" s="235"/>
      <c r="BI200" s="235"/>
      <c r="BJ200" s="235"/>
      <c r="BK200" s="235"/>
      <c r="BL200" s="235"/>
      <c r="BM200" s="235"/>
    </row>
    <row r="201" spans="1:65" ht="16">
      <c r="A201" s="3" t="str">
        <f>A$2</f>
        <v>LE</v>
      </c>
      <c r="B201" s="3" t="str">
        <f>B$2</f>
        <v>BANK</v>
      </c>
      <c r="C201" s="3" t="str">
        <f>C$2</f>
        <v>AMOUNT</v>
      </c>
      <c r="D201" s="3" t="str">
        <f>D$2</f>
        <v>CCY</v>
      </c>
      <c r="E201" s="3" t="str">
        <f>E$2</f>
        <v>USD AMOUNT</v>
      </c>
      <c r="H201" s="274"/>
      <c r="I201" s="274"/>
      <c r="J201" s="274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  <c r="AA201" s="235"/>
      <c r="AB201" s="235"/>
      <c r="AC201" s="235"/>
      <c r="AD201" s="235"/>
      <c r="AE201" s="235"/>
      <c r="AF201" s="235"/>
      <c r="AG201" s="235"/>
      <c r="AH201" s="235"/>
      <c r="AI201" s="235"/>
      <c r="AJ201" s="235"/>
      <c r="AK201" s="235"/>
      <c r="AL201" s="235"/>
      <c r="AM201" s="235"/>
      <c r="AN201" s="235"/>
      <c r="AO201" s="235"/>
      <c r="AP201" s="235"/>
      <c r="AQ201" s="235"/>
      <c r="AR201" s="235"/>
      <c r="AS201" s="235"/>
      <c r="AT201" s="235"/>
      <c r="AU201" s="235"/>
      <c r="AV201" s="235"/>
      <c r="AW201" s="235"/>
      <c r="AX201" s="235"/>
      <c r="AY201" s="235"/>
      <c r="AZ201" s="235"/>
      <c r="BA201" s="235"/>
      <c r="BB201" s="235"/>
      <c r="BC201" s="235"/>
      <c r="BD201" s="235"/>
      <c r="BE201" s="235"/>
      <c r="BF201" s="235"/>
      <c r="BG201" s="235"/>
      <c r="BH201" s="235"/>
      <c r="BI201" s="235"/>
      <c r="BJ201" s="235"/>
      <c r="BK201" s="235"/>
      <c r="BL201" s="235"/>
      <c r="BM201" s="235"/>
    </row>
    <row r="202" spans="1:65" ht="16">
      <c r="A202" s="241" t="s">
        <v>99</v>
      </c>
      <c r="B202" s="241" t="s">
        <v>25</v>
      </c>
      <c r="C202" s="272">
        <v>41397.25</v>
      </c>
      <c r="D202" s="241" t="s">
        <v>9</v>
      </c>
      <c r="E202" s="242">
        <f ca="1">C202*VLOOKUP(D202,'FX RATES'!$E$1:$F$20,2,FALSE)</f>
        <v>539.58524774994953</v>
      </c>
      <c r="G202" s="353"/>
      <c r="H202" s="274"/>
      <c r="I202" s="274"/>
      <c r="J202" s="274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  <c r="AA202" s="235"/>
      <c r="AB202" s="235"/>
      <c r="AC202" s="235"/>
      <c r="AD202" s="235"/>
      <c r="AE202" s="235"/>
      <c r="AF202" s="235"/>
      <c r="AG202" s="235"/>
      <c r="AH202" s="235"/>
      <c r="AI202" s="235"/>
      <c r="AJ202" s="235"/>
      <c r="AK202" s="235"/>
      <c r="AL202" s="235"/>
      <c r="AM202" s="235"/>
      <c r="AN202" s="235"/>
      <c r="AO202" s="235"/>
      <c r="AP202" s="235"/>
      <c r="AQ202" s="235"/>
      <c r="AR202" s="235"/>
      <c r="AS202" s="235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5"/>
      <c r="BH202" s="235"/>
      <c r="BI202" s="235"/>
      <c r="BJ202" s="235"/>
      <c r="BK202" s="235"/>
      <c r="BL202" s="235"/>
      <c r="BM202" s="235"/>
    </row>
    <row r="203" spans="1:65" ht="16">
      <c r="A203" s="595" t="s">
        <v>11</v>
      </c>
      <c r="B203" s="595"/>
      <c r="C203" s="595"/>
      <c r="D203" s="595"/>
      <c r="E203" s="129">
        <f ca="1">SUM(E202:E202)</f>
        <v>539.58524774994953</v>
      </c>
      <c r="H203" s="274"/>
      <c r="I203" s="274"/>
      <c r="J203" s="274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  <c r="AD203" s="235"/>
      <c r="AE203" s="235"/>
      <c r="AF203" s="235"/>
      <c r="AG203" s="235"/>
      <c r="AH203" s="235"/>
      <c r="AI203" s="235"/>
      <c r="AJ203" s="235"/>
      <c r="AK203" s="235"/>
      <c r="AL203" s="235"/>
      <c r="AM203" s="235"/>
      <c r="AN203" s="235"/>
      <c r="AO203" s="235"/>
      <c r="AP203" s="235"/>
      <c r="AQ203" s="235"/>
      <c r="AR203" s="235"/>
      <c r="AS203" s="235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5"/>
      <c r="BH203" s="235"/>
      <c r="BI203" s="235"/>
      <c r="BJ203" s="235"/>
      <c r="BK203" s="235"/>
      <c r="BL203" s="235"/>
      <c r="BM203" s="235"/>
    </row>
    <row r="204" spans="1:65" ht="15.75" customHeight="1">
      <c r="A204" s="235"/>
      <c r="B204" s="235"/>
      <c r="C204" s="270"/>
      <c r="D204" s="235"/>
      <c r="E204" s="268"/>
      <c r="H204" s="274"/>
      <c r="I204" s="274"/>
      <c r="J204" s="274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  <c r="AA204" s="235"/>
      <c r="AB204" s="235"/>
      <c r="AC204" s="235"/>
      <c r="AD204" s="235"/>
      <c r="AE204" s="235"/>
      <c r="AF204" s="235"/>
      <c r="AG204" s="235"/>
      <c r="AH204" s="235"/>
      <c r="AI204" s="235"/>
      <c r="AJ204" s="235"/>
      <c r="AK204" s="235"/>
      <c r="AL204" s="235"/>
      <c r="AM204" s="235"/>
      <c r="AN204" s="235"/>
      <c r="AO204" s="235"/>
      <c r="AP204" s="235"/>
      <c r="AQ204" s="235"/>
      <c r="AR204" s="235"/>
      <c r="AS204" s="235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5"/>
      <c r="BH204" s="235"/>
      <c r="BI204" s="235"/>
      <c r="BJ204" s="235"/>
      <c r="BK204" s="235"/>
      <c r="BL204" s="235"/>
      <c r="BM204" s="235"/>
    </row>
    <row r="205" spans="1:65" ht="16">
      <c r="A205" s="235"/>
      <c r="B205" s="235"/>
      <c r="C205" s="270"/>
      <c r="D205" s="235"/>
      <c r="E205" s="268"/>
      <c r="H205" s="274"/>
      <c r="I205" s="274"/>
      <c r="J205" s="274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  <c r="AD205" s="235"/>
      <c r="AE205" s="235"/>
      <c r="AF205" s="235"/>
      <c r="AG205" s="235"/>
      <c r="AH205" s="235"/>
      <c r="AI205" s="235"/>
      <c r="AJ205" s="235"/>
      <c r="AK205" s="235"/>
      <c r="AL205" s="235"/>
      <c r="AM205" s="235"/>
      <c r="AN205" s="235"/>
      <c r="AO205" s="235"/>
      <c r="AP205" s="235"/>
      <c r="AQ205" s="235"/>
      <c r="AR205" s="235"/>
      <c r="AS205" s="235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5"/>
      <c r="BH205" s="235"/>
      <c r="BI205" s="235"/>
      <c r="BJ205" s="235"/>
      <c r="BK205" s="235"/>
      <c r="BL205" s="235"/>
      <c r="BM205" s="235"/>
    </row>
    <row r="206" spans="1:65" ht="16">
      <c r="A206" s="3" t="str">
        <f>A$2</f>
        <v>LE</v>
      </c>
      <c r="B206" s="3" t="str">
        <f>B$2</f>
        <v>BANK</v>
      </c>
      <c r="C206" s="3" t="str">
        <f>C$2</f>
        <v>AMOUNT</v>
      </c>
      <c r="D206" s="3" t="str">
        <f>D$2</f>
        <v>CCY</v>
      </c>
      <c r="E206" s="3" t="str">
        <f>E$2</f>
        <v>USD AMOUNT</v>
      </c>
      <c r="H206" s="274"/>
      <c r="I206" s="274"/>
      <c r="J206" s="274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  <c r="AD206" s="235"/>
      <c r="AE206" s="235"/>
      <c r="AF206" s="235"/>
      <c r="AG206" s="235"/>
      <c r="AH206" s="235"/>
      <c r="AI206" s="235"/>
      <c r="AJ206" s="235"/>
      <c r="AK206" s="235"/>
      <c r="AL206" s="235"/>
      <c r="AM206" s="235"/>
      <c r="AN206" s="235"/>
      <c r="AO206" s="235"/>
      <c r="AP206" s="235"/>
      <c r="AQ206" s="235"/>
      <c r="AR206" s="235"/>
      <c r="AS206" s="235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5"/>
      <c r="BH206" s="235"/>
      <c r="BI206" s="235"/>
      <c r="BJ206" s="235"/>
      <c r="BK206" s="235"/>
      <c r="BL206" s="235"/>
      <c r="BM206" s="235"/>
    </row>
    <row r="207" spans="1:65" ht="16">
      <c r="A207" s="241" t="s">
        <v>52</v>
      </c>
      <c r="B207" s="241" t="s">
        <v>25</v>
      </c>
      <c r="C207" s="272">
        <v>626990</v>
      </c>
      <c r="D207" s="241" t="s">
        <v>9</v>
      </c>
      <c r="E207" s="242">
        <f ca="1">C207*VLOOKUP(D207,'FX RATES'!$E$1:$F$20,2,FALSE)</f>
        <v>8172.391994317034</v>
      </c>
      <c r="G207" s="559"/>
      <c r="H207" s="274"/>
      <c r="I207" s="274"/>
      <c r="J207" s="274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  <c r="AA207" s="235"/>
      <c r="AB207" s="235"/>
      <c r="AC207" s="235"/>
      <c r="AD207" s="235"/>
      <c r="AE207" s="235"/>
      <c r="AF207" s="235"/>
      <c r="AG207" s="235"/>
      <c r="AH207" s="235"/>
      <c r="AI207" s="235"/>
      <c r="AJ207" s="235"/>
      <c r="AK207" s="235"/>
      <c r="AL207" s="235"/>
      <c r="AM207" s="235"/>
      <c r="AN207" s="235"/>
      <c r="AO207" s="235"/>
      <c r="AP207" s="235"/>
      <c r="AQ207" s="235"/>
      <c r="AR207" s="235"/>
      <c r="AS207" s="235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5"/>
      <c r="BH207" s="235"/>
      <c r="BI207" s="235"/>
      <c r="BJ207" s="235"/>
      <c r="BK207" s="235"/>
      <c r="BL207" s="235"/>
      <c r="BM207" s="235"/>
    </row>
    <row r="208" spans="1:65" ht="16">
      <c r="A208" s="262" t="s">
        <v>52</v>
      </c>
      <c r="B208" s="262" t="s">
        <v>54</v>
      </c>
      <c r="C208" s="464">
        <v>68473</v>
      </c>
      <c r="D208" s="262" t="s">
        <v>53</v>
      </c>
      <c r="E208" s="263">
        <f>C208*VLOOKUP(D208,'FX RATES'!$E$1:$F$20,2,FALSE)</f>
        <v>68473</v>
      </c>
      <c r="G208" s="353"/>
      <c r="H208" s="274"/>
      <c r="I208" s="274"/>
      <c r="J208" s="274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  <c r="AA208" s="235"/>
      <c r="AB208" s="235"/>
      <c r="AC208" s="235"/>
      <c r="AD208" s="235"/>
      <c r="AE208" s="235"/>
      <c r="AF208" s="235"/>
      <c r="AG208" s="235"/>
      <c r="AH208" s="235"/>
      <c r="AI208" s="235"/>
      <c r="AJ208" s="235"/>
      <c r="AK208" s="235"/>
      <c r="AL208" s="235"/>
      <c r="AM208" s="235"/>
      <c r="AN208" s="235"/>
      <c r="AO208" s="235"/>
      <c r="AP208" s="235"/>
      <c r="AQ208" s="235"/>
      <c r="AR208" s="235"/>
      <c r="AS208" s="235"/>
      <c r="AT208" s="235"/>
      <c r="AU208" s="235"/>
      <c r="AV208" s="235"/>
      <c r="AW208" s="235"/>
      <c r="AX208" s="235"/>
      <c r="AY208" s="235"/>
      <c r="AZ208" s="235"/>
      <c r="BA208" s="235"/>
      <c r="BB208" s="235"/>
      <c r="BC208" s="235"/>
      <c r="BD208" s="235"/>
      <c r="BE208" s="235"/>
      <c r="BF208" s="235"/>
      <c r="BG208" s="235"/>
      <c r="BH208" s="235"/>
      <c r="BI208" s="235"/>
      <c r="BJ208" s="235"/>
      <c r="BK208" s="235"/>
      <c r="BL208" s="235"/>
      <c r="BM208" s="235"/>
    </row>
    <row r="209" spans="1:65" ht="16">
      <c r="A209" s="595" t="s">
        <v>11</v>
      </c>
      <c r="B209" s="595"/>
      <c r="C209" s="595"/>
      <c r="D209" s="595"/>
      <c r="E209" s="129">
        <f ca="1">SUM(E207:E207)</f>
        <v>8172.391994317034</v>
      </c>
      <c r="H209" s="274"/>
      <c r="I209" s="274"/>
      <c r="J209" s="274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  <c r="AA209" s="235"/>
      <c r="AB209" s="235"/>
      <c r="AC209" s="235"/>
      <c r="AD209" s="235"/>
      <c r="AE209" s="235"/>
      <c r="AF209" s="235"/>
      <c r="AG209" s="235"/>
      <c r="AH209" s="235"/>
      <c r="AI209" s="235"/>
      <c r="AJ209" s="235"/>
      <c r="AK209" s="235"/>
      <c r="AL209" s="235"/>
      <c r="AM209" s="235"/>
      <c r="AN209" s="235"/>
      <c r="AO209" s="235"/>
      <c r="AP209" s="235"/>
      <c r="AQ209" s="235"/>
      <c r="AR209" s="235"/>
      <c r="AS209" s="235"/>
      <c r="AT209" s="235"/>
      <c r="AU209" s="235"/>
      <c r="AV209" s="235"/>
      <c r="AW209" s="235"/>
      <c r="AX209" s="235"/>
      <c r="AY209" s="235"/>
      <c r="AZ209" s="235"/>
      <c r="BA209" s="235"/>
      <c r="BB209" s="235"/>
      <c r="BC209" s="235"/>
      <c r="BD209" s="235"/>
      <c r="BE209" s="235"/>
      <c r="BF209" s="235"/>
      <c r="BG209" s="235"/>
      <c r="BH209" s="235"/>
      <c r="BI209" s="235"/>
      <c r="BJ209" s="235"/>
      <c r="BK209" s="235"/>
      <c r="BL209" s="235"/>
      <c r="BM209" s="235"/>
    </row>
    <row r="210" spans="1:65" ht="15.75" customHeight="1">
      <c r="A210" s="235"/>
      <c r="B210" s="235"/>
      <c r="C210" s="270"/>
      <c r="D210" s="235"/>
      <c r="E210" s="268"/>
      <c r="H210" s="274"/>
      <c r="I210" s="274"/>
      <c r="J210" s="274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  <c r="AA210" s="235"/>
      <c r="AB210" s="235"/>
      <c r="AC210" s="235"/>
      <c r="AD210" s="235"/>
      <c r="AE210" s="235"/>
      <c r="AF210" s="235"/>
      <c r="AG210" s="235"/>
      <c r="AH210" s="235"/>
      <c r="AI210" s="235"/>
      <c r="AJ210" s="235"/>
      <c r="AK210" s="235"/>
      <c r="AL210" s="235"/>
      <c r="AM210" s="235"/>
      <c r="AN210" s="235"/>
      <c r="AO210" s="235"/>
      <c r="AP210" s="235"/>
      <c r="AQ210" s="235"/>
      <c r="AR210" s="235"/>
      <c r="AS210" s="235"/>
      <c r="AT210" s="235"/>
      <c r="AU210" s="235"/>
      <c r="AV210" s="235"/>
      <c r="AW210" s="235"/>
      <c r="AX210" s="235"/>
      <c r="AY210" s="235"/>
      <c r="AZ210" s="235"/>
      <c r="BA210" s="235"/>
      <c r="BB210" s="235"/>
      <c r="BC210" s="235"/>
      <c r="BD210" s="235"/>
      <c r="BE210" s="235"/>
      <c r="BF210" s="235"/>
      <c r="BG210" s="235"/>
      <c r="BH210" s="235"/>
      <c r="BI210" s="235"/>
      <c r="BJ210" s="235"/>
      <c r="BK210" s="235"/>
      <c r="BL210" s="235"/>
      <c r="BM210" s="235"/>
    </row>
    <row r="211" spans="1:65" ht="15.75" customHeight="1">
      <c r="A211" s="235"/>
      <c r="B211" s="235"/>
      <c r="C211" s="270"/>
      <c r="D211" s="235"/>
      <c r="E211" s="268"/>
      <c r="H211" s="274"/>
      <c r="I211" s="274"/>
      <c r="J211" s="274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  <c r="AA211" s="235"/>
      <c r="AB211" s="235"/>
      <c r="AC211" s="235"/>
      <c r="AD211" s="235"/>
      <c r="AE211" s="235"/>
      <c r="AF211" s="235"/>
      <c r="AG211" s="235"/>
      <c r="AH211" s="235"/>
      <c r="AI211" s="235"/>
      <c r="AJ211" s="235"/>
      <c r="AK211" s="235"/>
      <c r="AL211" s="235"/>
      <c r="AM211" s="235"/>
      <c r="AN211" s="235"/>
      <c r="AO211" s="235"/>
      <c r="AP211" s="235"/>
      <c r="AQ211" s="235"/>
      <c r="AR211" s="235"/>
      <c r="AS211" s="235"/>
      <c r="AT211" s="235"/>
      <c r="AU211" s="235"/>
      <c r="AV211" s="235"/>
      <c r="AW211" s="235"/>
      <c r="AX211" s="235"/>
      <c r="AY211" s="235"/>
      <c r="AZ211" s="235"/>
      <c r="BA211" s="235"/>
      <c r="BB211" s="235"/>
      <c r="BC211" s="235"/>
      <c r="BD211" s="235"/>
      <c r="BE211" s="235"/>
      <c r="BF211" s="235"/>
      <c r="BG211" s="235"/>
      <c r="BH211" s="235"/>
      <c r="BI211" s="235"/>
      <c r="BJ211" s="235"/>
      <c r="BK211" s="235"/>
      <c r="BL211" s="235"/>
      <c r="BM211" s="235"/>
    </row>
    <row r="212" spans="1:65" ht="15.75" customHeight="1">
      <c r="A212" s="3" t="str">
        <f>A$2</f>
        <v>LE</v>
      </c>
      <c r="B212" s="3" t="str">
        <f>B$2</f>
        <v>BANK</v>
      </c>
      <c r="C212" s="3" t="str">
        <f>C$2</f>
        <v>AMOUNT</v>
      </c>
      <c r="D212" s="3" t="str">
        <f>D$2</f>
        <v>CCY</v>
      </c>
      <c r="E212" s="3" t="str">
        <f>E$2</f>
        <v>USD AMOUNT</v>
      </c>
      <c r="H212" s="274"/>
      <c r="I212" s="274"/>
      <c r="J212" s="274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  <c r="AA212" s="235"/>
      <c r="AB212" s="235"/>
      <c r="AC212" s="235"/>
      <c r="AD212" s="235"/>
      <c r="AE212" s="235"/>
      <c r="AF212" s="235"/>
      <c r="AG212" s="235"/>
      <c r="AH212" s="235"/>
      <c r="AI212" s="235"/>
      <c r="AJ212" s="235"/>
      <c r="AK212" s="235"/>
      <c r="AL212" s="235"/>
      <c r="AM212" s="235"/>
      <c r="AN212" s="235"/>
      <c r="AO212" s="235"/>
      <c r="AP212" s="235"/>
      <c r="AQ212" s="235"/>
      <c r="AR212" s="235"/>
      <c r="AS212" s="235"/>
      <c r="AT212" s="235"/>
      <c r="AU212" s="235"/>
      <c r="AV212" s="235"/>
      <c r="AW212" s="235"/>
      <c r="AX212" s="235"/>
      <c r="AY212" s="235"/>
      <c r="AZ212" s="235"/>
      <c r="BA212" s="235"/>
      <c r="BB212" s="235"/>
      <c r="BC212" s="235"/>
      <c r="BD212" s="235"/>
      <c r="BE212" s="235"/>
      <c r="BF212" s="235"/>
      <c r="BG212" s="235"/>
      <c r="BH212" s="235"/>
      <c r="BI212" s="235"/>
      <c r="BJ212" s="235"/>
      <c r="BK212" s="235"/>
      <c r="BL212" s="235"/>
      <c r="BM212" s="235"/>
    </row>
    <row r="213" spans="1:65" ht="15.75" customHeight="1">
      <c r="A213" s="294" t="s">
        <v>55</v>
      </c>
      <c r="B213" s="294" t="s">
        <v>17</v>
      </c>
      <c r="C213" s="297">
        <v>13783.32</v>
      </c>
      <c r="D213" s="294" t="s">
        <v>5</v>
      </c>
      <c r="E213" s="296">
        <f>C213*VLOOKUP(D213,'FX RATES'!$E$1:$F$20,2,FALSE)</f>
        <v>13783.32</v>
      </c>
      <c r="G213" s="557"/>
      <c r="H213" s="419"/>
      <c r="I213" s="274"/>
      <c r="J213" s="274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  <c r="AA213" s="235"/>
      <c r="AB213" s="235"/>
      <c r="AC213" s="235"/>
      <c r="AD213" s="235"/>
      <c r="AE213" s="235"/>
      <c r="AF213" s="235"/>
      <c r="AG213" s="235"/>
      <c r="AH213" s="235"/>
      <c r="AI213" s="235"/>
      <c r="AJ213" s="235"/>
      <c r="AK213" s="235"/>
      <c r="AL213" s="235"/>
      <c r="AM213" s="235"/>
      <c r="AN213" s="235"/>
      <c r="AO213" s="235"/>
      <c r="AP213" s="235"/>
      <c r="AQ213" s="235"/>
      <c r="AR213" s="235"/>
      <c r="AS213" s="235"/>
      <c r="AT213" s="235"/>
      <c r="AU213" s="235"/>
      <c r="AV213" s="235"/>
      <c r="AW213" s="235"/>
      <c r="AX213" s="235"/>
      <c r="AY213" s="235"/>
      <c r="AZ213" s="235"/>
      <c r="BA213" s="235"/>
      <c r="BB213" s="235"/>
      <c r="BC213" s="235"/>
      <c r="BD213" s="235"/>
      <c r="BE213" s="235"/>
      <c r="BF213" s="235"/>
      <c r="BG213" s="235"/>
      <c r="BH213" s="235"/>
      <c r="BI213" s="235"/>
      <c r="BJ213" s="235"/>
      <c r="BK213" s="235"/>
      <c r="BL213" s="235"/>
      <c r="BM213" s="235"/>
    </row>
    <row r="214" spans="1:65" ht="15.75" customHeight="1">
      <c r="A214" s="294" t="s">
        <v>55</v>
      </c>
      <c r="B214" s="294" t="s">
        <v>17</v>
      </c>
      <c r="C214" s="297">
        <v>813576.8</v>
      </c>
      <c r="D214" s="294" t="s">
        <v>8</v>
      </c>
      <c r="E214" s="296">
        <f ca="1">C214*VLOOKUP(D214,'FX RATES'!$E$1:$F$20,2,FALSE)</f>
        <v>221526.11229101999</v>
      </c>
      <c r="G214" s="557"/>
      <c r="H214" s="274"/>
      <c r="I214" s="274"/>
      <c r="J214" s="274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  <c r="AE214" s="235"/>
      <c r="AF214" s="235"/>
      <c r="AG214" s="235"/>
      <c r="AH214" s="235"/>
      <c r="AI214" s="235"/>
      <c r="AJ214" s="235"/>
      <c r="AK214" s="235"/>
      <c r="AL214" s="235"/>
      <c r="AM214" s="235"/>
      <c r="AN214" s="235"/>
      <c r="AO214" s="235"/>
      <c r="AP214" s="235"/>
      <c r="AQ214" s="235"/>
      <c r="AR214" s="235"/>
      <c r="AS214" s="235"/>
      <c r="AT214" s="235"/>
      <c r="AU214" s="235"/>
      <c r="AV214" s="235"/>
      <c r="AW214" s="235"/>
      <c r="AX214" s="235"/>
      <c r="AY214" s="235"/>
      <c r="AZ214" s="235"/>
      <c r="BA214" s="235"/>
      <c r="BB214" s="235"/>
      <c r="BC214" s="235"/>
      <c r="BD214" s="235"/>
      <c r="BE214" s="235"/>
      <c r="BF214" s="235"/>
      <c r="BG214" s="235"/>
      <c r="BH214" s="235"/>
      <c r="BI214" s="235"/>
      <c r="BJ214" s="235"/>
      <c r="BK214" s="235"/>
      <c r="BL214" s="235"/>
      <c r="BM214" s="235"/>
    </row>
    <row r="215" spans="1:65" ht="15.75" customHeight="1">
      <c r="A215" s="255" t="s">
        <v>55</v>
      </c>
      <c r="B215" s="255" t="s">
        <v>16</v>
      </c>
      <c r="C215" s="347">
        <v>0</v>
      </c>
      <c r="D215" s="255" t="s">
        <v>5</v>
      </c>
      <c r="E215" s="257">
        <f>C215*VLOOKUP(D215,'FX RATES'!$E$1:$F$20,2,FALSE)</f>
        <v>0</v>
      </c>
      <c r="G215" s="556"/>
      <c r="H215" s="274"/>
      <c r="I215" s="274"/>
      <c r="J215" s="274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  <c r="AD215" s="235"/>
      <c r="AE215" s="235"/>
      <c r="AF215" s="235"/>
      <c r="AG215" s="235"/>
      <c r="AH215" s="235"/>
      <c r="AI215" s="235"/>
      <c r="AJ215" s="235"/>
      <c r="AK215" s="235"/>
      <c r="AL215" s="235"/>
      <c r="AM215" s="235"/>
      <c r="AN215" s="235"/>
      <c r="AO215" s="235"/>
      <c r="AP215" s="235"/>
      <c r="AQ215" s="235"/>
      <c r="AR215" s="235"/>
      <c r="AS215" s="235"/>
      <c r="AT215" s="235"/>
      <c r="AU215" s="235"/>
      <c r="AV215" s="235"/>
      <c r="AW215" s="235"/>
      <c r="AX215" s="235"/>
      <c r="AY215" s="235"/>
      <c r="AZ215" s="235"/>
      <c r="BA215" s="235"/>
      <c r="BB215" s="235"/>
      <c r="BC215" s="235"/>
      <c r="BD215" s="235"/>
      <c r="BE215" s="235"/>
      <c r="BF215" s="235"/>
      <c r="BG215" s="235"/>
      <c r="BH215" s="235"/>
      <c r="BI215" s="235"/>
      <c r="BJ215" s="235"/>
      <c r="BK215" s="235"/>
      <c r="BL215" s="235"/>
      <c r="BM215" s="235"/>
    </row>
    <row r="216" spans="1:65" ht="15.75" customHeight="1">
      <c r="A216" s="255" t="s">
        <v>55</v>
      </c>
      <c r="B216" s="255" t="s">
        <v>16</v>
      </c>
      <c r="C216" s="347">
        <v>0</v>
      </c>
      <c r="D216" s="255" t="s">
        <v>8</v>
      </c>
      <c r="E216" s="257">
        <f ca="1">C216*VLOOKUP(D216,'FX RATES'!$E$1:$F$20,2,FALSE)</f>
        <v>0</v>
      </c>
      <c r="G216" s="557"/>
      <c r="H216" s="274"/>
      <c r="I216" s="274"/>
      <c r="J216" s="274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  <c r="AA216" s="235"/>
      <c r="AB216" s="235"/>
      <c r="AC216" s="235"/>
      <c r="AD216" s="235"/>
      <c r="AE216" s="235"/>
      <c r="AF216" s="235"/>
      <c r="AG216" s="235"/>
      <c r="AH216" s="235"/>
      <c r="AI216" s="235"/>
      <c r="AJ216" s="235"/>
      <c r="AK216" s="235"/>
      <c r="AL216" s="235"/>
      <c r="AM216" s="235"/>
      <c r="AN216" s="235"/>
      <c r="AO216" s="235"/>
      <c r="AP216" s="235"/>
      <c r="AQ216" s="235"/>
      <c r="AR216" s="235"/>
      <c r="AS216" s="235"/>
      <c r="AT216" s="235"/>
      <c r="AU216" s="235"/>
      <c r="AV216" s="235"/>
      <c r="AW216" s="235"/>
      <c r="AX216" s="235"/>
      <c r="AY216" s="235"/>
      <c r="AZ216" s="235"/>
      <c r="BA216" s="235"/>
      <c r="BB216" s="235"/>
      <c r="BC216" s="235"/>
      <c r="BD216" s="235"/>
      <c r="BE216" s="235"/>
      <c r="BF216" s="235"/>
      <c r="BG216" s="235"/>
      <c r="BH216" s="235"/>
      <c r="BI216" s="235"/>
      <c r="BJ216" s="235"/>
      <c r="BK216" s="235"/>
      <c r="BL216" s="235"/>
      <c r="BM216" s="235"/>
    </row>
    <row r="217" spans="1:65" ht="15.75" customHeight="1">
      <c r="A217" s="248" t="s">
        <v>55</v>
      </c>
      <c r="B217" s="248" t="s">
        <v>56</v>
      </c>
      <c r="C217" s="249">
        <v>0</v>
      </c>
      <c r="D217" s="248" t="s">
        <v>5</v>
      </c>
      <c r="E217" s="250">
        <f>C217*VLOOKUP(D217,'FX RATES'!$E$1:$F$20,2,FALSE)</f>
        <v>0</v>
      </c>
      <c r="G217" s="556"/>
      <c r="H217" s="274"/>
      <c r="I217" s="274"/>
      <c r="J217" s="274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  <c r="AA217" s="235"/>
      <c r="AB217" s="235"/>
      <c r="AC217" s="235"/>
      <c r="AD217" s="235"/>
      <c r="AE217" s="235"/>
      <c r="AF217" s="235"/>
      <c r="AG217" s="235"/>
      <c r="AH217" s="235"/>
      <c r="AI217" s="235"/>
      <c r="AJ217" s="235"/>
      <c r="AK217" s="235"/>
      <c r="AL217" s="235"/>
      <c r="AM217" s="235"/>
      <c r="AN217" s="235"/>
      <c r="AO217" s="235"/>
      <c r="AP217" s="235"/>
      <c r="AQ217" s="235"/>
      <c r="AR217" s="235"/>
      <c r="AS217" s="235"/>
      <c r="AT217" s="235"/>
      <c r="AU217" s="235"/>
      <c r="AV217" s="235"/>
      <c r="AW217" s="235"/>
      <c r="AX217" s="235"/>
      <c r="AY217" s="235"/>
      <c r="AZ217" s="235"/>
      <c r="BA217" s="235"/>
      <c r="BB217" s="235"/>
      <c r="BC217" s="235"/>
      <c r="BD217" s="235"/>
      <c r="BE217" s="235"/>
      <c r="BF217" s="235"/>
      <c r="BG217" s="235"/>
      <c r="BH217" s="235"/>
      <c r="BI217" s="235"/>
      <c r="BJ217" s="235"/>
      <c r="BK217" s="235"/>
      <c r="BL217" s="235"/>
      <c r="BM217" s="235"/>
    </row>
    <row r="218" spans="1:65" ht="15.75" customHeight="1">
      <c r="A218" s="248" t="s">
        <v>55</v>
      </c>
      <c r="B218" s="248" t="s">
        <v>56</v>
      </c>
      <c r="C218" s="249">
        <v>0</v>
      </c>
      <c r="D218" s="248" t="s">
        <v>6</v>
      </c>
      <c r="E218" s="250">
        <f ca="1">C218*VLOOKUP(D218,'FX RATES'!$E$1:$F$20,2,FALSE)</f>
        <v>0</v>
      </c>
      <c r="G218" s="556"/>
      <c r="H218" s="274"/>
      <c r="I218" s="274"/>
      <c r="J218" s="274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  <c r="AA218" s="235"/>
      <c r="AB218" s="235"/>
      <c r="AC218" s="235"/>
      <c r="AD218" s="235"/>
      <c r="AE218" s="235"/>
      <c r="AF218" s="235"/>
      <c r="AG218" s="235"/>
      <c r="AH218" s="235"/>
      <c r="AI218" s="235"/>
      <c r="AJ218" s="235"/>
      <c r="AK218" s="235"/>
      <c r="AL218" s="235"/>
      <c r="AM218" s="235"/>
      <c r="AN218" s="235"/>
      <c r="AO218" s="235"/>
      <c r="AP218" s="235"/>
      <c r="AQ218" s="235"/>
      <c r="AR218" s="235"/>
      <c r="AS218" s="235"/>
      <c r="AT218" s="235"/>
      <c r="AU218" s="235"/>
      <c r="AV218" s="235"/>
      <c r="AW218" s="235"/>
      <c r="AX218" s="235"/>
      <c r="AY218" s="235"/>
      <c r="AZ218" s="235"/>
      <c r="BA218" s="235"/>
      <c r="BB218" s="235"/>
      <c r="BC218" s="235"/>
      <c r="BD218" s="235"/>
      <c r="BE218" s="235"/>
      <c r="BF218" s="235"/>
      <c r="BG218" s="235"/>
      <c r="BH218" s="235"/>
      <c r="BI218" s="235"/>
      <c r="BJ218" s="235"/>
      <c r="BK218" s="235"/>
      <c r="BL218" s="235"/>
      <c r="BM218" s="235"/>
    </row>
    <row r="219" spans="1:65" ht="15.75" customHeight="1">
      <c r="A219" s="248" t="s">
        <v>55</v>
      </c>
      <c r="B219" s="248" t="s">
        <v>56</v>
      </c>
      <c r="C219" s="249">
        <v>20390.330000000002</v>
      </c>
      <c r="D219" s="248" t="s">
        <v>8</v>
      </c>
      <c r="E219" s="250">
        <f ca="1">C219*VLOOKUP(D219,'FX RATES'!$E$1:$F$20,2,FALSE)</f>
        <v>5552.0149213091545</v>
      </c>
      <c r="G219" s="559"/>
      <c r="H219" s="274"/>
      <c r="I219" s="274"/>
      <c r="J219" s="274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  <c r="AA219" s="235"/>
      <c r="AB219" s="235"/>
      <c r="AC219" s="235"/>
      <c r="AD219" s="235"/>
      <c r="AE219" s="235"/>
      <c r="AF219" s="235"/>
      <c r="AG219" s="235"/>
      <c r="AH219" s="235"/>
      <c r="AI219" s="235"/>
      <c r="AJ219" s="235"/>
      <c r="AK219" s="235"/>
      <c r="AL219" s="235"/>
      <c r="AM219" s="235"/>
      <c r="AN219" s="235"/>
      <c r="AO219" s="235"/>
      <c r="AP219" s="235"/>
      <c r="AQ219" s="235"/>
      <c r="AR219" s="235"/>
      <c r="AS219" s="235"/>
      <c r="AT219" s="235"/>
      <c r="AU219" s="235"/>
      <c r="AV219" s="235"/>
      <c r="AW219" s="235"/>
      <c r="AX219" s="235"/>
      <c r="AY219" s="235"/>
      <c r="AZ219" s="235"/>
      <c r="BA219" s="235"/>
      <c r="BB219" s="235"/>
      <c r="BC219" s="235"/>
      <c r="BD219" s="235"/>
      <c r="BE219" s="235"/>
      <c r="BF219" s="235"/>
      <c r="BG219" s="235"/>
      <c r="BH219" s="235"/>
      <c r="BI219" s="235"/>
      <c r="BJ219" s="235"/>
      <c r="BK219" s="235"/>
      <c r="BL219" s="235"/>
      <c r="BM219" s="235"/>
    </row>
    <row r="220" spans="1:65" ht="15.75" customHeight="1">
      <c r="A220" s="258" t="s">
        <v>55</v>
      </c>
      <c r="B220" s="258" t="s">
        <v>25</v>
      </c>
      <c r="C220" s="135">
        <v>5018686.5</v>
      </c>
      <c r="D220" s="258" t="s">
        <v>9</v>
      </c>
      <c r="E220" s="259">
        <f ca="1">C220*VLOOKUP(D220,'FX RATES'!$E$1:$F$20,2,FALSE)</f>
        <v>65415.195417131014</v>
      </c>
      <c r="G220" s="556"/>
      <c r="H220" s="274"/>
      <c r="I220" s="274"/>
      <c r="J220" s="274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  <c r="AD220" s="235"/>
      <c r="AE220" s="235"/>
      <c r="AF220" s="235"/>
      <c r="AG220" s="235"/>
      <c r="AH220" s="235"/>
      <c r="AI220" s="235"/>
      <c r="AJ220" s="235"/>
      <c r="AK220" s="235"/>
      <c r="AL220" s="235"/>
      <c r="AM220" s="235"/>
      <c r="AN220" s="235"/>
      <c r="AO220" s="235"/>
      <c r="AP220" s="235"/>
      <c r="AQ220" s="235"/>
      <c r="AR220" s="235"/>
      <c r="AS220" s="235"/>
      <c r="AT220" s="235"/>
      <c r="AU220" s="235"/>
      <c r="AV220" s="235"/>
      <c r="AW220" s="235"/>
      <c r="AX220" s="235"/>
      <c r="AY220" s="235"/>
      <c r="AZ220" s="235"/>
      <c r="BA220" s="235"/>
      <c r="BB220" s="235"/>
      <c r="BC220" s="235"/>
      <c r="BD220" s="235"/>
      <c r="BE220" s="235"/>
      <c r="BF220" s="235"/>
      <c r="BG220" s="235"/>
      <c r="BH220" s="235"/>
      <c r="BI220" s="235"/>
      <c r="BJ220" s="235"/>
      <c r="BK220" s="235"/>
      <c r="BL220" s="235"/>
      <c r="BM220" s="235"/>
    </row>
    <row r="221" spans="1:65" ht="15.75" customHeight="1">
      <c r="A221" s="595" t="s">
        <v>11</v>
      </c>
      <c r="B221" s="595"/>
      <c r="C221" s="595"/>
      <c r="D221" s="595"/>
      <c r="E221" s="129">
        <f ca="1">SUM(E213:E220)</f>
        <v>306276.6426294602</v>
      </c>
      <c r="H221" s="274"/>
      <c r="I221" s="274"/>
      <c r="J221" s="274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  <c r="AA221" s="235"/>
      <c r="AB221" s="235"/>
      <c r="AC221" s="235"/>
      <c r="AD221" s="235"/>
      <c r="AE221" s="235"/>
      <c r="AF221" s="235"/>
      <c r="AG221" s="235"/>
      <c r="AH221" s="235"/>
      <c r="AI221" s="235"/>
      <c r="AJ221" s="235"/>
      <c r="AK221" s="235"/>
      <c r="AL221" s="235"/>
      <c r="AM221" s="235"/>
      <c r="AN221" s="235"/>
      <c r="AO221" s="235"/>
      <c r="AP221" s="235"/>
      <c r="AQ221" s="235"/>
      <c r="AR221" s="235"/>
      <c r="AS221" s="235"/>
      <c r="AT221" s="235"/>
      <c r="AU221" s="235"/>
      <c r="AV221" s="235"/>
      <c r="AW221" s="235"/>
      <c r="AX221" s="235"/>
      <c r="AY221" s="235"/>
      <c r="AZ221" s="235"/>
      <c r="BA221" s="235"/>
      <c r="BB221" s="235"/>
      <c r="BC221" s="235"/>
      <c r="BD221" s="235"/>
      <c r="BE221" s="235"/>
      <c r="BF221" s="235"/>
      <c r="BG221" s="235"/>
      <c r="BH221" s="235"/>
      <c r="BI221" s="235"/>
      <c r="BJ221" s="235"/>
      <c r="BK221" s="235"/>
      <c r="BL221" s="235"/>
      <c r="BM221" s="235"/>
    </row>
    <row r="222" spans="1:65" ht="15.75" customHeight="1">
      <c r="A222" s="235"/>
      <c r="B222" s="235"/>
      <c r="C222" s="270"/>
      <c r="D222" s="235"/>
      <c r="E222" s="268"/>
      <c r="H222" s="274"/>
      <c r="I222" s="274"/>
      <c r="J222" s="274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  <c r="AA222" s="235"/>
      <c r="AB222" s="235"/>
      <c r="AC222" s="235"/>
      <c r="AD222" s="235"/>
      <c r="AE222" s="235"/>
      <c r="AF222" s="235"/>
      <c r="AG222" s="235"/>
      <c r="AH222" s="235"/>
      <c r="AI222" s="235"/>
      <c r="AJ222" s="235"/>
      <c r="AK222" s="235"/>
      <c r="AL222" s="235"/>
      <c r="AM222" s="235"/>
      <c r="AN222" s="235"/>
      <c r="AO222" s="235"/>
      <c r="AP222" s="235"/>
      <c r="AQ222" s="235"/>
      <c r="AR222" s="235"/>
      <c r="AS222" s="235"/>
      <c r="AT222" s="235"/>
      <c r="AU222" s="235"/>
      <c r="AV222" s="235"/>
      <c r="AW222" s="235"/>
      <c r="AX222" s="235"/>
      <c r="AY222" s="235"/>
      <c r="AZ222" s="235"/>
      <c r="BA222" s="235"/>
      <c r="BB222" s="235"/>
      <c r="BC222" s="235"/>
      <c r="BD222" s="235"/>
      <c r="BE222" s="235"/>
      <c r="BF222" s="235"/>
      <c r="BG222" s="235"/>
      <c r="BH222" s="235"/>
      <c r="BI222" s="235"/>
      <c r="BJ222" s="235"/>
      <c r="BK222" s="235"/>
      <c r="BL222" s="235"/>
      <c r="BM222" s="235"/>
    </row>
    <row r="223" spans="1:65" ht="15" customHeight="1">
      <c r="A223" s="235"/>
      <c r="B223" s="235"/>
      <c r="C223" s="270"/>
      <c r="D223" s="235"/>
      <c r="E223" s="268"/>
      <c r="H223" s="274"/>
      <c r="I223" s="274"/>
      <c r="J223" s="274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  <c r="AA223" s="235"/>
      <c r="AB223" s="235"/>
      <c r="AC223" s="235"/>
      <c r="AD223" s="235"/>
      <c r="AE223" s="235"/>
      <c r="AF223" s="235"/>
      <c r="AG223" s="235"/>
      <c r="AH223" s="235"/>
      <c r="AI223" s="235"/>
      <c r="AJ223" s="235"/>
      <c r="AK223" s="235"/>
      <c r="AL223" s="235"/>
      <c r="AM223" s="235"/>
      <c r="AN223" s="235"/>
      <c r="AO223" s="235"/>
      <c r="AP223" s="235"/>
      <c r="AQ223" s="235"/>
      <c r="AR223" s="235"/>
      <c r="AS223" s="235"/>
      <c r="AT223" s="235"/>
      <c r="AU223" s="235"/>
      <c r="AV223" s="235"/>
      <c r="AW223" s="235"/>
      <c r="AX223" s="235"/>
      <c r="AY223" s="235"/>
      <c r="AZ223" s="235"/>
      <c r="BA223" s="235"/>
      <c r="BB223" s="235"/>
      <c r="BC223" s="235"/>
      <c r="BD223" s="235"/>
      <c r="BE223" s="235"/>
      <c r="BF223" s="235"/>
      <c r="BG223" s="235"/>
      <c r="BH223" s="235"/>
      <c r="BI223" s="235"/>
      <c r="BJ223" s="235"/>
      <c r="BK223" s="235"/>
      <c r="BL223" s="235"/>
      <c r="BM223" s="235"/>
    </row>
    <row r="224" spans="1:65" ht="16">
      <c r="A224" s="3" t="str">
        <f>A$2</f>
        <v>LE</v>
      </c>
      <c r="B224" s="3" t="str">
        <f>B$2</f>
        <v>BANK</v>
      </c>
      <c r="C224" s="3" t="str">
        <f>C$2</f>
        <v>AMOUNT</v>
      </c>
      <c r="D224" s="3" t="str">
        <f>D$2</f>
        <v>CCY</v>
      </c>
      <c r="E224" s="3" t="str">
        <f>E$2</f>
        <v>USD AMOUNT</v>
      </c>
      <c r="H224" s="274"/>
      <c r="I224" s="274"/>
      <c r="J224" s="274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  <c r="AA224" s="235"/>
      <c r="AB224" s="235"/>
      <c r="AC224" s="235"/>
      <c r="AD224" s="235"/>
      <c r="AE224" s="235"/>
      <c r="AF224" s="235"/>
      <c r="AG224" s="235"/>
      <c r="AH224" s="235"/>
      <c r="AI224" s="235"/>
      <c r="AJ224" s="235"/>
      <c r="AK224" s="235"/>
      <c r="AL224" s="235"/>
      <c r="AM224" s="235"/>
      <c r="AN224" s="235"/>
      <c r="AO224" s="235"/>
      <c r="AP224" s="235"/>
      <c r="AQ224" s="235"/>
      <c r="AR224" s="235"/>
      <c r="AS224" s="235"/>
      <c r="AT224" s="235"/>
      <c r="AU224" s="235"/>
      <c r="AV224" s="235"/>
      <c r="AW224" s="235"/>
      <c r="AX224" s="235"/>
      <c r="AY224" s="235"/>
      <c r="AZ224" s="235"/>
      <c r="BA224" s="235"/>
      <c r="BB224" s="235"/>
      <c r="BC224" s="235"/>
      <c r="BD224" s="235"/>
      <c r="BE224" s="235"/>
      <c r="BF224" s="235"/>
      <c r="BG224" s="235"/>
      <c r="BH224" s="235"/>
      <c r="BI224" s="235"/>
      <c r="BJ224" s="235"/>
      <c r="BK224" s="235"/>
      <c r="BL224" s="235"/>
      <c r="BM224" s="235"/>
    </row>
    <row r="225" spans="1:65" ht="16">
      <c r="A225" s="241" t="s">
        <v>100</v>
      </c>
      <c r="B225" s="241" t="s">
        <v>101</v>
      </c>
      <c r="C225" s="272">
        <v>14000</v>
      </c>
      <c r="D225" s="241" t="s">
        <v>5</v>
      </c>
      <c r="E225" s="242">
        <f>C225*VLOOKUP(D225,'FX RATES'!$E$1:$F$20,2,FALSE)</f>
        <v>14000</v>
      </c>
      <c r="G225" s="353"/>
      <c r="H225" s="274" t="s">
        <v>83</v>
      </c>
      <c r="I225" s="274"/>
      <c r="J225" s="274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  <c r="AA225" s="235"/>
      <c r="AB225" s="235"/>
      <c r="AC225" s="235"/>
      <c r="AD225" s="235"/>
      <c r="AE225" s="235"/>
      <c r="AF225" s="235"/>
      <c r="AG225" s="235"/>
      <c r="AH225" s="235"/>
      <c r="AI225" s="235"/>
      <c r="AJ225" s="235"/>
      <c r="AK225" s="235"/>
      <c r="AL225" s="235"/>
      <c r="AM225" s="235"/>
      <c r="AN225" s="235"/>
      <c r="AO225" s="235"/>
      <c r="AP225" s="235"/>
      <c r="AQ225" s="235"/>
      <c r="AR225" s="235"/>
      <c r="AS225" s="235"/>
      <c r="AT225" s="235"/>
      <c r="AU225" s="235"/>
      <c r="AV225" s="235"/>
      <c r="AW225" s="235"/>
      <c r="AX225" s="235"/>
      <c r="AY225" s="235"/>
      <c r="AZ225" s="235"/>
      <c r="BA225" s="235"/>
      <c r="BB225" s="235"/>
      <c r="BC225" s="235"/>
      <c r="BD225" s="235"/>
      <c r="BE225" s="235"/>
      <c r="BF225" s="235"/>
      <c r="BG225" s="235"/>
      <c r="BH225" s="235"/>
      <c r="BI225" s="235"/>
      <c r="BJ225" s="235"/>
      <c r="BK225" s="235"/>
      <c r="BL225" s="235"/>
      <c r="BM225" s="235"/>
    </row>
    <row r="226" spans="1:65" ht="16">
      <c r="A226" s="595" t="s">
        <v>11</v>
      </c>
      <c r="B226" s="595"/>
      <c r="C226" s="595"/>
      <c r="D226" s="595"/>
      <c r="E226" s="129">
        <f>SUM(E225:E225)</f>
        <v>14000</v>
      </c>
      <c r="H226" s="274"/>
      <c r="I226" s="274"/>
      <c r="J226" s="274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  <c r="AA226" s="235"/>
      <c r="AB226" s="235"/>
      <c r="AC226" s="235"/>
      <c r="AD226" s="235"/>
      <c r="AE226" s="235"/>
      <c r="AF226" s="235"/>
      <c r="AG226" s="235"/>
      <c r="AH226" s="235"/>
      <c r="AI226" s="235"/>
      <c r="AJ226" s="235"/>
      <c r="AK226" s="235"/>
      <c r="AL226" s="235"/>
      <c r="AM226" s="235"/>
      <c r="AN226" s="235"/>
      <c r="AO226" s="235"/>
      <c r="AP226" s="235"/>
      <c r="AQ226" s="235"/>
      <c r="AR226" s="235"/>
      <c r="AS226" s="235"/>
      <c r="AT226" s="235"/>
      <c r="AU226" s="235"/>
      <c r="AV226" s="235"/>
      <c r="AW226" s="235"/>
      <c r="AX226" s="235"/>
      <c r="AY226" s="235"/>
      <c r="AZ226" s="235"/>
      <c r="BA226" s="235"/>
      <c r="BB226" s="235"/>
      <c r="BC226" s="235"/>
      <c r="BD226" s="235"/>
      <c r="BE226" s="235"/>
      <c r="BF226" s="235"/>
      <c r="BG226" s="235"/>
      <c r="BH226" s="235"/>
      <c r="BI226" s="235"/>
      <c r="BJ226" s="235"/>
      <c r="BK226" s="235"/>
      <c r="BL226" s="235"/>
      <c r="BM226" s="235"/>
    </row>
    <row r="227" spans="1:65" ht="15.75" customHeight="1">
      <c r="A227" s="235"/>
      <c r="B227" s="235"/>
      <c r="C227" s="270"/>
      <c r="D227" s="235"/>
      <c r="E227" s="268"/>
      <c r="H227" s="274"/>
      <c r="I227" s="274"/>
      <c r="J227" s="274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  <c r="AA227" s="235"/>
      <c r="AB227" s="235"/>
      <c r="AC227" s="235"/>
      <c r="AD227" s="235"/>
      <c r="AE227" s="235"/>
      <c r="AF227" s="235"/>
      <c r="AG227" s="235"/>
      <c r="AH227" s="235"/>
      <c r="AI227" s="235"/>
      <c r="AJ227" s="235"/>
      <c r="AK227" s="235"/>
      <c r="AL227" s="235"/>
      <c r="AM227" s="235"/>
      <c r="AN227" s="235"/>
      <c r="AO227" s="235"/>
      <c r="AP227" s="235"/>
      <c r="AQ227" s="235"/>
      <c r="AR227" s="235"/>
      <c r="AS227" s="235"/>
      <c r="AT227" s="235"/>
      <c r="AU227" s="235"/>
      <c r="AV227" s="235"/>
      <c r="AW227" s="235"/>
      <c r="AX227" s="235"/>
      <c r="AY227" s="235"/>
      <c r="AZ227" s="235"/>
      <c r="BA227" s="235"/>
      <c r="BB227" s="235"/>
      <c r="BC227" s="235"/>
      <c r="BD227" s="235"/>
      <c r="BE227" s="235"/>
      <c r="BF227" s="235"/>
      <c r="BG227" s="235"/>
      <c r="BH227" s="235"/>
      <c r="BI227" s="235"/>
      <c r="BJ227" s="235"/>
      <c r="BK227" s="235"/>
      <c r="BL227" s="235"/>
      <c r="BM227" s="235"/>
    </row>
    <row r="228" spans="1:65" ht="15.75" customHeight="1">
      <c r="A228" s="235"/>
      <c r="B228" s="235"/>
      <c r="C228" s="270"/>
      <c r="D228" s="235"/>
      <c r="E228" s="268"/>
      <c r="H228" s="274"/>
      <c r="I228" s="274"/>
      <c r="J228" s="274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  <c r="AA228" s="235"/>
      <c r="AB228" s="235"/>
      <c r="AC228" s="235"/>
      <c r="AD228" s="235"/>
      <c r="AE228" s="235"/>
      <c r="AF228" s="235"/>
      <c r="AG228" s="235"/>
      <c r="AH228" s="235"/>
      <c r="AI228" s="235"/>
      <c r="AJ228" s="235"/>
      <c r="AK228" s="235"/>
      <c r="AL228" s="235"/>
      <c r="AM228" s="235"/>
      <c r="AN228" s="235"/>
      <c r="AO228" s="235"/>
      <c r="AP228" s="235"/>
      <c r="AQ228" s="235"/>
      <c r="AR228" s="235"/>
      <c r="AS228" s="235"/>
      <c r="AT228" s="235"/>
      <c r="AU228" s="235"/>
      <c r="AV228" s="235"/>
      <c r="AW228" s="235"/>
      <c r="AX228" s="235"/>
      <c r="AY228" s="235"/>
      <c r="AZ228" s="235"/>
      <c r="BA228" s="235"/>
      <c r="BB228" s="235"/>
      <c r="BC228" s="235"/>
      <c r="BD228" s="235"/>
      <c r="BE228" s="235"/>
      <c r="BF228" s="235"/>
      <c r="BG228" s="235"/>
      <c r="BH228" s="235"/>
      <c r="BI228" s="235"/>
      <c r="BJ228" s="235"/>
      <c r="BK228" s="235"/>
      <c r="BL228" s="235"/>
      <c r="BM228" s="235"/>
    </row>
    <row r="229" spans="1:65" ht="15.75" customHeight="1">
      <c r="A229" s="3" t="str">
        <f>A$2</f>
        <v>LE</v>
      </c>
      <c r="B229" s="3" t="str">
        <f>B$2</f>
        <v>BANK</v>
      </c>
      <c r="C229" s="3" t="str">
        <f>C$2</f>
        <v>AMOUNT</v>
      </c>
      <c r="D229" s="3" t="str">
        <f>D$2</f>
        <v>CCY</v>
      </c>
      <c r="E229" s="3" t="str">
        <f>E$2</f>
        <v>USD AMOUNT</v>
      </c>
      <c r="H229" s="274"/>
      <c r="I229" s="274"/>
      <c r="J229" s="274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  <c r="AA229" s="235"/>
      <c r="AB229" s="235"/>
      <c r="AC229" s="235"/>
      <c r="AD229" s="235"/>
      <c r="AE229" s="235"/>
      <c r="AF229" s="235"/>
      <c r="AG229" s="235"/>
      <c r="AH229" s="235"/>
      <c r="AI229" s="235"/>
      <c r="AJ229" s="235"/>
      <c r="AK229" s="235"/>
      <c r="AL229" s="235"/>
      <c r="AM229" s="235"/>
      <c r="AN229" s="235"/>
      <c r="AO229" s="235"/>
      <c r="AP229" s="235"/>
      <c r="AQ229" s="235"/>
      <c r="AR229" s="235"/>
      <c r="AS229" s="235"/>
      <c r="AT229" s="235"/>
      <c r="AU229" s="235"/>
      <c r="AV229" s="235"/>
      <c r="AW229" s="235"/>
      <c r="AX229" s="235"/>
      <c r="AY229" s="235"/>
      <c r="AZ229" s="235"/>
      <c r="BA229" s="235"/>
      <c r="BB229" s="235"/>
      <c r="BC229" s="235"/>
      <c r="BD229" s="235"/>
      <c r="BE229" s="235"/>
      <c r="BF229" s="235"/>
      <c r="BG229" s="235"/>
      <c r="BH229" s="235"/>
      <c r="BI229" s="235"/>
      <c r="BJ229" s="235"/>
      <c r="BK229" s="235"/>
      <c r="BL229" s="235"/>
      <c r="BM229" s="235"/>
    </row>
    <row r="230" spans="1:65" ht="15.75" customHeight="1">
      <c r="A230" s="258" t="s">
        <v>102</v>
      </c>
      <c r="B230" s="258" t="s">
        <v>103</v>
      </c>
      <c r="C230" s="368"/>
      <c r="D230" s="258" t="s">
        <v>5</v>
      </c>
      <c r="E230" s="259">
        <f>C230*VLOOKUP(D230,'FX RATES'!$E$1:$F$20,2,FALSE)</f>
        <v>0</v>
      </c>
      <c r="H230" s="274"/>
      <c r="I230" s="274"/>
      <c r="J230" s="274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  <c r="AA230" s="235"/>
      <c r="AB230" s="235"/>
      <c r="AC230" s="235"/>
      <c r="AD230" s="235"/>
      <c r="AE230" s="235"/>
      <c r="AF230" s="235"/>
      <c r="AG230" s="235"/>
      <c r="AH230" s="235"/>
      <c r="AI230" s="235"/>
      <c r="AJ230" s="235"/>
      <c r="AK230" s="235"/>
      <c r="AL230" s="235"/>
      <c r="AM230" s="235"/>
      <c r="AN230" s="235"/>
      <c r="AO230" s="235"/>
      <c r="AP230" s="235"/>
      <c r="AQ230" s="235"/>
      <c r="AR230" s="235"/>
      <c r="AS230" s="235"/>
      <c r="AT230" s="235"/>
      <c r="AU230" s="235"/>
      <c r="AV230" s="235"/>
      <c r="AW230" s="235"/>
      <c r="AX230" s="235"/>
      <c r="AY230" s="235"/>
      <c r="AZ230" s="235"/>
      <c r="BA230" s="235"/>
      <c r="BB230" s="235"/>
      <c r="BC230" s="235"/>
      <c r="BD230" s="235"/>
      <c r="BE230" s="235"/>
      <c r="BF230" s="235"/>
      <c r="BG230" s="235"/>
      <c r="BH230" s="235"/>
      <c r="BI230" s="235"/>
      <c r="BJ230" s="235"/>
      <c r="BK230" s="235"/>
      <c r="BL230" s="235"/>
      <c r="BM230" s="235"/>
    </row>
    <row r="231" spans="1:65" ht="15.75" customHeight="1">
      <c r="A231" s="266" t="s">
        <v>102</v>
      </c>
      <c r="B231" s="266" t="s">
        <v>104</v>
      </c>
      <c r="C231" s="369"/>
      <c r="D231" s="266" t="s">
        <v>5</v>
      </c>
      <c r="E231" s="267">
        <f>C231*VLOOKUP(D231,'FX RATES'!$E$1:$F$20,2,FALSE)</f>
        <v>0</v>
      </c>
      <c r="H231" s="274"/>
      <c r="I231" s="274"/>
      <c r="J231" s="274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  <c r="AA231" s="235"/>
      <c r="AB231" s="235"/>
      <c r="AC231" s="235"/>
      <c r="AD231" s="235"/>
      <c r="AE231" s="235"/>
      <c r="AF231" s="235"/>
      <c r="AG231" s="235"/>
      <c r="AH231" s="235"/>
      <c r="AI231" s="235"/>
      <c r="AJ231" s="235"/>
      <c r="AK231" s="235"/>
      <c r="AL231" s="235"/>
      <c r="AM231" s="235"/>
      <c r="AN231" s="235"/>
      <c r="AO231" s="235"/>
      <c r="AP231" s="235"/>
      <c r="AQ231" s="235"/>
      <c r="AR231" s="235"/>
      <c r="AS231" s="235"/>
      <c r="AT231" s="235"/>
      <c r="AU231" s="235"/>
      <c r="AV231" s="235"/>
      <c r="AW231" s="235"/>
      <c r="AX231" s="235"/>
      <c r="AY231" s="235"/>
      <c r="AZ231" s="235"/>
      <c r="BA231" s="235"/>
      <c r="BB231" s="235"/>
      <c r="BC231" s="235"/>
      <c r="BD231" s="235"/>
      <c r="BE231" s="235"/>
      <c r="BF231" s="235"/>
      <c r="BG231" s="235"/>
      <c r="BH231" s="235"/>
      <c r="BI231" s="235"/>
      <c r="BJ231" s="235"/>
      <c r="BK231" s="235"/>
      <c r="BL231" s="235"/>
      <c r="BM231" s="235"/>
    </row>
    <row r="232" spans="1:65" ht="15.75" customHeight="1">
      <c r="A232" s="239" t="s">
        <v>102</v>
      </c>
      <c r="B232" s="239" t="s">
        <v>105</v>
      </c>
      <c r="C232" s="370"/>
      <c r="D232" s="239" t="s">
        <v>5</v>
      </c>
      <c r="E232" s="371">
        <f>C232*VLOOKUP(D232,'FX RATES'!$E$1:$F$20,2,FALSE)</f>
        <v>0</v>
      </c>
      <c r="H232" s="274"/>
      <c r="I232" s="274"/>
      <c r="J232" s="274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  <c r="AA232" s="235"/>
      <c r="AB232" s="235"/>
      <c r="AC232" s="235"/>
      <c r="AD232" s="235"/>
      <c r="AE232" s="235"/>
      <c r="AF232" s="235"/>
      <c r="AG232" s="235"/>
      <c r="AH232" s="235"/>
      <c r="AI232" s="235"/>
      <c r="AJ232" s="235"/>
      <c r="AK232" s="235"/>
      <c r="AL232" s="235"/>
      <c r="AM232" s="235"/>
      <c r="AN232" s="235"/>
      <c r="AO232" s="235"/>
      <c r="AP232" s="235"/>
      <c r="AQ232" s="235"/>
      <c r="AR232" s="235"/>
      <c r="AS232" s="235"/>
      <c r="AT232" s="235"/>
      <c r="AU232" s="235"/>
      <c r="AV232" s="235"/>
      <c r="AW232" s="235"/>
      <c r="AX232" s="235"/>
      <c r="AY232" s="235"/>
      <c r="AZ232" s="235"/>
      <c r="BA232" s="235"/>
      <c r="BB232" s="235"/>
      <c r="BC232" s="235"/>
      <c r="BD232" s="235"/>
      <c r="BE232" s="235"/>
      <c r="BF232" s="235"/>
      <c r="BG232" s="235"/>
      <c r="BH232" s="235"/>
      <c r="BI232" s="235"/>
      <c r="BJ232" s="235"/>
      <c r="BK232" s="235"/>
      <c r="BL232" s="235"/>
      <c r="BM232" s="235"/>
    </row>
    <row r="233" spans="1:65" ht="15.75" customHeight="1">
      <c r="A233" s="241" t="s">
        <v>102</v>
      </c>
      <c r="B233" s="241" t="s">
        <v>106</v>
      </c>
      <c r="C233" s="272"/>
      <c r="D233" s="241" t="s">
        <v>5</v>
      </c>
      <c r="E233" s="242">
        <f>C233*VLOOKUP(D233,'FX RATES'!$E$1:$F$20,2,FALSE)</f>
        <v>0</v>
      </c>
      <c r="H233" s="274"/>
      <c r="I233" s="274"/>
      <c r="J233" s="274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  <c r="AA233" s="235"/>
      <c r="AB233" s="235"/>
      <c r="AC233" s="235"/>
      <c r="AD233" s="235"/>
      <c r="AE233" s="235"/>
      <c r="AF233" s="235"/>
      <c r="AG233" s="235"/>
      <c r="AH233" s="235"/>
      <c r="AI233" s="235"/>
      <c r="AJ233" s="235"/>
      <c r="AK233" s="235"/>
      <c r="AL233" s="235"/>
      <c r="AM233" s="235"/>
      <c r="AN233" s="235"/>
      <c r="AO233" s="235"/>
      <c r="AP233" s="235"/>
      <c r="AQ233" s="235"/>
      <c r="AR233" s="235"/>
      <c r="AS233" s="235"/>
      <c r="AT233" s="235"/>
      <c r="AU233" s="235"/>
      <c r="AV233" s="235"/>
      <c r="AW233" s="235"/>
      <c r="AX233" s="235"/>
      <c r="AY233" s="235"/>
      <c r="AZ233" s="235"/>
      <c r="BA233" s="235"/>
      <c r="BB233" s="235"/>
      <c r="BC233" s="235"/>
      <c r="BD233" s="235"/>
      <c r="BE233" s="235"/>
      <c r="BF233" s="235"/>
      <c r="BG233" s="235"/>
      <c r="BH233" s="235"/>
      <c r="BI233" s="235"/>
      <c r="BJ233" s="235"/>
      <c r="BK233" s="235"/>
      <c r="BL233" s="235"/>
      <c r="BM233" s="235"/>
    </row>
    <row r="234" spans="1:65" ht="15.75" customHeight="1">
      <c r="A234" s="595" t="s">
        <v>11</v>
      </c>
      <c r="B234" s="595"/>
      <c r="C234" s="595"/>
      <c r="D234" s="595"/>
      <c r="E234" s="129">
        <f>SUM(E230:E233)</f>
        <v>0</v>
      </c>
      <c r="H234" s="274"/>
      <c r="I234" s="274"/>
      <c r="J234" s="274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  <c r="AA234" s="235"/>
      <c r="AB234" s="235"/>
      <c r="AC234" s="235"/>
      <c r="AD234" s="235"/>
      <c r="AE234" s="235"/>
      <c r="AF234" s="235"/>
      <c r="AG234" s="235"/>
      <c r="AH234" s="235"/>
      <c r="AI234" s="235"/>
      <c r="AJ234" s="235"/>
      <c r="AK234" s="235"/>
      <c r="AL234" s="235"/>
      <c r="AM234" s="235"/>
      <c r="AN234" s="235"/>
      <c r="AO234" s="235"/>
      <c r="AP234" s="235"/>
      <c r="AQ234" s="235"/>
      <c r="AR234" s="235"/>
      <c r="AS234" s="235"/>
      <c r="AT234" s="235"/>
      <c r="AU234" s="235"/>
      <c r="AV234" s="235"/>
      <c r="AW234" s="235"/>
      <c r="AX234" s="235"/>
      <c r="AY234" s="235"/>
      <c r="AZ234" s="235"/>
      <c r="BA234" s="235"/>
      <c r="BB234" s="235"/>
      <c r="BC234" s="235"/>
      <c r="BD234" s="235"/>
      <c r="BE234" s="235"/>
      <c r="BF234" s="235"/>
      <c r="BG234" s="235"/>
      <c r="BH234" s="235"/>
      <c r="BI234" s="235"/>
      <c r="BJ234" s="235"/>
      <c r="BK234" s="235"/>
      <c r="BL234" s="235"/>
      <c r="BM234" s="235"/>
    </row>
    <row r="235" spans="1:65" ht="15.75" customHeight="1">
      <c r="A235" s="235"/>
      <c r="B235" s="235"/>
      <c r="C235" s="270"/>
      <c r="D235" s="235"/>
      <c r="E235" s="268"/>
      <c r="H235" s="274"/>
      <c r="I235" s="274"/>
      <c r="J235" s="274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  <c r="AD235" s="235"/>
      <c r="AE235" s="235"/>
      <c r="AF235" s="235"/>
      <c r="AG235" s="235"/>
      <c r="AH235" s="235"/>
      <c r="AI235" s="235"/>
      <c r="AJ235" s="235"/>
      <c r="AK235" s="235"/>
      <c r="AL235" s="235"/>
      <c r="AM235" s="235"/>
      <c r="AN235" s="235"/>
      <c r="AO235" s="235"/>
      <c r="AP235" s="235"/>
      <c r="AQ235" s="235"/>
      <c r="AR235" s="235"/>
      <c r="AS235" s="235"/>
      <c r="AT235" s="235"/>
      <c r="AU235" s="235"/>
      <c r="AV235" s="235"/>
      <c r="AW235" s="235"/>
      <c r="AX235" s="235"/>
      <c r="AY235" s="235"/>
      <c r="AZ235" s="235"/>
      <c r="BA235" s="235"/>
      <c r="BB235" s="235"/>
      <c r="BC235" s="235"/>
      <c r="BD235" s="235"/>
      <c r="BE235" s="235"/>
      <c r="BF235" s="235"/>
      <c r="BG235" s="235"/>
      <c r="BH235" s="235"/>
      <c r="BI235" s="235"/>
      <c r="BJ235" s="235"/>
      <c r="BK235" s="235"/>
      <c r="BL235" s="235"/>
      <c r="BM235" s="235"/>
    </row>
    <row r="236" spans="1:65" ht="15.75" customHeight="1">
      <c r="A236" s="235"/>
      <c r="B236" s="235"/>
      <c r="C236" s="270"/>
      <c r="D236" s="235"/>
      <c r="E236" s="268"/>
      <c r="H236" s="274"/>
      <c r="I236" s="274"/>
      <c r="J236" s="274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/>
      <c r="AD236" s="235"/>
      <c r="AE236" s="235"/>
      <c r="AF236" s="235"/>
      <c r="AG236" s="235"/>
      <c r="AH236" s="235"/>
      <c r="AI236" s="235"/>
      <c r="AJ236" s="235"/>
      <c r="AK236" s="235"/>
      <c r="AL236" s="235"/>
      <c r="AM236" s="235"/>
      <c r="AN236" s="235"/>
      <c r="AO236" s="235"/>
      <c r="AP236" s="235"/>
      <c r="AQ236" s="235"/>
      <c r="AR236" s="235"/>
      <c r="AS236" s="235"/>
      <c r="AT236" s="235"/>
      <c r="AU236" s="235"/>
      <c r="AV236" s="235"/>
      <c r="AW236" s="235"/>
      <c r="AX236" s="235"/>
      <c r="AY236" s="235"/>
      <c r="AZ236" s="235"/>
      <c r="BA236" s="235"/>
      <c r="BB236" s="235"/>
      <c r="BC236" s="235"/>
      <c r="BD236" s="235"/>
      <c r="BE236" s="235"/>
      <c r="BF236" s="235"/>
      <c r="BG236" s="235"/>
      <c r="BH236" s="235"/>
      <c r="BI236" s="235"/>
      <c r="BJ236" s="235"/>
      <c r="BK236" s="235"/>
      <c r="BL236" s="235"/>
      <c r="BM236" s="235"/>
    </row>
    <row r="237" spans="1:65" ht="15.75" customHeight="1">
      <c r="A237" s="235"/>
      <c r="B237" s="235"/>
      <c r="C237" s="270"/>
      <c r="D237" s="235"/>
      <c r="E237" s="268"/>
      <c r="H237" s="274"/>
      <c r="I237" s="274"/>
      <c r="J237" s="274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  <c r="AA237" s="235"/>
      <c r="AB237" s="235"/>
      <c r="AC237" s="235"/>
      <c r="AD237" s="235"/>
      <c r="AE237" s="235"/>
      <c r="AF237" s="235"/>
      <c r="AG237" s="235"/>
      <c r="AH237" s="235"/>
      <c r="AI237" s="235"/>
      <c r="AJ237" s="235"/>
      <c r="AK237" s="235"/>
      <c r="AL237" s="235"/>
      <c r="AM237" s="235"/>
      <c r="AN237" s="235"/>
      <c r="AO237" s="235"/>
      <c r="AP237" s="235"/>
      <c r="AQ237" s="235"/>
      <c r="AR237" s="235"/>
      <c r="AS237" s="235"/>
      <c r="AT237" s="235"/>
      <c r="AU237" s="235"/>
      <c r="AV237" s="235"/>
      <c r="AW237" s="235"/>
      <c r="AX237" s="235"/>
      <c r="AY237" s="235"/>
      <c r="AZ237" s="235"/>
      <c r="BA237" s="235"/>
      <c r="BB237" s="235"/>
      <c r="BC237" s="235"/>
      <c r="BD237" s="235"/>
      <c r="BE237" s="235"/>
      <c r="BF237" s="235"/>
      <c r="BG237" s="235"/>
      <c r="BH237" s="235"/>
      <c r="BI237" s="235"/>
      <c r="BJ237" s="235"/>
      <c r="BK237" s="235"/>
      <c r="BL237" s="235"/>
      <c r="BM237" s="235"/>
    </row>
    <row r="238" spans="1:65" ht="15.75" customHeight="1">
      <c r="A238" s="235"/>
      <c r="B238" s="235"/>
      <c r="C238" s="270"/>
      <c r="D238" s="235"/>
      <c r="E238" s="268"/>
      <c r="H238" s="274"/>
      <c r="I238" s="274"/>
      <c r="J238" s="274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  <c r="AA238" s="235"/>
      <c r="AB238" s="235"/>
      <c r="AC238" s="235"/>
      <c r="AD238" s="235"/>
      <c r="AE238" s="235"/>
      <c r="AF238" s="235"/>
      <c r="AG238" s="235"/>
      <c r="AH238" s="235"/>
      <c r="AI238" s="235"/>
      <c r="AJ238" s="235"/>
      <c r="AK238" s="235"/>
      <c r="AL238" s="235"/>
      <c r="AM238" s="235"/>
      <c r="AN238" s="235"/>
      <c r="AO238" s="235"/>
      <c r="AP238" s="235"/>
      <c r="AQ238" s="235"/>
      <c r="AR238" s="235"/>
      <c r="AS238" s="235"/>
      <c r="AT238" s="235"/>
      <c r="AU238" s="235"/>
      <c r="AV238" s="235"/>
      <c r="AW238" s="235"/>
      <c r="AX238" s="235"/>
      <c r="AY238" s="235"/>
      <c r="AZ238" s="235"/>
      <c r="BA238" s="235"/>
      <c r="BB238" s="235"/>
      <c r="BC238" s="235"/>
      <c r="BD238" s="235"/>
      <c r="BE238" s="235"/>
      <c r="BF238" s="235"/>
      <c r="BG238" s="235"/>
      <c r="BH238" s="235"/>
      <c r="BI238" s="235"/>
      <c r="BJ238" s="235"/>
      <c r="BK238" s="235"/>
      <c r="BL238" s="235"/>
      <c r="BM238" s="235"/>
    </row>
    <row r="239" spans="1:65" ht="15.75" customHeight="1">
      <c r="A239" s="235"/>
      <c r="B239" s="235"/>
      <c r="C239" s="270"/>
      <c r="D239" s="235"/>
      <c r="E239" s="268"/>
      <c r="H239" s="274"/>
      <c r="I239" s="274"/>
      <c r="J239" s="274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  <c r="AA239" s="235"/>
      <c r="AB239" s="235"/>
      <c r="AC239" s="235"/>
      <c r="AD239" s="235"/>
      <c r="AE239" s="235"/>
      <c r="AF239" s="235"/>
      <c r="AG239" s="235"/>
      <c r="AH239" s="235"/>
      <c r="AI239" s="235"/>
      <c r="AJ239" s="235"/>
      <c r="AK239" s="235"/>
      <c r="AL239" s="235"/>
      <c r="AM239" s="235"/>
      <c r="AN239" s="235"/>
      <c r="AO239" s="235"/>
      <c r="AP239" s="235"/>
      <c r="AQ239" s="235"/>
      <c r="AR239" s="235"/>
      <c r="AS239" s="235"/>
      <c r="AT239" s="235"/>
      <c r="AU239" s="235"/>
      <c r="AV239" s="235"/>
      <c r="AW239" s="235"/>
      <c r="AX239" s="235"/>
      <c r="AY239" s="235"/>
      <c r="AZ239" s="235"/>
      <c r="BA239" s="235"/>
      <c r="BB239" s="235"/>
      <c r="BC239" s="235"/>
      <c r="BD239" s="235"/>
      <c r="BE239" s="235"/>
      <c r="BF239" s="235"/>
      <c r="BG239" s="235"/>
      <c r="BH239" s="235"/>
      <c r="BI239" s="235"/>
      <c r="BJ239" s="235"/>
      <c r="BK239" s="235"/>
      <c r="BL239" s="235"/>
      <c r="BM239" s="235"/>
    </row>
    <row r="240" spans="1:65" ht="15.75" customHeight="1">
      <c r="A240" s="235"/>
      <c r="B240" s="235"/>
      <c r="C240" s="270"/>
      <c r="D240" s="235"/>
      <c r="E240" s="268"/>
      <c r="H240" s="274"/>
      <c r="I240" s="274"/>
      <c r="J240" s="274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  <c r="AA240" s="235"/>
      <c r="AB240" s="235"/>
      <c r="AC240" s="235"/>
      <c r="AD240" s="235"/>
      <c r="AE240" s="235"/>
      <c r="AF240" s="235"/>
      <c r="AG240" s="235"/>
      <c r="AH240" s="235"/>
      <c r="AI240" s="235"/>
      <c r="AJ240" s="235"/>
      <c r="AK240" s="235"/>
      <c r="AL240" s="235"/>
      <c r="AM240" s="235"/>
      <c r="AN240" s="235"/>
      <c r="AO240" s="235"/>
      <c r="AP240" s="235"/>
      <c r="AQ240" s="235"/>
      <c r="AR240" s="235"/>
      <c r="AS240" s="235"/>
      <c r="AT240" s="235"/>
      <c r="AU240" s="235"/>
      <c r="AV240" s="235"/>
      <c r="AW240" s="235"/>
      <c r="AX240" s="235"/>
      <c r="AY240" s="235"/>
      <c r="AZ240" s="235"/>
      <c r="BA240" s="235"/>
      <c r="BB240" s="235"/>
      <c r="BC240" s="235"/>
      <c r="BD240" s="235"/>
      <c r="BE240" s="235"/>
      <c r="BF240" s="235"/>
      <c r="BG240" s="235"/>
      <c r="BH240" s="235"/>
      <c r="BI240" s="235"/>
      <c r="BJ240" s="235"/>
      <c r="BK240" s="235"/>
      <c r="BL240" s="235"/>
      <c r="BM240" s="235"/>
    </row>
    <row r="241" spans="1:65" ht="15.75" customHeight="1">
      <c r="A241" s="235"/>
      <c r="B241" s="235"/>
      <c r="C241" s="270"/>
      <c r="D241" s="235"/>
      <c r="E241" s="268"/>
      <c r="H241" s="274"/>
      <c r="I241" s="274"/>
      <c r="J241" s="274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  <c r="AA241" s="235"/>
      <c r="AB241" s="235"/>
      <c r="AC241" s="235"/>
      <c r="AD241" s="235"/>
      <c r="AE241" s="235"/>
      <c r="AF241" s="235"/>
      <c r="AG241" s="235"/>
      <c r="AH241" s="235"/>
      <c r="AI241" s="235"/>
      <c r="AJ241" s="235"/>
      <c r="AK241" s="235"/>
      <c r="AL241" s="235"/>
      <c r="AM241" s="235"/>
      <c r="AN241" s="235"/>
      <c r="AO241" s="235"/>
      <c r="AP241" s="235"/>
      <c r="AQ241" s="235"/>
      <c r="AR241" s="235"/>
      <c r="AS241" s="235"/>
      <c r="AT241" s="235"/>
      <c r="AU241" s="235"/>
      <c r="AV241" s="235"/>
      <c r="AW241" s="235"/>
      <c r="AX241" s="235"/>
      <c r="AY241" s="235"/>
      <c r="AZ241" s="235"/>
      <c r="BA241" s="235"/>
      <c r="BB241" s="235"/>
      <c r="BC241" s="235"/>
      <c r="BD241" s="235"/>
      <c r="BE241" s="235"/>
      <c r="BF241" s="235"/>
      <c r="BG241" s="235"/>
      <c r="BH241" s="235"/>
      <c r="BI241" s="235"/>
      <c r="BJ241" s="235"/>
      <c r="BK241" s="235"/>
      <c r="BL241" s="235"/>
      <c r="BM241" s="235"/>
    </row>
    <row r="242" spans="1:65" ht="15.75" customHeight="1">
      <c r="A242" s="235"/>
      <c r="B242" s="235"/>
      <c r="C242" s="270"/>
      <c r="D242" s="235"/>
      <c r="E242" s="268"/>
      <c r="H242" s="274"/>
      <c r="I242" s="274"/>
      <c r="J242" s="274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  <c r="AA242" s="235"/>
      <c r="AB242" s="235"/>
      <c r="AC242" s="235"/>
      <c r="AD242" s="235"/>
      <c r="AE242" s="235"/>
      <c r="AF242" s="235"/>
      <c r="AG242" s="235"/>
      <c r="AH242" s="235"/>
      <c r="AI242" s="235"/>
      <c r="AJ242" s="235"/>
      <c r="AK242" s="235"/>
      <c r="AL242" s="235"/>
      <c r="AM242" s="235"/>
      <c r="AN242" s="235"/>
      <c r="AO242" s="235"/>
      <c r="AP242" s="235"/>
      <c r="AQ242" s="235"/>
      <c r="AR242" s="235"/>
      <c r="AS242" s="235"/>
      <c r="AT242" s="235"/>
      <c r="AU242" s="235"/>
      <c r="AV242" s="235"/>
      <c r="AW242" s="235"/>
      <c r="AX242" s="235"/>
      <c r="AY242" s="235"/>
      <c r="AZ242" s="235"/>
      <c r="BA242" s="235"/>
      <c r="BB242" s="235"/>
      <c r="BC242" s="235"/>
      <c r="BD242" s="235"/>
      <c r="BE242" s="235"/>
      <c r="BF242" s="235"/>
      <c r="BG242" s="235"/>
      <c r="BH242" s="235"/>
      <c r="BI242" s="235"/>
      <c r="BJ242" s="235"/>
      <c r="BK242" s="235"/>
      <c r="BL242" s="235"/>
      <c r="BM242" s="235"/>
    </row>
    <row r="243" spans="1:65" ht="15.75" customHeight="1">
      <c r="A243" s="235"/>
      <c r="B243" s="235"/>
      <c r="C243" s="270"/>
      <c r="D243" s="235"/>
      <c r="E243" s="268"/>
      <c r="H243" s="274"/>
      <c r="I243" s="274"/>
      <c r="J243" s="274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  <c r="AA243" s="235"/>
      <c r="AB243" s="235"/>
      <c r="AC243" s="235"/>
      <c r="AD243" s="235"/>
      <c r="AE243" s="235"/>
      <c r="AF243" s="235"/>
      <c r="AG243" s="235"/>
      <c r="AH243" s="235"/>
      <c r="AI243" s="235"/>
      <c r="AJ243" s="235"/>
      <c r="AK243" s="235"/>
      <c r="AL243" s="235"/>
      <c r="AM243" s="235"/>
      <c r="AN243" s="235"/>
      <c r="AO243" s="235"/>
      <c r="AP243" s="235"/>
      <c r="AQ243" s="235"/>
      <c r="AR243" s="235"/>
      <c r="AS243" s="235"/>
      <c r="AT243" s="235"/>
      <c r="AU243" s="235"/>
      <c r="AV243" s="235"/>
      <c r="AW243" s="235"/>
      <c r="AX243" s="235"/>
      <c r="AY243" s="235"/>
      <c r="AZ243" s="235"/>
      <c r="BA243" s="235"/>
      <c r="BB243" s="235"/>
      <c r="BC243" s="235"/>
      <c r="BD243" s="235"/>
      <c r="BE243" s="235"/>
      <c r="BF243" s="235"/>
      <c r="BG243" s="235"/>
      <c r="BH243" s="235"/>
      <c r="BI243" s="235"/>
      <c r="BJ243" s="235"/>
      <c r="BK243" s="235"/>
      <c r="BL243" s="235"/>
      <c r="BM243" s="235"/>
    </row>
    <row r="246" spans="1:65" ht="15.75" customHeight="1">
      <c r="A246" s="235"/>
      <c r="B246" s="235"/>
      <c r="C246" s="270"/>
      <c r="D246" s="235"/>
      <c r="E246" s="268"/>
      <c r="H246" s="274"/>
      <c r="I246" s="274"/>
      <c r="J246" s="274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  <c r="AA246" s="235"/>
      <c r="AB246" s="235"/>
      <c r="AC246" s="235"/>
      <c r="AD246" s="235"/>
      <c r="AE246" s="235"/>
      <c r="AF246" s="235"/>
      <c r="AG246" s="235"/>
      <c r="AH246" s="235"/>
      <c r="AI246" s="235"/>
      <c r="AJ246" s="235"/>
      <c r="AK246" s="235"/>
      <c r="AL246" s="235"/>
      <c r="AM246" s="235"/>
      <c r="AN246" s="235"/>
      <c r="AO246" s="235"/>
      <c r="AP246" s="235"/>
      <c r="AQ246" s="235"/>
      <c r="AR246" s="235"/>
      <c r="AS246" s="235"/>
      <c r="AT246" s="235"/>
      <c r="AU246" s="235"/>
      <c r="AV246" s="235"/>
      <c r="AW246" s="235"/>
      <c r="AX246" s="235"/>
      <c r="AY246" s="235"/>
      <c r="AZ246" s="235"/>
      <c r="BA246" s="235"/>
      <c r="BB246" s="235"/>
      <c r="BC246" s="235"/>
      <c r="BD246" s="235"/>
      <c r="BE246" s="235"/>
      <c r="BF246" s="235"/>
      <c r="BG246" s="235"/>
      <c r="BH246" s="235"/>
      <c r="BI246" s="235"/>
      <c r="BJ246" s="235"/>
      <c r="BK246" s="235"/>
      <c r="BL246" s="235"/>
      <c r="BM246" s="235"/>
    </row>
    <row r="252" spans="1:65" ht="15.75" customHeight="1">
      <c r="A252" s="265"/>
      <c r="B252" s="265"/>
      <c r="C252" s="405"/>
      <c r="D252" s="265"/>
      <c r="E252" s="406"/>
      <c r="F252" s="265"/>
      <c r="G252" s="353"/>
      <c r="H252" s="407"/>
      <c r="I252" s="407"/>
      <c r="J252" s="407"/>
      <c r="K252" s="265"/>
      <c r="L252" s="265"/>
      <c r="M252" s="265"/>
      <c r="N252" s="26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  <c r="AA252" s="235"/>
      <c r="AB252" s="235"/>
      <c r="AC252" s="235"/>
      <c r="AD252" s="235"/>
      <c r="AE252" s="235"/>
      <c r="AF252" s="235"/>
      <c r="AG252" s="235"/>
      <c r="AH252" s="235"/>
      <c r="AI252" s="235"/>
      <c r="AJ252" s="235"/>
      <c r="AK252" s="235"/>
      <c r="AL252" s="235"/>
      <c r="AM252" s="235"/>
      <c r="AN252" s="235"/>
      <c r="AO252" s="235"/>
      <c r="AP252" s="235"/>
      <c r="AQ252" s="235"/>
      <c r="AR252" s="235"/>
      <c r="AS252" s="235"/>
      <c r="AT252" s="235"/>
      <c r="AU252" s="235"/>
      <c r="AV252" s="235"/>
      <c r="AW252" s="235"/>
      <c r="AX252" s="235"/>
      <c r="AY252" s="235"/>
      <c r="AZ252" s="235"/>
      <c r="BA252" s="235"/>
      <c r="BB252" s="235"/>
      <c r="BC252" s="235"/>
      <c r="BD252" s="235"/>
      <c r="BE252" s="235"/>
      <c r="BF252" s="235"/>
      <c r="BG252" s="235"/>
      <c r="BH252" s="235"/>
      <c r="BI252" s="235"/>
      <c r="BJ252" s="235"/>
      <c r="BK252" s="235"/>
      <c r="BL252" s="235"/>
      <c r="BM252" s="235"/>
    </row>
    <row r="253" spans="1:65" ht="15.75" customHeight="1">
      <c r="A253" s="265"/>
      <c r="B253" s="265"/>
      <c r="C253" s="405"/>
      <c r="D253" s="265"/>
      <c r="E253" s="406"/>
      <c r="F253" s="265"/>
      <c r="G253" s="353"/>
      <c r="H253" s="407"/>
      <c r="I253" s="407"/>
      <c r="J253" s="407"/>
      <c r="K253" s="265"/>
      <c r="L253" s="265"/>
      <c r="M253" s="265"/>
      <c r="N253" s="26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  <c r="AA253" s="235"/>
      <c r="AB253" s="235"/>
      <c r="AC253" s="235"/>
      <c r="AD253" s="235"/>
      <c r="AE253" s="235"/>
      <c r="AF253" s="235"/>
      <c r="AG253" s="235"/>
      <c r="AH253" s="235"/>
      <c r="AI253" s="235"/>
      <c r="AJ253" s="235"/>
      <c r="AK253" s="235"/>
      <c r="AL253" s="235"/>
      <c r="AM253" s="235"/>
      <c r="AN253" s="235"/>
      <c r="AO253" s="235"/>
      <c r="AP253" s="235"/>
      <c r="AQ253" s="235"/>
      <c r="AR253" s="235"/>
      <c r="AS253" s="235"/>
      <c r="AT253" s="235"/>
      <c r="AU253" s="235"/>
      <c r="AV253" s="235"/>
      <c r="AW253" s="235"/>
      <c r="AX253" s="235"/>
      <c r="AY253" s="235"/>
      <c r="AZ253" s="235"/>
      <c r="BA253" s="235"/>
      <c r="BB253" s="235"/>
      <c r="BC253" s="235"/>
      <c r="BD253" s="235"/>
      <c r="BE253" s="235"/>
      <c r="BF253" s="235"/>
      <c r="BG253" s="235"/>
      <c r="BH253" s="235"/>
      <c r="BI253" s="235"/>
      <c r="BJ253" s="235"/>
      <c r="BK253" s="235"/>
      <c r="BL253" s="235"/>
      <c r="BM253" s="235"/>
    </row>
    <row r="254" spans="1:65" ht="15.75" customHeight="1">
      <c r="A254" s="265"/>
      <c r="B254" s="265"/>
      <c r="C254" s="405"/>
      <c r="D254" s="265"/>
      <c r="E254" s="406"/>
      <c r="F254" s="265"/>
      <c r="G254" s="353"/>
      <c r="H254" s="407"/>
      <c r="I254" s="407"/>
      <c r="J254" s="407"/>
      <c r="K254" s="265"/>
      <c r="L254" s="265"/>
      <c r="M254" s="265"/>
      <c r="N254" s="26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  <c r="AA254" s="235"/>
      <c r="AB254" s="235"/>
      <c r="AC254" s="235"/>
      <c r="AD254" s="235"/>
      <c r="AE254" s="235"/>
      <c r="AF254" s="235"/>
      <c r="AG254" s="235"/>
      <c r="AH254" s="235"/>
      <c r="AI254" s="235"/>
      <c r="AJ254" s="235"/>
      <c r="AK254" s="235"/>
      <c r="AL254" s="235"/>
      <c r="AM254" s="235"/>
      <c r="AN254" s="235"/>
      <c r="AO254" s="235"/>
      <c r="AP254" s="235"/>
      <c r="AQ254" s="235"/>
      <c r="AR254" s="235"/>
      <c r="AS254" s="235"/>
      <c r="AT254" s="235"/>
      <c r="AU254" s="235"/>
      <c r="AV254" s="235"/>
      <c r="AW254" s="235"/>
      <c r="AX254" s="235"/>
      <c r="AY254" s="235"/>
      <c r="AZ254" s="235"/>
      <c r="BA254" s="235"/>
      <c r="BB254" s="235"/>
      <c r="BC254" s="235"/>
      <c r="BD254" s="235"/>
      <c r="BE254" s="235"/>
      <c r="BF254" s="235"/>
      <c r="BG254" s="235"/>
      <c r="BH254" s="235"/>
      <c r="BI254" s="235"/>
      <c r="BJ254" s="235"/>
      <c r="BK254" s="235"/>
      <c r="BL254" s="235"/>
      <c r="BM254" s="235"/>
    </row>
    <row r="255" spans="1:65" ht="15.75" customHeight="1">
      <c r="A255" s="265"/>
      <c r="B255" s="265"/>
      <c r="C255" s="405"/>
      <c r="D255" s="265"/>
      <c r="E255" s="406"/>
      <c r="F255" s="265"/>
      <c r="G255" s="353"/>
      <c r="H255" s="407"/>
      <c r="I255" s="407"/>
      <c r="J255" s="407"/>
      <c r="K255" s="265"/>
      <c r="L255" s="265"/>
      <c r="M255" s="265"/>
      <c r="N255" s="26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  <c r="AA255" s="235"/>
      <c r="AB255" s="235"/>
      <c r="AC255" s="235"/>
      <c r="AD255" s="235"/>
      <c r="AE255" s="235"/>
      <c r="AF255" s="235"/>
      <c r="AG255" s="235"/>
      <c r="AH255" s="235"/>
      <c r="AI255" s="235"/>
      <c r="AJ255" s="235"/>
      <c r="AK255" s="235"/>
      <c r="AL255" s="235"/>
      <c r="AM255" s="235"/>
      <c r="AN255" s="235"/>
      <c r="AO255" s="235"/>
      <c r="AP255" s="235"/>
      <c r="AQ255" s="235"/>
      <c r="AR255" s="235"/>
      <c r="AS255" s="235"/>
      <c r="AT255" s="235"/>
      <c r="AU255" s="235"/>
      <c r="AV255" s="235"/>
      <c r="AW255" s="235"/>
      <c r="AX255" s="235"/>
      <c r="AY255" s="235"/>
      <c r="AZ255" s="235"/>
      <c r="BA255" s="235"/>
      <c r="BB255" s="235"/>
      <c r="BC255" s="235"/>
      <c r="BD255" s="235"/>
      <c r="BE255" s="235"/>
      <c r="BF255" s="235"/>
      <c r="BG255" s="235"/>
      <c r="BH255" s="235"/>
      <c r="BI255" s="235"/>
      <c r="BJ255" s="235"/>
      <c r="BK255" s="235"/>
      <c r="BL255" s="235"/>
      <c r="BM255" s="235"/>
    </row>
    <row r="256" spans="1:65" ht="15.75" customHeight="1">
      <c r="A256" s="235"/>
      <c r="B256" s="235"/>
      <c r="C256" s="270"/>
      <c r="D256" s="235"/>
      <c r="E256" s="268"/>
      <c r="H256" s="274"/>
      <c r="I256" s="274"/>
      <c r="J256" s="274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  <c r="AA256" s="235"/>
      <c r="AB256" s="235"/>
      <c r="AC256" s="235"/>
      <c r="AD256" s="235"/>
      <c r="AE256" s="235"/>
      <c r="AF256" s="235"/>
      <c r="AG256" s="235"/>
      <c r="AH256" s="235"/>
      <c r="AI256" s="235"/>
      <c r="AJ256" s="235"/>
      <c r="AK256" s="235"/>
      <c r="AL256" s="235"/>
      <c r="AM256" s="235"/>
      <c r="AN256" s="235"/>
      <c r="AO256" s="235"/>
      <c r="AP256" s="235"/>
      <c r="AQ256" s="235"/>
      <c r="AR256" s="235"/>
      <c r="AS256" s="235"/>
      <c r="AT256" s="235"/>
      <c r="AU256" s="235"/>
      <c r="AV256" s="235"/>
      <c r="AW256" s="235"/>
      <c r="AX256" s="235"/>
      <c r="AY256" s="235"/>
      <c r="AZ256" s="235"/>
      <c r="BA256" s="235"/>
      <c r="BB256" s="235"/>
      <c r="BC256" s="235"/>
      <c r="BD256" s="235"/>
      <c r="BE256" s="235"/>
      <c r="BF256" s="235"/>
      <c r="BG256" s="235"/>
      <c r="BH256" s="235"/>
      <c r="BI256" s="235"/>
      <c r="BJ256" s="235"/>
      <c r="BK256" s="235"/>
      <c r="BL256" s="235"/>
      <c r="BM256" s="235"/>
    </row>
    <row r="257" spans="1:65" ht="15.75" customHeight="1">
      <c r="A257" s="235"/>
      <c r="B257" s="235"/>
      <c r="C257" s="270"/>
      <c r="D257" s="235"/>
      <c r="E257" s="268"/>
      <c r="H257" s="274"/>
      <c r="I257" s="274"/>
      <c r="J257" s="274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  <c r="AA257" s="235"/>
      <c r="AB257" s="235"/>
      <c r="AC257" s="235"/>
      <c r="AD257" s="235"/>
      <c r="AE257" s="235"/>
      <c r="AF257" s="235"/>
      <c r="AG257" s="235"/>
      <c r="AH257" s="235"/>
      <c r="AI257" s="235"/>
      <c r="AJ257" s="235"/>
      <c r="AK257" s="235"/>
      <c r="AL257" s="235"/>
      <c r="AM257" s="235"/>
      <c r="AN257" s="235"/>
      <c r="AO257" s="235"/>
      <c r="AP257" s="235"/>
      <c r="AQ257" s="235"/>
      <c r="AR257" s="235"/>
      <c r="AS257" s="235"/>
      <c r="AT257" s="235"/>
      <c r="AU257" s="235"/>
      <c r="AV257" s="235"/>
      <c r="AW257" s="235"/>
      <c r="AX257" s="235"/>
      <c r="AY257" s="235"/>
      <c r="AZ257" s="235"/>
      <c r="BA257" s="235"/>
      <c r="BB257" s="235"/>
      <c r="BC257" s="235"/>
      <c r="BD257" s="235"/>
      <c r="BE257" s="235"/>
      <c r="BF257" s="235"/>
      <c r="BG257" s="235"/>
      <c r="BH257" s="235"/>
      <c r="BI257" s="235"/>
      <c r="BJ257" s="235"/>
      <c r="BK257" s="235"/>
      <c r="BL257" s="235"/>
      <c r="BM257" s="235"/>
    </row>
    <row r="258" spans="1:65" ht="15.75" customHeight="1">
      <c r="A258" s="235"/>
      <c r="B258" s="235"/>
      <c r="C258" s="270"/>
      <c r="D258" s="235"/>
      <c r="E258" s="268"/>
      <c r="H258" s="274"/>
      <c r="I258" s="274"/>
      <c r="J258" s="274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  <c r="AA258" s="235"/>
      <c r="AB258" s="235"/>
      <c r="AC258" s="235"/>
      <c r="AD258" s="235"/>
      <c r="AE258" s="235"/>
      <c r="AF258" s="235"/>
      <c r="AG258" s="235"/>
      <c r="AH258" s="235"/>
      <c r="AI258" s="235"/>
      <c r="AJ258" s="235"/>
      <c r="AK258" s="235"/>
      <c r="AL258" s="235"/>
      <c r="AM258" s="235"/>
      <c r="AN258" s="235"/>
      <c r="AO258" s="235"/>
      <c r="AP258" s="235"/>
      <c r="AQ258" s="235"/>
      <c r="AR258" s="235"/>
      <c r="AS258" s="235"/>
      <c r="AT258" s="235"/>
      <c r="AU258" s="235"/>
      <c r="AV258" s="235"/>
      <c r="AW258" s="235"/>
      <c r="AX258" s="235"/>
      <c r="AY258" s="235"/>
      <c r="AZ258" s="235"/>
      <c r="BA258" s="235"/>
      <c r="BB258" s="235"/>
      <c r="BC258" s="235"/>
      <c r="BD258" s="235"/>
      <c r="BE258" s="235"/>
      <c r="BF258" s="235"/>
      <c r="BG258" s="235"/>
      <c r="BH258" s="235"/>
      <c r="BI258" s="235"/>
      <c r="BJ258" s="235"/>
      <c r="BK258" s="235"/>
      <c r="BL258" s="235"/>
      <c r="BM258" s="235"/>
    </row>
    <row r="259" spans="1:65" ht="15.75" customHeight="1">
      <c r="A259" s="235"/>
      <c r="B259" s="235"/>
      <c r="C259" s="270"/>
      <c r="D259" s="235"/>
      <c r="E259" s="268"/>
      <c r="H259" s="274"/>
      <c r="I259" s="274"/>
      <c r="J259" s="274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  <c r="AA259" s="235"/>
      <c r="AB259" s="235"/>
      <c r="AC259" s="235"/>
      <c r="AD259" s="235"/>
      <c r="AE259" s="235"/>
      <c r="AF259" s="235"/>
      <c r="AG259" s="235"/>
      <c r="AH259" s="235"/>
      <c r="AI259" s="235"/>
      <c r="AJ259" s="235"/>
      <c r="AK259" s="235"/>
      <c r="AL259" s="235"/>
      <c r="AM259" s="235"/>
      <c r="AN259" s="235"/>
      <c r="AO259" s="235"/>
      <c r="AP259" s="235"/>
      <c r="AQ259" s="235"/>
      <c r="AR259" s="235"/>
      <c r="AS259" s="235"/>
      <c r="AT259" s="235"/>
      <c r="AU259" s="235"/>
      <c r="AV259" s="235"/>
      <c r="AW259" s="235"/>
      <c r="AX259" s="235"/>
      <c r="AY259" s="235"/>
      <c r="AZ259" s="235"/>
      <c r="BA259" s="235"/>
      <c r="BB259" s="235"/>
      <c r="BC259" s="235"/>
      <c r="BD259" s="235"/>
      <c r="BE259" s="235"/>
      <c r="BF259" s="235"/>
      <c r="BG259" s="235"/>
      <c r="BH259" s="235"/>
      <c r="BI259" s="235"/>
      <c r="BJ259" s="235"/>
      <c r="BK259" s="235"/>
      <c r="BL259" s="235"/>
      <c r="BM259" s="235"/>
    </row>
    <row r="260" spans="1:65" ht="15.75" customHeight="1">
      <c r="A260" s="235"/>
      <c r="B260" s="235"/>
      <c r="C260" s="270"/>
      <c r="D260" s="235"/>
      <c r="E260" s="268"/>
      <c r="H260" s="274"/>
      <c r="I260" s="274"/>
      <c r="J260" s="274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  <c r="AA260" s="235"/>
      <c r="AB260" s="235"/>
      <c r="AC260" s="235"/>
      <c r="AD260" s="235"/>
      <c r="AE260" s="235"/>
      <c r="AF260" s="235"/>
      <c r="AG260" s="235"/>
      <c r="AH260" s="235"/>
      <c r="AI260" s="235"/>
      <c r="AJ260" s="235"/>
      <c r="AK260" s="235"/>
      <c r="AL260" s="235"/>
      <c r="AM260" s="235"/>
      <c r="AN260" s="235"/>
      <c r="AO260" s="235"/>
      <c r="AP260" s="235"/>
      <c r="AQ260" s="235"/>
      <c r="AR260" s="235"/>
      <c r="AS260" s="235"/>
      <c r="AT260" s="235"/>
      <c r="AU260" s="235"/>
      <c r="AV260" s="235"/>
      <c r="AW260" s="235"/>
      <c r="AX260" s="235"/>
      <c r="AY260" s="235"/>
      <c r="AZ260" s="235"/>
      <c r="BA260" s="235"/>
      <c r="BB260" s="235"/>
      <c r="BC260" s="235"/>
      <c r="BD260" s="235"/>
      <c r="BE260" s="235"/>
      <c r="BF260" s="235"/>
      <c r="BG260" s="235"/>
      <c r="BH260" s="235"/>
      <c r="BI260" s="235"/>
      <c r="BJ260" s="235"/>
      <c r="BK260" s="235"/>
      <c r="BL260" s="235"/>
      <c r="BM260" s="235"/>
    </row>
  </sheetData>
  <mergeCells count="17">
    <mergeCell ref="A149:D149"/>
    <mergeCell ref="A166:D166"/>
    <mergeCell ref="B1:E1"/>
    <mergeCell ref="A58:D58"/>
    <mergeCell ref="A124:D124"/>
    <mergeCell ref="A75:D75"/>
    <mergeCell ref="A85:D85"/>
    <mergeCell ref="A88:D88"/>
    <mergeCell ref="A163:D163"/>
    <mergeCell ref="A178:D178"/>
    <mergeCell ref="A184:D184"/>
    <mergeCell ref="A198:D198"/>
    <mergeCell ref="A234:D234"/>
    <mergeCell ref="A226:D226"/>
    <mergeCell ref="A221:D221"/>
    <mergeCell ref="A203:D203"/>
    <mergeCell ref="A209:D209"/>
  </mergeCells>
  <dataValidations count="1">
    <dataValidation allowBlank="1" showInputMessage="1" showErrorMessage="1" sqref="F58:G58 E79:E90 E62:E77 E230:E1048576 E202:E205 E153:E164 E92:E126 E207:E211 E213:E223 E166:E168 E225:E228 E188:E200 E171:E180 E182:E186 E128:E151 E3:E60" xr:uid="{BDE659A6-DEFE-4B28-9FBB-84E3E68AE4FA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C6D1F6D-2A88-F24B-A624-BEF05DB9A824}">
          <x14:formula1>
            <xm:f>DATA!$D$2:$D$13</xm:f>
          </x14:formula1>
          <xm:sqref>B90 B125:B126 B60 B76:B77 B204:B205 B210:B211 B222:B223 B200 B227:B228 B235:B1048576</xm:sqref>
        </x14:dataValidation>
        <x14:dataValidation type="list" allowBlank="1" showInputMessage="1" showErrorMessage="1" xr:uid="{7EDF22EF-D3D7-4132-87A3-26A3435A40E9}">
          <x14:formula1>
            <xm:f>DATA!$D$2:$D$51</xm:f>
          </x14:formula1>
          <xm:sqref>B79:B84 B230:B233 B62:B74 B207:B208 B202 B153:B162 B213:B220 B92:B123 B225 B171:B177 B188:B197 B182:B183 B128:B148 B3:B57</xm:sqref>
        </x14:dataValidation>
        <x14:dataValidation type="list" allowBlank="1" showInputMessage="1" showErrorMessage="1" xr:uid="{DDC1508B-7666-2845-8E1E-C2BEE1E968F8}">
          <x14:formula1>
            <xm:f>DATA!$C$2:$C$21</xm:f>
          </x14:formula1>
          <xm:sqref>D79:D84 D207:D208 D125:D126 D90 D60 D62:D74 D230:D233 D76:D77 D202 D204:D205 D153:D162 D213:D220 D210:D211 D92:D123 D222:D223 D171:D177 D225 D200 D227:D228 D235:D1048576 D182:D183 D128:D148 D3:D57</xm:sqref>
        </x14:dataValidation>
        <x14:dataValidation type="list" allowBlank="1" showInputMessage="1" showErrorMessage="1" xr:uid="{CC30775E-903F-014F-B8B1-CB739A1E2245}">
          <x14:formula1>
            <xm:f>DATA!$E$2:$E$15</xm:f>
          </x14:formula1>
          <xm:sqref>A60 A125:A126 A90 A230:A233 A79:A84 A62:A74 A207:A208 A76:A77 A202 A204:A205 A153:A162 A213:A220 A210:A211 A92:A123 A222:A223 A171:A177 A225 A200 A227:A228 A235:A1048576 A182:A183 A128:A148 A3:A57</xm:sqref>
        </x14:dataValidation>
        <x14:dataValidation type="list" allowBlank="1" showInputMessage="1" showErrorMessage="1" xr:uid="{E3BF1EBC-9436-4715-8300-D477BB88AC79}">
          <x14:formula1>
            <xm:f>DATA!$E$2:$E$50</xm:f>
          </x14:formula1>
          <xm:sqref>A188:A197</xm:sqref>
        </x14:dataValidation>
        <x14:dataValidation type="list" allowBlank="1" showInputMessage="1" showErrorMessage="1" xr:uid="{1F211426-B707-42DE-B347-F9FDB93B6CAE}">
          <x14:formula1>
            <xm:f>DATA!$C$2:$C$50</xm:f>
          </x14:formula1>
          <xm:sqref>D188:D197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E01B-DAC9-4F93-985B-3D3F670F4083}">
  <sheetPr codeName="Sheet12">
    <tabColor theme="3" tint="0.39997558519241921"/>
  </sheetPr>
  <dimension ref="C2:O69"/>
  <sheetViews>
    <sheetView topLeftCell="A19" zoomScale="80" zoomScaleNormal="80" workbookViewId="0">
      <selection activeCell="O55" sqref="O55"/>
    </sheetView>
  </sheetViews>
  <sheetFormatPr baseColWidth="10" defaultColWidth="9.5" defaultRowHeight="19.5" customHeight="1"/>
  <cols>
    <col min="1" max="2" width="9.5" style="57"/>
    <col min="3" max="8" width="13.5" style="57" customWidth="1"/>
    <col min="9" max="9" width="13.5" style="93" customWidth="1"/>
    <col min="10" max="10" width="13.5" style="81" customWidth="1"/>
    <col min="11" max="13" width="13.5" style="57" customWidth="1"/>
    <col min="14" max="14" width="17.5" style="7" customWidth="1"/>
    <col min="15" max="15" width="30.5" style="57" customWidth="1"/>
    <col min="16" max="16" width="15.5" style="57" customWidth="1"/>
    <col min="17" max="21" width="12.5" style="57" customWidth="1"/>
    <col min="22" max="36" width="9.5" style="57"/>
    <col min="37" max="37" width="15.5" style="57" customWidth="1"/>
    <col min="38" max="16383" width="9.5" style="57"/>
    <col min="16384" max="16384" width="9.5" style="57" bestFit="1"/>
  </cols>
  <sheetData>
    <row r="2" spans="3:15" ht="19.5" customHeight="1" thickBot="1">
      <c r="C2" s="597" t="s">
        <v>31</v>
      </c>
      <c r="D2" s="597"/>
      <c r="E2" s="597"/>
      <c r="F2" s="597"/>
      <c r="G2" s="597"/>
      <c r="H2" s="92">
        <f ca="1">TODAY()</f>
        <v>46074</v>
      </c>
      <c r="I2" s="597" t="s">
        <v>39</v>
      </c>
      <c r="J2" s="597"/>
      <c r="K2" s="597"/>
      <c r="L2" s="597"/>
      <c r="M2" s="597"/>
      <c r="O2" s="35" t="s">
        <v>107</v>
      </c>
    </row>
    <row r="3" spans="3:15" ht="19.5" customHeight="1">
      <c r="C3" s="79"/>
      <c r="D3" s="79"/>
      <c r="E3" s="79"/>
      <c r="F3" s="79"/>
      <c r="G3" s="79"/>
      <c r="I3" s="94"/>
      <c r="J3" s="79"/>
      <c r="K3" s="79"/>
      <c r="L3" s="79"/>
      <c r="M3" s="79"/>
      <c r="O3" s="35" t="s">
        <v>83</v>
      </c>
    </row>
    <row r="4" spans="3:15" ht="19.5" customHeight="1" thickBot="1">
      <c r="C4" s="80"/>
      <c r="D4" s="80"/>
      <c r="E4" s="80"/>
      <c r="F4" s="80"/>
      <c r="G4" s="80"/>
      <c r="I4" s="95"/>
      <c r="J4" s="80"/>
      <c r="K4" s="80"/>
      <c r="L4" s="80"/>
      <c r="M4" s="80"/>
    </row>
    <row r="5" spans="3:15" ht="19.5" customHeight="1" thickBot="1">
      <c r="C5" s="58" t="s">
        <v>33</v>
      </c>
      <c r="D5" s="59" t="s">
        <v>108</v>
      </c>
      <c r="E5" s="60" t="s">
        <v>109</v>
      </c>
      <c r="F5" s="60" t="s">
        <v>110</v>
      </c>
      <c r="G5" s="60" t="s">
        <v>111</v>
      </c>
      <c r="I5" s="58" t="s">
        <v>33</v>
      </c>
      <c r="J5" s="59" t="s">
        <v>108</v>
      </c>
      <c r="K5" s="60" t="s">
        <v>109</v>
      </c>
      <c r="L5" s="60" t="s">
        <v>110</v>
      </c>
      <c r="M5" s="60" t="s">
        <v>111</v>
      </c>
    </row>
    <row r="6" spans="3:15" ht="19.5" customHeight="1">
      <c r="C6" s="61" t="s">
        <v>5</v>
      </c>
      <c r="D6" s="62">
        <f ca="1">IF($O$3="YES",SUMIFS(DEALS!$R:$R,DEALS!$S:$S,C6,DEALS!$O:$O,$C$2,DEALS!$R:$R,"&gt;0",DEALS!$E:$E,$H$2),SUMIFS(DEALS!$R:$R,DEALS!$S:$S,C6,DEALS!$O:$O,$C$2,DEALS!$R:$R,"&gt;0",DEALS!$E:$E,$H$2,DEALS!$T:$T,"&lt;&gt;*INVOICE*",DEALS!$T:$T,"&lt;&gt;*SWITCH*"))</f>
        <v>0</v>
      </c>
      <c r="E6" s="62">
        <f ca="1">IF($O$3="YES",SUMIFS(DEALS!$J:$J,DEALS!$K:$K,C6,DEALS!$G:$G,$C$2,DEALS!$J:$J,"&lt;0",DEALS!$E:$E,$H$2),SUMIFS(DEALS!$J:$J,DEALS!$K:$K,C6,DEALS!$G:$G,$C$2,DEALS!$J:$J,"&lt;0",DEALS!$E:$E,$H$2,DEALS!$T:$T,"&lt;&gt;*INVOICE*",DEALS!$T:$T,"&lt;&gt;*SWITCH*"))</f>
        <v>0</v>
      </c>
      <c r="F6" s="62">
        <f t="shared" ref="F6:F11" ca="1" si="0">D6+E6</f>
        <v>0</v>
      </c>
      <c r="G6" s="62">
        <f ca="1">F6*VLOOKUP(C6,'FX RATES'!$E$1:$F$10,2,FALSE)</f>
        <v>0</v>
      </c>
      <c r="I6" s="61" t="s">
        <v>5</v>
      </c>
      <c r="J6" s="62">
        <f ca="1">IF($O$3="YES",SUMIFS(DEALS!$R:$R,DEALS!$S:$S,I6,DEALS!$O:$O,$I$2,DEALS!$R:$R,"&gt;0",DEALS!$E:$E,$H$2),SUMIFS(DEALS!$R:$R,DEALS!$S:$S,I6,DEALS!$O:$O,$I$2,DEALS!$R:$R,"&gt;0",DEALS!$E:$E,$H$2,DEALS!$T:$T,"&lt;&gt;*INVOICE*",DEALS!$T:$T,"&lt;&gt;*SWITCH*"))</f>
        <v>0</v>
      </c>
      <c r="K6" s="62">
        <f ca="1">IF($O$3="YES",SUMIFS(DEALS!$J:$J,DEALS!$K:$K,I6,DEALS!$G:$G,$I$2,DEALS!$J:$J,"&lt;0",DEALS!$E:$E,$H$2),SUMIFS(DEALS!$J:$J,DEALS!$K:$K,I6,DEALS!$G:$G,$I$2,DEALS!$J:$J,"&lt;0",DEALS!$E:$E,$H$2,DEALS!$T:$T,"&lt;&gt;*INVOICE*",DEALS!$T:$T,"&lt;&gt;*SWITCH*"))</f>
        <v>0</v>
      </c>
      <c r="L6" s="62">
        <f t="shared" ref="L6:L8" ca="1" si="1">J6+K6</f>
        <v>0</v>
      </c>
      <c r="M6" s="62">
        <f ca="1">L6*VLOOKUP(I6,'FX RATES'!$E$1:$F$10,2,FALSE)</f>
        <v>0</v>
      </c>
    </row>
    <row r="7" spans="3:15" ht="19.5" customHeight="1">
      <c r="C7" s="61" t="s">
        <v>6</v>
      </c>
      <c r="D7" s="62">
        <f ca="1">IF($O$3="YES",SUMIFS(DEALS!$R:$R,DEALS!$S:$S,C7,DEALS!$O:$O,$C$2,DEALS!$R:$R,"&gt;0",DEALS!$E:$E,$H$2),SUMIFS(DEALS!$R:$R,DEALS!$S:$S,C7,DEALS!$O:$O,$C$2,DEALS!$R:$R,"&gt;0",DEALS!$E:$E,$H$2,DEALS!$T:$T,"&lt;&gt;*INVOICE*",DEALS!$T:$T,"&lt;&gt;*SWITCH*"))</f>
        <v>0</v>
      </c>
      <c r="E7" s="62">
        <f ca="1">IF($O$3="YES",SUMIFS(DEALS!$J:$J,DEALS!$K:$K,C7,DEALS!$G:$G,$C$2,DEALS!$J:$J,"&lt;0",DEALS!$E:$E,$H$2),SUMIFS(DEALS!$J:$J,DEALS!$K:$K,C7,DEALS!$G:$G,$C$2,DEALS!$J:$J,"&lt;0",DEALS!$E:$E,$H$2,DEALS!$T:$T,"&lt;&gt;*INVOICE*",DEALS!$T:$T,"&lt;&gt;*SWITCH*"))</f>
        <v>0</v>
      </c>
      <c r="F7" s="62">
        <f t="shared" ca="1" si="0"/>
        <v>0</v>
      </c>
      <c r="G7" s="62">
        <f ca="1">F7*VLOOKUP(C7,'FX RATES'!$E$1:$F$10,2,FALSE)</f>
        <v>0</v>
      </c>
      <c r="I7" s="61" t="s">
        <v>6</v>
      </c>
      <c r="J7" s="62">
        <f ca="1">IF($O$3="YES",SUMIFS(DEALS!$R:$R,DEALS!$S:$S,I7,DEALS!$O:$O,$I$2,DEALS!$R:$R,"&gt;0",DEALS!$E:$E,$H$2),SUMIFS(DEALS!$R:$R,DEALS!$S:$S,I7,DEALS!$O:$O,$I$2,DEALS!$R:$R,"&gt;0",DEALS!$E:$E,$H$2,DEALS!$T:$T,"&lt;&gt;*INVOICE*",DEALS!$T:$T,"&lt;&gt;*SWITCH*"))</f>
        <v>0</v>
      </c>
      <c r="K7" s="62">
        <f ca="1">IF($O$3="YES",SUMIFS(DEALS!$J:$J,DEALS!$K:$K,I7,DEALS!$G:$G,$I$2,DEALS!$J:$J,"&lt;0",DEALS!$E:$E,$H$2),SUMIFS(DEALS!$J:$J,DEALS!$K:$K,I7,DEALS!$G:$G,$I$2,DEALS!$J:$J,"&lt;0",DEALS!$E:$E,$H$2,DEALS!$T:$T,"&lt;&gt;*INVOICE*",DEALS!$T:$T,"&lt;&gt;*SWITCH*"))</f>
        <v>0</v>
      </c>
      <c r="L7" s="62">
        <f t="shared" ca="1" si="1"/>
        <v>0</v>
      </c>
      <c r="M7" s="62">
        <f ca="1">L7*VLOOKUP(I7,'FX RATES'!$E$1:$F$10,2,FALSE)</f>
        <v>0</v>
      </c>
    </row>
    <row r="8" spans="3:15" ht="19.5" customHeight="1">
      <c r="C8" s="61" t="s">
        <v>7</v>
      </c>
      <c r="D8" s="62">
        <f ca="1">IF($O$3="YES",SUMIFS(DEALS!$R:$R,DEALS!$S:$S,C8,DEALS!$O:$O,$C$2,DEALS!$R:$R,"&gt;0",DEALS!$E:$E,$H$2),SUMIFS(DEALS!$R:$R,DEALS!$S:$S,C8,DEALS!$O:$O,$C$2,DEALS!$R:$R,"&gt;0",DEALS!$E:$E,$H$2,DEALS!$T:$T,"&lt;&gt;*INVOICE*",DEALS!$T:$T,"&lt;&gt;*SWITCH*"))</f>
        <v>0</v>
      </c>
      <c r="E8" s="62">
        <f ca="1">IF($O$3="YES",SUMIFS(DEALS!$J:$J,DEALS!$K:$K,C8,DEALS!$G:$G,$C$2,DEALS!$J:$J,"&lt;0",DEALS!$E:$E,$H$2),SUMIFS(DEALS!$J:$J,DEALS!$K:$K,C8,DEALS!$G:$G,$C$2,DEALS!$J:$J,"&lt;0",DEALS!$E:$E,$H$2,DEALS!$T:$T,"&lt;&gt;*INVOICE*",DEALS!$T:$T,"&lt;&gt;*SWITCH*"))</f>
        <v>0</v>
      </c>
      <c r="F8" s="62">
        <f t="shared" ca="1" si="0"/>
        <v>0</v>
      </c>
      <c r="G8" s="62">
        <f ca="1">F8*VLOOKUP(C8,'FX RATES'!$E$1:$F$10,2,FALSE)</f>
        <v>0</v>
      </c>
      <c r="I8" s="61" t="s">
        <v>7</v>
      </c>
      <c r="J8" s="62">
        <f ca="1">IF($O$3="YES",SUMIFS(DEALS!$R:$R,DEALS!$S:$S,I8,DEALS!$O:$O,$I$2,DEALS!$R:$R,"&gt;0",DEALS!$E:$E,$H$2),SUMIFS(DEALS!$R:$R,DEALS!$S:$S,I8,DEALS!$O:$O,$I$2,DEALS!$R:$R,"&gt;0",DEALS!$E:$E,$H$2,DEALS!$T:$T,"&lt;&gt;*INVOICE*",DEALS!$T:$T,"&lt;&gt;*SWITCH*"))</f>
        <v>0</v>
      </c>
      <c r="K8" s="62">
        <f ca="1">IF($O$3="YES",SUMIFS(DEALS!$J:$J,DEALS!$K:$K,I8,DEALS!$G:$G,$I$2,DEALS!$J:$J,"&lt;0",DEALS!$E:$E,$H$2),SUMIFS(DEALS!$J:$J,DEALS!$K:$K,I8,DEALS!$G:$G,$I$2,DEALS!$J:$J,"&lt;0",DEALS!$E:$E,$H$2,DEALS!$T:$T,"&lt;&gt;*INVOICE*",DEALS!$T:$T,"&lt;&gt;*SWITCH*"))</f>
        <v>0</v>
      </c>
      <c r="L8" s="62">
        <f t="shared" ca="1" si="1"/>
        <v>0</v>
      </c>
      <c r="M8" s="62">
        <f ca="1">L8*VLOOKUP(I8,'FX RATES'!$E$1:$F$10,2,FALSE)</f>
        <v>0</v>
      </c>
    </row>
    <row r="9" spans="3:15" ht="19.5" customHeight="1">
      <c r="C9" s="61" t="s">
        <v>8</v>
      </c>
      <c r="D9" s="62">
        <f ca="1">IF($O$3="YES",SUMIFS(DEALS!$R:$R,DEALS!$S:$S,C9,DEALS!$O:$O,$C$2,DEALS!$R:$R,"&gt;0",DEALS!$E:$E,$H$2),SUMIFS(DEALS!$R:$R,DEALS!$S:$S,C9,DEALS!$O:$O,$C$2,DEALS!$R:$R,"&gt;0",DEALS!$E:$E,$H$2,DEALS!$T:$T,"&lt;&gt;*INVOICE*",DEALS!$T:$T,"&lt;&gt;*SWITCH*"))</f>
        <v>0</v>
      </c>
      <c r="E9" s="62">
        <f ca="1">IF($O$3="YES",SUMIFS(DEALS!$J:$J,DEALS!$K:$K,C9,DEALS!$G:$G,$C$2,DEALS!$J:$J,"&lt;0",DEALS!$E:$E,$H$2),SUMIFS(DEALS!$J:$J,DEALS!$K:$K,C9,DEALS!$G:$G,$C$2,DEALS!$J:$J,"&lt;0",DEALS!$E:$E,$H$2,DEALS!$T:$T,"&lt;&gt;*INVOICE*",DEALS!$T:$T,"&lt;&gt;*SWITCH*"))</f>
        <v>0</v>
      </c>
      <c r="F9" s="62">
        <f ca="1">D9+E9</f>
        <v>0</v>
      </c>
      <c r="G9" s="62">
        <f ca="1">F9*VLOOKUP(C9,'FX RATES'!$E$1:$F$10,2,FALSE)</f>
        <v>0</v>
      </c>
      <c r="I9" s="61" t="s">
        <v>8</v>
      </c>
      <c r="J9" s="62">
        <f ca="1">IF($O$3="YES",SUMIFS(DEALS!$R:$R,DEALS!$S:$S,I9,DEALS!$O:$O,$I$2,DEALS!$R:$R,"&gt;0",DEALS!$E:$E,$H$2),SUMIFS(DEALS!$R:$R,DEALS!$S:$S,I9,DEALS!$O:$O,$I$2,DEALS!$R:$R,"&gt;0",DEALS!$E:$E,$H$2,DEALS!$T:$T,"&lt;&gt;*INVOICE*",DEALS!$T:$T,"&lt;&gt;*SWITCH*"))</f>
        <v>0</v>
      </c>
      <c r="K9" s="62">
        <f ca="1">IF($O$3="YES",SUMIFS(DEALS!$J:$J,DEALS!$K:$K,I9,DEALS!$G:$G,$I$2,DEALS!$J:$J,"&lt;0",DEALS!$E:$E,$H$2),SUMIFS(DEALS!$J:$J,DEALS!$K:$K,I9,DEALS!$G:$G,$I$2,DEALS!$J:$J,"&lt;0",DEALS!$E:$E,$H$2,DEALS!$T:$T,"&lt;&gt;*INVOICE*",DEALS!$T:$T,"&lt;&gt;*SWITCH*"))</f>
        <v>0</v>
      </c>
      <c r="L9" s="62">
        <f ca="1">J9+K9</f>
        <v>0</v>
      </c>
      <c r="M9" s="62">
        <f ca="1">L9*VLOOKUP(I9,'FX RATES'!$E$1:$F$10,2,FALSE)</f>
        <v>0</v>
      </c>
    </row>
    <row r="10" spans="3:15" ht="19.5" customHeight="1">
      <c r="C10" s="61" t="s">
        <v>9</v>
      </c>
      <c r="D10" s="62">
        <f ca="1">IF($O$3="YES",SUMIFS(DEALS!$R:$R,DEALS!$S:$S,C10,DEALS!$O:$O,$C$2,DEALS!$R:$R,"&gt;0",DEALS!$E:$E,$H$2),SUMIFS(DEALS!$R:$R,DEALS!$S:$S,C10,DEALS!$O:$O,$C$2,DEALS!$R:$R,"&gt;0",DEALS!$E:$E,$H$2,DEALS!$T:$T,"&lt;&gt;*INVOICE*",DEALS!$T:$T,"&lt;&gt;*SWITCH*"))</f>
        <v>0</v>
      </c>
      <c r="E10" s="62">
        <f ca="1">IF($O$3="YES",SUMIFS(DEALS!$J:$J,DEALS!$K:$K,C10,DEALS!$G:$G,$C$2,DEALS!$J:$J,"&lt;0",DEALS!$E:$E,$H$2),SUMIFS(DEALS!$J:$J,DEALS!$K:$K,C10,DEALS!$G:$G,$C$2,DEALS!$J:$J,"&lt;0",DEALS!$E:$E,$H$2,DEALS!$T:$T,"&lt;&gt;*INVOICE*",DEALS!$T:$T,"&lt;&gt;*SWITCH*"))</f>
        <v>0</v>
      </c>
      <c r="F10" s="62">
        <f t="shared" ca="1" si="0"/>
        <v>0</v>
      </c>
      <c r="G10" s="62">
        <f ca="1">F10*VLOOKUP(C10,'FX RATES'!$E$1:$F$10,2,FALSE)</f>
        <v>0</v>
      </c>
      <c r="I10" s="61" t="s">
        <v>9</v>
      </c>
      <c r="J10" s="62">
        <f ca="1">IF($O$3="YES",SUMIFS(DEALS!$R:$R,DEALS!$S:$S,I10,DEALS!$O:$O,$I$2,DEALS!$R:$R,"&gt;0",DEALS!$E:$E,$H$2),SUMIFS(DEALS!$R:$R,DEALS!$S:$S,I10,DEALS!$O:$O,$I$2,DEALS!$R:$R,"&gt;0",DEALS!$E:$E,$H$2,DEALS!$T:$T,"&lt;&gt;*INVOICE*",DEALS!$T:$T,"&lt;&gt;*SWITCH*"))</f>
        <v>0</v>
      </c>
      <c r="K10" s="62">
        <f ca="1">IF($O$3="YES",SUMIFS(DEALS!$J:$J,DEALS!$K:$K,I10,DEALS!$G:$G,$I$2,DEALS!$J:$J,"&lt;0",DEALS!$E:$E,$H$2),SUMIFS(DEALS!$J:$J,DEALS!$K:$K,I10,DEALS!$G:$G,$I$2,DEALS!$J:$J,"&lt;0",DEALS!$E:$E,$H$2,DEALS!$T:$T,"&lt;&gt;*INVOICE*",DEALS!$T:$T,"&lt;&gt;*SWITCH*"))</f>
        <v>0</v>
      </c>
      <c r="L10" s="62">
        <f t="shared" ref="L10:L11" ca="1" si="2">J10+K10</f>
        <v>0</v>
      </c>
      <c r="M10" s="62">
        <f ca="1">L10*VLOOKUP(I10,'FX RATES'!$E$1:$F$10,2,FALSE)</f>
        <v>0</v>
      </c>
    </row>
    <row r="11" spans="3:15" ht="19.5" customHeight="1" thickBot="1">
      <c r="C11" s="63" t="s">
        <v>91</v>
      </c>
      <c r="D11" s="62">
        <f ca="1">IF($O$3="YES",SUMIFS(DEALS!$R:$R,DEALS!$S:$S,C11,DEALS!$O:$O,$C$2,DEALS!$R:$R,"&gt;0",DEALS!$E:$E,$H$2),SUMIFS(DEALS!$R:$R,DEALS!$S:$S,C11,DEALS!$O:$O,$C$2,DEALS!$R:$R,"&gt;0",DEALS!$E:$E,$H$2,DEALS!$T:$T,"&lt;&gt;*INVOICE*",DEALS!$T:$T,"&lt;&gt;*SWITCH*"))</f>
        <v>0</v>
      </c>
      <c r="E11" s="62">
        <f ca="1">IF($O$3="YES",SUMIFS(DEALS!$J:$J,DEALS!$K:$K,C11,DEALS!$G:$G,$C$2,DEALS!$J:$J,"&lt;0",DEALS!$E:$E,$H$2),SUMIFS(DEALS!$J:$J,DEALS!$K:$K,C11,DEALS!$G:$G,$C$2,DEALS!$J:$J,"&lt;0",DEALS!$E:$E,$H$2,DEALS!$T:$T,"&lt;&gt;*INVOICE*",DEALS!$T:$T,"&lt;&gt;*SWITCH*"))</f>
        <v>0</v>
      </c>
      <c r="F11" s="62">
        <f t="shared" ca="1" si="0"/>
        <v>0</v>
      </c>
      <c r="G11" s="62">
        <f ca="1">F11*VLOOKUP(C11,'FX RATES'!$E$1:$F$10,2,FALSE)</f>
        <v>0</v>
      </c>
      <c r="I11" s="63" t="s">
        <v>91</v>
      </c>
      <c r="J11" s="62">
        <f ca="1">IF($O$3="YES",SUMIFS(DEALS!$R:$R,DEALS!$S:$S,I11,DEALS!$O:$O,$I$2,DEALS!$R:$R,"&gt;0",DEALS!$E:$E,$H$2),SUMIFS(DEALS!$R:$R,DEALS!$S:$S,I11,DEALS!$O:$O,$I$2,DEALS!$R:$R,"&gt;0",DEALS!$E:$E,$H$2,DEALS!$T:$T,"&lt;&gt;*INVOICE*",DEALS!$T:$T,"&lt;&gt;*SWITCH*"))</f>
        <v>0</v>
      </c>
      <c r="K11" s="62">
        <f ca="1">IF($O$3="YES",SUMIFS(DEALS!$J:$J,DEALS!$K:$K,I11,DEALS!$G:$G,$I$2,DEALS!$J:$J,"&lt;0",DEALS!$E:$E,$H$2),SUMIFS(DEALS!$J:$J,DEALS!$K:$K,I11,DEALS!$G:$G,$I$2,DEALS!$J:$J,"&lt;0",DEALS!$E:$E,$H$2,DEALS!$T:$T,"&lt;&gt;*INVOICE*",DEALS!$T:$T,"&lt;&gt;*SWITCH*"))</f>
        <v>0</v>
      </c>
      <c r="L11" s="62">
        <f t="shared" ca="1" si="2"/>
        <v>0</v>
      </c>
      <c r="M11" s="62">
        <f ca="1">L11*VLOOKUP(I11,'FX RATES'!$E$1:$F$10,2,FALSE)</f>
        <v>0</v>
      </c>
    </row>
    <row r="12" spans="3:15" ht="19.5" customHeight="1" thickBot="1">
      <c r="C12" s="45" t="s">
        <v>5</v>
      </c>
      <c r="D12" s="46">
        <f ca="1">D6*VLOOKUP($C6,'FX RATES'!$E$1:$F$10,2,FALSE)+D7*VLOOKUP($C7,'FX RATES'!$E$1:$F$10,2,FALSE)+D8*VLOOKUP($C8,'FX RATES'!$E$1:$F$10,2,FALSE)+D9*VLOOKUP($C9,'FX RATES'!$E$1:$F$10,2,FALSE)+D10*VLOOKUP($C10,'FX RATES'!$E$1:$F$10,2,FALSE)+D11*VLOOKUP($C11,'FX RATES'!$E$1:$F$10,2,FALSE)</f>
        <v>0</v>
      </c>
      <c r="E12" s="46">
        <f ca="1">E6*VLOOKUP($C6,'FX RATES'!$E$1:$F$10,2,FALSE)+E7*VLOOKUP($C7,'FX RATES'!$E$1:$F$10,2,FALSE)+E8*VLOOKUP($C8,'FX RATES'!$E$1:$F$10,2,FALSE)+E9*VLOOKUP($C9,'FX RATES'!$E$1:$F$10,2,FALSE)+E10*VLOOKUP($C10,'FX RATES'!$E$1:$F$10,2,FALSE)+E11*VLOOKUP($C11,'FX RATES'!$E$1:$F$10,2,FALSE)</f>
        <v>0</v>
      </c>
      <c r="F12" s="46">
        <f ca="1">D12+E12</f>
        <v>0</v>
      </c>
      <c r="G12" s="46">
        <f ca="1">SUM(G6:G11)</f>
        <v>0</v>
      </c>
      <c r="H12" s="64"/>
      <c r="I12" s="45" t="s">
        <v>5</v>
      </c>
      <c r="J12" s="46">
        <f ca="1">J6*VLOOKUP($I6,'FX RATES'!$E$1:$F$10,2,FALSE)+J7*VLOOKUP($I7,'FX RATES'!$E$1:$F$10,2,FALSE)+J8*VLOOKUP($I8,'FX RATES'!$E$1:$F$10,2,FALSE)+J9*VLOOKUP($I9,'FX RATES'!$E$1:$F$10,2,FALSE)+J10*VLOOKUP($I10,'FX RATES'!$E$1:$F$10,2,FALSE)+J11*VLOOKUP($I11,'FX RATES'!$E$1:$F$10,2,FALSE)</f>
        <v>0</v>
      </c>
      <c r="K12" s="46">
        <f ca="1">K6*VLOOKUP($I6,'FX RATES'!$E$1:$F$10,2,FALSE)+K7*VLOOKUP($I7,'FX RATES'!$E$1:$F$10,2,FALSE)+K8*VLOOKUP($I8,'FX RATES'!$E$1:$F$10,2,FALSE)+K9*VLOOKUP($I9,'FX RATES'!$E$1:$F$10,2,FALSE)+K10*VLOOKUP($I10,'FX RATES'!$E$1:$F$10,2,FALSE)+K11*VLOOKUP($I11,'FX RATES'!$E$1:$F$10,2,FALSE)</f>
        <v>0</v>
      </c>
      <c r="L12" s="46">
        <f ca="1">J12+K12</f>
        <v>0</v>
      </c>
      <c r="M12" s="46">
        <f ca="1">SUM(M6:M11)</f>
        <v>0</v>
      </c>
    </row>
    <row r="13" spans="3:15" ht="19.5" customHeight="1">
      <c r="C13" s="35"/>
      <c r="D13" s="78"/>
      <c r="E13" s="78"/>
      <c r="F13" s="78"/>
      <c r="G13" s="78"/>
      <c r="H13" s="64"/>
      <c r="I13" s="96"/>
      <c r="J13" s="57"/>
    </row>
    <row r="16" spans="3:15" ht="19.5" customHeight="1" thickBot="1">
      <c r="C16" s="597" t="s">
        <v>0</v>
      </c>
      <c r="D16" s="597"/>
      <c r="E16" s="597"/>
      <c r="F16" s="597"/>
      <c r="G16" s="597"/>
      <c r="H16" s="92">
        <f ca="1">H2+1</f>
        <v>46075</v>
      </c>
      <c r="I16" s="597" t="s">
        <v>39</v>
      </c>
      <c r="J16" s="597"/>
      <c r="K16" s="597"/>
      <c r="L16" s="597"/>
      <c r="M16" s="597"/>
    </row>
    <row r="19" spans="3:13" ht="19.5" customHeight="1" thickBot="1">
      <c r="C19" s="58" t="s">
        <v>33</v>
      </c>
      <c r="D19" s="59" t="s">
        <v>108</v>
      </c>
      <c r="E19" s="60" t="s">
        <v>109</v>
      </c>
      <c r="F19" s="60" t="s">
        <v>110</v>
      </c>
      <c r="G19" s="60" t="s">
        <v>111</v>
      </c>
      <c r="I19" s="58" t="s">
        <v>33</v>
      </c>
      <c r="J19" s="59" t="s">
        <v>108</v>
      </c>
      <c r="K19" s="60" t="s">
        <v>109</v>
      </c>
      <c r="L19" s="60" t="s">
        <v>110</v>
      </c>
      <c r="M19" s="60" t="s">
        <v>111</v>
      </c>
    </row>
    <row r="20" spans="3:13" ht="19.5" customHeight="1">
      <c r="C20" s="61" t="s">
        <v>5</v>
      </c>
      <c r="D20" s="62">
        <f ca="1">IF($O$3="YES",SUMIFS(DEALS!$R:$R,DEALS!$S:$S,C20,DEALS!$O:$O,$C$16,DEALS!$R:$R,"&gt;0",DEALS!$E:$E,$H$16),SUMIFS(DEALS!$R:$R,DEALS!$S:$S,C20,DEALS!$O:$O,$C$16,DEALS!$R:$R,"&gt;0",DEALS!$E:$E,$H$16,DEALS!$T:$T,"&lt;&gt;*INVOICE*",DEALS!$T:$T,"&lt;&gt;*SWITCH*"))</f>
        <v>0</v>
      </c>
      <c r="E20" s="62">
        <f ca="1">IF($O$3="YES",SUMIFS(DEALS!$J:$J,DEALS!$K:$K,C20,DEALS!$G:$G,$C$16,DEALS!$J:$J,"&lt;0",DEALS!$E:$E,$H$16),SUMIFS(DEALS!$J:$J,DEALS!$K:$K,C20,DEALS!$G:$G,$C$16,DEALS!$J:$J,"&lt;0",DEALS!$E:$E,$H$16,DEALS!$T:$T,"&lt;&gt;*INVOICE*",DEALS!$T:$T,"&lt;&gt;*SWITCH*"))</f>
        <v>0</v>
      </c>
      <c r="F20" s="62">
        <f ca="1">D20+E20</f>
        <v>0</v>
      </c>
      <c r="G20" s="62">
        <f ca="1">F20*VLOOKUP(C20,'FX RATES'!$E$1:$F$10,2,FALSE)</f>
        <v>0</v>
      </c>
      <c r="I20" s="61" t="s">
        <v>5</v>
      </c>
      <c r="J20" s="62">
        <f ca="1">IF($O$3="YES",SUMIFS(DEALS!$R:$R,DEALS!$S:$S,I20,DEALS!$O:$O,$I$16,DEALS!$R:$R,"&gt;0",DEALS!$E:$E,$H$16),SUMIFS(DEALS!$R:$R,DEALS!$S:$S,I20,DEALS!$O:$O,$I$16,DEALS!$R:$R,"&gt;0",DEALS!$E:$E,$H$16,DEALS!$T:$T,"&lt;&gt;*INVOICE*",DEALS!$T:$T,"&lt;&gt;*SWITCH*"))</f>
        <v>0</v>
      </c>
      <c r="K20" s="62">
        <f ca="1">IF($O$3="YES",SUMIFS(DEALS!$J:$J,DEALS!$K:$K,I20,DEALS!$G:$G,$I$16,DEALS!$J:$J,"&lt;0",DEALS!$E:$E,$H$16),SUMIFS(DEALS!$J:$J,DEALS!$K:$K,I20,DEALS!$G:$G,$I$16,DEALS!$J:$J,"&lt;0",DEALS!$E:$E,$H$16,DEALS!$T:$T,"&lt;&gt;*INVOICE*",DEALS!$T:$T,"&lt;&gt;*SWITCH*"))</f>
        <v>0</v>
      </c>
      <c r="L20" s="62">
        <f t="shared" ref="L20:L22" ca="1" si="3">J20+K20</f>
        <v>0</v>
      </c>
      <c r="M20" s="62">
        <f ca="1">L20*VLOOKUP(I20,'FX RATES'!$E$1:$F$10,2,FALSE)</f>
        <v>0</v>
      </c>
    </row>
    <row r="21" spans="3:13" ht="19.5" customHeight="1">
      <c r="C21" s="61" t="s">
        <v>6</v>
      </c>
      <c r="D21" s="62">
        <f ca="1">IF($O$3="YES",SUMIFS(DEALS!$R:$R,DEALS!$S:$S,C21,DEALS!$O:$O,$C$16,DEALS!$R:$R,"&gt;0",DEALS!$E:$E,$H$16),SUMIFS(DEALS!$R:$R,DEALS!$S:$S,C21,DEALS!$O:$O,$C$16,DEALS!$R:$R,"&gt;0",DEALS!$E:$E,$H$16,DEALS!$T:$T,"&lt;&gt;*INVOICE*",DEALS!$T:$T,"&lt;&gt;*SWITCH*"))</f>
        <v>0</v>
      </c>
      <c r="E21" s="62">
        <f ca="1">IF($O$3="YES",SUMIFS(DEALS!$J:$J,DEALS!$K:$K,C21,DEALS!$G:$G,$C$16,DEALS!$J:$J,"&lt;0",DEALS!$E:$E,$H$16),SUMIFS(DEALS!$J:$J,DEALS!$K:$K,C21,DEALS!$G:$G,$C$16,DEALS!$J:$J,"&lt;0",DEALS!$E:$E,$H$16,DEALS!$T:$T,"&lt;&gt;*INVOICE*",DEALS!$T:$T,"&lt;&gt;*SWITCH*"))</f>
        <v>0</v>
      </c>
      <c r="F21" s="62">
        <f t="shared" ref="F21:F22" ca="1" si="4">D21+E21</f>
        <v>0</v>
      </c>
      <c r="G21" s="62">
        <f ca="1">F21*VLOOKUP(C21,'FX RATES'!$E$1:$F$10,2,FALSE)</f>
        <v>0</v>
      </c>
      <c r="I21" s="61" t="s">
        <v>6</v>
      </c>
      <c r="J21" s="62">
        <f ca="1">IF($O$3="YES",SUMIFS(DEALS!$R:$R,DEALS!$S:$S,I21,DEALS!$O:$O,$I$16,DEALS!$R:$R,"&gt;0",DEALS!$E:$E,$H$16),SUMIFS(DEALS!$R:$R,DEALS!$S:$S,I21,DEALS!$O:$O,$I$16,DEALS!$R:$R,"&gt;0",DEALS!$E:$E,$H$16,DEALS!$T:$T,"&lt;&gt;*INVOICE*",DEALS!$T:$T,"&lt;&gt;*SWITCH*"))</f>
        <v>0</v>
      </c>
      <c r="K21" s="62">
        <f ca="1">IF($O$3="YES",SUMIFS(DEALS!$J:$J,DEALS!$K:$K,I21,DEALS!$G:$G,$I$16,DEALS!$J:$J,"&lt;0",DEALS!$E:$E,$H$16),SUMIFS(DEALS!$J:$J,DEALS!$K:$K,I21,DEALS!$G:$G,$I$16,DEALS!$J:$J,"&lt;0",DEALS!$E:$E,$H$16,DEALS!$T:$T,"&lt;&gt;*INVOICE*",DEALS!$T:$T,"&lt;&gt;*SWITCH*"))</f>
        <v>0</v>
      </c>
      <c r="L21" s="62">
        <f t="shared" ca="1" si="3"/>
        <v>0</v>
      </c>
      <c r="M21" s="62">
        <f ca="1">L21*VLOOKUP(I21,'FX RATES'!$E$1:$F$10,2,FALSE)</f>
        <v>0</v>
      </c>
    </row>
    <row r="22" spans="3:13" ht="19.5" customHeight="1">
      <c r="C22" s="61" t="s">
        <v>7</v>
      </c>
      <c r="D22" s="62">
        <f ca="1">IF($O$3="YES",SUMIFS(DEALS!$R:$R,DEALS!$S:$S,C22,DEALS!$O:$O,$C$16,DEALS!$R:$R,"&gt;0",DEALS!$E:$E,$H$16),SUMIFS(DEALS!$R:$R,DEALS!$S:$S,C22,DEALS!$O:$O,$C$16,DEALS!$R:$R,"&gt;0",DEALS!$E:$E,$H$16,DEALS!$T:$T,"&lt;&gt;*INVOICE*",DEALS!$T:$T,"&lt;&gt;*SWITCH*"))</f>
        <v>0</v>
      </c>
      <c r="E22" s="62">
        <f ca="1">IF($O$3="YES",SUMIFS(DEALS!$J:$J,DEALS!$K:$K,C22,DEALS!$G:$G,$C$16,DEALS!$J:$J,"&lt;0",DEALS!$E:$E,$H$16),SUMIFS(DEALS!$J:$J,DEALS!$K:$K,C22,DEALS!$G:$G,$C$16,DEALS!$J:$J,"&lt;0",DEALS!$E:$E,$H$16,DEALS!$T:$T,"&lt;&gt;*INVOICE*",DEALS!$T:$T,"&lt;&gt;*SWITCH*"))</f>
        <v>0</v>
      </c>
      <c r="F22" s="62">
        <f t="shared" ca="1" si="4"/>
        <v>0</v>
      </c>
      <c r="G22" s="62">
        <f ca="1">F22*VLOOKUP(C22,'FX RATES'!$E$1:$F$10,2,FALSE)</f>
        <v>0</v>
      </c>
      <c r="I22" s="61" t="s">
        <v>7</v>
      </c>
      <c r="J22" s="62">
        <f ca="1">IF($O$3="YES",SUMIFS(DEALS!$R:$R,DEALS!$S:$S,I22,DEALS!$O:$O,$I$16,DEALS!$R:$R,"&gt;0",DEALS!$E:$E,$H$16),SUMIFS(DEALS!$R:$R,DEALS!$S:$S,I22,DEALS!$O:$O,$I$16,DEALS!$R:$R,"&gt;0",DEALS!$E:$E,$H$16,DEALS!$T:$T,"&lt;&gt;*INVOICE*",DEALS!$T:$T,"&lt;&gt;*SWITCH*"))</f>
        <v>0</v>
      </c>
      <c r="K22" s="62">
        <f ca="1">IF($O$3="YES",SUMIFS(DEALS!$J:$J,DEALS!$K:$K,I22,DEALS!$G:$G,$I$16,DEALS!$J:$J,"&lt;0",DEALS!$E:$E,$H$16),SUMIFS(DEALS!$J:$J,DEALS!$K:$K,I22,DEALS!$G:$G,$I$16,DEALS!$J:$J,"&lt;0",DEALS!$E:$E,$H$16,DEALS!$T:$T,"&lt;&gt;*INVOICE*",DEALS!$T:$T,"&lt;&gt;*SWITCH*"))</f>
        <v>0</v>
      </c>
      <c r="L22" s="62">
        <f t="shared" ca="1" si="3"/>
        <v>0</v>
      </c>
      <c r="M22" s="62">
        <f ca="1">L22*VLOOKUP(I22,'FX RATES'!$E$1:$F$10,2,FALSE)</f>
        <v>0</v>
      </c>
    </row>
    <row r="23" spans="3:13" ht="19.5" customHeight="1">
      <c r="C23" s="61" t="s">
        <v>8</v>
      </c>
      <c r="D23" s="62">
        <f ca="1">IF($O$3="YES",SUMIFS(DEALS!$R:$R,DEALS!$S:$S,C23,DEALS!$O:$O,$C$16,DEALS!$R:$R,"&gt;0",DEALS!$E:$E,$H$16),SUMIFS(DEALS!$R:$R,DEALS!$S:$S,C23,DEALS!$O:$O,$C$16,DEALS!$R:$R,"&gt;0",DEALS!$E:$E,$H$16,DEALS!$T:$T,"&lt;&gt;*INVOICE*",DEALS!$T:$T,"&lt;&gt;*SWITCH*"))</f>
        <v>0</v>
      </c>
      <c r="E23" s="62">
        <f ca="1">IF($O$3="YES",SUMIFS(DEALS!$J:$J,DEALS!$K:$K,C23,DEALS!$G:$G,$C$16,DEALS!$J:$J,"&lt;0",DEALS!$E:$E,$H$16),SUMIFS(DEALS!$J:$J,DEALS!$K:$K,C23,DEALS!$G:$G,$C$16,DEALS!$J:$J,"&lt;0",DEALS!$E:$E,$H$16,DEALS!$T:$T,"&lt;&gt;*INVOICE*",DEALS!$T:$T,"&lt;&gt;*SWITCH*"))</f>
        <v>0</v>
      </c>
      <c r="F23" s="62">
        <f ca="1">D23+E23</f>
        <v>0</v>
      </c>
      <c r="G23" s="62">
        <f ca="1">F23*VLOOKUP(C23,'FX RATES'!$E$1:$F$10,2,FALSE)</f>
        <v>0</v>
      </c>
      <c r="I23" s="61" t="s">
        <v>8</v>
      </c>
      <c r="J23" s="62">
        <f ca="1">IF($O$3="YES",SUMIFS(DEALS!$R:$R,DEALS!$S:$S,I23,DEALS!$O:$O,$I$16,DEALS!$R:$R,"&gt;0",DEALS!$E:$E,$H$16),SUMIFS(DEALS!$R:$R,DEALS!$S:$S,I23,DEALS!$O:$O,$I$16,DEALS!$R:$R,"&gt;0",DEALS!$E:$E,$H$16,DEALS!$T:$T,"&lt;&gt;*INVOICE*",DEALS!$T:$T,"&lt;&gt;*SWITCH*"))</f>
        <v>0</v>
      </c>
      <c r="K23" s="62">
        <f ca="1">IF($O$3="YES",SUMIFS(DEALS!$J:$J,DEALS!$K:$K,I23,DEALS!$G:$G,$I$16,DEALS!$J:$J,"&lt;0",DEALS!$E:$E,$H$16),SUMIFS(DEALS!$J:$J,DEALS!$K:$K,I23,DEALS!$G:$G,$I$16,DEALS!$J:$J,"&lt;0",DEALS!$E:$E,$H$16,DEALS!$T:$T,"&lt;&gt;*INVOICE*",DEALS!$T:$T,"&lt;&gt;*SWITCH*"))</f>
        <v>0</v>
      </c>
      <c r="L23" s="62">
        <f ca="1">J23+K23</f>
        <v>0</v>
      </c>
      <c r="M23" s="62">
        <f ca="1">L23*VLOOKUP(I23,'FX RATES'!$E$1:$F$10,2,FALSE)</f>
        <v>0</v>
      </c>
    </row>
    <row r="24" spans="3:13" ht="19.5" customHeight="1">
      <c r="C24" s="61" t="s">
        <v>9</v>
      </c>
      <c r="D24" s="62">
        <f ca="1">IF($O$3="YES",SUMIFS(DEALS!$R:$R,DEALS!$S:$S,C24,DEALS!$O:$O,$C$16,DEALS!$R:$R,"&gt;0",DEALS!$E:$E,$H$16),SUMIFS(DEALS!$R:$R,DEALS!$S:$S,C24,DEALS!$O:$O,$C$16,DEALS!$R:$R,"&gt;0",DEALS!$E:$E,$H$16,DEALS!$T:$T,"&lt;&gt;*INVOICE*",DEALS!$T:$T,"&lt;&gt;*SWITCH*"))</f>
        <v>0</v>
      </c>
      <c r="E24" s="62">
        <f ca="1">IF($O$3="YES",SUMIFS(DEALS!$J:$J,DEALS!$K:$K,C24,DEALS!$G:$G,$C$16,DEALS!$J:$J,"&lt;0",DEALS!$E:$E,$H$16),SUMIFS(DEALS!$J:$J,DEALS!$K:$K,C24,DEALS!$G:$G,$C$16,DEALS!$J:$J,"&lt;0",DEALS!$E:$E,$H$16,DEALS!$T:$T,"&lt;&gt;*INVOICE*",DEALS!$T:$T,"&lt;&gt;*SWITCH*"))</f>
        <v>0</v>
      </c>
      <c r="F24" s="62">
        <f t="shared" ref="F24:F25" ca="1" si="5">D24+E24</f>
        <v>0</v>
      </c>
      <c r="G24" s="62">
        <f ca="1">F24*VLOOKUP(C24,'FX RATES'!$E$1:$F$10,2,FALSE)</f>
        <v>0</v>
      </c>
      <c r="I24" s="61" t="s">
        <v>9</v>
      </c>
      <c r="J24" s="62">
        <f ca="1">IF($O$3="YES",SUMIFS(DEALS!$R:$R,DEALS!$S:$S,I24,DEALS!$O:$O,$I$16,DEALS!$R:$R,"&gt;0",DEALS!$E:$E,$H$16),SUMIFS(DEALS!$R:$R,DEALS!$S:$S,I24,DEALS!$O:$O,$I$16,DEALS!$R:$R,"&gt;0",DEALS!$E:$E,$H$16,DEALS!$T:$T,"&lt;&gt;*INVOICE*",DEALS!$T:$T,"&lt;&gt;*SWITCH*"))</f>
        <v>0</v>
      </c>
      <c r="K24" s="62">
        <f ca="1">IF($O$3="YES",SUMIFS(DEALS!$J:$J,DEALS!$K:$K,I24,DEALS!$G:$G,$I$16,DEALS!$J:$J,"&lt;0",DEALS!$E:$E,$H$16),SUMIFS(DEALS!$J:$J,DEALS!$K:$K,I24,DEALS!$G:$G,$I$16,DEALS!$J:$J,"&lt;0",DEALS!$E:$E,$H$16,DEALS!$T:$T,"&lt;&gt;*INVOICE*",DEALS!$T:$T,"&lt;&gt;*SWITCH*"))</f>
        <v>0</v>
      </c>
      <c r="L24" s="62">
        <f t="shared" ref="L24:L25" ca="1" si="6">J24+K24</f>
        <v>0</v>
      </c>
      <c r="M24" s="62">
        <f ca="1">L24*VLOOKUP(I24,'FX RATES'!$E$1:$F$10,2,FALSE)</f>
        <v>0</v>
      </c>
    </row>
    <row r="25" spans="3:13" ht="19.5" customHeight="1" thickBot="1">
      <c r="C25" s="63" t="s">
        <v>91</v>
      </c>
      <c r="D25" s="62">
        <f ca="1">IF($O$3="YES",SUMIFS(DEALS!$R:$R,DEALS!$S:$S,C25,DEALS!$O:$O,$C$16,DEALS!$R:$R,"&gt;0",DEALS!$E:$E,$H$16),SUMIFS(DEALS!$R:$R,DEALS!$S:$S,C25,DEALS!$O:$O,$C$16,DEALS!$R:$R,"&gt;0",DEALS!$E:$E,$H$16,DEALS!$T:$T,"&lt;&gt;*INVOICE*",DEALS!$T:$T,"&lt;&gt;*SWITCH*"))</f>
        <v>0</v>
      </c>
      <c r="E25" s="62">
        <f ca="1">IF($O$3="YES",SUMIFS(DEALS!$J:$J,DEALS!$K:$K,C25,DEALS!$G:$G,$C$16,DEALS!$J:$J,"&lt;0",DEALS!$E:$E,$H$16),SUMIFS(DEALS!$J:$J,DEALS!$K:$K,C25,DEALS!$G:$G,$C$16,DEALS!$J:$J,"&lt;0",DEALS!$E:$E,$H$16,DEALS!$T:$T,"&lt;&gt;*INVOICE*",DEALS!$T:$T,"&lt;&gt;*SWITCH*"))</f>
        <v>0</v>
      </c>
      <c r="F25" s="62">
        <f t="shared" ca="1" si="5"/>
        <v>0</v>
      </c>
      <c r="G25" s="62">
        <f ca="1">F25*VLOOKUP(C25,'FX RATES'!$E$1:$F$10,2,FALSE)</f>
        <v>0</v>
      </c>
      <c r="I25" s="63" t="s">
        <v>91</v>
      </c>
      <c r="J25" s="62">
        <f ca="1">IF($O$3="YES",SUMIFS(DEALS!$R:$R,DEALS!$S:$S,I25,DEALS!$O:$O,$I$16,DEALS!$R:$R,"&gt;0",DEALS!$E:$E,$H$16),SUMIFS(DEALS!$R:$R,DEALS!$S:$S,I25,DEALS!$O:$O,$I$16,DEALS!$R:$R,"&gt;0",DEALS!$E:$E,$H$16,DEALS!$T:$T,"&lt;&gt;*INVOICE*",DEALS!$T:$T,"&lt;&gt;*SWITCH*"))</f>
        <v>0</v>
      </c>
      <c r="K25" s="62">
        <f ca="1">IF($O$3="YES",SUMIFS(DEALS!$J:$J,DEALS!$K:$K,I25,DEALS!$G:$G,$I$16,DEALS!$J:$J,"&lt;0",DEALS!$E:$E,$H$16),SUMIFS(DEALS!$J:$J,DEALS!$K:$K,I25,DEALS!$G:$G,$I$16,DEALS!$J:$J,"&lt;0",DEALS!$E:$E,$H$16,DEALS!$T:$T,"&lt;&gt;*INVOICE*",DEALS!$T:$T,"&lt;&gt;*SWITCH*"))</f>
        <v>0</v>
      </c>
      <c r="L25" s="62">
        <f t="shared" ca="1" si="6"/>
        <v>0</v>
      </c>
      <c r="M25" s="62">
        <f ca="1">L25*VLOOKUP(I25,'FX RATES'!$E$1:$F$10,2,FALSE)</f>
        <v>0</v>
      </c>
    </row>
    <row r="26" spans="3:13" ht="19.5" customHeight="1" thickBot="1">
      <c r="C26" s="45" t="s">
        <v>5</v>
      </c>
      <c r="D26" s="46">
        <f ca="1">D20*VLOOKUP($C20,'FX RATES'!$E$1:$F$10,2,FALSE)+D21*VLOOKUP($C21,'FX RATES'!$E$1:$F$10,2,FALSE)+D22*VLOOKUP($C22,'FX RATES'!$E$1:$F$10,2,FALSE)+D23*VLOOKUP($C23,'FX RATES'!$E$1:$F$10,2,FALSE)+D24*VLOOKUP($C24,'FX RATES'!$E$1:$F$10,2,FALSE)+D25*VLOOKUP($C25,'FX RATES'!$E$1:$F$10,2,FALSE)</f>
        <v>0</v>
      </c>
      <c r="E26" s="46">
        <f ca="1">E20*VLOOKUP($C20,'FX RATES'!$E$1:$F$10,2,FALSE)+E21*VLOOKUP($C21,'FX RATES'!$E$1:$F$10,2,FALSE)+E22*VLOOKUP($C22,'FX RATES'!$E$1:$F$10,2,FALSE)+E23*VLOOKUP($C23,'FX RATES'!$E$1:$F$10,2,FALSE)+E24*VLOOKUP($C24,'FX RATES'!$E$1:$F$10,2,FALSE)+E25*VLOOKUP($C25,'FX RATES'!$E$1:$F$10,2,FALSE)</f>
        <v>0</v>
      </c>
      <c r="F26" s="46">
        <f ca="1">D26+E26</f>
        <v>0</v>
      </c>
      <c r="G26" s="46">
        <f ca="1">SUM(G20:G25)</f>
        <v>0</v>
      </c>
      <c r="H26" s="64"/>
      <c r="I26" s="45" t="s">
        <v>5</v>
      </c>
      <c r="J26" s="46">
        <f ca="1">J20*VLOOKUP($I20,'FX RATES'!$E$1:$F$10,2,FALSE)+J21*VLOOKUP($I21,'FX RATES'!$E$1:$F$10,2,FALSE)+J22*VLOOKUP($I22,'FX RATES'!$E$1:$F$10,2,FALSE)+J23*VLOOKUP($I23,'FX RATES'!$E$1:$F$10,2,FALSE)+J24*VLOOKUP($I24,'FX RATES'!$E$1:$F$10,2,FALSE)+J25*VLOOKUP($I25,'FX RATES'!$E$1:$F$10,2,FALSE)</f>
        <v>0</v>
      </c>
      <c r="K26" s="46">
        <f ca="1">K20*VLOOKUP($I20,'FX RATES'!$E$1:$F$10,2,FALSE)+K21*VLOOKUP($I21,'FX RATES'!$E$1:$F$10,2,FALSE)+K22*VLOOKUP($I22,'FX RATES'!$E$1:$F$10,2,FALSE)+K23*VLOOKUP($I23,'FX RATES'!$E$1:$F$10,2,FALSE)+K24*VLOOKUP($I24,'FX RATES'!$E$1:$F$10,2,FALSE)+K25*VLOOKUP($I25,'FX RATES'!$E$1:$F$10,2,FALSE)</f>
        <v>0</v>
      </c>
      <c r="L26" s="46">
        <f ca="1">J26+K26</f>
        <v>0</v>
      </c>
      <c r="M26" s="46">
        <f ca="1">SUM(M20:M25)</f>
        <v>0</v>
      </c>
    </row>
    <row r="30" spans="3:13" ht="19.5" customHeight="1" thickBot="1">
      <c r="C30" s="597" t="s">
        <v>0</v>
      </c>
      <c r="D30" s="597"/>
      <c r="E30" s="597"/>
      <c r="F30" s="597"/>
      <c r="G30" s="597"/>
      <c r="H30" s="92">
        <f ca="1">H16+1</f>
        <v>46076</v>
      </c>
      <c r="I30" s="597" t="s">
        <v>39</v>
      </c>
      <c r="J30" s="597"/>
      <c r="K30" s="597"/>
      <c r="L30" s="597"/>
      <c r="M30" s="597"/>
    </row>
    <row r="33" spans="3:13" ht="19.5" customHeight="1" thickBot="1">
      <c r="C33" s="58" t="s">
        <v>33</v>
      </c>
      <c r="D33" s="59" t="s">
        <v>108</v>
      </c>
      <c r="E33" s="60" t="s">
        <v>109</v>
      </c>
      <c r="F33" s="60" t="s">
        <v>110</v>
      </c>
      <c r="G33" s="60" t="s">
        <v>111</v>
      </c>
      <c r="I33" s="58" t="s">
        <v>33</v>
      </c>
      <c r="J33" s="59" t="s">
        <v>108</v>
      </c>
      <c r="K33" s="60" t="s">
        <v>109</v>
      </c>
      <c r="L33" s="60" t="s">
        <v>110</v>
      </c>
      <c r="M33" s="60" t="s">
        <v>111</v>
      </c>
    </row>
    <row r="34" spans="3:13" ht="19.5" customHeight="1">
      <c r="C34" s="61" t="s">
        <v>5</v>
      </c>
      <c r="D34" s="62">
        <f ca="1">IF($O$3="YES",SUMIFS(DEALS!$R:$R,DEALS!$S:$S,C34,DEALS!$O:$O,$C$30,DEALS!$R:$R,"&gt;0",DEALS!$E:$E,$H$30),SUMIFS(DEALS!$R:$R,DEALS!$S:$S,C34,DEALS!$O:$O,$C$30,DEALS!$R:$R,"&gt;0",DEALS!$E:$E,$H$30,DEALS!$T:$T,"&lt;&gt;*INVOICE*",DEALS!$T:$T,"&lt;&gt;*SWITCH*"))</f>
        <v>0</v>
      </c>
      <c r="E34" s="62">
        <f ca="1">IF($O$3="YES",SUMIFS(DEALS!$J:$J,DEALS!$K:$K,C34,DEALS!$G:$G,$C$30,DEALS!$J:$J,"&lt;0",DEALS!$E:$E,$H$30),SUMIFS(DEALS!$J:$J,DEALS!$K:$K,C34,DEALS!$G:$G,$C$30,DEALS!$J:$J,"&lt;0",DEALS!$E:$E,$H$30,DEALS!$T:$T,"&lt;&gt;*INVOICE*",DEALS!$T:$T,"&lt;&gt;*SWITCH*"))</f>
        <v>0</v>
      </c>
      <c r="F34" s="62">
        <f ca="1">D34+E34</f>
        <v>0</v>
      </c>
      <c r="G34" s="62">
        <f ca="1">F34*VLOOKUP(C34,'FX RATES'!$E$1:$F$10,2,FALSE)</f>
        <v>0</v>
      </c>
      <c r="I34" s="61" t="s">
        <v>5</v>
      </c>
      <c r="J34" s="62">
        <f ca="1">IF($O$3="YES",SUMIFS(DEALS!$R:$R,DEALS!$S:$S,I34,DEALS!$O:$O,$I$30,DEALS!$R:$R,"&gt;0",DEALS!$E:$E,$H$30),SUMIFS(DEALS!$R:$R,DEALS!$S:$S,I34,DEALS!$O:$O,$I$30,DEALS!$R:$R,"&gt;0",DEALS!$E:$E,$H$30,DEALS!$T:$T,"&lt;&gt;*INVOICE*",DEALS!$T:$T,"&lt;&gt;*SWITCH*"))</f>
        <v>0</v>
      </c>
      <c r="K34" s="62">
        <f ca="1">IF($O$3="YES",SUMIFS(DEALS!$J:$J,DEALS!$K:$K,I34,DEALS!$G:$G,$I$30,DEALS!$J:$J,"&lt;0",DEALS!$E:$E,$H$30),SUMIFS(DEALS!$J:$J,DEALS!$K:$K,I34,DEALS!$G:$G,$I$30,DEALS!$J:$J,"&lt;0",DEALS!$E:$E,$H$30,DEALS!$T:$T,"&lt;&gt;*INVOICE*",DEALS!$T:$T,"&lt;&gt;*SWITCH*"))</f>
        <v>0</v>
      </c>
      <c r="L34" s="62">
        <f t="shared" ref="L34:L36" ca="1" si="7">J34+K34</f>
        <v>0</v>
      </c>
      <c r="M34" s="62">
        <f ca="1">L34*VLOOKUP(I34,'FX RATES'!$E$1:$F$10,2,FALSE)</f>
        <v>0</v>
      </c>
    </row>
    <row r="35" spans="3:13" ht="19.5" customHeight="1">
      <c r="C35" s="61" t="s">
        <v>6</v>
      </c>
      <c r="D35" s="62">
        <f ca="1">IF($O$3="YES",SUMIFS(DEALS!$R:$R,DEALS!$S:$S,C35,DEALS!$O:$O,$C$30,DEALS!$R:$R,"&gt;0",DEALS!$E:$E,$H$30),SUMIFS(DEALS!$R:$R,DEALS!$S:$S,C35,DEALS!$O:$O,$C$30,DEALS!$R:$R,"&gt;0",DEALS!$E:$E,$H$30,DEALS!$T:$T,"&lt;&gt;*INVOICE*",DEALS!$T:$T,"&lt;&gt;*SWITCH*"))</f>
        <v>0</v>
      </c>
      <c r="E35" s="62">
        <f ca="1">IF($O$3="YES",SUMIFS(DEALS!$J:$J,DEALS!$K:$K,C35,DEALS!$G:$G,$C$30,DEALS!$J:$J,"&lt;0",DEALS!$E:$E,$H$30),SUMIFS(DEALS!$J:$J,DEALS!$K:$K,C35,DEALS!$G:$G,$C$30,DEALS!$J:$J,"&lt;0",DEALS!$E:$E,$H$30,DEALS!$T:$T,"&lt;&gt;*INVOICE*",DEALS!$T:$T,"&lt;&gt;*SWITCH*"))</f>
        <v>0</v>
      </c>
      <c r="F35" s="62">
        <f t="shared" ref="F35:F36" ca="1" si="8">D35+E35</f>
        <v>0</v>
      </c>
      <c r="G35" s="62">
        <f ca="1">F35*VLOOKUP(C35,'FX RATES'!$E$1:$F$10,2,FALSE)</f>
        <v>0</v>
      </c>
      <c r="I35" s="61" t="s">
        <v>6</v>
      </c>
      <c r="J35" s="62">
        <f ca="1">IF($O$3="YES",SUMIFS(DEALS!$R:$R,DEALS!$S:$S,I35,DEALS!$O:$O,$I$30,DEALS!$R:$R,"&gt;0",DEALS!$E:$E,$H$30),SUMIFS(DEALS!$R:$R,DEALS!$S:$S,I35,DEALS!$O:$O,$I$30,DEALS!$R:$R,"&gt;0",DEALS!$E:$E,$H$30,DEALS!$T:$T,"&lt;&gt;*INVOICE*",DEALS!$T:$T,"&lt;&gt;*SWITCH*"))</f>
        <v>0</v>
      </c>
      <c r="K35" s="62">
        <f ca="1">IF($O$3="YES",SUMIFS(DEALS!$J:$J,DEALS!$K:$K,I35,DEALS!$G:$G,$I$30,DEALS!$J:$J,"&lt;0",DEALS!$E:$E,$H$30),SUMIFS(DEALS!$J:$J,DEALS!$K:$K,I35,DEALS!$G:$G,$I$30,DEALS!$J:$J,"&lt;0",DEALS!$E:$E,$H$30,DEALS!$T:$T,"&lt;&gt;*INVOICE*",DEALS!$T:$T,"&lt;&gt;*SWITCH*"))</f>
        <v>0</v>
      </c>
      <c r="L35" s="62">
        <f t="shared" ca="1" si="7"/>
        <v>0</v>
      </c>
      <c r="M35" s="62">
        <f ca="1">L35*VLOOKUP(I35,'FX RATES'!$E$1:$F$10,2,FALSE)</f>
        <v>0</v>
      </c>
    </row>
    <row r="36" spans="3:13" ht="19.5" customHeight="1">
      <c r="C36" s="61" t="s">
        <v>7</v>
      </c>
      <c r="D36" s="62">
        <f ca="1">IF($O$3="YES",SUMIFS(DEALS!$R:$R,DEALS!$S:$S,C36,DEALS!$O:$O,$C$30,DEALS!$R:$R,"&gt;0",DEALS!$E:$E,$H$30),SUMIFS(DEALS!$R:$R,DEALS!$S:$S,C36,DEALS!$O:$O,$C$30,DEALS!$R:$R,"&gt;0",DEALS!$E:$E,$H$30,DEALS!$T:$T,"&lt;&gt;*INVOICE*",DEALS!$T:$T,"&lt;&gt;*SWITCH*"))</f>
        <v>0</v>
      </c>
      <c r="E36" s="62">
        <f ca="1">IF($O$3="YES",SUMIFS(DEALS!$J:$J,DEALS!$K:$K,C36,DEALS!$G:$G,$C$30,DEALS!$J:$J,"&lt;0",DEALS!$E:$E,$H$30),SUMIFS(DEALS!$J:$J,DEALS!$K:$K,C36,DEALS!$G:$G,$C$30,DEALS!$J:$J,"&lt;0",DEALS!$E:$E,$H$30,DEALS!$T:$T,"&lt;&gt;*INVOICE*",DEALS!$T:$T,"&lt;&gt;*SWITCH*"))</f>
        <v>0</v>
      </c>
      <c r="F36" s="62">
        <f t="shared" ca="1" si="8"/>
        <v>0</v>
      </c>
      <c r="G36" s="62">
        <f ca="1">F36*VLOOKUP(C36,'FX RATES'!$E$1:$F$10,2,FALSE)</f>
        <v>0</v>
      </c>
      <c r="I36" s="61" t="s">
        <v>7</v>
      </c>
      <c r="J36" s="62">
        <f ca="1">IF($O$3="YES",SUMIFS(DEALS!$R:$R,DEALS!$S:$S,I36,DEALS!$O:$O,$I$30,DEALS!$R:$R,"&gt;0",DEALS!$E:$E,$H$30),SUMIFS(DEALS!$R:$R,DEALS!$S:$S,I36,DEALS!$O:$O,$I$30,DEALS!$R:$R,"&gt;0",DEALS!$E:$E,$H$30,DEALS!$T:$T,"&lt;&gt;*INVOICE*",DEALS!$T:$T,"&lt;&gt;*SWITCH*"))</f>
        <v>0</v>
      </c>
      <c r="K36" s="62">
        <f ca="1">IF($O$3="YES",SUMIFS(DEALS!$J:$J,DEALS!$K:$K,I36,DEALS!$G:$G,$I$30,DEALS!$J:$J,"&lt;0",DEALS!$E:$E,$H$30),SUMIFS(DEALS!$J:$J,DEALS!$K:$K,I36,DEALS!$G:$G,$I$30,DEALS!$J:$J,"&lt;0",DEALS!$E:$E,$H$30,DEALS!$T:$T,"&lt;&gt;*INVOICE*",DEALS!$T:$T,"&lt;&gt;*SWITCH*"))</f>
        <v>0</v>
      </c>
      <c r="L36" s="62">
        <f t="shared" ca="1" si="7"/>
        <v>0</v>
      </c>
      <c r="M36" s="62">
        <f ca="1">L36*VLOOKUP(I36,'FX RATES'!$E$1:$F$10,2,FALSE)</f>
        <v>0</v>
      </c>
    </row>
    <row r="37" spans="3:13" ht="19.5" customHeight="1">
      <c r="C37" s="61" t="s">
        <v>8</v>
      </c>
      <c r="D37" s="62">
        <f ca="1">IF($O$3="YES",SUMIFS(DEALS!$R:$R,DEALS!$S:$S,C37,DEALS!$O:$O,$C$30,DEALS!$R:$R,"&gt;0",DEALS!$E:$E,$H$30),SUMIFS(DEALS!$R:$R,DEALS!$S:$S,C37,DEALS!$O:$O,$C$30,DEALS!$R:$R,"&gt;0",DEALS!$E:$E,$H$30,DEALS!$T:$T,"&lt;&gt;*INVOICE*",DEALS!$T:$T,"&lt;&gt;*SWITCH*"))</f>
        <v>0</v>
      </c>
      <c r="E37" s="62">
        <f ca="1">IF($O$3="YES",SUMIFS(DEALS!$J:$J,DEALS!$K:$K,C37,DEALS!$G:$G,$C$30,DEALS!$J:$J,"&lt;0",DEALS!$E:$E,$H$30),SUMIFS(DEALS!$J:$J,DEALS!$K:$K,C37,DEALS!$G:$G,$C$30,DEALS!$J:$J,"&lt;0",DEALS!$E:$E,$H$30,DEALS!$T:$T,"&lt;&gt;*INVOICE*",DEALS!$T:$T,"&lt;&gt;*SWITCH*"))</f>
        <v>0</v>
      </c>
      <c r="F37" s="62">
        <f ca="1">D37+E37</f>
        <v>0</v>
      </c>
      <c r="G37" s="62">
        <f ca="1">F37*VLOOKUP(C37,'FX RATES'!$E$1:$F$10,2,FALSE)</f>
        <v>0</v>
      </c>
      <c r="I37" s="61" t="s">
        <v>8</v>
      </c>
      <c r="J37" s="62">
        <f ca="1">IF($O$3="YES",SUMIFS(DEALS!$R:$R,DEALS!$S:$S,I37,DEALS!$O:$O,$I$30,DEALS!$R:$R,"&gt;0",DEALS!$E:$E,$H$30),SUMIFS(DEALS!$R:$R,DEALS!$S:$S,I37,DEALS!$O:$O,$I$30,DEALS!$R:$R,"&gt;0",DEALS!$E:$E,$H$30,DEALS!$T:$T,"&lt;&gt;*INVOICE*",DEALS!$T:$T,"&lt;&gt;*SWITCH*"))</f>
        <v>0</v>
      </c>
      <c r="K37" s="62">
        <f ca="1">IF($O$3="YES",SUMIFS(DEALS!$J:$J,DEALS!$K:$K,I37,DEALS!$G:$G,$I$30,DEALS!$J:$J,"&lt;0",DEALS!$E:$E,$H$30),SUMIFS(DEALS!$J:$J,DEALS!$K:$K,I37,DEALS!$G:$G,$I$30,DEALS!$J:$J,"&lt;0",DEALS!$E:$E,$H$30,DEALS!$T:$T,"&lt;&gt;*INVOICE*",DEALS!$T:$T,"&lt;&gt;*SWITCH*"))</f>
        <v>0</v>
      </c>
      <c r="L37" s="62">
        <f ca="1">J37+K37</f>
        <v>0</v>
      </c>
      <c r="M37" s="62">
        <f ca="1">L37*VLOOKUP(I37,'FX RATES'!$E$1:$F$10,2,FALSE)</f>
        <v>0</v>
      </c>
    </row>
    <row r="38" spans="3:13" ht="19.5" customHeight="1">
      <c r="C38" s="61" t="s">
        <v>9</v>
      </c>
      <c r="D38" s="62">
        <f ca="1">IF($O$3="YES",SUMIFS(DEALS!$R:$R,DEALS!$S:$S,C38,DEALS!$O:$O,$C$30,DEALS!$R:$R,"&gt;0",DEALS!$E:$E,$H$30),SUMIFS(DEALS!$R:$R,DEALS!$S:$S,C38,DEALS!$O:$O,$C$30,DEALS!$R:$R,"&gt;0",DEALS!$E:$E,$H$30,DEALS!$T:$T,"&lt;&gt;*INVOICE*",DEALS!$T:$T,"&lt;&gt;*SWITCH*"))</f>
        <v>0</v>
      </c>
      <c r="E38" s="62">
        <f ca="1">IF($O$3="YES",SUMIFS(DEALS!$J:$J,DEALS!$K:$K,C38,DEALS!$G:$G,$C$30,DEALS!$J:$J,"&lt;0",DEALS!$E:$E,$H$30),SUMIFS(DEALS!$J:$J,DEALS!$K:$K,C38,DEALS!$G:$G,$C$30,DEALS!$J:$J,"&lt;0",DEALS!$E:$E,$H$30,DEALS!$T:$T,"&lt;&gt;*INVOICE*",DEALS!$T:$T,"&lt;&gt;*SWITCH*"))</f>
        <v>0</v>
      </c>
      <c r="F38" s="62">
        <f t="shared" ref="F38:F39" ca="1" si="9">D38+E38</f>
        <v>0</v>
      </c>
      <c r="G38" s="62">
        <f ca="1">F38*VLOOKUP(C38,'FX RATES'!$E$1:$F$10,2,FALSE)</f>
        <v>0</v>
      </c>
      <c r="I38" s="61" t="s">
        <v>9</v>
      </c>
      <c r="J38" s="62">
        <f ca="1">IF($O$3="YES",SUMIFS(DEALS!$R:$R,DEALS!$S:$S,I38,DEALS!$O:$O,$I$30,DEALS!$R:$R,"&gt;0",DEALS!$E:$E,$H$30),SUMIFS(DEALS!$R:$R,DEALS!$S:$S,I38,DEALS!$O:$O,$I$30,DEALS!$R:$R,"&gt;0",DEALS!$E:$E,$H$30,DEALS!$T:$T,"&lt;&gt;*INVOICE*",DEALS!$T:$T,"&lt;&gt;*SWITCH*"))</f>
        <v>0</v>
      </c>
      <c r="K38" s="62">
        <f ca="1">IF($O$3="YES",SUMIFS(DEALS!$J:$J,DEALS!$K:$K,I38,DEALS!$G:$G,$I$30,DEALS!$J:$J,"&lt;0",DEALS!$E:$E,$H$30),SUMIFS(DEALS!$J:$J,DEALS!$K:$K,I38,DEALS!$G:$G,$I$30,DEALS!$J:$J,"&lt;0",DEALS!$E:$E,$H$30,DEALS!$T:$T,"&lt;&gt;*INVOICE*",DEALS!$T:$T,"&lt;&gt;*SWITCH*"))</f>
        <v>0</v>
      </c>
      <c r="L38" s="62">
        <f t="shared" ref="L38:L39" ca="1" si="10">J38+K38</f>
        <v>0</v>
      </c>
      <c r="M38" s="62">
        <f ca="1">L38*VLOOKUP(I38,'FX RATES'!$E$1:$F$10,2,FALSE)</f>
        <v>0</v>
      </c>
    </row>
    <row r="39" spans="3:13" ht="19.5" customHeight="1" thickBot="1">
      <c r="C39" s="63" t="s">
        <v>91</v>
      </c>
      <c r="D39" s="62">
        <f ca="1">IF($O$3="YES",SUMIFS(DEALS!$R:$R,DEALS!$S:$S,C39,DEALS!$O:$O,$C$30,DEALS!$R:$R,"&gt;0",DEALS!$E:$E,$H$30),SUMIFS(DEALS!$R:$R,DEALS!$S:$S,C39,DEALS!$O:$O,$C$30,DEALS!$R:$R,"&gt;0",DEALS!$E:$E,$H$30,DEALS!$T:$T,"&lt;&gt;*INVOICE*",DEALS!$T:$T,"&lt;&gt;*SWITCH*"))</f>
        <v>0</v>
      </c>
      <c r="E39" s="62">
        <f ca="1">IF($O$3="YES",SUMIFS(DEALS!$J:$J,DEALS!$K:$K,C39,DEALS!$G:$G,$C$30,DEALS!$J:$J,"&lt;0",DEALS!$E:$E,$H$30),SUMIFS(DEALS!$J:$J,DEALS!$K:$K,C39,DEALS!$G:$G,$C$30,DEALS!$J:$J,"&lt;0",DEALS!$E:$E,$H$30,DEALS!$T:$T,"&lt;&gt;*INVOICE*",DEALS!$T:$T,"&lt;&gt;*SWITCH*"))</f>
        <v>0</v>
      </c>
      <c r="F39" s="62">
        <f t="shared" ca="1" si="9"/>
        <v>0</v>
      </c>
      <c r="G39" s="62">
        <f ca="1">F39*VLOOKUP(C39,'FX RATES'!$E$1:$F$10,2,FALSE)</f>
        <v>0</v>
      </c>
      <c r="I39" s="63" t="s">
        <v>91</v>
      </c>
      <c r="J39" s="62">
        <f ca="1">IF($O$3="YES",SUMIFS(DEALS!$R:$R,DEALS!$S:$S,I39,DEALS!$O:$O,$I$30,DEALS!$R:$R,"&gt;0",DEALS!$E:$E,$H$30),SUMIFS(DEALS!$R:$R,DEALS!$S:$S,I39,DEALS!$O:$O,$I$30,DEALS!$R:$R,"&gt;0",DEALS!$E:$E,$H$30,DEALS!$T:$T,"&lt;&gt;*INVOICE*",DEALS!$T:$T,"&lt;&gt;*SWITCH*"))</f>
        <v>0</v>
      </c>
      <c r="K39" s="62">
        <f ca="1">IF($O$3="YES",SUMIFS(DEALS!$J:$J,DEALS!$K:$K,I39,DEALS!$G:$G,$I$30,DEALS!$J:$J,"&lt;0",DEALS!$E:$E,$H$30),SUMIFS(DEALS!$J:$J,DEALS!$K:$K,I39,DEALS!$G:$G,$I$30,DEALS!$J:$J,"&lt;0",DEALS!$E:$E,$H$30,DEALS!$T:$T,"&lt;&gt;*INVOICE*",DEALS!$T:$T,"&lt;&gt;*SWITCH*"))</f>
        <v>0</v>
      </c>
      <c r="L39" s="62">
        <f t="shared" ca="1" si="10"/>
        <v>0</v>
      </c>
      <c r="M39" s="62">
        <f ca="1">L39*VLOOKUP(I39,'FX RATES'!$E$1:$F$10,2,FALSE)</f>
        <v>0</v>
      </c>
    </row>
    <row r="40" spans="3:13" ht="19.5" customHeight="1" thickBot="1">
      <c r="C40" s="45" t="s">
        <v>5</v>
      </c>
      <c r="D40" s="46">
        <f ca="1">D34*VLOOKUP($C34,'FX RATES'!$E$1:$F$10,2,FALSE)+D35*VLOOKUP($C35,'FX RATES'!$E$1:$F$10,2,FALSE)+D36*VLOOKUP($C36,'FX RATES'!$E$1:$F$10,2,FALSE)+D37*VLOOKUP($C37,'FX RATES'!$E$1:$F$10,2,FALSE)+D38*VLOOKUP($C38,'FX RATES'!$E$1:$F$10,2,FALSE)+D39*VLOOKUP($C39,'FX RATES'!$E$1:$F$10,2,FALSE)</f>
        <v>0</v>
      </c>
      <c r="E40" s="46">
        <f ca="1">E34*VLOOKUP($C34,'FX RATES'!$E$1:$F$10,2,FALSE)+E35*VLOOKUP($C35,'FX RATES'!$E$1:$F$10,2,FALSE)+E36*VLOOKUP($C36,'FX RATES'!$E$1:$F$10,2,FALSE)+E37*VLOOKUP($C37,'FX RATES'!$E$1:$F$10,2,FALSE)+E38*VLOOKUP($C38,'FX RATES'!$E$1:$F$10,2,FALSE)+E39*VLOOKUP($C39,'FX RATES'!$E$1:$F$10,2,FALSE)</f>
        <v>0</v>
      </c>
      <c r="F40" s="46">
        <f ca="1">D40+E40</f>
        <v>0</v>
      </c>
      <c r="G40" s="46">
        <f ca="1">SUM(G34:G39)</f>
        <v>0</v>
      </c>
      <c r="H40" s="64"/>
      <c r="I40" s="45" t="s">
        <v>5</v>
      </c>
      <c r="J40" s="46">
        <f ca="1">J34*VLOOKUP($I34,'FX RATES'!$E$1:$F$10,2,FALSE)+J35*VLOOKUP($I35,'FX RATES'!$E$1:$F$10,2,FALSE)+J36*VLOOKUP($I36,'FX RATES'!$E$1:$F$10,2,FALSE)+J37*VLOOKUP($I37,'FX RATES'!$E$1:$F$10,2,FALSE)+J38*VLOOKUP($I38,'FX RATES'!$E$1:$F$10,2,FALSE)+J39*VLOOKUP($I39,'FX RATES'!$E$1:$F$10,2,FALSE)</f>
        <v>0</v>
      </c>
      <c r="K40" s="46">
        <f ca="1">K34*VLOOKUP($I34,'FX RATES'!$E$1:$F$10,2,FALSE)+K35*VLOOKUP($I35,'FX RATES'!$E$1:$F$10,2,FALSE)+K36*VLOOKUP($I36,'FX RATES'!$E$1:$F$10,2,FALSE)+K37*VLOOKUP($I37,'FX RATES'!$E$1:$F$10,2,FALSE)+K38*VLOOKUP($I38,'FX RATES'!$E$1:$F$10,2,FALSE)+K39*VLOOKUP($I39,'FX RATES'!$E$1:$F$10,2,FALSE)</f>
        <v>0</v>
      </c>
      <c r="L40" s="46">
        <f ca="1">J40+K40</f>
        <v>0</v>
      </c>
      <c r="M40" s="46">
        <f ca="1">SUM(M34:M39)</f>
        <v>0</v>
      </c>
    </row>
    <row r="43" spans="3:13" ht="19.5" customHeight="1">
      <c r="G43" s="92">
        <f ca="1">TODAY()</f>
        <v>46074</v>
      </c>
      <c r="H43" s="7" t="s">
        <v>112</v>
      </c>
      <c r="I43" s="92">
        <f ca="1">G43+10</f>
        <v>46084</v>
      </c>
    </row>
    <row r="46" spans="3:13" ht="19.5" customHeight="1" thickBot="1">
      <c r="C46" s="597" t="s">
        <v>0</v>
      </c>
      <c r="D46" s="597"/>
      <c r="E46" s="597"/>
      <c r="F46" s="597"/>
      <c r="G46" s="597"/>
      <c r="I46" s="597" t="s">
        <v>27</v>
      </c>
      <c r="J46" s="597"/>
      <c r="K46" s="597"/>
      <c r="L46" s="597"/>
      <c r="M46" s="597"/>
    </row>
    <row r="49" spans="3:13" ht="19.5" customHeight="1" thickBot="1">
      <c r="C49" s="58" t="s">
        <v>33</v>
      </c>
      <c r="D49" s="59" t="s">
        <v>108</v>
      </c>
      <c r="E49" s="60" t="s">
        <v>109</v>
      </c>
      <c r="F49" s="60" t="s">
        <v>110</v>
      </c>
      <c r="G49" s="60" t="s">
        <v>111</v>
      </c>
      <c r="I49" s="58" t="s">
        <v>33</v>
      </c>
      <c r="J49" s="59" t="s">
        <v>108</v>
      </c>
      <c r="K49" s="60" t="s">
        <v>109</v>
      </c>
      <c r="L49" s="60" t="s">
        <v>110</v>
      </c>
      <c r="M49" s="60" t="s">
        <v>111</v>
      </c>
    </row>
    <row r="50" spans="3:13" ht="19.5" customHeight="1">
      <c r="C50" s="61" t="s">
        <v>5</v>
      </c>
      <c r="D50" s="62">
        <f ca="1">IF($O$3="YES",SUMIFS(DEALS!$R:$R,DEALS!$S:$S,C50,DEALS!$O:$O,$C$46,DEALS!$R:$R,"&gt;0",DEALS!$E:$E,"&gt;="&amp;$G$43,DEALS!$E:$E,"&lt;="&amp;$I$43),SUMIFS(DEALS!$R:$R,DEALS!$S:$S,C50,DEALS!$O:$O,$C$46,DEALS!$R:$R,"&gt;0",DEALS!$E:$E,"&gt;="&amp;$G$43,DEALS!$E:$E,"&lt;="&amp;$I$43,DEALS!$T:$T,"&lt;&gt;*INVOICE*",DEALS!$T:$T,"&lt;&gt;*SWITCH*"))</f>
        <v>0</v>
      </c>
      <c r="E50" s="62">
        <f ca="1">IF($O$3="YES",SUMIFS(DEALS!$J:$J,DEALS!$K:$K,C50,DEALS!$G:$G,$C$46,DEALS!$J:$J,"&lt;0",DEALS!$E:$E,"&gt;="&amp;$G$43,DEALS!$E:$E,"&lt;="&amp;$I$43),SUMIFS(DEALS!$J:$J,DEALS!$K:$K,C50,DEALS!$G:$G,$C$46,DEALS!$J:$J,"&lt;0",DEALS!$E:$E,"&gt;="&amp;$G$43,DEALS!$E:$E,"&lt;="&amp;$I$43,DEALS!$T:$T,"&lt;&gt;*INVOICE*",DEALS!$T:$T,"&lt;&gt;*SWITCH*"))</f>
        <v>0</v>
      </c>
      <c r="F50" s="62">
        <f ca="1">D50+E50</f>
        <v>0</v>
      </c>
      <c r="G50" s="62">
        <f ca="1">F50*VLOOKUP(C50,'FX RATES'!$E$1:$F$10,2,FALSE)</f>
        <v>0</v>
      </c>
      <c r="I50" s="61" t="s">
        <v>5</v>
      </c>
      <c r="J50" s="62">
        <f ca="1">IF($O$3="YES",SUMIFS(DEALS!$R:$R,DEALS!$S:$S,I50,DEALS!$O:$O,$I$46,DEALS!$R:$R,"&gt;0",DEALS!$E:$E,"&gt;="&amp;$G$43,DEALS!$E:$E,"&lt;="&amp;$I$43),SUMIFS(DEALS!$R:$R,DEALS!$S:$S,I50,DEALS!$O:$O,$I$46,DEALS!$R:$R,"&gt;0",DEALS!$E:$E,"&gt;="&amp;$G$43,DEALS!$E:$E,"&lt;="&amp;$I$43,DEALS!$T:$T,"&lt;&gt;*INVOICE*",DEALS!$T:$T,"&lt;&gt;*SWITCH*"))</f>
        <v>0</v>
      </c>
      <c r="K50" s="62">
        <f ca="1">IF($O$3="YES",SUMIFS(DEALS!$J:$J,DEALS!$K:$K,I50,DEALS!$G:$G,$I$46,DEALS!$J:$J,"&lt;0",DEALS!$E:$E,"&gt;="&amp;$G$43,DEALS!$E:$E,"&lt;="&amp;$I$43),SUMIFS(DEALS!$J:$J,DEALS!$K:$K,I50,DEALS!$G:$G,$I$46,DEALS!$J:$J,"&lt;0",DEALS!$E:$E,"&gt;="&amp;$G$43,DEALS!$E:$E,"&lt;="&amp;$I$43,DEALS!$T:$T,"&lt;&gt;*INVOICE*",DEALS!$T:$T,"&lt;&gt;*SWITCH*"))</f>
        <v>0</v>
      </c>
      <c r="L50" s="62">
        <f ca="1">J50+K50</f>
        <v>0</v>
      </c>
      <c r="M50" s="62">
        <f ca="1">L50*VLOOKUP(I50,'FX RATES'!$E$1:$F$10,2,FALSE)</f>
        <v>0</v>
      </c>
    </row>
    <row r="51" spans="3:13" ht="19.5" customHeight="1">
      <c r="C51" s="61" t="s">
        <v>6</v>
      </c>
      <c r="D51" s="62">
        <f ca="1">IF($O$3="YES",SUMIFS(DEALS!$R:$R,DEALS!$S:$S,C51,DEALS!$O:$O,$C$46,DEALS!$R:$R,"&gt;0",DEALS!$E:$E,"&gt;="&amp;$G$43,DEALS!$E:$E,"&lt;="&amp;$I$43),SUMIFS(DEALS!$R:$R,DEALS!$S:$S,C51,DEALS!$O:$O,$C$46,DEALS!$R:$R,"&gt;0",DEALS!$E:$E,"&gt;="&amp;$G$43,DEALS!$E:$E,"&lt;="&amp;$I$43,DEALS!$T:$T,"&lt;&gt;*INVOICE*",DEALS!$T:$T,"&lt;&gt;*SWITCH*"))</f>
        <v>0</v>
      </c>
      <c r="E51" s="62">
        <f ca="1">IF($O$3="YES",SUMIFS(DEALS!$J:$J,DEALS!$K:$K,C51,DEALS!$G:$G,$C$46,DEALS!$J:$J,"&lt;0",DEALS!$E:$E,"&gt;="&amp;$G$43,DEALS!$E:$E,"&lt;="&amp;$I$43),SUMIFS(DEALS!$J:$J,DEALS!$K:$K,C51,DEALS!$G:$G,$C$46,DEALS!$J:$J,"&lt;0",DEALS!$E:$E,"&gt;="&amp;$G$43,DEALS!$E:$E,"&lt;="&amp;$I$43,DEALS!$T:$T,"&lt;&gt;*INVOICE*",DEALS!$T:$T,"&lt;&gt;*SWITCH*"))</f>
        <v>0</v>
      </c>
      <c r="F51" s="62">
        <f t="shared" ref="F51:F52" ca="1" si="11">D51+E51</f>
        <v>0</v>
      </c>
      <c r="G51" s="62">
        <f ca="1">F51*VLOOKUP(C51,'FX RATES'!$E$1:$F$10,2,FALSE)</f>
        <v>0</v>
      </c>
      <c r="I51" s="61" t="s">
        <v>6</v>
      </c>
      <c r="J51" s="62">
        <f ca="1">IF($O$3="YES",SUMIFS(DEALS!$R:$R,DEALS!$S:$S,I51,DEALS!$O:$O,$I$46,DEALS!$R:$R,"&gt;0",DEALS!$E:$E,"&gt;="&amp;$G$43,DEALS!$E:$E,"&lt;="&amp;$I$43),SUMIFS(DEALS!$R:$R,DEALS!$S:$S,I51,DEALS!$O:$O,$I$46,DEALS!$R:$R,"&gt;0",DEALS!$E:$E,"&gt;="&amp;$G$43,DEALS!$E:$E,"&lt;="&amp;$I$43,DEALS!$T:$T,"&lt;&gt;*INVOICE*",DEALS!$T:$T,"&lt;&gt;*SWITCH*"))</f>
        <v>0</v>
      </c>
      <c r="K51" s="62">
        <f ca="1">IF($O$3="YES",SUMIFS(DEALS!$J:$J,DEALS!$K:$K,I51,DEALS!$G:$G,$I$46,DEALS!$J:$J,"&lt;0",DEALS!$E:$E,"&gt;="&amp;$G$43,DEALS!$E:$E,"&lt;="&amp;$I$43),SUMIFS(DEALS!$J:$J,DEALS!$K:$K,I51,DEALS!$G:$G,$I$46,DEALS!$J:$J,"&lt;0",DEALS!$E:$E,"&gt;="&amp;$G$43,DEALS!$E:$E,"&lt;="&amp;$I$43,DEALS!$T:$T,"&lt;&gt;*INVOICE*",DEALS!$T:$T,"&lt;&gt;*SWITCH*"))</f>
        <v>0</v>
      </c>
      <c r="L51" s="62">
        <f t="shared" ref="L51:L52" ca="1" si="12">J51+K51</f>
        <v>0</v>
      </c>
      <c r="M51" s="62">
        <f ca="1">L51*VLOOKUP(I51,'FX RATES'!$E$1:$F$10,2,FALSE)</f>
        <v>0</v>
      </c>
    </row>
    <row r="52" spans="3:13" ht="19.5" customHeight="1">
      <c r="C52" s="61" t="s">
        <v>7</v>
      </c>
      <c r="D52" s="62">
        <f ca="1">IF($O$3="YES",SUMIFS(DEALS!$R:$R,DEALS!$S:$S,C52,DEALS!$O:$O,$C$46,DEALS!$R:$R,"&gt;0",DEALS!$E:$E,"&gt;="&amp;$G$43,DEALS!$E:$E,"&lt;="&amp;$I$43),SUMIFS(DEALS!$R:$R,DEALS!$S:$S,C52,DEALS!$O:$O,$C$46,DEALS!$R:$R,"&gt;0",DEALS!$E:$E,"&gt;="&amp;$G$43,DEALS!$E:$E,"&lt;="&amp;$I$43,DEALS!$T:$T,"&lt;&gt;*INVOICE*",DEALS!$T:$T,"&lt;&gt;*SWITCH*"))</f>
        <v>0</v>
      </c>
      <c r="E52" s="62">
        <f ca="1">IF($O$3="YES",SUMIFS(DEALS!$J:$J,DEALS!$K:$K,C52,DEALS!$G:$G,$C$46,DEALS!$J:$J,"&lt;0",DEALS!$E:$E,"&gt;="&amp;$G$43,DEALS!$E:$E,"&lt;="&amp;$I$43),SUMIFS(DEALS!$J:$J,DEALS!$K:$K,C52,DEALS!$G:$G,$C$46,DEALS!$J:$J,"&lt;0",DEALS!$E:$E,"&gt;="&amp;$G$43,DEALS!$E:$E,"&lt;="&amp;$I$43,DEALS!$T:$T,"&lt;&gt;*INVOICE*",DEALS!$T:$T,"&lt;&gt;*SWITCH*"))</f>
        <v>0</v>
      </c>
      <c r="F52" s="62">
        <f t="shared" ca="1" si="11"/>
        <v>0</v>
      </c>
      <c r="G52" s="62">
        <f ca="1">F52*VLOOKUP(C52,'FX RATES'!$E$1:$F$10,2,FALSE)</f>
        <v>0</v>
      </c>
      <c r="I52" s="61" t="s">
        <v>7</v>
      </c>
      <c r="J52" s="62">
        <f ca="1">IF($O$3="YES",SUMIFS(DEALS!$R:$R,DEALS!$S:$S,I52,DEALS!$O:$O,$I$46,DEALS!$R:$R,"&gt;0",DEALS!$E:$E,"&gt;="&amp;$G$43,DEALS!$E:$E,"&lt;="&amp;$I$43),SUMIFS(DEALS!$R:$R,DEALS!$S:$S,I52,DEALS!$O:$O,$I$46,DEALS!$R:$R,"&gt;0",DEALS!$E:$E,"&gt;="&amp;$G$43,DEALS!$E:$E,"&lt;="&amp;$I$43,DEALS!$T:$T,"&lt;&gt;*INVOICE*",DEALS!$T:$T,"&lt;&gt;*SWITCH*"))</f>
        <v>0</v>
      </c>
      <c r="K52" s="62">
        <f ca="1">IF($O$3="YES",SUMIFS(DEALS!$J:$J,DEALS!$K:$K,I52,DEALS!$G:$G,$I$46,DEALS!$J:$J,"&lt;0",DEALS!$E:$E,"&gt;="&amp;$G$43,DEALS!$E:$E,"&lt;="&amp;$I$43),SUMIFS(DEALS!$J:$J,DEALS!$K:$K,I52,DEALS!$G:$G,$I$46,DEALS!$J:$J,"&lt;0",DEALS!$E:$E,"&gt;="&amp;$G$43,DEALS!$E:$E,"&lt;="&amp;$I$43,DEALS!$T:$T,"&lt;&gt;*INVOICE*",DEALS!$T:$T,"&lt;&gt;*SWITCH*"))</f>
        <v>0</v>
      </c>
      <c r="L52" s="62">
        <f t="shared" ca="1" si="12"/>
        <v>0</v>
      </c>
      <c r="M52" s="62">
        <f ca="1">L52*VLOOKUP(I52,'FX RATES'!$E$1:$F$10,2,FALSE)</f>
        <v>0</v>
      </c>
    </row>
    <row r="53" spans="3:13" ht="19.5" customHeight="1">
      <c r="C53" s="61" t="s">
        <v>8</v>
      </c>
      <c r="D53" s="62">
        <f ca="1">IF($O$3="YES",SUMIFS(DEALS!$R:$R,DEALS!$S:$S,C53,DEALS!$O:$O,$C$46,DEALS!$R:$R,"&gt;0",DEALS!$E:$E,"&gt;="&amp;$G$43,DEALS!$E:$E,"&lt;="&amp;$I$43),SUMIFS(DEALS!$R:$R,DEALS!$S:$S,C53,DEALS!$O:$O,$C$46,DEALS!$R:$R,"&gt;0",DEALS!$E:$E,"&gt;="&amp;$G$43,DEALS!$E:$E,"&lt;="&amp;$I$43,DEALS!$T:$T,"&lt;&gt;*INVOICE*",DEALS!$T:$T,"&lt;&gt;*SWITCH*"))</f>
        <v>0</v>
      </c>
      <c r="E53" s="62">
        <f ca="1">IF($O$3="YES",SUMIFS(DEALS!$J:$J,DEALS!$K:$K,C53,DEALS!$G:$G,$C$46,DEALS!$J:$J,"&lt;0",DEALS!$E:$E,"&gt;="&amp;$G$43,DEALS!$E:$E,"&lt;="&amp;$I$43),SUMIFS(DEALS!$J:$J,DEALS!$K:$K,C53,DEALS!$G:$G,$C$46,DEALS!$J:$J,"&lt;0",DEALS!$E:$E,"&gt;="&amp;$G$43,DEALS!$E:$E,"&lt;="&amp;$I$43,DEALS!$T:$T,"&lt;&gt;*INVOICE*",DEALS!$T:$T,"&lt;&gt;*SWITCH*"))</f>
        <v>0</v>
      </c>
      <c r="F53" s="62">
        <f ca="1">D53+E53</f>
        <v>0</v>
      </c>
      <c r="G53" s="62">
        <f ca="1">F53*VLOOKUP(C53,'FX RATES'!$E$1:$F$10,2,FALSE)</f>
        <v>0</v>
      </c>
      <c r="I53" s="61" t="s">
        <v>8</v>
      </c>
      <c r="J53" s="62">
        <f ca="1">IF($O$3="YES",SUMIFS(DEALS!$R:$R,DEALS!$S:$S,I53,DEALS!$O:$O,$I$46,DEALS!$R:$R,"&gt;0",DEALS!$E:$E,"&gt;="&amp;$G$43,DEALS!$E:$E,"&lt;="&amp;$I$43),SUMIFS(DEALS!$R:$R,DEALS!$S:$S,I53,DEALS!$O:$O,$I$46,DEALS!$R:$R,"&gt;0",DEALS!$E:$E,"&gt;="&amp;$G$43,DEALS!$E:$E,"&lt;="&amp;$I$43,DEALS!$T:$T,"&lt;&gt;*INVOICE*",DEALS!$T:$T,"&lt;&gt;*SWITCH*"))</f>
        <v>0</v>
      </c>
      <c r="K53" s="62">
        <f ca="1">IF($O$3="YES",SUMIFS(DEALS!$J:$J,DEALS!$K:$K,I53,DEALS!$G:$G,$I$46,DEALS!$J:$J,"&lt;0",DEALS!$E:$E,"&gt;="&amp;$G$43,DEALS!$E:$E,"&lt;="&amp;$I$43),SUMIFS(DEALS!$J:$J,DEALS!$K:$K,I53,DEALS!$G:$G,$I$46,DEALS!$J:$J,"&lt;0",DEALS!$E:$E,"&gt;="&amp;$G$43,DEALS!$E:$E,"&lt;="&amp;$I$43,DEALS!$T:$T,"&lt;&gt;*INVOICE*",DEALS!$T:$T,"&lt;&gt;*SWITCH*"))</f>
        <v>0</v>
      </c>
      <c r="L53" s="62">
        <f ca="1">J53+K53</f>
        <v>0</v>
      </c>
      <c r="M53" s="62">
        <f ca="1">L53*VLOOKUP(I53,'FX RATES'!$E$1:$F$10,2,FALSE)</f>
        <v>0</v>
      </c>
    </row>
    <row r="54" spans="3:13" ht="19.5" customHeight="1">
      <c r="C54" s="61" t="s">
        <v>9</v>
      </c>
      <c r="D54" s="62">
        <f ca="1">IF($O$3="YES",SUMIFS(DEALS!$R:$R,DEALS!$S:$S,C54,DEALS!$O:$O,$C$46,DEALS!$R:$R,"&gt;0",DEALS!$E:$E,"&gt;="&amp;$G$43,DEALS!$E:$E,"&lt;="&amp;$I$43),SUMIFS(DEALS!$R:$R,DEALS!$S:$S,C54,DEALS!$O:$O,$C$46,DEALS!$R:$R,"&gt;0",DEALS!$E:$E,"&gt;="&amp;$G$43,DEALS!$E:$E,"&lt;="&amp;$I$43,DEALS!$T:$T,"&lt;&gt;*INVOICE*",DEALS!$T:$T,"&lt;&gt;*SWITCH*"))</f>
        <v>0</v>
      </c>
      <c r="E54" s="62">
        <f ca="1">IF($O$3="YES",SUMIFS(DEALS!$J:$J,DEALS!$K:$K,C54,DEALS!$G:$G,$C$46,DEALS!$J:$J,"&lt;0",DEALS!$E:$E,"&gt;="&amp;$G$43,DEALS!$E:$E,"&lt;="&amp;$I$43),SUMIFS(DEALS!$J:$J,DEALS!$K:$K,C54,DEALS!$G:$G,$C$46,DEALS!$J:$J,"&lt;0",DEALS!$E:$E,"&gt;="&amp;$G$43,DEALS!$E:$E,"&lt;="&amp;$I$43,DEALS!$T:$T,"&lt;&gt;*INVOICE*",DEALS!$T:$T,"&lt;&gt;*SWITCH*"))</f>
        <v>0</v>
      </c>
      <c r="F54" s="62">
        <f t="shared" ref="F54:F55" ca="1" si="13">D54+E54</f>
        <v>0</v>
      </c>
      <c r="G54" s="62">
        <f ca="1">F54*VLOOKUP(C54,'FX RATES'!$E$1:$F$10,2,FALSE)</f>
        <v>0</v>
      </c>
      <c r="H54" s="64"/>
      <c r="I54" s="61" t="s">
        <v>9</v>
      </c>
      <c r="J54" s="62">
        <f ca="1">IF($O$3="YES",SUMIFS(DEALS!$R:$R,DEALS!$S:$S,I54,DEALS!$O:$O,$I$46,DEALS!$R:$R,"&gt;0",DEALS!$E:$E,"&gt;="&amp;$G$43,DEALS!$E:$E,"&lt;="&amp;$I$43),SUMIFS(DEALS!$R:$R,DEALS!$S:$S,I54,DEALS!$O:$O,$I$46,DEALS!$R:$R,"&gt;0",DEALS!$E:$E,"&gt;="&amp;$G$43,DEALS!$E:$E,"&lt;="&amp;$I$43,DEALS!$T:$T,"&lt;&gt;*INVOICE*",DEALS!$T:$T,"&lt;&gt;*SWITCH*"))</f>
        <v>0</v>
      </c>
      <c r="K54" s="62">
        <f ca="1">IF($O$3="YES",SUMIFS(DEALS!$J:$J,DEALS!$K:$K,I54,DEALS!$G:$G,$I$46,DEALS!$J:$J,"&lt;0",DEALS!$E:$E,"&gt;="&amp;$G$43,DEALS!$E:$E,"&lt;="&amp;$I$43),SUMIFS(DEALS!$J:$J,DEALS!$K:$K,I54,DEALS!$G:$G,$I$46,DEALS!$J:$J,"&lt;0",DEALS!$E:$E,"&gt;="&amp;$G$43,DEALS!$E:$E,"&lt;="&amp;$I$43,DEALS!$T:$T,"&lt;&gt;*INVOICE*",DEALS!$T:$T,"&lt;&gt;*SWITCH*"))</f>
        <v>0</v>
      </c>
      <c r="L54" s="62">
        <f t="shared" ref="L54:L55" ca="1" si="14">J54+K54</f>
        <v>0</v>
      </c>
      <c r="M54" s="62">
        <f ca="1">L54*VLOOKUP(I54,'FX RATES'!$E$1:$F$10,2,FALSE)</f>
        <v>0</v>
      </c>
    </row>
    <row r="55" spans="3:13" ht="19.5" customHeight="1" thickBot="1">
      <c r="C55" s="63" t="s">
        <v>91</v>
      </c>
      <c r="D55" s="62">
        <f ca="1">IF($O$3="YES",SUMIFS(DEALS!$R:$R,DEALS!$S:$S,C55,DEALS!$O:$O,$C$46,DEALS!$R:$R,"&gt;0",DEALS!$E:$E,"&gt;="&amp;$G$43,DEALS!$E:$E,"&lt;="&amp;$I$43),SUMIFS(DEALS!$R:$R,DEALS!$S:$S,C55,DEALS!$O:$O,$C$46,DEALS!$R:$R,"&gt;0",DEALS!$E:$E,"&gt;="&amp;$G$43,DEALS!$E:$E,"&lt;="&amp;$I$43,DEALS!$T:$T,"&lt;&gt;*INVOICE*",DEALS!$T:$T,"&lt;&gt;*SWITCH*"))</f>
        <v>0</v>
      </c>
      <c r="E55" s="62">
        <f ca="1">IF($O$3="YES",SUMIFS(DEALS!$J:$J,DEALS!$K:$K,C55,DEALS!$G:$G,$C$46,DEALS!$J:$J,"&lt;0",DEALS!$E:$E,"&gt;="&amp;$G$43,DEALS!$E:$E,"&lt;="&amp;$I$43),SUMIFS(DEALS!$J:$J,DEALS!$K:$K,C55,DEALS!$G:$G,$C$46,DEALS!$J:$J,"&lt;0",DEALS!$E:$E,"&gt;="&amp;$G$43,DEALS!$E:$E,"&lt;="&amp;$I$43,DEALS!$T:$T,"&lt;&gt;*INVOICE*",DEALS!$T:$T,"&lt;&gt;*SWITCH*"))</f>
        <v>0</v>
      </c>
      <c r="F55" s="62">
        <f t="shared" ca="1" si="13"/>
        <v>0</v>
      </c>
      <c r="G55" s="62">
        <f ca="1">F55*VLOOKUP(C55,'FX RATES'!$E$1:$F$10,2,FALSE)</f>
        <v>0</v>
      </c>
      <c r="I55" s="63" t="s">
        <v>91</v>
      </c>
      <c r="J55" s="62">
        <f ca="1">IF($O$3="YES",SUMIFS(DEALS!$R:$R,DEALS!$S:$S,I55,DEALS!$O:$O,$I$46,DEALS!$R:$R,"&gt;0",DEALS!$E:$E,"&gt;="&amp;$G$43,DEALS!$E:$E,"&lt;="&amp;$I$43),SUMIFS(DEALS!$R:$R,DEALS!$S:$S,I55,DEALS!$O:$O,$I$46,DEALS!$R:$R,"&gt;0",DEALS!$E:$E,"&gt;="&amp;$G$43,DEALS!$E:$E,"&lt;="&amp;$I$43,DEALS!$T:$T,"&lt;&gt;*INVOICE*",DEALS!$T:$T,"&lt;&gt;*SWITCH*"))</f>
        <v>0</v>
      </c>
      <c r="K55" s="62">
        <f ca="1">IF($O$3="YES",SUMIFS(DEALS!$J:$J,DEALS!$K:$K,I55,DEALS!$G:$G,$I$46,DEALS!$J:$J,"&lt;0",DEALS!$E:$E,"&gt;="&amp;$G$43,DEALS!$E:$E,"&lt;="&amp;$I$43),SUMIFS(DEALS!$J:$J,DEALS!$K:$K,I55,DEALS!$G:$G,$I$46,DEALS!$J:$J,"&lt;0",DEALS!$E:$E,"&gt;="&amp;$G$43,DEALS!$E:$E,"&lt;="&amp;$I$43,DEALS!$T:$T,"&lt;&gt;*INVOICE*",DEALS!$T:$T,"&lt;&gt;*SWITCH*"))</f>
        <v>0</v>
      </c>
      <c r="L55" s="62">
        <f t="shared" ca="1" si="14"/>
        <v>0</v>
      </c>
      <c r="M55" s="62">
        <f ca="1">L55*VLOOKUP(I55,'FX RATES'!$E$1:$F$10,2,FALSE)</f>
        <v>0</v>
      </c>
    </row>
    <row r="56" spans="3:13" ht="19.5" customHeight="1" thickBot="1">
      <c r="C56" s="45" t="s">
        <v>5</v>
      </c>
      <c r="D56" s="46">
        <f ca="1">D50*VLOOKUP($C50,'FX RATES'!$E$1:$F$10,2,FALSE)+D51*VLOOKUP($C51,'FX RATES'!$E$1:$F$10,2,FALSE)+D52*VLOOKUP($C52,'FX RATES'!$E$1:$F$10,2,FALSE)+D53*VLOOKUP($C53,'FX RATES'!$E$1:$F$10,2,FALSE)+D54*VLOOKUP($C54,'FX RATES'!$E$1:$F$10,2,FALSE)+D55*VLOOKUP($C55,'FX RATES'!$E$1:$F$10,2,FALSE)</f>
        <v>0</v>
      </c>
      <c r="E56" s="46">
        <f ca="1">E50*VLOOKUP($C50,'FX RATES'!$E$1:$F$10,2,FALSE)+E51*VLOOKUP($C51,'FX RATES'!$E$1:$F$10,2,FALSE)+E52*VLOOKUP($C52,'FX RATES'!$E$1:$F$10,2,FALSE)+E53*VLOOKUP($C53,'FX RATES'!$E$1:$F$10,2,FALSE)+E54*VLOOKUP($C54,'FX RATES'!$E$1:$F$10,2,FALSE)+E55*VLOOKUP($C55,'FX RATES'!$E$1:$F$10,2,FALSE)</f>
        <v>0</v>
      </c>
      <c r="F56" s="46">
        <f ca="1">D56+E56</f>
        <v>0</v>
      </c>
      <c r="G56" s="46">
        <f ca="1">SUM(G50:G55)</f>
        <v>0</v>
      </c>
      <c r="I56" s="45" t="s">
        <v>5</v>
      </c>
      <c r="J56" s="46">
        <f ca="1">J50*VLOOKUP($C50,'FX RATES'!$E$1:$F$10,2,FALSE)+J51*VLOOKUP($C51,'FX RATES'!$E$1:$F$10,2,FALSE)+J52*VLOOKUP($C52,'FX RATES'!$E$1:$F$10,2,FALSE)+J53*VLOOKUP($C53,'FX RATES'!$E$1:$F$10,2,FALSE)+J54*VLOOKUP($C54,'FX RATES'!$E$1:$F$10,2,FALSE)+J55*VLOOKUP($C55,'FX RATES'!$E$1:$F$10,2,FALSE)</f>
        <v>0</v>
      </c>
      <c r="K56" s="46">
        <f ca="1">K50*VLOOKUP($C50,'FX RATES'!$E$1:$F$10,2,FALSE)+K51*VLOOKUP($C51,'FX RATES'!$E$1:$F$10,2,FALSE)+K52*VLOOKUP($C52,'FX RATES'!$E$1:$F$10,2,FALSE)+K53*VLOOKUP($C53,'FX RATES'!$E$1:$F$10,2,FALSE)+K54*VLOOKUP($C54,'FX RATES'!$E$1:$F$10,2,FALSE)+K55*VLOOKUP($C55,'FX RATES'!$E$1:$F$10,2,FALSE)</f>
        <v>0</v>
      </c>
      <c r="L56" s="46">
        <f ca="1">J56+K56</f>
        <v>0</v>
      </c>
      <c r="M56" s="46">
        <f ca="1">SUM(M50:M55)</f>
        <v>0</v>
      </c>
    </row>
    <row r="59" spans="3:13" ht="19.5" customHeight="1" thickBot="1">
      <c r="C59" s="597" t="s">
        <v>39</v>
      </c>
      <c r="D59" s="597"/>
      <c r="E59" s="597"/>
      <c r="F59" s="597"/>
      <c r="G59" s="597"/>
      <c r="I59" s="597" t="s">
        <v>34</v>
      </c>
      <c r="J59" s="597"/>
      <c r="K59" s="597"/>
      <c r="L59" s="597"/>
      <c r="M59" s="597"/>
    </row>
    <row r="60" spans="3:13" ht="19.5" customHeight="1">
      <c r="C60" s="94"/>
      <c r="D60" s="79"/>
      <c r="E60" s="79"/>
      <c r="F60" s="79"/>
      <c r="G60" s="79"/>
      <c r="I60" s="94"/>
      <c r="J60" s="79"/>
      <c r="K60" s="79"/>
      <c r="L60" s="79"/>
      <c r="M60" s="79"/>
    </row>
    <row r="61" spans="3:13" ht="19.5" customHeight="1" thickBot="1">
      <c r="C61" s="95"/>
      <c r="D61" s="80"/>
      <c r="E61" s="80"/>
      <c r="F61" s="80"/>
      <c r="G61" s="80"/>
      <c r="I61" s="95"/>
      <c r="J61" s="80"/>
      <c r="K61" s="80"/>
      <c r="L61" s="80"/>
      <c r="M61" s="80"/>
    </row>
    <row r="62" spans="3:13" ht="19.5" customHeight="1" thickBot="1">
      <c r="C62" s="58" t="s">
        <v>33</v>
      </c>
      <c r="D62" s="59" t="s">
        <v>108</v>
      </c>
      <c r="E62" s="60" t="s">
        <v>109</v>
      </c>
      <c r="F62" s="60" t="s">
        <v>110</v>
      </c>
      <c r="G62" s="60" t="s">
        <v>111</v>
      </c>
      <c r="I62" s="58" t="s">
        <v>33</v>
      </c>
      <c r="J62" s="59" t="s">
        <v>108</v>
      </c>
      <c r="K62" s="60" t="s">
        <v>109</v>
      </c>
      <c r="L62" s="60" t="s">
        <v>110</v>
      </c>
      <c r="M62" s="60" t="s">
        <v>111</v>
      </c>
    </row>
    <row r="63" spans="3:13" ht="19.5" customHeight="1">
      <c r="C63" s="61" t="s">
        <v>5</v>
      </c>
      <c r="D63" s="62">
        <f ca="1">IF($O$3="YES",SUMIFS(DEALS!$R:$R,DEALS!$S:$S,C63,DEALS!$O:$O,$C$59,DEALS!$R:$R,"&gt;0",DEALS!$E:$E,"&gt;="&amp;$G$43,DEALS!$E:$E,"&lt;="&amp;$I$43),SUMIFS(DEALS!$R:$R,DEALS!$S:$S,C63,DEALS!$O:$O,$C$59,DEALS!$R:$R,"&gt;0",DEALS!$E:$E,"&gt;="&amp;$G$43,DEALS!$E:$E,"&lt;="&amp;$I$43,DEALS!$T:$T,"&lt;&gt;*INVOICE*",DEALS!$T:$T,"&lt;&gt;*SWITCH*"))</f>
        <v>0</v>
      </c>
      <c r="E63" s="62">
        <f ca="1">IF($O$3="YES",SUMIFS(DEALS!$J:$J,DEALS!$K:$K,C63,DEALS!$G:$G,$C$59,DEALS!$J:$J,"&lt;0",DEALS!$E:$E,"&gt;="&amp;$G$43,DEALS!$E:$E,"&lt;="&amp;$I$43),SUMIFS(DEALS!$J:$J,DEALS!$K:$K,C63,DEALS!$G:$G,$C$59,DEALS!$J:$J,"&lt;0",DEALS!$E:$E,"&gt;="&amp;$G$43,DEALS!$E:$E,"&lt;="&amp;$I$43,DEALS!$T:$T,"&lt;&gt;*INVOICE*",DEALS!$T:$T,"&lt;&gt;*SWITCH*"))</f>
        <v>0</v>
      </c>
      <c r="F63" s="62">
        <f t="shared" ref="F63:F65" ca="1" si="15">D63+E63</f>
        <v>0</v>
      </c>
      <c r="G63" s="62">
        <f ca="1">F63*VLOOKUP(C63,'FX RATES'!$E$1:$F$10,2,FALSE)</f>
        <v>0</v>
      </c>
      <c r="I63" s="61" t="s">
        <v>5</v>
      </c>
      <c r="J63" s="62">
        <f ca="1">IF($O$3="YES",SUMIFS(DEALS!$R:$R,DEALS!$S:$S,I63,DEALS!$O:$O,$I$59,DEALS!$R:$R,"&gt;0",DEALS!$E:$E,"&gt;="&amp;$G$43,DEALS!$E:$E,"&lt;="&amp;$I$43),SUMIFS(DEALS!$R:$R,DEALS!$S:$S,I63,DEALS!$O:$O,$I$59,DEALS!$R:$R,"&gt;0",DEALS!$E:$E,"&gt;="&amp;$G$43,DEALS!$E:$E,"&lt;="&amp;$I$43,DEALS!$T:$T,"&lt;&gt;*INVOICE*",DEALS!$T:$T,"&lt;&gt;*SWITCH*"))</f>
        <v>0</v>
      </c>
      <c r="K63" s="62">
        <f ca="1">IF($O$3="YES",SUMIFS(DEALS!$J:$J,DEALS!$K:$K,I63,DEALS!$G:$G,$I$59,DEALS!$J:$J,"&lt;0",DEALS!$E:$E,"&gt;="&amp;$G$43,DEALS!$E:$E,"&lt;="&amp;$I$43),SUMIFS(DEALS!$J:$J,DEALS!$K:$K,I63,DEALS!$G:$G,$I$59,DEALS!$J:$J,"&lt;0",DEALS!$E:$E,"&gt;="&amp;$G$43,DEALS!$E:$E,"&lt;="&amp;$I$43,DEALS!$T:$T,"&lt;&gt;*INVOICE*",DEALS!$T:$T,"&lt;&gt;*SWITCH*"))</f>
        <v>0</v>
      </c>
      <c r="L63" s="62">
        <f t="shared" ref="L63:L65" ca="1" si="16">J63+K63</f>
        <v>0</v>
      </c>
      <c r="M63" s="62">
        <f ca="1">L63*VLOOKUP(I63,'FX RATES'!$E$1:$F$10,2,FALSE)</f>
        <v>0</v>
      </c>
    </row>
    <row r="64" spans="3:13" ht="19.5" customHeight="1">
      <c r="C64" s="61" t="s">
        <v>6</v>
      </c>
      <c r="D64" s="62">
        <f ca="1">IF($O$3="YES",SUMIFS(DEALS!$R:$R,DEALS!$S:$S,C64,DEALS!$O:$O,$C$59,DEALS!$R:$R,"&gt;0",DEALS!$E:$E,"&gt;="&amp;$G$43,DEALS!$E:$E,"&lt;="&amp;$I$43),SUMIFS(DEALS!$R:$R,DEALS!$S:$S,C64,DEALS!$O:$O,$C$59,DEALS!$R:$R,"&gt;0",DEALS!$E:$E,"&gt;="&amp;$G$43,DEALS!$E:$E,"&lt;="&amp;$I$43,DEALS!$T:$T,"&lt;&gt;*INVOICE*",DEALS!$T:$T,"&lt;&gt;*SWITCH*"))</f>
        <v>0</v>
      </c>
      <c r="E64" s="62">
        <f ca="1">IF($O$3="YES",SUMIFS(DEALS!$J:$J,DEALS!$K:$K,C64,DEALS!$G:$G,$C$59,DEALS!$J:$J,"&lt;0",DEALS!$E:$E,"&gt;="&amp;$G$43,DEALS!$E:$E,"&lt;="&amp;$I$43),SUMIFS(DEALS!$J:$J,DEALS!$K:$K,C64,DEALS!$G:$G,$C$59,DEALS!$J:$J,"&lt;0",DEALS!$E:$E,"&gt;="&amp;$G$43,DEALS!$E:$E,"&lt;="&amp;$I$43,DEALS!$T:$T,"&lt;&gt;*INVOICE*",DEALS!$T:$T,"&lt;&gt;*SWITCH*"))</f>
        <v>0</v>
      </c>
      <c r="F64" s="62">
        <f t="shared" ca="1" si="15"/>
        <v>0</v>
      </c>
      <c r="G64" s="62">
        <f ca="1">F64*VLOOKUP(C64,'FX RATES'!$E$1:$F$10,2,FALSE)</f>
        <v>0</v>
      </c>
      <c r="I64" s="61" t="s">
        <v>6</v>
      </c>
      <c r="J64" s="62">
        <f ca="1">IF($O$3="YES",SUMIFS(DEALS!$R:$R,DEALS!$S:$S,I64,DEALS!$O:$O,$I$59,DEALS!$R:$R,"&gt;0",DEALS!$E:$E,"&gt;="&amp;$G$43,DEALS!$E:$E,"&lt;="&amp;$I$43),SUMIFS(DEALS!$R:$R,DEALS!$S:$S,I64,DEALS!$O:$O,$I$59,DEALS!$R:$R,"&gt;0",DEALS!$E:$E,"&gt;="&amp;$G$43,DEALS!$E:$E,"&lt;="&amp;$I$43,DEALS!$T:$T,"&lt;&gt;*INVOICE*",DEALS!$T:$T,"&lt;&gt;*SWITCH*"))</f>
        <v>0</v>
      </c>
      <c r="K64" s="62">
        <f ca="1">IF($O$3="YES",SUMIFS(DEALS!$J:$J,DEALS!$K:$K,I64,DEALS!$G:$G,$I$59,DEALS!$J:$J,"&lt;0",DEALS!$E:$E,"&gt;="&amp;$G$43,DEALS!$E:$E,"&lt;="&amp;$I$43),SUMIFS(DEALS!$J:$J,DEALS!$K:$K,I64,DEALS!$G:$G,$I$59,DEALS!$J:$J,"&lt;0",DEALS!$E:$E,"&gt;="&amp;$G$43,DEALS!$E:$E,"&lt;="&amp;$I$43,DEALS!$T:$T,"&lt;&gt;*INVOICE*",DEALS!$T:$T,"&lt;&gt;*SWITCH*"))</f>
        <v>0</v>
      </c>
      <c r="L64" s="62">
        <f t="shared" ca="1" si="16"/>
        <v>0</v>
      </c>
      <c r="M64" s="62">
        <f ca="1">L64*VLOOKUP(I64,'FX RATES'!$E$1:$F$10,2,FALSE)</f>
        <v>0</v>
      </c>
    </row>
    <row r="65" spans="3:13" ht="19.5" customHeight="1">
      <c r="C65" s="61" t="s">
        <v>7</v>
      </c>
      <c r="D65" s="62">
        <f ca="1">IF($O$3="YES",SUMIFS(DEALS!$R:$R,DEALS!$S:$S,C65,DEALS!$O:$O,$C$59,DEALS!$R:$R,"&gt;0",DEALS!$E:$E,"&gt;="&amp;$G$43,DEALS!$E:$E,"&lt;="&amp;$I$43),SUMIFS(DEALS!$R:$R,DEALS!$S:$S,C65,DEALS!$O:$O,$C$59,DEALS!$R:$R,"&gt;0",DEALS!$E:$E,"&gt;="&amp;$G$43,DEALS!$E:$E,"&lt;="&amp;$I$43,DEALS!$T:$T,"&lt;&gt;*INVOICE*",DEALS!$T:$T,"&lt;&gt;*SWITCH*"))</f>
        <v>0</v>
      </c>
      <c r="E65" s="62">
        <f ca="1">IF($O$3="YES",SUMIFS(DEALS!$J:$J,DEALS!$K:$K,C65,DEALS!$G:$G,$C$59,DEALS!$J:$J,"&lt;0",DEALS!$E:$E,"&gt;="&amp;$G$43,DEALS!$E:$E,"&lt;="&amp;$I$43),SUMIFS(DEALS!$J:$J,DEALS!$K:$K,C65,DEALS!$G:$G,$C$59,DEALS!$J:$J,"&lt;0",DEALS!$E:$E,"&gt;="&amp;$G$43,DEALS!$E:$E,"&lt;="&amp;$I$43,DEALS!$T:$T,"&lt;&gt;*INVOICE*",DEALS!$T:$T,"&lt;&gt;*SWITCH*"))</f>
        <v>0</v>
      </c>
      <c r="F65" s="62">
        <f t="shared" ca="1" si="15"/>
        <v>0</v>
      </c>
      <c r="G65" s="62">
        <f ca="1">F65*VLOOKUP(C65,'FX RATES'!$E$1:$F$10,2,FALSE)</f>
        <v>0</v>
      </c>
      <c r="I65" s="61" t="s">
        <v>7</v>
      </c>
      <c r="J65" s="62">
        <f ca="1">IF($O$3="YES",SUMIFS(DEALS!$R:$R,DEALS!$S:$S,I65,DEALS!$O:$O,$I$59,DEALS!$R:$R,"&gt;0",DEALS!$E:$E,"&gt;="&amp;$G$43,DEALS!$E:$E,"&lt;="&amp;$I$43),SUMIFS(DEALS!$R:$R,DEALS!$S:$S,I65,DEALS!$O:$O,$I$59,DEALS!$R:$R,"&gt;0",DEALS!$E:$E,"&gt;="&amp;$G$43,DEALS!$E:$E,"&lt;="&amp;$I$43,DEALS!$T:$T,"&lt;&gt;*INVOICE*",DEALS!$T:$T,"&lt;&gt;*SWITCH*"))</f>
        <v>0</v>
      </c>
      <c r="K65" s="62">
        <f ca="1">IF($O$3="YES",SUMIFS(DEALS!$J:$J,DEALS!$K:$K,I65,DEALS!$G:$G,$I$59,DEALS!$J:$J,"&lt;0",DEALS!$E:$E,"&gt;="&amp;$G$43,DEALS!$E:$E,"&lt;="&amp;$I$43),SUMIFS(DEALS!$J:$J,DEALS!$K:$K,I65,DEALS!$G:$G,$I$59,DEALS!$J:$J,"&lt;0",DEALS!$E:$E,"&gt;="&amp;$G$43,DEALS!$E:$E,"&lt;="&amp;$I$43,DEALS!$T:$T,"&lt;&gt;*INVOICE*",DEALS!$T:$T,"&lt;&gt;*SWITCH*"))</f>
        <v>0</v>
      </c>
      <c r="L65" s="62">
        <f t="shared" ca="1" si="16"/>
        <v>0</v>
      </c>
      <c r="M65" s="62">
        <f ca="1">L65*VLOOKUP(I65,'FX RATES'!$E$1:$F$10,2,FALSE)</f>
        <v>0</v>
      </c>
    </row>
    <row r="66" spans="3:13" ht="19.5" customHeight="1">
      <c r="C66" s="61" t="s">
        <v>8</v>
      </c>
      <c r="D66" s="62">
        <f ca="1">IF($O$3="YES",SUMIFS(DEALS!$R:$R,DEALS!$S:$S,C66,DEALS!$O:$O,$C$59,DEALS!$R:$R,"&gt;0",DEALS!$E:$E,"&gt;="&amp;$G$43,DEALS!$E:$E,"&lt;="&amp;$I$43),SUMIFS(DEALS!$R:$R,DEALS!$S:$S,C66,DEALS!$O:$O,$C$59,DEALS!$R:$R,"&gt;0",DEALS!$E:$E,"&gt;="&amp;$G$43,DEALS!$E:$E,"&lt;="&amp;$I$43,DEALS!$T:$T,"&lt;&gt;*INVOICE*",DEALS!$T:$T,"&lt;&gt;*SWITCH*"))</f>
        <v>0</v>
      </c>
      <c r="E66" s="62">
        <f ca="1">IF($O$3="YES",SUMIFS(DEALS!$J:$J,DEALS!$K:$K,C66,DEALS!$G:$G,$C$59,DEALS!$J:$J,"&lt;0",DEALS!$E:$E,"&gt;="&amp;$G$43,DEALS!$E:$E,"&lt;="&amp;$I$43),SUMIFS(DEALS!$J:$J,DEALS!$K:$K,C66,DEALS!$G:$G,$C$59,DEALS!$J:$J,"&lt;0",DEALS!$E:$E,"&gt;="&amp;$G$43,DEALS!$E:$E,"&lt;="&amp;$I$43,DEALS!$T:$T,"&lt;&gt;*INVOICE*",DEALS!$T:$T,"&lt;&gt;*SWITCH*"))</f>
        <v>0</v>
      </c>
      <c r="F66" s="62">
        <f ca="1">D66+E66</f>
        <v>0</v>
      </c>
      <c r="G66" s="62">
        <f ca="1">F66*VLOOKUP(C66,'FX RATES'!$E$1:$F$10,2,FALSE)</f>
        <v>0</v>
      </c>
      <c r="I66" s="61" t="s">
        <v>8</v>
      </c>
      <c r="J66" s="62">
        <f ca="1">IF($O$3="YES",SUMIFS(DEALS!$R:$R,DEALS!$S:$S,I66,DEALS!$O:$O,$I$59,DEALS!$R:$R,"&gt;0",DEALS!$E:$E,"&gt;="&amp;$G$43,DEALS!$E:$E,"&lt;="&amp;$I$43),SUMIFS(DEALS!$R:$R,DEALS!$S:$S,I66,DEALS!$O:$O,$I$59,DEALS!$R:$R,"&gt;0",DEALS!$E:$E,"&gt;="&amp;$G$43,DEALS!$E:$E,"&lt;="&amp;$I$43,DEALS!$T:$T,"&lt;&gt;*INVOICE*",DEALS!$T:$T,"&lt;&gt;*SWITCH*"))</f>
        <v>0</v>
      </c>
      <c r="K66" s="62">
        <f ca="1">IF($O$3="YES",SUMIFS(DEALS!$J:$J,DEALS!$K:$K,I66,DEALS!$G:$G,$I$59,DEALS!$J:$J,"&lt;0",DEALS!$E:$E,"&gt;="&amp;$G$43,DEALS!$E:$E,"&lt;="&amp;$I$43),SUMIFS(DEALS!$J:$J,DEALS!$K:$K,I66,DEALS!$G:$G,$I$59,DEALS!$J:$J,"&lt;0",DEALS!$E:$E,"&gt;="&amp;$G$43,DEALS!$E:$E,"&lt;="&amp;$I$43,DEALS!$T:$T,"&lt;&gt;*INVOICE*",DEALS!$T:$T,"&lt;&gt;*SWITCH*"))</f>
        <v>0</v>
      </c>
      <c r="L66" s="62">
        <f ca="1">J66+K66</f>
        <v>0</v>
      </c>
      <c r="M66" s="62">
        <f ca="1">L66*VLOOKUP(I66,'FX RATES'!$E$1:$F$10,2,FALSE)</f>
        <v>0</v>
      </c>
    </row>
    <row r="67" spans="3:13" ht="19.5" customHeight="1">
      <c r="C67" s="61" t="s">
        <v>9</v>
      </c>
      <c r="D67" s="62">
        <f ca="1">IF($O$3="YES",SUMIFS(DEALS!$R:$R,DEALS!$S:$S,C67,DEALS!$O:$O,$C$59,DEALS!$R:$R,"&gt;0",DEALS!$E:$E,"&gt;="&amp;$G$43,DEALS!$E:$E,"&lt;="&amp;$I$43),SUMIFS(DEALS!$R:$R,DEALS!$S:$S,C67,DEALS!$O:$O,$C$59,DEALS!$R:$R,"&gt;0",DEALS!$E:$E,"&gt;="&amp;$G$43,DEALS!$E:$E,"&lt;="&amp;$I$43,DEALS!$T:$T,"&lt;&gt;*INVOICE*",DEALS!$T:$T,"&lt;&gt;*SWITCH*"))</f>
        <v>0</v>
      </c>
      <c r="E67" s="62">
        <f ca="1">IF($O$3="YES",SUMIFS(DEALS!$J:$J,DEALS!$K:$K,C67,DEALS!$G:$G,$C$59,DEALS!$J:$J,"&lt;0",DEALS!$E:$E,"&gt;="&amp;$G$43,DEALS!$E:$E,"&lt;="&amp;$I$43),SUMIFS(DEALS!$J:$J,DEALS!$K:$K,C67,DEALS!$G:$G,$C$59,DEALS!$J:$J,"&lt;0",DEALS!$E:$E,"&gt;="&amp;$G$43,DEALS!$E:$E,"&lt;="&amp;$I$43,DEALS!$T:$T,"&lt;&gt;*INVOICE*",DEALS!$T:$T,"&lt;&gt;*SWITCH*"))</f>
        <v>0</v>
      </c>
      <c r="F67" s="62">
        <f t="shared" ref="F67:F68" ca="1" si="17">D67+E67</f>
        <v>0</v>
      </c>
      <c r="G67" s="62">
        <f ca="1">F67*VLOOKUP(C67,'FX RATES'!$E$1:$F$10,2,FALSE)</f>
        <v>0</v>
      </c>
      <c r="I67" s="61" t="s">
        <v>9</v>
      </c>
      <c r="J67" s="62">
        <f ca="1">IF($O$3="YES",SUMIFS(DEALS!$R:$R,DEALS!$S:$S,I67,DEALS!$O:$O,$I$59,DEALS!$R:$R,"&gt;0",DEALS!$E:$E,"&gt;="&amp;$G$43,DEALS!$E:$E,"&lt;="&amp;$I$43),SUMIFS(DEALS!$R:$R,DEALS!$S:$S,I67,DEALS!$O:$O,$I$59,DEALS!$R:$R,"&gt;0",DEALS!$E:$E,"&gt;="&amp;$G$43,DEALS!$E:$E,"&lt;="&amp;$I$43,DEALS!$T:$T,"&lt;&gt;*INVOICE*",DEALS!$T:$T,"&lt;&gt;*SWITCH*"))</f>
        <v>0</v>
      </c>
      <c r="K67" s="62">
        <f ca="1">IF($O$3="YES",SUMIFS(DEALS!$J:$J,DEALS!$K:$K,I67,DEALS!$G:$G,$I$59,DEALS!$J:$J,"&lt;0",DEALS!$E:$E,"&gt;="&amp;$G$43,DEALS!$E:$E,"&lt;="&amp;$I$43),SUMIFS(DEALS!$J:$J,DEALS!$K:$K,I67,DEALS!$G:$G,$I$59,DEALS!$J:$J,"&lt;0",DEALS!$E:$E,"&gt;="&amp;$G$43,DEALS!$E:$E,"&lt;="&amp;$I$43,DEALS!$T:$T,"&lt;&gt;*INVOICE*",DEALS!$T:$T,"&lt;&gt;*SWITCH*"))</f>
        <v>0</v>
      </c>
      <c r="L67" s="62">
        <f t="shared" ref="L67:L68" ca="1" si="18">J67+K67</f>
        <v>0</v>
      </c>
      <c r="M67" s="62">
        <f ca="1">L67*VLOOKUP(I67,'FX RATES'!$E$1:$F$10,2,FALSE)</f>
        <v>0</v>
      </c>
    </row>
    <row r="68" spans="3:13" ht="19.5" customHeight="1" thickBot="1">
      <c r="C68" s="63" t="s">
        <v>91</v>
      </c>
      <c r="D68" s="62">
        <f ca="1">IF($O$3="YES",SUMIFS(DEALS!$R:$R,DEALS!$S:$S,C68,DEALS!$O:$O,$C$59,DEALS!$R:$R,"&gt;0",DEALS!$E:$E,"&gt;="&amp;$G$43,DEALS!$E:$E,"&lt;="&amp;$I$43),SUMIFS(DEALS!$R:$R,DEALS!$S:$S,C68,DEALS!$O:$O,$C$59,DEALS!$R:$R,"&gt;0",DEALS!$E:$E,"&gt;="&amp;$G$43,DEALS!$E:$E,"&lt;="&amp;$I$43,DEALS!$T:$T,"&lt;&gt;*INVOICE*",DEALS!$T:$T,"&lt;&gt;*SWITCH*"))</f>
        <v>0</v>
      </c>
      <c r="E68" s="62">
        <f ca="1">IF($O$3="YES",SUMIFS(DEALS!$J:$J,DEALS!$K:$K,C68,DEALS!$G:$G,$C$59,DEALS!$J:$J,"&lt;0",DEALS!$E:$E,"&gt;="&amp;$G$43,DEALS!$E:$E,"&lt;="&amp;$I$43),SUMIFS(DEALS!$J:$J,DEALS!$K:$K,C68,DEALS!$G:$G,$C$59,DEALS!$J:$J,"&lt;0",DEALS!$E:$E,"&gt;="&amp;$G$43,DEALS!$E:$E,"&lt;="&amp;$I$43,DEALS!$T:$T,"&lt;&gt;*INVOICE*",DEALS!$T:$T,"&lt;&gt;*SWITCH*"))</f>
        <v>0</v>
      </c>
      <c r="F68" s="62">
        <f t="shared" ca="1" si="17"/>
        <v>0</v>
      </c>
      <c r="G68" s="62">
        <f ca="1">F68*VLOOKUP(C68,'FX RATES'!$E$1:$F$10,2,FALSE)</f>
        <v>0</v>
      </c>
      <c r="I68" s="63" t="s">
        <v>91</v>
      </c>
      <c r="J68" s="62">
        <f ca="1">IF($O$3="YES",SUMIFS(DEALS!$R:$R,DEALS!$S:$S,I68,DEALS!$O:$O,$I$59,DEALS!$R:$R,"&gt;0",DEALS!$E:$E,"&gt;="&amp;$G$43,DEALS!$E:$E,"&lt;="&amp;$I$43),SUMIFS(DEALS!$R:$R,DEALS!$S:$S,I68,DEALS!$O:$O,$I$59,DEALS!$R:$R,"&gt;0",DEALS!$E:$E,"&gt;="&amp;$G$43,DEALS!$E:$E,"&lt;="&amp;$I$43,DEALS!$T:$T,"&lt;&gt;*INVOICE*",DEALS!$T:$T,"&lt;&gt;*SWITCH*"))</f>
        <v>0</v>
      </c>
      <c r="K68" s="62">
        <f ca="1">IF($O$3="YES",SUMIFS(DEALS!$J:$J,DEALS!$K:$K,I68,DEALS!$G:$G,$I$59,DEALS!$J:$J,"&lt;0",DEALS!$E:$E,"&gt;="&amp;$G$43,DEALS!$E:$E,"&lt;="&amp;$I$43),SUMIFS(DEALS!$J:$J,DEALS!$K:$K,I68,DEALS!$G:$G,$I$59,DEALS!$J:$J,"&lt;0",DEALS!$E:$E,"&gt;="&amp;$G$43,DEALS!$E:$E,"&lt;="&amp;$I$43,DEALS!$T:$T,"&lt;&gt;*INVOICE*",DEALS!$T:$T,"&lt;&gt;*SWITCH*"))</f>
        <v>0</v>
      </c>
      <c r="L68" s="62">
        <f t="shared" ca="1" si="18"/>
        <v>0</v>
      </c>
      <c r="M68" s="62">
        <f ca="1">L68*VLOOKUP(I68,'FX RATES'!$E$1:$F$10,2,FALSE)</f>
        <v>0</v>
      </c>
    </row>
    <row r="69" spans="3:13" ht="19.5" customHeight="1" thickBot="1">
      <c r="C69" s="45" t="s">
        <v>5</v>
      </c>
      <c r="D69" s="46">
        <f ca="1">D63*VLOOKUP($C63,'FX RATES'!$E$1:$F$10,2,FALSE)+D64*VLOOKUP($C64,'FX RATES'!$E$1:$F$10,2,FALSE)+D65*VLOOKUP($C65,'FX RATES'!$E$1:$F$10,2,FALSE)+D66*VLOOKUP($C66,'FX RATES'!$E$1:$F$10,2,FALSE)+D67*VLOOKUP($C67,'FX RATES'!$E$1:$F$10,2,FALSE)+D68*VLOOKUP($C68,'FX RATES'!$E$1:$F$10,2,FALSE)</f>
        <v>0</v>
      </c>
      <c r="E69" s="46">
        <f ca="1">E63*VLOOKUP($C63,'FX RATES'!$E$1:$F$10,2,FALSE)+E64*VLOOKUP($C64,'FX RATES'!$E$1:$F$10,2,FALSE)+E65*VLOOKUP($C65,'FX RATES'!$E$1:$F$10,2,FALSE)+E66*VLOOKUP($C66,'FX RATES'!$E$1:$F$10,2,FALSE)+E67*VLOOKUP($C67,'FX RATES'!$E$1:$F$10,2,FALSE)+E68*VLOOKUP($C68,'FX RATES'!$E$1:$F$10,2,FALSE)</f>
        <v>0</v>
      </c>
      <c r="F69" s="46">
        <f ca="1">D69+E69</f>
        <v>0</v>
      </c>
      <c r="G69" s="46">
        <f ca="1">SUM(G63:G68)</f>
        <v>0</v>
      </c>
      <c r="I69" s="45" t="s">
        <v>5</v>
      </c>
      <c r="J69" s="46">
        <f ca="1">J63*VLOOKUP($I63,'FX RATES'!$E$1:$F$10,2,FALSE)+J64*VLOOKUP($I64,'FX RATES'!$E$1:$F$10,2,FALSE)+J65*VLOOKUP($I65,'FX RATES'!$E$1:$F$10,2,FALSE)+J66*VLOOKUP($I66,'FX RATES'!$E$1:$F$10,2,FALSE)+J67*VLOOKUP($I67,'FX RATES'!$E$1:$F$10,2,FALSE)+J68*VLOOKUP($I68,'FX RATES'!$E$1:$F$10,2,FALSE)</f>
        <v>0</v>
      </c>
      <c r="K69" s="46">
        <f ca="1">K63*VLOOKUP($I63,'FX RATES'!$E$1:$F$10,2,FALSE)+K64*VLOOKUP($I64,'FX RATES'!$E$1:$F$10,2,FALSE)+K65*VLOOKUP($I65,'FX RATES'!$E$1:$F$10,2,FALSE)+K66*VLOOKUP($I66,'FX RATES'!$E$1:$F$10,2,FALSE)+K67*VLOOKUP($I67,'FX RATES'!$E$1:$F$10,2,FALSE)+K68*VLOOKUP($I68,'FX RATES'!$E$1:$F$10,2,FALSE)</f>
        <v>0</v>
      </c>
      <c r="L69" s="46">
        <f ca="1">J69+K69</f>
        <v>0</v>
      </c>
      <c r="M69" s="46">
        <f ca="1">SUM(M63:M68)</f>
        <v>0</v>
      </c>
    </row>
  </sheetData>
  <mergeCells count="10">
    <mergeCell ref="C46:G46"/>
    <mergeCell ref="C59:G59"/>
    <mergeCell ref="I59:M59"/>
    <mergeCell ref="I46:M46"/>
    <mergeCell ref="C2:G2"/>
    <mergeCell ref="I2:M2"/>
    <mergeCell ref="C16:G16"/>
    <mergeCell ref="I16:M16"/>
    <mergeCell ref="C30:G30"/>
    <mergeCell ref="I30:M30"/>
  </mergeCells>
  <dataValidations count="1">
    <dataValidation allowBlank="1" showInputMessage="1" showErrorMessage="1" sqref="F12:H13 E5:G5 H2 K12:M12 K5:M5 H14:H16 L19:M19 F26:H26 K26:M26 H27:H30 K33:M33 F40:H40 K40:M40 I6:J12 K34:K39 K6:K11 C6:E13 E19:G19 K19:K25 C20:E26 C34:E40 I20:J26 I34:J40 E33:G33 E49:G49 E62:G62 E69:G69 E63:E68 C50:E56 C63:D69 F56:G56 H54:H1048576 K62:M62 K69:M69 K63:K68 I63:J69 G43 H41:H42 I43 K49:M49 I50:K56 L56:M56" xr:uid="{A99117C4-E189-4AC7-A6B8-239BCD895BD7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F29CC3-86DF-D94C-9C08-C86B9565CCDC}">
          <x14:formula1>
            <xm:f>DATA!$L$2:$L$3</xm:f>
          </x14:formula1>
          <xm:sqref>O3</xm:sqref>
        </x14:dataValidation>
        <x14:dataValidation type="list" allowBlank="1" showInputMessage="1" showErrorMessage="1" xr:uid="{7305CA4F-E72E-2746-A8A8-F9FB0FC7BCED}">
          <x14:formula1>
            <xm:f>DATA!$E$2:$E$15</xm:f>
          </x14:formula1>
          <xm:sqref>C2 I46 I59 C46 C59 I2 C16 I16 C30 I30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4647-FBC5-6C48-B88D-2A1C8DE2CEB2}">
  <sheetPr codeName="Sheet2">
    <tabColor theme="7"/>
  </sheetPr>
  <dimension ref="A1:L179"/>
  <sheetViews>
    <sheetView zoomScale="90" zoomScaleNormal="90" workbookViewId="0">
      <pane ySplit="2" topLeftCell="A27" activePane="bottomLeft" state="frozen"/>
      <selection activeCell="A3" sqref="A3"/>
      <selection pane="bottomLeft" activeCell="C13" sqref="C13:C19"/>
    </sheetView>
  </sheetViews>
  <sheetFormatPr baseColWidth="10" defaultColWidth="10.33203125" defaultRowHeight="15.75" customHeight="1"/>
  <cols>
    <col min="1" max="1" width="22.1640625" style="2" customWidth="1"/>
    <col min="2" max="2" width="15.5" style="21" customWidth="1"/>
    <col min="3" max="3" width="19.5" style="22" bestFit="1" customWidth="1"/>
    <col min="4" max="4" width="15.6640625" style="2" customWidth="1"/>
    <col min="5" max="5" width="13.6640625" style="2" bestFit="1" customWidth="1"/>
    <col min="6" max="6" width="14" style="39" bestFit="1" customWidth="1"/>
    <col min="7" max="7" width="24.5" style="2" customWidth="1"/>
    <col min="8" max="8" width="16.5" style="38" bestFit="1" customWidth="1"/>
    <col min="9" max="9" width="19.5" style="39" customWidth="1"/>
    <col min="10" max="10" width="18" style="27" hidden="1" customWidth="1"/>
    <col min="11" max="11" width="60.5" style="5" customWidth="1"/>
    <col min="12" max="12" width="60.1640625" style="5" customWidth="1"/>
    <col min="13" max="16384" width="10.33203125" style="215"/>
  </cols>
  <sheetData>
    <row r="1" spans="1:12" s="269" customFormat="1" ht="15.75" customHeight="1" thickBot="1">
      <c r="A1" s="235"/>
      <c r="B1" s="1" t="s">
        <v>74</v>
      </c>
      <c r="C1" s="42"/>
      <c r="D1" s="42"/>
      <c r="E1" s="42"/>
      <c r="F1" s="49"/>
      <c r="G1" s="42"/>
      <c r="H1" s="36">
        <f>BALANCES!B1</f>
        <v>46073</v>
      </c>
      <c r="I1" s="154"/>
      <c r="J1" s="47"/>
      <c r="K1" s="48"/>
      <c r="L1" s="42"/>
    </row>
    <row r="2" spans="1:12" s="269" customFormat="1" ht="15.75" customHeight="1" thickBot="1">
      <c r="A2" s="3" t="s">
        <v>61</v>
      </c>
      <c r="B2" s="3" t="s">
        <v>113</v>
      </c>
      <c r="C2" s="4" t="s">
        <v>75</v>
      </c>
      <c r="D2" s="3" t="s">
        <v>33</v>
      </c>
      <c r="E2" s="3" t="s">
        <v>4</v>
      </c>
      <c r="F2" s="37" t="s">
        <v>114</v>
      </c>
      <c r="G2" s="3" t="s">
        <v>115</v>
      </c>
      <c r="H2" s="37" t="s">
        <v>116</v>
      </c>
      <c r="I2" s="37" t="s">
        <v>117</v>
      </c>
      <c r="J2" s="3" t="s">
        <v>118</v>
      </c>
      <c r="K2" s="3" t="s">
        <v>119</v>
      </c>
      <c r="L2" s="3" t="s">
        <v>120</v>
      </c>
    </row>
    <row r="3" spans="1:12" s="269" customFormat="1" ht="15.75" customHeight="1">
      <c r="A3" s="235" t="s">
        <v>0</v>
      </c>
      <c r="B3" s="235" t="s">
        <v>121</v>
      </c>
      <c r="C3" s="273">
        <f>8670000-1723000</f>
        <v>6947000</v>
      </c>
      <c r="D3" s="221" t="s">
        <v>5</v>
      </c>
      <c r="E3" s="235" t="s">
        <v>14</v>
      </c>
      <c r="F3" s="236">
        <v>46081</v>
      </c>
      <c r="G3" s="235" t="s">
        <v>122</v>
      </c>
      <c r="H3" s="238">
        <v>46084</v>
      </c>
      <c r="I3" s="236" t="str">
        <f>IF(H3&lt;$H$1,"⚠️","☑️")</f>
        <v>☑️</v>
      </c>
      <c r="K3" s="274" t="s">
        <v>123</v>
      </c>
      <c r="L3" s="274" t="s">
        <v>124</v>
      </c>
    </row>
    <row r="4" spans="1:12" s="269" customFormat="1" ht="15.75" customHeight="1">
      <c r="C4" s="428"/>
      <c r="L4" s="274"/>
    </row>
    <row r="5" spans="1:12" s="269" customFormat="1" ht="15.75" customHeight="1">
      <c r="A5" s="235" t="s">
        <v>31</v>
      </c>
      <c r="B5" s="235" t="s">
        <v>121</v>
      </c>
      <c r="C5" s="273">
        <v>7036800</v>
      </c>
      <c r="D5" s="221" t="s">
        <v>5</v>
      </c>
      <c r="E5" s="235" t="s">
        <v>14</v>
      </c>
      <c r="F5" s="236">
        <v>46056</v>
      </c>
      <c r="G5" s="235" t="s">
        <v>122</v>
      </c>
      <c r="H5" s="238">
        <v>46142</v>
      </c>
      <c r="I5" s="236" t="str">
        <f>IF(H5&lt;$H$1,"⚠️","☑️")</f>
        <v>☑️</v>
      </c>
      <c r="K5" s="274" t="s">
        <v>125</v>
      </c>
      <c r="L5" s="274"/>
    </row>
    <row r="6" spans="1:12" s="269" customFormat="1" ht="15.75" customHeight="1">
      <c r="A6" s="235" t="s">
        <v>31</v>
      </c>
      <c r="B6" s="235" t="s">
        <v>121</v>
      </c>
      <c r="C6" s="273">
        <v>7036800</v>
      </c>
      <c r="D6" s="221" t="s">
        <v>5</v>
      </c>
      <c r="E6" s="235" t="s">
        <v>14</v>
      </c>
      <c r="F6" s="236">
        <v>46056</v>
      </c>
      <c r="G6" s="235" t="s">
        <v>122</v>
      </c>
      <c r="H6" s="238">
        <v>46142</v>
      </c>
      <c r="I6" s="236" t="str">
        <f>IF(H6&lt;$H$1,"⚠️","☑️")</f>
        <v>☑️</v>
      </c>
      <c r="K6" s="274" t="s">
        <v>126</v>
      </c>
      <c r="L6" s="274"/>
    </row>
    <row r="7" spans="1:12" s="269" customFormat="1" ht="15.75" customHeight="1">
      <c r="L7" s="274"/>
    </row>
    <row r="8" spans="1:12" s="269" customFormat="1" ht="15.75" customHeight="1">
      <c r="A8" s="275" t="s">
        <v>27</v>
      </c>
      <c r="B8" s="275" t="s">
        <v>121</v>
      </c>
      <c r="C8" s="276">
        <f>8670000-1730000</f>
        <v>6940000</v>
      </c>
      <c r="D8" s="220" t="s">
        <v>5</v>
      </c>
      <c r="E8" s="275" t="s">
        <v>28</v>
      </c>
      <c r="F8" s="277">
        <v>46053</v>
      </c>
      <c r="G8" s="275" t="s">
        <v>122</v>
      </c>
      <c r="H8" s="238">
        <v>46112</v>
      </c>
      <c r="I8" s="277" t="str">
        <f>IF(H8&lt;$H$1,"⚠️","☑️")</f>
        <v>☑️</v>
      </c>
      <c r="J8" s="278" t="s">
        <v>127</v>
      </c>
      <c r="K8" s="278" t="s">
        <v>125</v>
      </c>
      <c r="L8" s="274"/>
    </row>
    <row r="9" spans="1:12" s="269" customFormat="1" ht="15.75" customHeight="1">
      <c r="A9" s="275" t="s">
        <v>31</v>
      </c>
      <c r="B9" s="275" t="s">
        <v>128</v>
      </c>
      <c r="C9" s="276">
        <v>-150000</v>
      </c>
      <c r="D9" s="220" t="s">
        <v>8</v>
      </c>
      <c r="E9" s="275" t="s">
        <v>14</v>
      </c>
      <c r="F9" s="277">
        <v>45812</v>
      </c>
      <c r="G9" s="275" t="s">
        <v>122</v>
      </c>
      <c r="H9" s="238"/>
      <c r="I9" s="277" t="s">
        <v>129</v>
      </c>
      <c r="J9" s="277"/>
      <c r="K9" s="277"/>
      <c r="L9" s="274"/>
    </row>
    <row r="10" spans="1:12" s="269" customFormat="1" ht="15.75" customHeight="1">
      <c r="A10" s="235"/>
      <c r="B10" s="235"/>
      <c r="C10" s="273"/>
      <c r="D10" s="235"/>
      <c r="E10" s="235"/>
      <c r="F10" s="236"/>
      <c r="G10" s="235"/>
      <c r="H10" s="238"/>
      <c r="I10" s="236"/>
      <c r="J10" s="274"/>
      <c r="K10" s="274"/>
      <c r="L10" s="274"/>
    </row>
    <row r="11" spans="1:12" s="269" customFormat="1" ht="15.75" customHeight="1">
      <c r="A11" s="254" t="s">
        <v>0</v>
      </c>
      <c r="B11" s="254" t="s">
        <v>121</v>
      </c>
      <c r="C11" s="360">
        <v>-460000</v>
      </c>
      <c r="D11" s="361" t="s">
        <v>5</v>
      </c>
      <c r="E11" s="254" t="s">
        <v>14</v>
      </c>
      <c r="F11" s="238">
        <v>46056</v>
      </c>
      <c r="G11" s="254" t="s">
        <v>122</v>
      </c>
      <c r="H11" s="238">
        <v>45968</v>
      </c>
      <c r="I11" s="238" t="str">
        <f t="shared" ref="I11" si="0">IF(H11&lt;$H$1,"⚠️","☑️")</f>
        <v>⚠️</v>
      </c>
      <c r="J11" s="362"/>
      <c r="K11" s="363" t="s">
        <v>130</v>
      </c>
      <c r="L11" s="274"/>
    </row>
    <row r="12" spans="1:12" s="269" customFormat="1" ht="15.75" customHeight="1">
      <c r="A12" s="206"/>
      <c r="B12" s="235"/>
      <c r="C12" s="235"/>
      <c r="D12" s="235"/>
      <c r="E12" s="235"/>
      <c r="F12" s="235"/>
      <c r="G12" s="235"/>
      <c r="H12" s="235"/>
      <c r="I12" s="235"/>
      <c r="J12" s="235"/>
      <c r="K12" s="235"/>
    </row>
    <row r="13" spans="1:12" s="269" customFormat="1" ht="15.75" customHeight="1">
      <c r="A13" s="275" t="s">
        <v>0</v>
      </c>
      <c r="B13" s="275" t="s">
        <v>131</v>
      </c>
      <c r="C13" s="280">
        <v>397264.56</v>
      </c>
      <c r="D13" s="275" t="s">
        <v>5</v>
      </c>
      <c r="E13" s="275" t="s">
        <v>14</v>
      </c>
      <c r="F13" s="277">
        <v>46037</v>
      </c>
      <c r="G13" s="275" t="s">
        <v>122</v>
      </c>
      <c r="H13" s="238">
        <v>46077</v>
      </c>
      <c r="I13" s="275"/>
      <c r="J13" s="275"/>
      <c r="K13" s="278" t="s">
        <v>132</v>
      </c>
      <c r="L13" s="274"/>
    </row>
    <row r="14" spans="1:12" s="269" customFormat="1" ht="15.75" customHeight="1">
      <c r="A14" s="275" t="s">
        <v>0</v>
      </c>
      <c r="B14" s="275" t="s">
        <v>131</v>
      </c>
      <c r="C14" s="280">
        <v>396580.8</v>
      </c>
      <c r="D14" s="275" t="s">
        <v>5</v>
      </c>
      <c r="E14" s="275" t="s">
        <v>14</v>
      </c>
      <c r="F14" s="277">
        <v>46037</v>
      </c>
      <c r="G14" s="275" t="s">
        <v>122</v>
      </c>
      <c r="H14" s="238">
        <v>46077</v>
      </c>
      <c r="I14" s="275"/>
      <c r="J14" s="275"/>
      <c r="K14" s="278" t="s">
        <v>132</v>
      </c>
      <c r="L14" s="274"/>
    </row>
    <row r="15" spans="1:12" s="269" customFormat="1" ht="15.75" customHeight="1">
      <c r="A15" s="275" t="s">
        <v>0</v>
      </c>
      <c r="B15" s="275" t="s">
        <v>131</v>
      </c>
      <c r="C15" s="280">
        <v>356465.4</v>
      </c>
      <c r="D15" s="275" t="s">
        <v>5</v>
      </c>
      <c r="E15" s="275" t="s">
        <v>14</v>
      </c>
      <c r="F15" s="277">
        <v>46043</v>
      </c>
      <c r="G15" s="275" t="s">
        <v>122</v>
      </c>
      <c r="H15" s="238">
        <v>46077</v>
      </c>
      <c r="I15" s="275"/>
      <c r="J15" s="275"/>
      <c r="K15" s="278" t="s">
        <v>132</v>
      </c>
      <c r="L15" s="274"/>
    </row>
    <row r="16" spans="1:12" s="269" customFormat="1" ht="15.75" customHeight="1">
      <c r="A16" s="275" t="s">
        <v>0</v>
      </c>
      <c r="B16" s="275" t="s">
        <v>131</v>
      </c>
      <c r="C16" s="280">
        <v>88710.720000000001</v>
      </c>
      <c r="D16" s="275" t="s">
        <v>5</v>
      </c>
      <c r="E16" s="275" t="s">
        <v>14</v>
      </c>
      <c r="F16" s="277">
        <v>46043</v>
      </c>
      <c r="G16" s="275" t="s">
        <v>122</v>
      </c>
      <c r="H16" s="238">
        <v>46077</v>
      </c>
      <c r="I16" s="275"/>
      <c r="J16" s="275"/>
      <c r="K16" s="278" t="s">
        <v>133</v>
      </c>
      <c r="L16" s="274"/>
    </row>
    <row r="17" spans="1:12" s="269" customFormat="1" ht="15.75" customHeight="1">
      <c r="A17" s="275" t="s">
        <v>0</v>
      </c>
      <c r="B17" s="275" t="s">
        <v>131</v>
      </c>
      <c r="C17" s="280">
        <v>357036.85</v>
      </c>
      <c r="D17" s="275" t="s">
        <v>5</v>
      </c>
      <c r="E17" s="275" t="s">
        <v>14</v>
      </c>
      <c r="F17" s="277">
        <v>46081</v>
      </c>
      <c r="G17" s="275" t="s">
        <v>122</v>
      </c>
      <c r="H17" s="238">
        <v>46081</v>
      </c>
      <c r="I17" s="275"/>
      <c r="J17" s="275"/>
      <c r="K17" s="278" t="s">
        <v>125</v>
      </c>
      <c r="L17" s="274" t="s">
        <v>134</v>
      </c>
    </row>
    <row r="18" spans="1:12" s="269" customFormat="1" ht="15.75" customHeight="1">
      <c r="A18" s="275" t="s">
        <v>0</v>
      </c>
      <c r="B18" s="275" t="s">
        <v>131</v>
      </c>
      <c r="C18" s="280">
        <v>353600</v>
      </c>
      <c r="D18" s="275" t="s">
        <v>5</v>
      </c>
      <c r="E18" s="275" t="s">
        <v>14</v>
      </c>
      <c r="F18" s="277">
        <v>46081</v>
      </c>
      <c r="G18" s="275" t="s">
        <v>122</v>
      </c>
      <c r="H18" s="238">
        <v>46081</v>
      </c>
      <c r="I18" s="275"/>
      <c r="J18" s="275"/>
      <c r="K18" s="278" t="s">
        <v>135</v>
      </c>
      <c r="L18" s="274" t="s">
        <v>136</v>
      </c>
    </row>
    <row r="19" spans="1:12" s="269" customFormat="1" ht="16.5" customHeight="1">
      <c r="A19" s="275" t="s">
        <v>0</v>
      </c>
      <c r="B19" s="275" t="s">
        <v>131</v>
      </c>
      <c r="C19" s="280">
        <v>355200</v>
      </c>
      <c r="D19" s="275" t="s">
        <v>5</v>
      </c>
      <c r="E19" s="275" t="s">
        <v>14</v>
      </c>
      <c r="F19" s="277">
        <v>46081</v>
      </c>
      <c r="G19" s="275" t="s">
        <v>122</v>
      </c>
      <c r="H19" s="238">
        <v>46081</v>
      </c>
      <c r="I19" s="275"/>
      <c r="J19" s="275"/>
      <c r="K19" s="278" t="s">
        <v>137</v>
      </c>
      <c r="L19" s="274" t="s">
        <v>138</v>
      </c>
    </row>
    <row r="20" spans="1:12" s="269" customFormat="1" ht="16.5" customHeight="1">
      <c r="A20" s="275" t="s">
        <v>0</v>
      </c>
      <c r="B20" s="275" t="s">
        <v>131</v>
      </c>
      <c r="C20" s="280">
        <f>1768000*40%</f>
        <v>707200</v>
      </c>
      <c r="D20" s="275" t="s">
        <v>5</v>
      </c>
      <c r="E20" s="275" t="s">
        <v>14</v>
      </c>
      <c r="F20" s="277">
        <v>46081</v>
      </c>
      <c r="G20" s="275" t="s">
        <v>122</v>
      </c>
      <c r="H20" s="238">
        <v>46081</v>
      </c>
      <c r="I20" s="275"/>
      <c r="J20" s="275"/>
      <c r="K20" s="278" t="s">
        <v>135</v>
      </c>
      <c r="L20" s="274" t="s">
        <v>139</v>
      </c>
    </row>
    <row r="21" spans="1:12" s="269" customFormat="1" ht="16.5" customHeight="1">
      <c r="A21" s="275" t="s">
        <v>0</v>
      </c>
      <c r="B21" s="275" t="s">
        <v>131</v>
      </c>
      <c r="C21" s="280">
        <v>357600</v>
      </c>
      <c r="D21" s="275" t="s">
        <v>5</v>
      </c>
      <c r="E21" s="275" t="s">
        <v>14</v>
      </c>
      <c r="F21" s="277">
        <v>46096</v>
      </c>
      <c r="G21" s="275" t="s">
        <v>122</v>
      </c>
      <c r="H21" s="238">
        <v>46096</v>
      </c>
      <c r="I21" s="275"/>
      <c r="J21" s="275"/>
      <c r="K21" s="278" t="s">
        <v>140</v>
      </c>
      <c r="L21" s="274" t="s">
        <v>141</v>
      </c>
    </row>
    <row r="22" spans="1:12" s="269" customFormat="1" ht="16.5" customHeight="1">
      <c r="A22" s="275" t="s">
        <v>0</v>
      </c>
      <c r="B22" s="275" t="s">
        <v>131</v>
      </c>
      <c r="C22" s="280">
        <f>1768000*60%</f>
        <v>1060800</v>
      </c>
      <c r="D22" s="275" t="s">
        <v>5</v>
      </c>
      <c r="E22" s="275" t="s">
        <v>14</v>
      </c>
      <c r="F22" s="277">
        <v>46112</v>
      </c>
      <c r="G22" s="275" t="s">
        <v>122</v>
      </c>
      <c r="H22" s="238">
        <v>46112</v>
      </c>
      <c r="I22" s="275"/>
      <c r="J22" s="275"/>
      <c r="K22" s="278" t="s">
        <v>135</v>
      </c>
      <c r="L22" s="274" t="s">
        <v>139</v>
      </c>
    </row>
    <row r="23" spans="1:12" s="269" customFormat="1" ht="16.5" customHeight="1">
      <c r="A23" s="275" t="s">
        <v>0</v>
      </c>
      <c r="B23" s="275" t="s">
        <v>131</v>
      </c>
      <c r="C23" s="280">
        <v>356000</v>
      </c>
      <c r="D23" s="275" t="s">
        <v>5</v>
      </c>
      <c r="E23" s="275" t="s">
        <v>14</v>
      </c>
      <c r="F23" s="277">
        <v>46112</v>
      </c>
      <c r="G23" s="275" t="s">
        <v>122</v>
      </c>
      <c r="H23" s="238">
        <v>46112</v>
      </c>
      <c r="I23" s="275"/>
      <c r="J23" s="275"/>
      <c r="K23" s="278" t="s">
        <v>125</v>
      </c>
      <c r="L23" s="274" t="s">
        <v>142</v>
      </c>
    </row>
    <row r="24" spans="1:12" s="269" customFormat="1" ht="15.75" customHeight="1">
      <c r="A24" s="275" t="s">
        <v>0</v>
      </c>
      <c r="B24" s="275" t="s">
        <v>131</v>
      </c>
      <c r="C24" s="280">
        <v>357600</v>
      </c>
      <c r="D24" s="275" t="s">
        <v>5</v>
      </c>
      <c r="E24" s="275" t="s">
        <v>14</v>
      </c>
      <c r="F24" s="277">
        <v>46127</v>
      </c>
      <c r="G24" s="275" t="s">
        <v>122</v>
      </c>
      <c r="H24" s="238">
        <v>46127</v>
      </c>
      <c r="I24" s="275"/>
      <c r="J24" s="275"/>
      <c r="K24" s="278" t="s">
        <v>140</v>
      </c>
      <c r="L24" s="274" t="s">
        <v>141</v>
      </c>
    </row>
    <row r="25" spans="1:12" s="269" customFormat="1" ht="15.75" customHeight="1">
      <c r="A25" s="235"/>
      <c r="B25" s="235"/>
      <c r="C25" s="235"/>
      <c r="D25" s="235"/>
      <c r="E25" s="235"/>
      <c r="F25" s="236"/>
      <c r="G25" s="235"/>
      <c r="H25" s="150"/>
      <c r="I25" s="236"/>
      <c r="J25" s="279"/>
      <c r="K25" s="290">
        <v>0</v>
      </c>
      <c r="L25" s="274"/>
    </row>
    <row r="26" spans="1:12" s="269" customFormat="1" ht="15.75" customHeight="1">
      <c r="A26" s="235" t="s">
        <v>0</v>
      </c>
      <c r="B26" s="235" t="s">
        <v>143</v>
      </c>
      <c r="C26" s="148">
        <v>389671.27</v>
      </c>
      <c r="D26" s="235" t="s">
        <v>8</v>
      </c>
      <c r="E26" s="235" t="s">
        <v>14</v>
      </c>
      <c r="F26" s="236">
        <v>45923</v>
      </c>
      <c r="G26" s="235" t="s">
        <v>122</v>
      </c>
      <c r="H26" s="150"/>
      <c r="I26" s="236" t="str">
        <f>IF(H26&lt;$H$1,"⚠️","☑️")</f>
        <v>⚠️</v>
      </c>
      <c r="J26" s="279"/>
      <c r="K26" s="274" t="s">
        <v>144</v>
      </c>
      <c r="L26" s="281">
        <v>322878.59999999998</v>
      </c>
    </row>
    <row r="27" spans="1:12" s="269" customFormat="1" ht="15.75" customHeight="1">
      <c r="A27" s="235"/>
      <c r="B27" s="235"/>
      <c r="C27" s="237"/>
      <c r="D27" s="235"/>
      <c r="E27" s="235"/>
      <c r="F27" s="236"/>
      <c r="G27" s="235"/>
      <c r="H27" s="238"/>
      <c r="I27" s="236"/>
      <c r="J27" s="279"/>
      <c r="K27" s="274"/>
      <c r="L27" s="274"/>
    </row>
    <row r="28" spans="1:12" s="269" customFormat="1" ht="15.75" customHeight="1">
      <c r="A28" s="258" t="s">
        <v>0</v>
      </c>
      <c r="B28" s="258" t="s">
        <v>128</v>
      </c>
      <c r="C28" s="153">
        <v>-3000000</v>
      </c>
      <c r="D28" s="258" t="s">
        <v>8</v>
      </c>
      <c r="E28" s="258" t="s">
        <v>17</v>
      </c>
      <c r="F28" s="282">
        <v>45984</v>
      </c>
      <c r="G28" s="258" t="s">
        <v>122</v>
      </c>
      <c r="H28" s="238">
        <v>46033</v>
      </c>
      <c r="I28" s="236" t="str">
        <f t="shared" ref="I28" si="1">IF(H28&lt;$H$1,"⚠️","☑️")</f>
        <v>⚠️</v>
      </c>
      <c r="J28" s="283"/>
      <c r="K28" s="284" t="s">
        <v>145</v>
      </c>
      <c r="L28" s="284"/>
    </row>
    <row r="29" spans="1:12" s="269" customFormat="1" ht="15.75" customHeight="1">
      <c r="A29" s="258" t="s">
        <v>0</v>
      </c>
      <c r="B29" s="258" t="s">
        <v>128</v>
      </c>
      <c r="C29" s="153">
        <f>-6474000+2000000</f>
        <v>-4474000</v>
      </c>
      <c r="D29" s="258" t="s">
        <v>8</v>
      </c>
      <c r="E29" s="258" t="s">
        <v>17</v>
      </c>
      <c r="F29" s="282">
        <v>46057</v>
      </c>
      <c r="G29" s="258" t="s">
        <v>122</v>
      </c>
      <c r="H29" s="238"/>
      <c r="I29" s="236"/>
      <c r="J29" s="283"/>
      <c r="K29" s="284" t="s">
        <v>146</v>
      </c>
      <c r="L29" s="284"/>
    </row>
    <row r="30" spans="1:12" s="269" customFormat="1" ht="15.75" customHeight="1" thickBot="1">
      <c r="A30" s="258" t="s">
        <v>31</v>
      </c>
      <c r="B30" s="258" t="s">
        <v>128</v>
      </c>
      <c r="C30" s="153">
        <v>-300000</v>
      </c>
      <c r="D30" s="258" t="s">
        <v>8</v>
      </c>
      <c r="E30" s="258" t="s">
        <v>14</v>
      </c>
      <c r="F30" s="282">
        <v>46026</v>
      </c>
      <c r="G30" s="258" t="s">
        <v>122</v>
      </c>
      <c r="H30" s="238">
        <v>46028</v>
      </c>
      <c r="I30" s="236" t="str">
        <f>IF(H30&lt;$H$1,"⚠️","☑️")</f>
        <v>⚠️</v>
      </c>
      <c r="J30" s="283"/>
      <c r="K30" s="284"/>
      <c r="L30" s="50" t="s">
        <v>120</v>
      </c>
    </row>
    <row r="31" spans="1:12" s="269" customFormat="1" ht="16">
      <c r="A31" s="50" t="s">
        <v>61</v>
      </c>
      <c r="B31" s="50" t="s">
        <v>113</v>
      </c>
      <c r="C31" s="51" t="s">
        <v>75</v>
      </c>
      <c r="D31" s="50" t="s">
        <v>33</v>
      </c>
      <c r="E31" s="50" t="s">
        <v>4</v>
      </c>
      <c r="F31" s="52" t="s">
        <v>114</v>
      </c>
      <c r="G31" s="50" t="s">
        <v>115</v>
      </c>
      <c r="H31" s="52" t="s">
        <v>116</v>
      </c>
      <c r="I31" s="52" t="s">
        <v>117</v>
      </c>
      <c r="J31" s="50" t="s">
        <v>118</v>
      </c>
      <c r="K31" s="50" t="s">
        <v>119</v>
      </c>
      <c r="L31" s="274"/>
    </row>
    <row r="32" spans="1:12" s="269" customFormat="1" ht="15.75" customHeight="1">
      <c r="A32" s="235"/>
      <c r="B32" s="235"/>
      <c r="C32" s="237"/>
      <c r="D32" s="235"/>
      <c r="E32" s="235"/>
      <c r="F32" s="236"/>
      <c r="G32" s="235"/>
      <c r="H32" s="238"/>
      <c r="I32" s="236"/>
      <c r="J32" s="279"/>
      <c r="K32" s="274"/>
      <c r="L32" s="284"/>
    </row>
    <row r="33" spans="1:12" s="269" customFormat="1" ht="15.75" customHeight="1">
      <c r="A33" s="258" t="s">
        <v>147</v>
      </c>
      <c r="B33" s="258" t="s">
        <v>128</v>
      </c>
      <c r="C33" s="285">
        <v>0</v>
      </c>
      <c r="D33" s="258"/>
      <c r="E33" s="258"/>
      <c r="F33" s="282"/>
      <c r="G33" s="258" t="s">
        <v>122</v>
      </c>
      <c r="H33" s="238">
        <v>45413</v>
      </c>
      <c r="I33" s="236" t="str">
        <f t="shared" ref="I33" si="2">IF(H33&lt;$H$1,"⚠️","☑️")</f>
        <v>⚠️</v>
      </c>
      <c r="J33" s="283"/>
      <c r="K33" s="284"/>
      <c r="L33" s="274"/>
    </row>
    <row r="34" spans="1:12" s="269" customFormat="1" ht="15.75" customHeight="1">
      <c r="A34" s="235"/>
      <c r="B34" s="235"/>
      <c r="C34" s="237"/>
      <c r="D34" s="235"/>
      <c r="E34" s="235"/>
      <c r="F34" s="236"/>
      <c r="G34" s="235"/>
      <c r="H34" s="238"/>
      <c r="I34" s="236"/>
      <c r="J34" s="279"/>
      <c r="K34" s="274"/>
      <c r="L34" s="274"/>
    </row>
    <row r="35" spans="1:12" s="269" customFormat="1" ht="16">
      <c r="A35" s="235"/>
      <c r="B35" s="235"/>
      <c r="C35" s="237"/>
      <c r="D35" s="235"/>
      <c r="E35" s="235"/>
      <c r="F35" s="236"/>
      <c r="G35" s="235"/>
      <c r="H35" s="238"/>
      <c r="I35" s="236"/>
      <c r="J35" s="279"/>
      <c r="K35" s="274"/>
      <c r="L35" s="274"/>
    </row>
    <row r="36" spans="1:12" s="216" customFormat="1" ht="16">
      <c r="A36" s="235"/>
      <c r="B36" s="235"/>
      <c r="C36" s="237"/>
      <c r="D36" s="235"/>
      <c r="E36" s="235"/>
      <c r="F36" s="236"/>
      <c r="G36" s="235"/>
      <c r="H36" s="238"/>
      <c r="I36" s="236">
        <v>5</v>
      </c>
      <c r="J36" s="279"/>
      <c r="K36" s="274"/>
      <c r="L36" s="53" t="s">
        <v>120</v>
      </c>
    </row>
    <row r="37" spans="1:12" s="216" customFormat="1" ht="16">
      <c r="A37" s="53" t="s">
        <v>61</v>
      </c>
      <c r="B37" s="53" t="s">
        <v>113</v>
      </c>
      <c r="C37" s="54" t="s">
        <v>75</v>
      </c>
      <c r="D37" s="53" t="s">
        <v>33</v>
      </c>
      <c r="E37" s="53" t="s">
        <v>14</v>
      </c>
      <c r="F37" s="55" t="s">
        <v>114</v>
      </c>
      <c r="G37" s="53" t="s">
        <v>115</v>
      </c>
      <c r="H37" s="55" t="s">
        <v>116</v>
      </c>
      <c r="I37" s="55" t="s">
        <v>117</v>
      </c>
      <c r="J37" s="53" t="s">
        <v>118</v>
      </c>
      <c r="K37" s="53" t="s">
        <v>119</v>
      </c>
      <c r="L37" s="152"/>
    </row>
    <row r="38" spans="1:12" s="216" customFormat="1" ht="16">
      <c r="A38" s="235" t="s">
        <v>34</v>
      </c>
      <c r="B38" s="235" t="s">
        <v>148</v>
      </c>
      <c r="C38" s="148">
        <f>-730950</f>
        <v>-730950</v>
      </c>
      <c r="D38" s="235" t="s">
        <v>5</v>
      </c>
      <c r="E38" s="235" t="s">
        <v>17</v>
      </c>
      <c r="F38" s="149">
        <v>46072</v>
      </c>
      <c r="G38" s="147" t="s">
        <v>122</v>
      </c>
      <c r="H38" s="150"/>
      <c r="I38" s="236"/>
      <c r="J38" s="151"/>
      <c r="K38" s="336" t="s">
        <v>149</v>
      </c>
      <c r="L38" s="152" t="s">
        <v>150</v>
      </c>
    </row>
    <row r="39" spans="1:12" s="216" customFormat="1" ht="16">
      <c r="A39" s="235" t="s">
        <v>34</v>
      </c>
      <c r="B39" s="235" t="s">
        <v>148</v>
      </c>
      <c r="C39" s="148">
        <v>8085000</v>
      </c>
      <c r="D39" s="235" t="s">
        <v>5</v>
      </c>
      <c r="E39" s="235" t="s">
        <v>13</v>
      </c>
      <c r="F39" s="149">
        <v>46091</v>
      </c>
      <c r="G39" s="147" t="s">
        <v>122</v>
      </c>
      <c r="H39" s="150"/>
      <c r="I39" s="236"/>
      <c r="J39" s="151"/>
      <c r="K39" s="336" t="s">
        <v>151</v>
      </c>
      <c r="L39" s="152"/>
    </row>
    <row r="40" spans="1:12" s="216" customFormat="1" ht="16">
      <c r="A40" s="235" t="s">
        <v>34</v>
      </c>
      <c r="B40" s="235" t="s">
        <v>148</v>
      </c>
      <c r="C40" s="148">
        <f>-730950</f>
        <v>-730950</v>
      </c>
      <c r="D40" s="235" t="s">
        <v>5</v>
      </c>
      <c r="E40" s="235" t="s">
        <v>17</v>
      </c>
      <c r="F40" s="149">
        <v>46119</v>
      </c>
      <c r="G40" s="147" t="s">
        <v>122</v>
      </c>
      <c r="H40" s="150"/>
      <c r="I40" s="236"/>
      <c r="J40" s="151"/>
      <c r="K40" s="336" t="s">
        <v>152</v>
      </c>
      <c r="L40" s="152" t="s">
        <v>150</v>
      </c>
    </row>
    <row r="41" spans="1:12" s="216" customFormat="1" ht="16">
      <c r="A41" s="235" t="s">
        <v>34</v>
      </c>
      <c r="B41" s="235" t="s">
        <v>148</v>
      </c>
      <c r="C41" s="148">
        <v>8085000</v>
      </c>
      <c r="D41" s="235" t="s">
        <v>5</v>
      </c>
      <c r="E41" s="235" t="s">
        <v>13</v>
      </c>
      <c r="F41" s="149">
        <v>46146</v>
      </c>
      <c r="G41" s="147" t="s">
        <v>122</v>
      </c>
      <c r="H41" s="150"/>
      <c r="I41" s="236"/>
      <c r="J41" s="151"/>
      <c r="K41" s="336" t="s">
        <v>153</v>
      </c>
      <c r="L41" s="152"/>
    </row>
    <row r="42" spans="1:12" s="216" customFormat="1" ht="16">
      <c r="A42" s="235" t="s">
        <v>34</v>
      </c>
      <c r="B42" s="235" t="s">
        <v>148</v>
      </c>
      <c r="C42" s="148">
        <v>990000</v>
      </c>
      <c r="D42" s="235" t="s">
        <v>5</v>
      </c>
      <c r="E42" s="235" t="s">
        <v>13</v>
      </c>
      <c r="F42" s="149">
        <v>46150</v>
      </c>
      <c r="G42" s="147" t="s">
        <v>122</v>
      </c>
      <c r="H42" s="150"/>
      <c r="I42" s="236"/>
      <c r="J42" s="151"/>
      <c r="K42" s="336" t="s">
        <v>154</v>
      </c>
      <c r="L42" s="152"/>
    </row>
    <row r="43" spans="1:12" s="216" customFormat="1" ht="16">
      <c r="A43" s="235"/>
      <c r="B43" s="235"/>
      <c r="C43" s="148"/>
      <c r="D43" s="235"/>
      <c r="E43" s="235"/>
      <c r="F43" s="149"/>
      <c r="G43" s="147"/>
      <c r="H43" s="150"/>
      <c r="I43" s="236"/>
      <c r="J43" s="151"/>
      <c r="K43" s="336"/>
      <c r="L43" s="152"/>
    </row>
    <row r="44" spans="1:12" s="216" customFormat="1" ht="16">
      <c r="A44" s="235" t="s">
        <v>39</v>
      </c>
      <c r="B44" s="235" t="s">
        <v>128</v>
      </c>
      <c r="C44" s="526">
        <v>1000000</v>
      </c>
      <c r="D44" s="235" t="s">
        <v>5</v>
      </c>
      <c r="E44" s="235" t="s">
        <v>14</v>
      </c>
      <c r="F44" s="149">
        <v>46139</v>
      </c>
      <c r="G44" s="147" t="s">
        <v>122</v>
      </c>
      <c r="H44" s="150">
        <f t="shared" ref="H44:H51" si="3">F44</f>
        <v>46139</v>
      </c>
      <c r="I44" s="236"/>
      <c r="J44" s="151"/>
      <c r="K44" s="336" t="s">
        <v>155</v>
      </c>
      <c r="L44" s="152"/>
    </row>
    <row r="45" spans="1:12" s="216" customFormat="1" ht="16">
      <c r="A45" s="235" t="s">
        <v>39</v>
      </c>
      <c r="B45" s="235" t="s">
        <v>128</v>
      </c>
      <c r="C45" s="526">
        <f>C44*14%/4</f>
        <v>35000</v>
      </c>
      <c r="D45" s="235" t="s">
        <v>5</v>
      </c>
      <c r="E45" s="235" t="s">
        <v>14</v>
      </c>
      <c r="F45" s="149">
        <v>46139</v>
      </c>
      <c r="G45" s="147" t="s">
        <v>122</v>
      </c>
      <c r="H45" s="150">
        <f t="shared" si="3"/>
        <v>46139</v>
      </c>
      <c r="I45" s="236"/>
      <c r="J45" s="151"/>
      <c r="K45" s="336" t="s">
        <v>156</v>
      </c>
      <c r="L45" s="152"/>
    </row>
    <row r="46" spans="1:12" s="216" customFormat="1" ht="16">
      <c r="A46" s="235" t="s">
        <v>39</v>
      </c>
      <c r="B46" s="235" t="s">
        <v>128</v>
      </c>
      <c r="C46" s="526">
        <v>1000000</v>
      </c>
      <c r="D46" s="235" t="s">
        <v>5</v>
      </c>
      <c r="E46" s="235" t="s">
        <v>14</v>
      </c>
      <c r="F46" s="149">
        <f>F44+91</f>
        <v>46230</v>
      </c>
      <c r="G46" s="147" t="s">
        <v>122</v>
      </c>
      <c r="H46" s="150">
        <f t="shared" si="3"/>
        <v>46230</v>
      </c>
      <c r="I46" s="236"/>
      <c r="J46" s="151"/>
      <c r="K46" s="336" t="s">
        <v>155</v>
      </c>
      <c r="L46" s="152"/>
    </row>
    <row r="47" spans="1:12" s="216" customFormat="1" ht="16">
      <c r="A47" s="235" t="s">
        <v>39</v>
      </c>
      <c r="B47" s="235" t="s">
        <v>128</v>
      </c>
      <c r="C47" s="526">
        <f>C45</f>
        <v>35000</v>
      </c>
      <c r="D47" s="235" t="s">
        <v>5</v>
      </c>
      <c r="E47" s="235" t="s">
        <v>14</v>
      </c>
      <c r="F47" s="149">
        <f>F45+91</f>
        <v>46230</v>
      </c>
      <c r="G47" s="147" t="s">
        <v>122</v>
      </c>
      <c r="H47" s="150">
        <f t="shared" si="3"/>
        <v>46230</v>
      </c>
      <c r="I47" s="236"/>
      <c r="J47" s="151"/>
      <c r="K47" s="336" t="s">
        <v>156</v>
      </c>
      <c r="L47" s="152"/>
    </row>
    <row r="48" spans="1:12" s="216" customFormat="1" ht="16">
      <c r="A48" s="235" t="s">
        <v>39</v>
      </c>
      <c r="B48" s="235" t="s">
        <v>128</v>
      </c>
      <c r="C48" s="526">
        <v>1000000</v>
      </c>
      <c r="D48" s="235" t="s">
        <v>5</v>
      </c>
      <c r="E48" s="235" t="s">
        <v>14</v>
      </c>
      <c r="F48" s="149">
        <f>F46+91</f>
        <v>46321</v>
      </c>
      <c r="G48" s="147" t="s">
        <v>122</v>
      </c>
      <c r="H48" s="150">
        <f t="shared" si="3"/>
        <v>46321</v>
      </c>
      <c r="I48" s="236"/>
      <c r="J48" s="151"/>
      <c r="K48" s="336" t="s">
        <v>155</v>
      </c>
      <c r="L48" s="152"/>
    </row>
    <row r="49" spans="1:12" s="216" customFormat="1" ht="16">
      <c r="A49" s="235" t="s">
        <v>39</v>
      </c>
      <c r="B49" s="235" t="s">
        <v>128</v>
      </c>
      <c r="C49" s="526">
        <f>C47</f>
        <v>35000</v>
      </c>
      <c r="D49" s="235" t="s">
        <v>5</v>
      </c>
      <c r="E49" s="235" t="s">
        <v>14</v>
      </c>
      <c r="F49" s="149">
        <f>F47+91</f>
        <v>46321</v>
      </c>
      <c r="G49" s="147" t="s">
        <v>122</v>
      </c>
      <c r="H49" s="150">
        <f t="shared" si="3"/>
        <v>46321</v>
      </c>
      <c r="I49" s="236"/>
      <c r="J49" s="151"/>
      <c r="K49" s="336" t="s">
        <v>156</v>
      </c>
      <c r="L49" s="152"/>
    </row>
    <row r="50" spans="1:12" s="216" customFormat="1" ht="16">
      <c r="A50" s="235" t="s">
        <v>39</v>
      </c>
      <c r="B50" s="235" t="s">
        <v>128</v>
      </c>
      <c r="C50" s="526">
        <v>1000000</v>
      </c>
      <c r="D50" s="235" t="s">
        <v>5</v>
      </c>
      <c r="E50" s="235" t="s">
        <v>14</v>
      </c>
      <c r="F50" s="149">
        <f>F48+92</f>
        <v>46413</v>
      </c>
      <c r="G50" s="147" t="s">
        <v>122</v>
      </c>
      <c r="H50" s="150">
        <f t="shared" si="3"/>
        <v>46413</v>
      </c>
      <c r="I50" s="236"/>
      <c r="J50" s="151"/>
      <c r="K50" s="336" t="s">
        <v>155</v>
      </c>
      <c r="L50" s="152"/>
    </row>
    <row r="51" spans="1:12" s="216" customFormat="1" ht="16">
      <c r="A51" s="235" t="s">
        <v>39</v>
      </c>
      <c r="B51" s="235" t="s">
        <v>128</v>
      </c>
      <c r="C51" s="148">
        <f>C49</f>
        <v>35000</v>
      </c>
      <c r="D51" s="235" t="s">
        <v>5</v>
      </c>
      <c r="E51" s="235" t="s">
        <v>14</v>
      </c>
      <c r="F51" s="149">
        <f>F49+92</f>
        <v>46413</v>
      </c>
      <c r="G51" s="147" t="s">
        <v>122</v>
      </c>
      <c r="H51" s="150">
        <f t="shared" si="3"/>
        <v>46413</v>
      </c>
      <c r="I51" s="236"/>
      <c r="J51" s="151"/>
      <c r="K51" s="336" t="s">
        <v>156</v>
      </c>
      <c r="L51" s="152"/>
    </row>
    <row r="52" spans="1:12" s="216" customFormat="1" ht="16">
      <c r="A52" s="235"/>
      <c r="B52" s="235"/>
      <c r="C52" s="148"/>
      <c r="D52" s="235"/>
      <c r="E52" s="235"/>
      <c r="F52" s="149"/>
      <c r="G52" s="147"/>
      <c r="H52" s="150"/>
      <c r="I52" s="236"/>
      <c r="J52" s="151"/>
      <c r="K52" s="336"/>
      <c r="L52" s="152"/>
    </row>
    <row r="53" spans="1:12" s="216" customFormat="1" ht="16">
      <c r="A53" s="235" t="s">
        <v>34</v>
      </c>
      <c r="B53" s="235" t="s">
        <v>128</v>
      </c>
      <c r="C53" s="148">
        <v>1890000</v>
      </c>
      <c r="D53" s="235" t="s">
        <v>5</v>
      </c>
      <c r="E53" s="235" t="s">
        <v>14</v>
      </c>
      <c r="F53" s="149">
        <v>46045</v>
      </c>
      <c r="G53" s="147" t="s">
        <v>122</v>
      </c>
      <c r="H53" s="150"/>
      <c r="I53" s="236"/>
      <c r="J53" s="151"/>
      <c r="K53" s="336" t="s">
        <v>157</v>
      </c>
      <c r="L53" s="152"/>
    </row>
    <row r="54" spans="1:12" s="216" customFormat="1" ht="16">
      <c r="A54" s="235"/>
      <c r="B54" s="235"/>
      <c r="C54" s="148"/>
      <c r="D54" s="235"/>
      <c r="E54" s="235"/>
      <c r="F54" s="149"/>
      <c r="G54" s="147"/>
      <c r="H54" s="150"/>
      <c r="I54" s="236"/>
      <c r="J54" s="151"/>
      <c r="K54" s="336"/>
      <c r="L54" s="152"/>
    </row>
    <row r="55" spans="1:12" s="216" customFormat="1" ht="16">
      <c r="A55" s="235" t="s">
        <v>34</v>
      </c>
      <c r="B55" s="235" t="s">
        <v>128</v>
      </c>
      <c r="C55" s="148">
        <f>-1782000</f>
        <v>-1782000</v>
      </c>
      <c r="D55" s="235" t="s">
        <v>5</v>
      </c>
      <c r="E55" s="235" t="s">
        <v>14</v>
      </c>
      <c r="F55" s="149">
        <v>45962</v>
      </c>
      <c r="G55" s="147" t="s">
        <v>122</v>
      </c>
      <c r="H55" s="150"/>
      <c r="I55" s="236"/>
      <c r="J55" s="151"/>
      <c r="K55" s="336" t="s">
        <v>158</v>
      </c>
      <c r="L55" s="152"/>
    </row>
    <row r="56" spans="1:12" s="216" customFormat="1" ht="16">
      <c r="A56" s="235" t="s">
        <v>34</v>
      </c>
      <c r="B56" s="235" t="s">
        <v>128</v>
      </c>
      <c r="C56" s="148">
        <v>-70000</v>
      </c>
      <c r="D56" s="235" t="s">
        <v>5</v>
      </c>
      <c r="E56" s="235" t="s">
        <v>14</v>
      </c>
      <c r="F56" s="149">
        <v>45963</v>
      </c>
      <c r="G56" s="147" t="s">
        <v>122</v>
      </c>
      <c r="H56" s="150"/>
      <c r="I56" s="236"/>
      <c r="J56" s="151"/>
      <c r="K56" s="336" t="s">
        <v>159</v>
      </c>
      <c r="L56" s="152"/>
    </row>
    <row r="57" spans="1:12" s="216" customFormat="1" ht="16">
      <c r="A57" s="235" t="s">
        <v>39</v>
      </c>
      <c r="B57" s="235" t="s">
        <v>128</v>
      </c>
      <c r="C57" s="148">
        <f>-222465</f>
        <v>-222465</v>
      </c>
      <c r="D57" s="235" t="s">
        <v>5</v>
      </c>
      <c r="E57" s="235" t="s">
        <v>14</v>
      </c>
      <c r="F57" s="149">
        <v>45964</v>
      </c>
      <c r="G57" s="147" t="s">
        <v>122</v>
      </c>
      <c r="H57" s="150"/>
      <c r="I57" s="236"/>
      <c r="J57" s="151"/>
      <c r="K57" s="336" t="s">
        <v>160</v>
      </c>
      <c r="L57" s="152"/>
    </row>
    <row r="58" spans="1:12" s="216" customFormat="1" ht="16">
      <c r="A58" s="235" t="s">
        <v>39</v>
      </c>
      <c r="B58" s="235" t="s">
        <v>128</v>
      </c>
      <c r="C58" s="148">
        <v>-73775</v>
      </c>
      <c r="D58" s="235" t="s">
        <v>6</v>
      </c>
      <c r="E58" s="235" t="s">
        <v>14</v>
      </c>
      <c r="F58" s="149">
        <v>45962</v>
      </c>
      <c r="G58" s="147" t="s">
        <v>122</v>
      </c>
      <c r="H58" s="150"/>
      <c r="I58" s="236"/>
      <c r="J58" s="151"/>
      <c r="K58" s="336" t="s">
        <v>161</v>
      </c>
      <c r="L58" s="152"/>
    </row>
    <row r="59" spans="1:12" s="216" customFormat="1" ht="16">
      <c r="A59" s="235"/>
      <c r="B59" s="235"/>
      <c r="C59" s="148"/>
      <c r="D59" s="235"/>
      <c r="E59" s="235"/>
      <c r="F59" s="149"/>
      <c r="G59" s="147"/>
      <c r="H59" s="238"/>
      <c r="I59" s="236"/>
      <c r="J59" s="151"/>
      <c r="K59" s="336"/>
      <c r="L59" s="152"/>
    </row>
    <row r="60" spans="1:12" s="216" customFormat="1" ht="16">
      <c r="A60" s="235" t="s">
        <v>45</v>
      </c>
      <c r="B60" s="235" t="s">
        <v>128</v>
      </c>
      <c r="C60" s="148">
        <v>-90000</v>
      </c>
      <c r="D60" s="235" t="s">
        <v>5</v>
      </c>
      <c r="E60" s="235" t="s">
        <v>50</v>
      </c>
      <c r="F60" s="149">
        <v>45963</v>
      </c>
      <c r="G60" s="147" t="s">
        <v>122</v>
      </c>
      <c r="H60" s="238">
        <v>46043</v>
      </c>
      <c r="I60" s="236"/>
      <c r="J60" s="151"/>
      <c r="K60" s="336" t="s">
        <v>162</v>
      </c>
      <c r="L60" s="152"/>
    </row>
    <row r="61" spans="1:12" s="269" customFormat="1" ht="15.75" customHeight="1">
      <c r="A61" s="235"/>
      <c r="B61" s="235"/>
      <c r="C61" s="237"/>
      <c r="D61" s="235"/>
      <c r="E61" s="235"/>
      <c r="F61" s="236"/>
      <c r="G61" s="147"/>
      <c r="H61" s="238"/>
      <c r="I61" s="236"/>
      <c r="J61" s="279"/>
      <c r="K61" s="274"/>
      <c r="L61" s="274"/>
    </row>
    <row r="62" spans="1:12" s="216" customFormat="1" ht="16">
      <c r="A62" s="235" t="s">
        <v>34</v>
      </c>
      <c r="B62" s="235" t="s">
        <v>128</v>
      </c>
      <c r="C62" s="148">
        <v>2227500</v>
      </c>
      <c r="D62" s="235" t="s">
        <v>5</v>
      </c>
      <c r="E62" s="235" t="s">
        <v>14</v>
      </c>
      <c r="F62" s="149">
        <v>45962</v>
      </c>
      <c r="G62" s="147" t="s">
        <v>122</v>
      </c>
      <c r="H62" s="150"/>
      <c r="I62" s="236"/>
      <c r="J62" s="151"/>
      <c r="K62" s="336" t="s">
        <v>157</v>
      </c>
      <c r="L62" s="152"/>
    </row>
    <row r="63" spans="1:12" s="216" customFormat="1" ht="16">
      <c r="L63" s="152"/>
    </row>
    <row r="64" spans="1:12" s="216" customFormat="1" ht="16">
      <c r="A64" s="235" t="s">
        <v>34</v>
      </c>
      <c r="B64" s="235" t="s">
        <v>128</v>
      </c>
      <c r="C64" s="148">
        <v>-1802900</v>
      </c>
      <c r="D64" s="235" t="s">
        <v>5</v>
      </c>
      <c r="E64" s="235" t="s">
        <v>14</v>
      </c>
      <c r="F64" s="149">
        <f>H64</f>
        <v>0</v>
      </c>
      <c r="G64" s="147" t="s">
        <v>122</v>
      </c>
      <c r="H64" s="150"/>
      <c r="I64" s="236"/>
      <c r="J64" s="151"/>
      <c r="K64" s="336" t="s">
        <v>157</v>
      </c>
      <c r="L64" s="152"/>
    </row>
    <row r="65" spans="1:12" s="216" customFormat="1" ht="16">
      <c r="A65" s="235" t="s">
        <v>39</v>
      </c>
      <c r="B65" s="235" t="s">
        <v>128</v>
      </c>
      <c r="C65" s="148">
        <v>-824430</v>
      </c>
      <c r="D65" s="235" t="s">
        <v>8</v>
      </c>
      <c r="E65" s="235" t="s">
        <v>14</v>
      </c>
      <c r="F65" s="149">
        <f>H65</f>
        <v>0</v>
      </c>
      <c r="G65" s="147" t="s">
        <v>122</v>
      </c>
      <c r="H65" s="150"/>
      <c r="I65" s="236"/>
      <c r="J65" s="151"/>
      <c r="K65" s="336" t="s">
        <v>161</v>
      </c>
      <c r="L65" s="152"/>
    </row>
    <row r="66" spans="1:12" s="216" customFormat="1" ht="16">
      <c r="A66" s="235" t="s">
        <v>34</v>
      </c>
      <c r="B66" s="235" t="s">
        <v>128</v>
      </c>
      <c r="C66" s="148">
        <v>891000</v>
      </c>
      <c r="D66" s="235" t="s">
        <v>5</v>
      </c>
      <c r="E66" s="235" t="s">
        <v>14</v>
      </c>
      <c r="F66" s="149">
        <v>45962</v>
      </c>
      <c r="G66" s="147" t="s">
        <v>122</v>
      </c>
      <c r="H66" s="150"/>
      <c r="I66" s="236"/>
      <c r="J66" s="151"/>
      <c r="K66" s="336" t="s">
        <v>157</v>
      </c>
      <c r="L66" s="152"/>
    </row>
    <row r="67" spans="1:12" s="216" customFormat="1" ht="16">
      <c r="A67" s="235" t="s">
        <v>34</v>
      </c>
      <c r="B67" s="235" t="s">
        <v>128</v>
      </c>
      <c r="C67" s="148">
        <f>-42957.77-21369.6-6557.83</f>
        <v>-70885.2</v>
      </c>
      <c r="D67" s="235" t="s">
        <v>5</v>
      </c>
      <c r="E67" s="235" t="s">
        <v>14</v>
      </c>
      <c r="F67" s="149">
        <v>45962</v>
      </c>
      <c r="G67" s="147" t="s">
        <v>122</v>
      </c>
      <c r="H67" s="150"/>
      <c r="I67" s="236"/>
      <c r="J67" s="151"/>
      <c r="K67" s="336" t="s">
        <v>163</v>
      </c>
      <c r="L67" s="152"/>
    </row>
    <row r="68" spans="1:12" s="216" customFormat="1" ht="16">
      <c r="A68" s="235" t="s">
        <v>34</v>
      </c>
      <c r="B68" s="235" t="s">
        <v>128</v>
      </c>
      <c r="C68" s="148">
        <v>-1239300</v>
      </c>
      <c r="D68" s="235" t="s">
        <v>5</v>
      </c>
      <c r="E68" s="235" t="s">
        <v>14</v>
      </c>
      <c r="F68" s="149">
        <v>45962</v>
      </c>
      <c r="G68" s="147" t="s">
        <v>122</v>
      </c>
      <c r="H68" s="150"/>
      <c r="I68" s="236"/>
      <c r="J68" s="151"/>
      <c r="K68" s="336" t="s">
        <v>164</v>
      </c>
      <c r="L68" s="152"/>
    </row>
    <row r="69" spans="1:12" s="216" customFormat="1" ht="16">
      <c r="A69" s="235" t="s">
        <v>34</v>
      </c>
      <c r="B69" s="235" t="s">
        <v>128</v>
      </c>
      <c r="C69" s="148">
        <v>1239300</v>
      </c>
      <c r="D69" s="235" t="s">
        <v>5</v>
      </c>
      <c r="E69" s="235" t="s">
        <v>14</v>
      </c>
      <c r="F69" s="149">
        <v>45962</v>
      </c>
      <c r="G69" s="147" t="s">
        <v>122</v>
      </c>
      <c r="H69" s="150"/>
      <c r="I69" s="236"/>
      <c r="J69" s="151"/>
      <c r="K69" s="336" t="s">
        <v>158</v>
      </c>
      <c r="L69" s="152"/>
    </row>
    <row r="70" spans="1:12" s="216" customFormat="1" ht="16">
      <c r="A70" s="235" t="s">
        <v>34</v>
      </c>
      <c r="B70" s="235" t="s">
        <v>128</v>
      </c>
      <c r="C70" s="148">
        <v>1261083.93</v>
      </c>
      <c r="D70" s="235" t="s">
        <v>5</v>
      </c>
      <c r="E70" s="235" t="s">
        <v>14</v>
      </c>
      <c r="F70" s="149">
        <v>45962</v>
      </c>
      <c r="G70" s="147" t="s">
        <v>122</v>
      </c>
      <c r="H70" s="150"/>
      <c r="I70" s="236"/>
      <c r="J70" s="151"/>
      <c r="K70" s="336" t="s">
        <v>157</v>
      </c>
      <c r="L70" s="152"/>
    </row>
    <row r="71" spans="1:12" s="216" customFormat="1" ht="16">
      <c r="A71" s="235"/>
      <c r="B71" s="235"/>
      <c r="C71" s="148"/>
      <c r="D71" s="235"/>
      <c r="E71" s="235"/>
      <c r="F71" s="149"/>
      <c r="G71" s="147"/>
      <c r="H71" s="150"/>
      <c r="I71" s="236"/>
      <c r="J71" s="151"/>
      <c r="K71" s="336"/>
      <c r="L71" s="152"/>
    </row>
    <row r="72" spans="1:12" s="216" customFormat="1" ht="16">
      <c r="A72" s="235" t="s">
        <v>34</v>
      </c>
      <c r="B72" s="235" t="s">
        <v>128</v>
      </c>
      <c r="C72" s="148">
        <v>-2520000</v>
      </c>
      <c r="D72" s="235" t="s">
        <v>5</v>
      </c>
      <c r="E72" s="235" t="s">
        <v>14</v>
      </c>
      <c r="F72" s="149">
        <v>45962</v>
      </c>
      <c r="G72" s="147" t="s">
        <v>122</v>
      </c>
      <c r="H72" s="150"/>
      <c r="I72" s="236"/>
      <c r="J72" s="151"/>
      <c r="K72" s="336" t="s">
        <v>158</v>
      </c>
      <c r="L72" s="152"/>
    </row>
    <row r="73" spans="1:12" s="216" customFormat="1" ht="16">
      <c r="A73" s="235" t="s">
        <v>34</v>
      </c>
      <c r="B73" s="235" t="s">
        <v>128</v>
      </c>
      <c r="C73" s="148">
        <v>-60000</v>
      </c>
      <c r="D73" s="235" t="s">
        <v>5</v>
      </c>
      <c r="E73" s="235" t="s">
        <v>14</v>
      </c>
      <c r="F73" s="149">
        <v>45962</v>
      </c>
      <c r="G73" s="147" t="s">
        <v>122</v>
      </c>
      <c r="H73" s="82"/>
      <c r="I73" s="236"/>
      <c r="J73" s="151"/>
      <c r="K73" s="336" t="s">
        <v>163</v>
      </c>
      <c r="L73" s="152"/>
    </row>
    <row r="74" spans="1:12" s="216" customFormat="1" ht="16">
      <c r="A74" s="235" t="s">
        <v>52</v>
      </c>
      <c r="B74" s="235" t="s">
        <v>128</v>
      </c>
      <c r="C74" s="148">
        <v>-502000</v>
      </c>
      <c r="D74" s="235" t="s">
        <v>53</v>
      </c>
      <c r="E74" s="235" t="s">
        <v>54</v>
      </c>
      <c r="F74" s="149">
        <v>45963</v>
      </c>
      <c r="G74" s="147" t="s">
        <v>122</v>
      </c>
      <c r="H74" s="82"/>
      <c r="I74" s="236"/>
      <c r="J74" s="151"/>
      <c r="K74" s="336" t="s">
        <v>165</v>
      </c>
      <c r="L74" s="152"/>
    </row>
    <row r="75" spans="1:12" s="269" customFormat="1" ht="16">
      <c r="A75" s="235" t="s">
        <v>34</v>
      </c>
      <c r="B75" s="235" t="s">
        <v>128</v>
      </c>
      <c r="C75" s="286">
        <f>-400000</f>
        <v>-400000</v>
      </c>
      <c r="D75" s="235" t="s">
        <v>5</v>
      </c>
      <c r="E75" s="235" t="s">
        <v>14</v>
      </c>
      <c r="F75" s="236">
        <v>45928</v>
      </c>
      <c r="G75" s="147" t="s">
        <v>122</v>
      </c>
      <c r="H75" s="82">
        <v>45992</v>
      </c>
      <c r="I75" s="236"/>
      <c r="J75" s="279"/>
      <c r="K75" s="274"/>
    </row>
    <row r="76" spans="1:12" s="269" customFormat="1" ht="15.75" customHeight="1">
      <c r="A76" s="74" t="s">
        <v>61</v>
      </c>
      <c r="B76" s="74" t="s">
        <v>113</v>
      </c>
      <c r="C76" s="75" t="s">
        <v>75</v>
      </c>
      <c r="D76" s="74" t="s">
        <v>33</v>
      </c>
      <c r="E76" s="74" t="s">
        <v>4</v>
      </c>
      <c r="F76" s="76" t="s">
        <v>114</v>
      </c>
      <c r="G76" s="74" t="s">
        <v>115</v>
      </c>
      <c r="H76" s="76" t="s">
        <v>116</v>
      </c>
      <c r="I76" s="76" t="s">
        <v>117</v>
      </c>
      <c r="J76" s="74" t="s">
        <v>118</v>
      </c>
      <c r="K76" s="74" t="s">
        <v>119</v>
      </c>
    </row>
    <row r="77" spans="1:12" s="269" customFormat="1" ht="15.75" customHeight="1">
      <c r="A77" s="235" t="s">
        <v>34</v>
      </c>
      <c r="B77" s="235" t="s">
        <v>128</v>
      </c>
      <c r="C77" s="237">
        <v>-711115</v>
      </c>
      <c r="D77" s="235" t="s">
        <v>5</v>
      </c>
      <c r="E77" s="235" t="s">
        <v>14</v>
      </c>
      <c r="F77" s="236">
        <f>H77</f>
        <v>46070</v>
      </c>
      <c r="G77" s="235" t="s">
        <v>122</v>
      </c>
      <c r="H77" s="238">
        <v>46070</v>
      </c>
      <c r="I77" s="236" t="str">
        <f t="shared" ref="I77" si="4">IF(H77&lt;$H$1,"⚠️","☑️")</f>
        <v>⚠️</v>
      </c>
      <c r="J77" s="279"/>
      <c r="K77" s="337"/>
    </row>
    <row r="78" spans="1:12" s="269" customFormat="1" ht="15.75" customHeight="1">
      <c r="A78" s="235" t="s">
        <v>34</v>
      </c>
      <c r="B78" s="235" t="s">
        <v>128</v>
      </c>
      <c r="C78" s="237">
        <f>-716429.38-660000</f>
        <v>-1376429.38</v>
      </c>
      <c r="D78" s="235" t="s">
        <v>5</v>
      </c>
      <c r="E78" s="235" t="s">
        <v>13</v>
      </c>
      <c r="F78" s="236">
        <v>45938</v>
      </c>
      <c r="G78" s="235" t="s">
        <v>122</v>
      </c>
      <c r="H78" s="82"/>
      <c r="I78" s="236" t="str">
        <f>IF(H78&lt;$H$1,"⚠️","☑️")</f>
        <v>⚠️</v>
      </c>
      <c r="J78" s="279"/>
      <c r="K78" s="274"/>
      <c r="L78" s="274" t="s">
        <v>166</v>
      </c>
    </row>
    <row r="79" spans="1:12" s="269" customFormat="1" ht="15.75" customHeight="1">
      <c r="A79" s="235" t="s">
        <v>39</v>
      </c>
      <c r="B79" s="235" t="s">
        <v>128</v>
      </c>
      <c r="C79" s="237"/>
      <c r="D79" s="235" t="s">
        <v>5</v>
      </c>
      <c r="E79" s="235" t="s">
        <v>14</v>
      </c>
      <c r="F79" s="236">
        <f>H79</f>
        <v>46070</v>
      </c>
      <c r="G79" s="235" t="s">
        <v>122</v>
      </c>
      <c r="H79" s="238">
        <v>46070</v>
      </c>
      <c r="I79" s="236"/>
      <c r="J79" s="279"/>
      <c r="K79" s="274"/>
      <c r="L79" s="274" t="s">
        <v>166</v>
      </c>
    </row>
    <row r="80" spans="1:12" s="269" customFormat="1" ht="15.75" customHeight="1">
      <c r="A80" s="235" t="s">
        <v>43</v>
      </c>
      <c r="B80" s="235" t="s">
        <v>128</v>
      </c>
      <c r="C80" s="237">
        <v>-50000</v>
      </c>
      <c r="D80" s="235" t="s">
        <v>8</v>
      </c>
      <c r="E80" s="235" t="s">
        <v>17</v>
      </c>
      <c r="F80" s="236">
        <v>45963</v>
      </c>
      <c r="G80" s="235" t="s">
        <v>122</v>
      </c>
      <c r="H80" s="238">
        <v>46026</v>
      </c>
      <c r="I80" s="236"/>
      <c r="J80" s="279"/>
      <c r="K80" s="274"/>
      <c r="L80" s="274"/>
    </row>
    <row r="81" spans="1:12" s="269" customFormat="1" ht="15.75" customHeight="1">
      <c r="A81" s="235" t="s">
        <v>34</v>
      </c>
      <c r="B81" s="235" t="s">
        <v>128</v>
      </c>
      <c r="C81" s="237">
        <v>26787350</v>
      </c>
      <c r="D81" s="235" t="s">
        <v>8</v>
      </c>
      <c r="E81" s="235" t="s">
        <v>17</v>
      </c>
      <c r="F81" s="236">
        <f>H81</f>
        <v>0</v>
      </c>
      <c r="G81" s="235" t="s">
        <v>122</v>
      </c>
      <c r="H81" s="238"/>
      <c r="I81" s="236"/>
      <c r="J81" s="279"/>
      <c r="K81" s="337" t="s">
        <v>13</v>
      </c>
    </row>
    <row r="82" spans="1:12" s="269" customFormat="1" ht="15.75" customHeight="1">
      <c r="A82" s="235"/>
      <c r="B82" s="235"/>
      <c r="C82" s="237"/>
      <c r="D82" s="235"/>
      <c r="E82" s="235"/>
      <c r="F82" s="236"/>
      <c r="G82" s="235"/>
      <c r="H82" s="238"/>
      <c r="I82" s="236"/>
      <c r="J82" s="279"/>
      <c r="K82" s="274"/>
      <c r="L82" s="274"/>
    </row>
    <row r="83" spans="1:12" s="269" customFormat="1" ht="15.75" customHeight="1">
      <c r="A83" s="235" t="s">
        <v>34</v>
      </c>
      <c r="B83" s="235" t="s">
        <v>128</v>
      </c>
      <c r="C83" s="237"/>
      <c r="D83" s="235" t="s">
        <v>5</v>
      </c>
      <c r="E83" s="235" t="s">
        <v>14</v>
      </c>
      <c r="F83" s="236">
        <v>46054</v>
      </c>
      <c r="G83" s="235" t="s">
        <v>122</v>
      </c>
      <c r="H83" s="238"/>
      <c r="I83" s="236"/>
      <c r="J83" s="279"/>
      <c r="K83" s="274" t="s">
        <v>167</v>
      </c>
      <c r="L83" s="274"/>
    </row>
    <row r="84" spans="1:12" s="269" customFormat="1" ht="15.75" customHeight="1">
      <c r="A84" s="235" t="s">
        <v>39</v>
      </c>
      <c r="B84" s="235" t="s">
        <v>128</v>
      </c>
      <c r="C84" s="237"/>
      <c r="D84" s="235" t="s">
        <v>6</v>
      </c>
      <c r="E84" s="235" t="s">
        <v>14</v>
      </c>
      <c r="F84" s="236">
        <v>46055</v>
      </c>
      <c r="G84" s="235" t="s">
        <v>122</v>
      </c>
      <c r="H84" s="238"/>
      <c r="I84" s="236"/>
      <c r="J84" s="279"/>
      <c r="K84" s="274" t="s">
        <v>168</v>
      </c>
      <c r="L84" s="274"/>
    </row>
    <row r="85" spans="1:12" s="269" customFormat="1" ht="15.75" customHeight="1">
      <c r="A85" s="235" t="s">
        <v>45</v>
      </c>
      <c r="B85" s="235" t="s">
        <v>128</v>
      </c>
      <c r="C85" s="237">
        <v>800000</v>
      </c>
      <c r="D85" s="235" t="s">
        <v>5</v>
      </c>
      <c r="E85" s="235" t="s">
        <v>51</v>
      </c>
      <c r="F85" s="236">
        <v>46062</v>
      </c>
      <c r="G85" s="235" t="s">
        <v>122</v>
      </c>
      <c r="H85" s="238">
        <v>46062</v>
      </c>
      <c r="I85" s="236"/>
      <c r="J85" s="279"/>
      <c r="K85" s="274" t="s">
        <v>169</v>
      </c>
      <c r="L85" s="274"/>
    </row>
    <row r="86" spans="1:12" s="269" customFormat="1" ht="15.75" customHeight="1">
      <c r="A86" s="235" t="s">
        <v>31</v>
      </c>
      <c r="B86" s="235" t="s">
        <v>128</v>
      </c>
      <c r="C86" s="237"/>
      <c r="D86" s="235" t="s">
        <v>5</v>
      </c>
      <c r="E86" s="235" t="s">
        <v>14</v>
      </c>
      <c r="F86" s="236">
        <v>46062</v>
      </c>
      <c r="G86" s="235" t="s">
        <v>122</v>
      </c>
      <c r="H86" s="238">
        <v>46062</v>
      </c>
      <c r="I86" s="236"/>
      <c r="J86" s="279"/>
      <c r="K86" s="274" t="s">
        <v>146</v>
      </c>
      <c r="L86" s="274"/>
    </row>
    <row r="87" spans="1:12" s="269" customFormat="1" ht="15.75" customHeight="1">
      <c r="A87" s="235"/>
      <c r="B87" s="235"/>
      <c r="C87" s="237"/>
      <c r="D87" s="235"/>
      <c r="E87" s="235"/>
      <c r="F87" s="236"/>
      <c r="G87" s="235"/>
      <c r="H87" s="238"/>
      <c r="I87" s="236"/>
      <c r="J87" s="279"/>
      <c r="K87" s="274"/>
      <c r="L87" s="274"/>
    </row>
    <row r="88" spans="1:12" s="269" customFormat="1" ht="15.75" customHeight="1">
      <c r="A88" s="235"/>
      <c r="B88" s="235"/>
      <c r="C88" s="237"/>
      <c r="D88" s="235"/>
      <c r="E88" s="235"/>
      <c r="F88" s="236"/>
      <c r="G88" s="235"/>
      <c r="H88" s="238"/>
      <c r="I88" s="236"/>
      <c r="J88" s="279"/>
      <c r="K88" s="274"/>
      <c r="L88" s="274"/>
    </row>
    <row r="89" spans="1:12" s="269" customFormat="1" ht="15.75" customHeight="1">
      <c r="A89" s="235"/>
      <c r="B89" s="235"/>
      <c r="C89" s="237"/>
      <c r="D89" s="235"/>
      <c r="E89" s="235"/>
      <c r="F89" s="236"/>
      <c r="G89" s="235"/>
      <c r="H89" s="238"/>
      <c r="I89" s="236"/>
      <c r="J89" s="279"/>
      <c r="K89" s="274"/>
      <c r="L89" s="274"/>
    </row>
    <row r="90" spans="1:12" s="269" customFormat="1" ht="15.75" customHeight="1">
      <c r="A90" s="235"/>
      <c r="B90" s="235"/>
      <c r="C90" s="237"/>
      <c r="D90" s="235"/>
      <c r="E90" s="235"/>
      <c r="F90" s="236"/>
      <c r="G90" s="235"/>
      <c r="H90" s="238"/>
      <c r="I90" s="236"/>
      <c r="J90" s="279"/>
      <c r="K90" s="274"/>
      <c r="L90" s="274"/>
    </row>
    <row r="91" spans="1:12" s="269" customFormat="1" ht="15.75" customHeight="1">
      <c r="A91" s="235"/>
      <c r="B91" s="235"/>
      <c r="C91" s="237"/>
      <c r="D91" s="235"/>
      <c r="E91" s="235"/>
      <c r="F91" s="236"/>
      <c r="G91" s="235"/>
      <c r="H91" s="238"/>
      <c r="I91" s="236"/>
      <c r="J91" s="279"/>
      <c r="K91" s="274"/>
      <c r="L91" s="274"/>
    </row>
    <row r="92" spans="1:12" s="269" customFormat="1" ht="15.75" customHeight="1">
      <c r="A92" s="235"/>
      <c r="B92" s="235"/>
      <c r="C92" s="237"/>
      <c r="D92" s="235"/>
      <c r="E92" s="235"/>
      <c r="F92" s="236"/>
      <c r="G92" s="235"/>
      <c r="H92" s="238"/>
      <c r="I92" s="236"/>
      <c r="J92" s="279"/>
      <c r="K92" s="274"/>
      <c r="L92" s="274"/>
    </row>
    <row r="93" spans="1:12" s="269" customFormat="1" ht="15.75" customHeight="1">
      <c r="A93" s="269" t="s">
        <v>170</v>
      </c>
      <c r="H93" s="238"/>
      <c r="I93" s="236"/>
      <c r="J93" s="279"/>
      <c r="K93" s="274"/>
      <c r="L93" s="274"/>
    </row>
    <row r="94" spans="1:12" s="269" customFormat="1" ht="15.75" customHeight="1">
      <c r="H94" s="238"/>
      <c r="I94" s="236"/>
      <c r="J94" s="279"/>
      <c r="K94" s="274"/>
      <c r="L94" s="274"/>
    </row>
    <row r="95" spans="1:12" s="269" customFormat="1" ht="15.75" customHeight="1">
      <c r="A95" s="390" t="s">
        <v>171</v>
      </c>
      <c r="B95" s="390" t="s">
        <v>172</v>
      </c>
      <c r="C95" s="390" t="s">
        <v>173</v>
      </c>
      <c r="D95" s="393" t="s">
        <v>174</v>
      </c>
      <c r="E95" s="390" t="s">
        <v>175</v>
      </c>
      <c r="F95" s="393" t="s">
        <v>176</v>
      </c>
      <c r="G95" s="390" t="s">
        <v>177</v>
      </c>
      <c r="H95" s="390" t="s">
        <v>178</v>
      </c>
      <c r="I95" s="236"/>
      <c r="J95" s="279"/>
      <c r="K95" s="274"/>
      <c r="L95" s="274"/>
    </row>
    <row r="96" spans="1:12" s="269" customFormat="1" ht="15.75" customHeight="1">
      <c r="A96" s="436" t="s">
        <v>179</v>
      </c>
      <c r="B96" s="436"/>
      <c r="C96" s="436" t="s">
        <v>180</v>
      </c>
      <c r="D96" s="440" t="s">
        <v>181</v>
      </c>
      <c r="E96" s="438">
        <v>26718</v>
      </c>
      <c r="F96" s="439" t="s">
        <v>8</v>
      </c>
      <c r="G96" s="439">
        <v>3.6724999999999999</v>
      </c>
      <c r="H96" s="404">
        <f t="shared" ref="H96:H133" si="5">E96*G96</f>
        <v>98121.854999999996</v>
      </c>
      <c r="I96" s="236" t="s">
        <v>182</v>
      </c>
      <c r="J96" s="279"/>
      <c r="K96" s="274"/>
      <c r="L96" s="274"/>
    </row>
    <row r="97" spans="1:12" s="269" customFormat="1" ht="15.75" customHeight="1">
      <c r="A97" s="436" t="s">
        <v>183</v>
      </c>
      <c r="B97" s="436" t="s">
        <v>184</v>
      </c>
      <c r="C97" s="436" t="s">
        <v>180</v>
      </c>
      <c r="D97" s="437" t="s">
        <v>185</v>
      </c>
      <c r="E97" s="438">
        <f>154825/3.6725</f>
        <v>42157.930565010211</v>
      </c>
      <c r="F97" s="439" t="s">
        <v>8</v>
      </c>
      <c r="G97" s="439">
        <v>3.6724999999999999</v>
      </c>
      <c r="H97" s="404">
        <f t="shared" si="5"/>
        <v>154825</v>
      </c>
      <c r="I97" s="236" t="s">
        <v>182</v>
      </c>
      <c r="J97" s="279"/>
      <c r="K97" s="274"/>
      <c r="L97" s="274"/>
    </row>
    <row r="98" spans="1:12" s="269" customFormat="1" ht="15.75" customHeight="1">
      <c r="A98" s="436" t="s">
        <v>186</v>
      </c>
      <c r="B98" s="436" t="s">
        <v>39</v>
      </c>
      <c r="C98" s="436" t="s">
        <v>180</v>
      </c>
      <c r="D98" s="437" t="s">
        <v>187</v>
      </c>
      <c r="E98" s="438">
        <v>9004</v>
      </c>
      <c r="F98" s="439" t="s">
        <v>8</v>
      </c>
      <c r="G98" s="439">
        <v>3.6724999999999999</v>
      </c>
      <c r="H98" s="404">
        <f t="shared" si="5"/>
        <v>33067.19</v>
      </c>
      <c r="I98" s="236" t="s">
        <v>182</v>
      </c>
      <c r="J98" s="279"/>
      <c r="K98" s="274"/>
      <c r="L98" s="274"/>
    </row>
    <row r="99" spans="1:12" s="269" customFormat="1" ht="15.75" customHeight="1">
      <c r="A99" s="436" t="s">
        <v>188</v>
      </c>
      <c r="B99" s="436"/>
      <c r="C99" s="436" t="s">
        <v>180</v>
      </c>
      <c r="D99" s="437" t="s">
        <v>187</v>
      </c>
      <c r="E99" s="438">
        <v>7173</v>
      </c>
      <c r="F99" s="439" t="s">
        <v>53</v>
      </c>
      <c r="G99" s="439">
        <v>1</v>
      </c>
      <c r="H99" s="404">
        <f t="shared" si="5"/>
        <v>7173</v>
      </c>
      <c r="I99" s="236" t="s">
        <v>182</v>
      </c>
      <c r="J99" s="279"/>
      <c r="K99" s="274"/>
      <c r="L99" s="274"/>
    </row>
    <row r="100" spans="1:12" s="269" customFormat="1" ht="15.75" customHeight="1">
      <c r="A100" s="436" t="s">
        <v>189</v>
      </c>
      <c r="B100" s="436"/>
      <c r="C100" s="436" t="s">
        <v>180</v>
      </c>
      <c r="D100" s="437" t="s">
        <v>187</v>
      </c>
      <c r="E100" s="438">
        <v>10091</v>
      </c>
      <c r="F100" s="439" t="s">
        <v>53</v>
      </c>
      <c r="G100" s="439">
        <v>1</v>
      </c>
      <c r="H100" s="404">
        <f t="shared" si="5"/>
        <v>10091</v>
      </c>
      <c r="I100" s="236" t="s">
        <v>182</v>
      </c>
      <c r="J100" s="279"/>
      <c r="K100" s="274"/>
      <c r="L100" s="274"/>
    </row>
    <row r="101" spans="1:12" s="269" customFormat="1" ht="15.75" customHeight="1">
      <c r="A101" s="436" t="s">
        <v>190</v>
      </c>
      <c r="B101" s="436" t="s">
        <v>63</v>
      </c>
      <c r="C101" s="436" t="s">
        <v>191</v>
      </c>
      <c r="D101" s="437" t="s">
        <v>192</v>
      </c>
      <c r="E101" s="438">
        <v>1497617</v>
      </c>
      <c r="F101" s="439" t="s">
        <v>8</v>
      </c>
      <c r="G101" s="439">
        <v>3.6724999999999999</v>
      </c>
      <c r="H101" s="404">
        <f t="shared" si="5"/>
        <v>5499998.4325000001</v>
      </c>
      <c r="I101" s="236" t="s">
        <v>182</v>
      </c>
      <c r="J101" s="279"/>
      <c r="K101" s="274"/>
      <c r="L101" s="274"/>
    </row>
    <row r="102" spans="1:12" s="269" customFormat="1" ht="15.75" customHeight="1">
      <c r="A102" s="436" t="s">
        <v>190</v>
      </c>
      <c r="B102" s="436" t="s">
        <v>63</v>
      </c>
      <c r="C102" s="436" t="s">
        <v>180</v>
      </c>
      <c r="D102" s="437" t="s">
        <v>192</v>
      </c>
      <c r="E102" s="438">
        <v>26095.463342465744</v>
      </c>
      <c r="F102" s="439" t="s">
        <v>8</v>
      </c>
      <c r="G102" s="439">
        <v>3.6724999999999999</v>
      </c>
      <c r="H102" s="404">
        <f>E102*G102</f>
        <v>95835.589125205443</v>
      </c>
      <c r="I102" s="236" t="s">
        <v>182</v>
      </c>
      <c r="J102" s="279"/>
      <c r="K102" s="274"/>
      <c r="L102" s="274"/>
    </row>
    <row r="103" spans="1:12" s="269" customFormat="1" ht="15.75" customHeight="1">
      <c r="A103" s="436" t="s">
        <v>193</v>
      </c>
      <c r="B103" s="436" t="s">
        <v>194</v>
      </c>
      <c r="C103" s="436" t="s">
        <v>180</v>
      </c>
      <c r="D103" s="437" t="s">
        <v>195</v>
      </c>
      <c r="E103" s="438">
        <v>38655</v>
      </c>
      <c r="F103" s="439" t="s">
        <v>5</v>
      </c>
      <c r="G103" s="439">
        <v>1</v>
      </c>
      <c r="H103" s="404">
        <f t="shared" si="5"/>
        <v>38655</v>
      </c>
      <c r="I103" s="236"/>
      <c r="J103" s="279"/>
      <c r="K103" s="274"/>
      <c r="L103" s="274"/>
    </row>
    <row r="104" spans="1:12" s="269" customFormat="1" ht="15.75" customHeight="1">
      <c r="A104" s="474" t="s">
        <v>196</v>
      </c>
      <c r="B104" s="474" t="s">
        <v>39</v>
      </c>
      <c r="C104" s="474" t="s">
        <v>180</v>
      </c>
      <c r="D104" s="475" t="s">
        <v>197</v>
      </c>
      <c r="E104" s="476">
        <v>13346</v>
      </c>
      <c r="F104" s="477" t="s">
        <v>5</v>
      </c>
      <c r="G104" s="477">
        <v>1</v>
      </c>
      <c r="H104" s="478">
        <f t="shared" si="5"/>
        <v>13346</v>
      </c>
      <c r="I104" s="236"/>
      <c r="J104" s="279"/>
      <c r="K104" s="274"/>
      <c r="L104" s="274"/>
    </row>
    <row r="105" spans="1:12" s="269" customFormat="1" ht="15.75" customHeight="1">
      <c r="A105" s="474" t="s">
        <v>193</v>
      </c>
      <c r="B105" s="474" t="s">
        <v>194</v>
      </c>
      <c r="C105" s="474" t="s">
        <v>180</v>
      </c>
      <c r="D105" s="474" t="s">
        <v>198</v>
      </c>
      <c r="E105" s="476">
        <v>33667</v>
      </c>
      <c r="F105" s="477" t="s">
        <v>5</v>
      </c>
      <c r="G105" s="477">
        <v>1</v>
      </c>
      <c r="H105" s="478">
        <f t="shared" si="5"/>
        <v>33667</v>
      </c>
      <c r="I105" s="236"/>
      <c r="J105" s="279"/>
      <c r="K105" s="274"/>
      <c r="L105" s="274"/>
    </row>
    <row r="106" spans="1:12" s="269" customFormat="1" ht="15.75" customHeight="1">
      <c r="A106" s="474" t="s">
        <v>193</v>
      </c>
      <c r="B106" s="474" t="s">
        <v>194</v>
      </c>
      <c r="C106" s="474" t="s">
        <v>191</v>
      </c>
      <c r="D106" s="474" t="s">
        <v>198</v>
      </c>
      <c r="E106" s="476">
        <v>3890000</v>
      </c>
      <c r="F106" s="477" t="s">
        <v>5</v>
      </c>
      <c r="G106" s="477">
        <v>1</v>
      </c>
      <c r="H106" s="478">
        <f t="shared" si="5"/>
        <v>3890000</v>
      </c>
      <c r="I106" s="478">
        <f>H104+H105+H106</f>
        <v>3937013</v>
      </c>
      <c r="J106" s="279"/>
      <c r="K106" s="274"/>
      <c r="L106" s="274"/>
    </row>
    <row r="107" spans="1:12" s="269" customFormat="1" ht="15.75" customHeight="1">
      <c r="A107" s="479" t="s">
        <v>190</v>
      </c>
      <c r="B107" s="479" t="s">
        <v>63</v>
      </c>
      <c r="C107" s="479" t="s">
        <v>180</v>
      </c>
      <c r="D107" s="479" t="s">
        <v>199</v>
      </c>
      <c r="E107" s="480">
        <v>210575</v>
      </c>
      <c r="F107" s="481" t="s">
        <v>8</v>
      </c>
      <c r="G107" s="481">
        <v>3.6724999999999999</v>
      </c>
      <c r="H107" s="482">
        <f t="shared" si="5"/>
        <v>773336.6875</v>
      </c>
      <c r="I107" s="236"/>
      <c r="J107" s="279"/>
      <c r="K107" s="274"/>
      <c r="L107" s="274"/>
    </row>
    <row r="108" spans="1:12" s="269" customFormat="1" ht="15.75" customHeight="1">
      <c r="A108" s="479" t="s">
        <v>196</v>
      </c>
      <c r="B108" s="479" t="s">
        <v>39</v>
      </c>
      <c r="C108" s="479" t="s">
        <v>180</v>
      </c>
      <c r="D108" s="479" t="s">
        <v>200</v>
      </c>
      <c r="E108" s="480">
        <v>36986</v>
      </c>
      <c r="F108" s="481" t="s">
        <v>5</v>
      </c>
      <c r="G108" s="481">
        <v>1</v>
      </c>
      <c r="H108" s="482">
        <f t="shared" si="5"/>
        <v>36986</v>
      </c>
      <c r="I108" s="236"/>
      <c r="J108" s="279"/>
      <c r="K108" s="274"/>
      <c r="L108" s="274"/>
    </row>
    <row r="109" spans="1:12" s="269" customFormat="1" ht="15.75" customHeight="1">
      <c r="A109" s="479" t="s">
        <v>196</v>
      </c>
      <c r="B109" s="479" t="s">
        <v>39</v>
      </c>
      <c r="C109" s="479" t="s">
        <v>191</v>
      </c>
      <c r="D109" s="479" t="s">
        <v>200</v>
      </c>
      <c r="E109" s="480">
        <v>1500000</v>
      </c>
      <c r="F109" s="481" t="s">
        <v>5</v>
      </c>
      <c r="G109" s="481">
        <v>1</v>
      </c>
      <c r="H109" s="482">
        <f t="shared" si="5"/>
        <v>1500000</v>
      </c>
      <c r="I109" s="236"/>
      <c r="J109" s="279"/>
      <c r="K109" s="274"/>
      <c r="L109" s="274"/>
    </row>
    <row r="110" spans="1:12" s="269" customFormat="1" ht="15.75" customHeight="1">
      <c r="A110" s="479" t="s">
        <v>201</v>
      </c>
      <c r="B110" s="479" t="s">
        <v>63</v>
      </c>
      <c r="C110" s="479" t="s">
        <v>180</v>
      </c>
      <c r="D110" s="479" t="s">
        <v>200</v>
      </c>
      <c r="E110" s="480">
        <v>189863</v>
      </c>
      <c r="F110" s="481" t="s">
        <v>8</v>
      </c>
      <c r="G110" s="481">
        <v>3.6724999999999999</v>
      </c>
      <c r="H110" s="482">
        <f t="shared" si="5"/>
        <v>697271.86749999993</v>
      </c>
      <c r="I110" s="236"/>
      <c r="J110" s="279"/>
      <c r="K110" s="274"/>
      <c r="L110" s="274"/>
    </row>
    <row r="111" spans="1:12" s="269" customFormat="1" ht="15.75" customHeight="1">
      <c r="A111" s="479" t="s">
        <v>183</v>
      </c>
      <c r="B111" s="479" t="s">
        <v>184</v>
      </c>
      <c r="C111" s="479" t="s">
        <v>180</v>
      </c>
      <c r="D111" s="479" t="s">
        <v>200</v>
      </c>
      <c r="E111" s="480">
        <f>338109/3.6725</f>
        <v>92065.078284547315</v>
      </c>
      <c r="F111" s="481" t="s">
        <v>8</v>
      </c>
      <c r="G111" s="481">
        <v>3.6724999999999999</v>
      </c>
      <c r="H111" s="482">
        <f t="shared" si="5"/>
        <v>338109</v>
      </c>
      <c r="I111" s="236"/>
      <c r="J111" s="279"/>
      <c r="K111" s="274"/>
      <c r="L111" s="274"/>
    </row>
    <row r="112" spans="1:12" s="269" customFormat="1" ht="15.75" customHeight="1">
      <c r="A112" s="479" t="s">
        <v>179</v>
      </c>
      <c r="B112" s="479"/>
      <c r="C112" s="479" t="s">
        <v>180</v>
      </c>
      <c r="D112" s="479" t="s">
        <v>200</v>
      </c>
      <c r="E112" s="480">
        <v>26136.986301369896</v>
      </c>
      <c r="F112" s="481" t="s">
        <v>8</v>
      </c>
      <c r="G112" s="481">
        <v>3.6724999999999999</v>
      </c>
      <c r="H112" s="482">
        <f t="shared" si="5"/>
        <v>95988.082191780937</v>
      </c>
      <c r="I112" s="482">
        <f>SUM(E107:E112)</f>
        <v>2055626.0645859172</v>
      </c>
      <c r="J112" s="279"/>
      <c r="K112" s="274"/>
      <c r="L112" s="274"/>
    </row>
    <row r="113" spans="1:12" s="269" customFormat="1" ht="15.75" customHeight="1">
      <c r="A113" s="483" t="s">
        <v>186</v>
      </c>
      <c r="B113" s="483" t="s">
        <v>39</v>
      </c>
      <c r="C113" s="483" t="s">
        <v>180</v>
      </c>
      <c r="D113" s="483" t="s">
        <v>202</v>
      </c>
      <c r="E113" s="484">
        <v>13068</v>
      </c>
      <c r="F113" s="485" t="s">
        <v>8</v>
      </c>
      <c r="G113" s="485">
        <v>3.6724999999999999</v>
      </c>
      <c r="H113" s="486">
        <f t="shared" si="5"/>
        <v>47992.229999999996</v>
      </c>
      <c r="I113" s="236"/>
      <c r="J113" s="279"/>
      <c r="K113" s="274"/>
      <c r="L113" s="274"/>
    </row>
    <row r="114" spans="1:12" s="269" customFormat="1" ht="15.75" customHeight="1">
      <c r="A114" s="483" t="s">
        <v>188</v>
      </c>
      <c r="B114" s="483"/>
      <c r="C114" s="483" t="s">
        <v>180</v>
      </c>
      <c r="D114" s="483" t="s">
        <v>202</v>
      </c>
      <c r="E114" s="484">
        <v>20712</v>
      </c>
      <c r="F114" s="485" t="s">
        <v>53</v>
      </c>
      <c r="G114" s="485">
        <v>1</v>
      </c>
      <c r="H114" s="486">
        <f t="shared" si="5"/>
        <v>20712</v>
      </c>
      <c r="I114" s="236"/>
      <c r="J114" s="279"/>
      <c r="K114" s="274"/>
      <c r="L114" s="274"/>
    </row>
    <row r="115" spans="1:12" s="269" customFormat="1" ht="15.75" customHeight="1">
      <c r="A115" s="483" t="s">
        <v>189</v>
      </c>
      <c r="B115" s="483"/>
      <c r="C115" s="483" t="s">
        <v>180</v>
      </c>
      <c r="D115" s="483" t="s">
        <v>202</v>
      </c>
      <c r="E115" s="484">
        <v>29294</v>
      </c>
      <c r="F115" s="485" t="s">
        <v>53</v>
      </c>
      <c r="G115" s="485">
        <v>1</v>
      </c>
      <c r="H115" s="486">
        <f t="shared" si="5"/>
        <v>29294</v>
      </c>
      <c r="I115" s="236"/>
      <c r="J115" s="279"/>
      <c r="K115" s="274"/>
      <c r="L115" s="274"/>
    </row>
    <row r="116" spans="1:12" s="269" customFormat="1" ht="15.75" customHeight="1">
      <c r="A116" s="483" t="s">
        <v>188</v>
      </c>
      <c r="B116" s="483"/>
      <c r="C116" s="483" t="s">
        <v>180</v>
      </c>
      <c r="D116" s="483" t="s">
        <v>203</v>
      </c>
      <c r="E116" s="484">
        <v>6674</v>
      </c>
      <c r="F116" s="485" t="s">
        <v>53</v>
      </c>
      <c r="G116" s="485">
        <v>1</v>
      </c>
      <c r="H116" s="486">
        <f t="shared" si="5"/>
        <v>6674</v>
      </c>
      <c r="I116" s="236"/>
      <c r="J116" s="279"/>
      <c r="K116" s="274"/>
      <c r="L116" s="274"/>
    </row>
    <row r="117" spans="1:12" s="269" customFormat="1" ht="15.75" customHeight="1">
      <c r="A117" s="483" t="s">
        <v>188</v>
      </c>
      <c r="B117" s="483"/>
      <c r="C117" s="483" t="s">
        <v>191</v>
      </c>
      <c r="D117" s="483" t="s">
        <v>203</v>
      </c>
      <c r="E117" s="484">
        <v>700000</v>
      </c>
      <c r="F117" s="485" t="s">
        <v>53</v>
      </c>
      <c r="G117" s="485">
        <v>1</v>
      </c>
      <c r="H117" s="486">
        <f t="shared" si="5"/>
        <v>700000</v>
      </c>
      <c r="I117" s="236"/>
      <c r="J117" s="279"/>
      <c r="K117" s="274"/>
      <c r="L117" s="274"/>
    </row>
    <row r="118" spans="1:12" s="269" customFormat="1" ht="15.75" customHeight="1">
      <c r="A118" s="483" t="s">
        <v>179</v>
      </c>
      <c r="B118" s="483"/>
      <c r="C118" s="483" t="s">
        <v>180</v>
      </c>
      <c r="D118" s="483" t="s">
        <v>204</v>
      </c>
      <c r="E118" s="484">
        <v>8712.328767123292</v>
      </c>
      <c r="F118" s="485" t="s">
        <v>8</v>
      </c>
      <c r="G118" s="485">
        <v>3.6724999999999999</v>
      </c>
      <c r="H118" s="486">
        <f t="shared" si="5"/>
        <v>31996.027397260288</v>
      </c>
      <c r="I118" s="236"/>
      <c r="J118" s="279"/>
      <c r="K118" s="274"/>
      <c r="L118" s="274"/>
    </row>
    <row r="119" spans="1:12" s="269" customFormat="1" ht="15.75" customHeight="1">
      <c r="A119" s="483" t="s">
        <v>179</v>
      </c>
      <c r="B119" s="483"/>
      <c r="C119" s="483" t="s">
        <v>191</v>
      </c>
      <c r="D119" s="483" t="s">
        <v>204</v>
      </c>
      <c r="E119" s="484">
        <v>1000000</v>
      </c>
      <c r="F119" s="485" t="s">
        <v>8</v>
      </c>
      <c r="G119" s="485">
        <v>3.6724999999999999</v>
      </c>
      <c r="H119" s="486">
        <f t="shared" si="5"/>
        <v>3672500</v>
      </c>
      <c r="I119" s="236"/>
      <c r="J119" s="279"/>
      <c r="K119" s="274"/>
      <c r="L119" s="274"/>
    </row>
    <row r="120" spans="1:12" s="269" customFormat="1" ht="15.75" customHeight="1">
      <c r="A120" s="483" t="s">
        <v>186</v>
      </c>
      <c r="B120" s="483" t="s">
        <v>39</v>
      </c>
      <c r="C120" s="483" t="s">
        <v>180</v>
      </c>
      <c r="D120" s="483" t="s">
        <v>204</v>
      </c>
      <c r="E120" s="484">
        <v>4356</v>
      </c>
      <c r="F120" s="485" t="s">
        <v>8</v>
      </c>
      <c r="G120" s="485">
        <v>3.6724999999999999</v>
      </c>
      <c r="H120" s="486">
        <f t="shared" si="5"/>
        <v>15997.41</v>
      </c>
      <c r="I120" s="236"/>
      <c r="J120" s="279"/>
      <c r="K120" s="274"/>
      <c r="L120" s="274"/>
    </row>
    <row r="121" spans="1:12" s="269" customFormat="1" ht="15.75" customHeight="1">
      <c r="A121" s="483" t="s">
        <v>186</v>
      </c>
      <c r="B121" s="483" t="s">
        <v>39</v>
      </c>
      <c r="C121" s="483" t="s">
        <v>191</v>
      </c>
      <c r="D121" s="483" t="s">
        <v>204</v>
      </c>
      <c r="E121" s="484">
        <v>500000</v>
      </c>
      <c r="F121" s="485" t="s">
        <v>8</v>
      </c>
      <c r="G121" s="485">
        <v>3.6724999999999999</v>
      </c>
      <c r="H121" s="486">
        <f t="shared" si="5"/>
        <v>1836250</v>
      </c>
      <c r="I121" s="236"/>
      <c r="J121" s="279"/>
      <c r="K121" s="274"/>
      <c r="L121" s="274"/>
    </row>
    <row r="122" spans="1:12" s="269" customFormat="1" ht="15.75" customHeight="1">
      <c r="A122" s="487" t="s">
        <v>205</v>
      </c>
      <c r="B122" s="487" t="s">
        <v>63</v>
      </c>
      <c r="C122" s="487" t="s">
        <v>180</v>
      </c>
      <c r="D122" s="488" t="s">
        <v>206</v>
      </c>
      <c r="E122" s="489">
        <v>60164</v>
      </c>
      <c r="F122" s="490" t="s">
        <v>8</v>
      </c>
      <c r="G122" s="490">
        <v>3.6724999999999999</v>
      </c>
      <c r="H122" s="491">
        <f t="shared" si="5"/>
        <v>220952.28999999998</v>
      </c>
      <c r="I122" s="236"/>
      <c r="J122" s="279"/>
      <c r="K122" s="274"/>
      <c r="L122" s="274"/>
    </row>
    <row r="123" spans="1:12" s="269" customFormat="1" ht="15.75" customHeight="1">
      <c r="A123" s="487" t="s">
        <v>189</v>
      </c>
      <c r="B123" s="487"/>
      <c r="C123" s="487" t="s">
        <v>180</v>
      </c>
      <c r="D123" s="487" t="s">
        <v>207</v>
      </c>
      <c r="E123" s="489">
        <v>28643</v>
      </c>
      <c r="F123" s="490" t="s">
        <v>53</v>
      </c>
      <c r="G123" s="490">
        <v>1</v>
      </c>
      <c r="H123" s="491">
        <f t="shared" si="5"/>
        <v>28643</v>
      </c>
      <c r="I123" s="236"/>
      <c r="J123" s="279"/>
      <c r="K123" s="274"/>
      <c r="L123" s="274"/>
    </row>
    <row r="124" spans="1:12" s="269" customFormat="1" ht="15.75" customHeight="1">
      <c r="A124" s="487" t="s">
        <v>189</v>
      </c>
      <c r="B124" s="487"/>
      <c r="C124" s="487" t="s">
        <v>191</v>
      </c>
      <c r="D124" s="487" t="s">
        <v>207</v>
      </c>
      <c r="E124" s="489">
        <v>995000</v>
      </c>
      <c r="F124" s="490" t="s">
        <v>53</v>
      </c>
      <c r="G124" s="490">
        <v>1</v>
      </c>
      <c r="H124" s="491">
        <f t="shared" si="5"/>
        <v>995000</v>
      </c>
      <c r="I124" s="236"/>
      <c r="J124" s="279"/>
      <c r="K124" s="274"/>
      <c r="L124" s="274"/>
    </row>
    <row r="125" spans="1:12" s="269" customFormat="1" ht="15.75" customHeight="1">
      <c r="A125" s="487" t="s">
        <v>201</v>
      </c>
      <c r="B125" s="487" t="s">
        <v>63</v>
      </c>
      <c r="C125" s="487" t="s">
        <v>180</v>
      </c>
      <c r="D125" s="487" t="s">
        <v>208</v>
      </c>
      <c r="E125" s="489">
        <v>191973</v>
      </c>
      <c r="F125" s="490" t="s">
        <v>8</v>
      </c>
      <c r="G125" s="490">
        <v>3.6724999999999999</v>
      </c>
      <c r="H125" s="491">
        <f t="shared" si="5"/>
        <v>705020.84250000003</v>
      </c>
      <c r="I125" s="236"/>
      <c r="J125" s="279"/>
      <c r="K125" s="274"/>
      <c r="L125" s="274"/>
    </row>
    <row r="126" spans="1:12" s="269" customFormat="1" ht="15.75" customHeight="1">
      <c r="A126" s="487" t="s">
        <v>183</v>
      </c>
      <c r="B126" s="487" t="s">
        <v>184</v>
      </c>
      <c r="C126" s="487" t="s">
        <v>180</v>
      </c>
      <c r="D126" s="487" t="s">
        <v>208</v>
      </c>
      <c r="E126" s="489">
        <f>341866/3.6725</f>
        <v>93088.087134104833</v>
      </c>
      <c r="F126" s="490" t="s">
        <v>8</v>
      </c>
      <c r="G126" s="490">
        <v>3.6724999999999999</v>
      </c>
      <c r="H126" s="491">
        <f t="shared" si="5"/>
        <v>341866</v>
      </c>
      <c r="I126" s="236"/>
      <c r="J126" s="279"/>
      <c r="K126" s="274"/>
      <c r="L126" s="274"/>
    </row>
    <row r="127" spans="1:12" s="269" customFormat="1" ht="15.75" customHeight="1">
      <c r="A127" s="487" t="s">
        <v>190</v>
      </c>
      <c r="B127" s="487" t="s">
        <v>63</v>
      </c>
      <c r="C127" s="487" t="s">
        <v>180</v>
      </c>
      <c r="D127" s="487" t="s">
        <v>209</v>
      </c>
      <c r="E127" s="489">
        <v>210575</v>
      </c>
      <c r="F127" s="490" t="s">
        <v>8</v>
      </c>
      <c r="G127" s="490">
        <v>3.6724999999999999</v>
      </c>
      <c r="H127" s="491">
        <f t="shared" si="5"/>
        <v>773336.6875</v>
      </c>
      <c r="I127" s="236"/>
      <c r="J127" s="279"/>
      <c r="K127" s="274"/>
      <c r="L127" s="274"/>
    </row>
    <row r="128" spans="1:12" s="269" customFormat="1" ht="15.75" customHeight="1">
      <c r="A128" s="487" t="s">
        <v>201</v>
      </c>
      <c r="B128" s="487" t="s">
        <v>63</v>
      </c>
      <c r="C128" s="487" t="s">
        <v>180</v>
      </c>
      <c r="D128" s="487" t="s">
        <v>210</v>
      </c>
      <c r="E128" s="489">
        <v>194082</v>
      </c>
      <c r="F128" s="490" t="s">
        <v>8</v>
      </c>
      <c r="G128" s="490">
        <v>3.6724999999999999</v>
      </c>
      <c r="H128" s="491">
        <f t="shared" si="5"/>
        <v>712766.14500000002</v>
      </c>
      <c r="I128" s="236"/>
      <c r="J128" s="279"/>
      <c r="K128" s="274"/>
      <c r="L128" s="274"/>
    </row>
    <row r="129" spans="1:12" s="269" customFormat="1" ht="15.75" customHeight="1">
      <c r="A129" s="487" t="s">
        <v>183</v>
      </c>
      <c r="B129" s="487" t="s">
        <v>184</v>
      </c>
      <c r="C129" s="487" t="s">
        <v>180</v>
      </c>
      <c r="D129" s="487" t="s">
        <v>210</v>
      </c>
      <c r="E129" s="489">
        <f>345623/3.6725</f>
        <v>94111.095983662352</v>
      </c>
      <c r="F129" s="490" t="s">
        <v>8</v>
      </c>
      <c r="G129" s="490">
        <v>3.6724999999999999</v>
      </c>
      <c r="H129" s="491">
        <f t="shared" si="5"/>
        <v>345623</v>
      </c>
      <c r="I129" s="236"/>
      <c r="J129" s="279"/>
      <c r="K129" s="274"/>
      <c r="L129" s="274"/>
    </row>
    <row r="130" spans="1:12" s="269" customFormat="1" ht="15.75" customHeight="1">
      <c r="A130" s="436" t="s">
        <v>190</v>
      </c>
      <c r="B130" s="436" t="s">
        <v>39</v>
      </c>
      <c r="C130" s="436" t="s">
        <v>180</v>
      </c>
      <c r="D130" s="437" t="s">
        <v>211</v>
      </c>
      <c r="E130" s="438">
        <v>21214</v>
      </c>
      <c r="F130" s="439" t="s">
        <v>8</v>
      </c>
      <c r="G130" s="439">
        <v>3.6724999999999999</v>
      </c>
      <c r="H130" s="404">
        <f t="shared" si="5"/>
        <v>77908.414999999994</v>
      </c>
      <c r="I130" s="236"/>
      <c r="J130" s="279"/>
      <c r="K130" s="274"/>
      <c r="L130" s="274"/>
    </row>
    <row r="131" spans="1:12" s="269" customFormat="1" ht="15.75" customHeight="1">
      <c r="A131" s="436" t="s">
        <v>190</v>
      </c>
      <c r="B131" s="436" t="s">
        <v>39</v>
      </c>
      <c r="C131" s="436" t="s">
        <v>191</v>
      </c>
      <c r="D131" s="437" t="s">
        <v>211</v>
      </c>
      <c r="E131" s="438">
        <v>218459</v>
      </c>
      <c r="F131" s="439" t="s">
        <v>8</v>
      </c>
      <c r="G131" s="439">
        <v>3.6724999999999999</v>
      </c>
      <c r="H131" s="404">
        <f t="shared" si="5"/>
        <v>802290.67749999999</v>
      </c>
      <c r="I131" s="236"/>
      <c r="J131" s="279"/>
      <c r="K131" s="274"/>
      <c r="L131" s="274"/>
    </row>
    <row r="132" spans="1:12" s="269" customFormat="1" ht="15.75" customHeight="1">
      <c r="A132" s="436" t="s">
        <v>201</v>
      </c>
      <c r="B132" s="436" t="s">
        <v>63</v>
      </c>
      <c r="C132" s="436" t="s">
        <v>180</v>
      </c>
      <c r="D132" s="437" t="s">
        <v>212</v>
      </c>
      <c r="E132" s="438">
        <v>194082</v>
      </c>
      <c r="F132" s="439" t="s">
        <v>8</v>
      </c>
      <c r="G132" s="439">
        <v>3.6724999999999999</v>
      </c>
      <c r="H132" s="404">
        <f t="shared" si="5"/>
        <v>712766.14500000002</v>
      </c>
      <c r="I132" s="236"/>
      <c r="J132" s="279"/>
      <c r="K132" s="274"/>
      <c r="L132" s="274"/>
    </row>
    <row r="133" spans="1:12" s="269" customFormat="1" ht="15.75" customHeight="1">
      <c r="A133" s="436" t="s">
        <v>183</v>
      </c>
      <c r="B133" s="436" t="s">
        <v>184</v>
      </c>
      <c r="C133" s="436" t="s">
        <v>180</v>
      </c>
      <c r="D133" s="437" t="s">
        <v>212</v>
      </c>
      <c r="E133" s="438">
        <f>345623/3.6725</f>
        <v>94111.095983662352</v>
      </c>
      <c r="F133" s="439" t="s">
        <v>8</v>
      </c>
      <c r="G133" s="439">
        <v>3.6724999999999999</v>
      </c>
      <c r="H133" s="404">
        <f t="shared" si="5"/>
        <v>345623</v>
      </c>
      <c r="I133" s="236"/>
      <c r="J133" s="279"/>
      <c r="K133" s="274"/>
      <c r="L133" s="274"/>
    </row>
    <row r="134" spans="1:12" s="269" customFormat="1" ht="15.75" customHeight="1">
      <c r="A134"/>
      <c r="B134"/>
      <c r="C134"/>
      <c r="D134" s="391"/>
      <c r="E134" s="392"/>
      <c r="H134" s="404"/>
      <c r="I134" s="236"/>
      <c r="J134" s="279"/>
      <c r="K134" s="274"/>
      <c r="L134" s="274"/>
    </row>
    <row r="135" spans="1:12" s="269" customFormat="1" ht="15.75" customHeight="1">
      <c r="A135"/>
      <c r="B135"/>
      <c r="C135"/>
      <c r="D135" s="391"/>
      <c r="E135" s="392"/>
      <c r="H135" s="404"/>
      <c r="I135" s="236"/>
      <c r="J135" s="279"/>
      <c r="K135" s="274"/>
      <c r="L135" s="274"/>
    </row>
    <row r="136" spans="1:12" s="269" customFormat="1" ht="15.75" customHeight="1">
      <c r="A136"/>
      <c r="B136"/>
      <c r="C136"/>
      <c r="D136" s="391"/>
      <c r="E136" s="392"/>
      <c r="H136" s="404"/>
      <c r="I136" s="236"/>
      <c r="J136" s="279"/>
      <c r="K136" s="274"/>
      <c r="L136" s="274"/>
    </row>
    <row r="137" spans="1:12" s="269" customFormat="1" ht="15.75" customHeight="1">
      <c r="A137"/>
      <c r="B137"/>
      <c r="C137"/>
      <c r="D137" s="391"/>
      <c r="E137" s="392"/>
      <c r="H137" s="404"/>
      <c r="I137" s="236"/>
      <c r="J137" s="279"/>
      <c r="K137" s="274"/>
      <c r="L137" s="274"/>
    </row>
    <row r="138" spans="1:12" s="269" customFormat="1" ht="15.75" customHeight="1">
      <c r="A138"/>
      <c r="B138"/>
      <c r="C138"/>
      <c r="D138" s="391"/>
      <c r="E138" s="392"/>
      <c r="H138" s="404"/>
      <c r="I138" s="236"/>
      <c r="J138" s="279"/>
      <c r="K138" s="274"/>
      <c r="L138" s="274"/>
    </row>
    <row r="139" spans="1:12" s="269" customFormat="1" ht="15.75" customHeight="1">
      <c r="A139"/>
      <c r="B139"/>
      <c r="C139"/>
      <c r="D139" s="391"/>
      <c r="E139" s="392"/>
      <c r="H139" s="404"/>
      <c r="I139" s="236"/>
      <c r="J139" s="279"/>
      <c r="K139" s="274"/>
      <c r="L139" s="274"/>
    </row>
    <row r="140" spans="1:12" s="269" customFormat="1" ht="15.75" customHeight="1">
      <c r="A140"/>
      <c r="B140"/>
      <c r="C140"/>
      <c r="D140" s="391"/>
      <c r="E140" s="392"/>
      <c r="H140" s="404"/>
      <c r="I140" s="236"/>
      <c r="J140" s="279"/>
      <c r="K140" s="274"/>
      <c r="L140" s="274"/>
    </row>
    <row r="141" spans="1:12" s="269" customFormat="1" ht="15.75" customHeight="1">
      <c r="A141"/>
      <c r="B141"/>
      <c r="C141"/>
      <c r="D141" s="391"/>
      <c r="E141" s="392"/>
      <c r="H141" s="404"/>
      <c r="I141" s="236"/>
      <c r="J141" s="279"/>
      <c r="K141" s="274"/>
      <c r="L141" s="274"/>
    </row>
    <row r="142" spans="1:12" s="269" customFormat="1" ht="15.75" customHeight="1">
      <c r="A142"/>
      <c r="B142"/>
      <c r="C142"/>
      <c r="D142" s="391"/>
      <c r="E142" s="392"/>
      <c r="H142" s="404"/>
      <c r="I142" s="236"/>
      <c r="J142" s="279"/>
      <c r="K142" s="274"/>
      <c r="L142" s="274"/>
    </row>
    <row r="143" spans="1:12" s="269" customFormat="1" ht="15.75" customHeight="1">
      <c r="A143"/>
      <c r="B143"/>
      <c r="C143"/>
      <c r="D143" s="391"/>
      <c r="E143" s="392"/>
      <c r="H143" s="404"/>
      <c r="I143" s="236"/>
      <c r="J143" s="279"/>
      <c r="K143" s="274"/>
      <c r="L143" s="274"/>
    </row>
    <row r="144" spans="1:12" s="269" customFormat="1" ht="15.75" customHeight="1">
      <c r="A144"/>
      <c r="B144"/>
      <c r="C144"/>
      <c r="D144" s="391"/>
      <c r="E144" s="392"/>
      <c r="H144" s="404"/>
      <c r="I144" s="236"/>
      <c r="J144" s="279"/>
      <c r="K144" s="274"/>
      <c r="L144" s="274"/>
    </row>
    <row r="145" spans="1:12" s="269" customFormat="1" ht="15.75" customHeight="1">
      <c r="A145"/>
      <c r="B145"/>
      <c r="C145"/>
      <c r="D145" s="391"/>
      <c r="E145" s="392"/>
      <c r="H145" s="404"/>
      <c r="I145" s="236"/>
      <c r="J145" s="279"/>
      <c r="K145" s="274"/>
      <c r="L145" s="274"/>
    </row>
    <row r="146" spans="1:12" s="269" customFormat="1" ht="15.75" customHeight="1">
      <c r="A146" s="235"/>
      <c r="B146" s="235"/>
      <c r="C146" s="237"/>
      <c r="D146" s="235"/>
      <c r="E146" s="235"/>
      <c r="F146" s="236"/>
      <c r="G146" s="235"/>
      <c r="H146" s="238"/>
      <c r="I146" s="236"/>
      <c r="J146" s="279"/>
      <c r="K146" s="274"/>
      <c r="L146" s="274"/>
    </row>
    <row r="147" spans="1:12" s="269" customFormat="1" ht="15.75" customHeight="1">
      <c r="A147" s="235"/>
      <c r="B147" s="235"/>
      <c r="C147" s="237"/>
      <c r="D147" s="235"/>
      <c r="E147" s="235"/>
      <c r="F147" s="236"/>
      <c r="G147" s="235"/>
      <c r="H147" s="238"/>
      <c r="I147" s="236"/>
      <c r="J147" s="279"/>
      <c r="K147" s="274"/>
      <c r="L147" s="274"/>
    </row>
    <row r="148" spans="1:12" s="269" customFormat="1" ht="15.75" customHeight="1">
      <c r="A148" s="235"/>
      <c r="B148" s="235"/>
      <c r="C148" s="237"/>
      <c r="D148" s="235"/>
      <c r="E148" s="235"/>
      <c r="F148" s="236"/>
      <c r="G148" s="235"/>
      <c r="H148" s="238"/>
      <c r="I148" s="236"/>
      <c r="J148" s="279"/>
      <c r="K148" s="274"/>
      <c r="L148" s="274"/>
    </row>
    <row r="149" spans="1:12" s="269" customFormat="1" ht="15.75" customHeight="1">
      <c r="A149" s="235"/>
      <c r="B149" s="235"/>
      <c r="C149" s="237"/>
      <c r="D149" s="235"/>
      <c r="E149" s="235"/>
      <c r="F149" s="236"/>
      <c r="G149" s="235"/>
      <c r="H149" s="238"/>
      <c r="I149" s="236"/>
      <c r="J149" s="279"/>
      <c r="K149" s="274"/>
      <c r="L149" s="274"/>
    </row>
    <row r="150" spans="1:12" s="269" customFormat="1" ht="15.75" customHeight="1">
      <c r="A150" s="235"/>
      <c r="B150" s="235"/>
      <c r="C150" s="237"/>
      <c r="D150" s="235"/>
      <c r="E150" s="235"/>
      <c r="F150" s="236"/>
      <c r="G150" s="235"/>
      <c r="H150" s="238"/>
      <c r="I150" s="236"/>
      <c r="J150" s="279"/>
      <c r="K150" s="274"/>
      <c r="L150" s="274"/>
    </row>
    <row r="151" spans="1:12" s="269" customFormat="1" ht="15.75" customHeight="1">
      <c r="A151" s="235"/>
      <c r="B151" s="235"/>
      <c r="C151" s="237"/>
      <c r="D151" s="235"/>
      <c r="E151" s="235"/>
      <c r="F151" s="236"/>
      <c r="G151" s="235"/>
      <c r="H151" s="238"/>
      <c r="I151" s="236"/>
      <c r="J151" s="279"/>
      <c r="K151" s="274"/>
      <c r="L151" s="274"/>
    </row>
    <row r="152" spans="1:12" s="269" customFormat="1" ht="15.75" customHeight="1">
      <c r="A152" s="235"/>
      <c r="B152" s="235"/>
      <c r="C152" s="237"/>
      <c r="D152" s="235"/>
      <c r="E152" s="235"/>
      <c r="F152" s="236"/>
      <c r="G152" s="235"/>
      <c r="H152" s="238"/>
      <c r="I152" s="236"/>
      <c r="J152" s="279"/>
      <c r="K152" s="274"/>
      <c r="L152" s="274"/>
    </row>
    <row r="153" spans="1:12" s="269" customFormat="1" ht="15.75" customHeight="1">
      <c r="A153" s="235"/>
      <c r="B153" s="235"/>
      <c r="C153" s="237"/>
      <c r="D153" s="235"/>
      <c r="E153" s="235"/>
      <c r="F153" s="236"/>
      <c r="G153" s="235"/>
      <c r="H153" s="238"/>
      <c r="I153" s="236"/>
      <c r="J153" s="279"/>
      <c r="K153" s="274"/>
      <c r="L153" s="274"/>
    </row>
    <row r="154" spans="1:12" s="269" customFormat="1" ht="15.75" customHeight="1">
      <c r="A154" s="235"/>
      <c r="B154" s="235"/>
      <c r="C154" s="237"/>
      <c r="D154" s="235"/>
      <c r="E154" s="235"/>
      <c r="F154" s="236"/>
      <c r="G154" s="235"/>
      <c r="H154" s="238"/>
      <c r="I154" s="236"/>
      <c r="J154" s="279"/>
      <c r="K154" s="274"/>
      <c r="L154" s="274"/>
    </row>
    <row r="155" spans="1:12" s="269" customFormat="1" ht="15.75" customHeight="1">
      <c r="A155" s="235"/>
      <c r="B155" s="235"/>
      <c r="C155" s="237"/>
      <c r="D155" s="235"/>
      <c r="E155" s="235"/>
      <c r="F155" s="236"/>
      <c r="G155" s="235"/>
      <c r="H155" s="238"/>
      <c r="I155" s="236"/>
      <c r="J155" s="279"/>
      <c r="K155" s="274"/>
      <c r="L155" s="274"/>
    </row>
    <row r="156" spans="1:12" s="269" customFormat="1" ht="15.75" customHeight="1">
      <c r="A156" s="235"/>
      <c r="B156" s="235"/>
      <c r="C156" s="237"/>
      <c r="D156" s="235"/>
      <c r="E156" s="235"/>
      <c r="F156" s="236"/>
      <c r="G156" s="235"/>
      <c r="H156" s="238"/>
      <c r="I156" s="236"/>
      <c r="J156" s="279"/>
      <c r="K156" s="274"/>
      <c r="L156" s="274"/>
    </row>
    <row r="157" spans="1:12" s="269" customFormat="1" ht="15.75" customHeight="1">
      <c r="A157" s="235"/>
      <c r="B157" s="235"/>
      <c r="C157" s="237"/>
      <c r="D157" s="235"/>
      <c r="E157" s="235"/>
      <c r="F157" s="236"/>
      <c r="G157" s="235"/>
      <c r="H157" s="238"/>
      <c r="I157" s="236"/>
      <c r="J157" s="279"/>
      <c r="K157" s="274"/>
      <c r="L157" s="274"/>
    </row>
    <row r="158" spans="1:12" s="269" customFormat="1" ht="15.75" customHeight="1">
      <c r="A158" s="235"/>
      <c r="B158" s="235"/>
      <c r="C158" s="237"/>
      <c r="D158" s="235"/>
      <c r="E158" s="235"/>
      <c r="F158" s="236"/>
      <c r="G158" s="235"/>
      <c r="H158" s="238"/>
      <c r="I158" s="236"/>
      <c r="J158" s="279"/>
      <c r="K158" s="274"/>
      <c r="L158" s="274"/>
    </row>
    <row r="159" spans="1:12" ht="15.75" customHeight="1">
      <c r="A159" s="235"/>
      <c r="B159" s="235"/>
      <c r="C159" s="237"/>
      <c r="D159" s="235"/>
      <c r="E159" s="235"/>
      <c r="F159" s="236"/>
      <c r="G159" s="235"/>
      <c r="H159" s="238"/>
      <c r="I159" s="236"/>
      <c r="J159" s="279"/>
      <c r="K159" s="274"/>
      <c r="L159" s="274"/>
    </row>
    <row r="160" spans="1:12" ht="15.75" customHeight="1">
      <c r="A160" s="235"/>
      <c r="B160" s="235"/>
      <c r="C160" s="237"/>
      <c r="D160" s="235"/>
      <c r="E160" s="235"/>
      <c r="F160" s="236"/>
      <c r="G160" s="235"/>
      <c r="H160" s="238"/>
      <c r="I160" s="236"/>
      <c r="J160" s="279"/>
      <c r="K160" s="274"/>
      <c r="L160" s="274"/>
    </row>
    <row r="161" spans="1:12" ht="15.75" customHeight="1">
      <c r="A161" s="235"/>
      <c r="B161" s="235"/>
      <c r="C161" s="237"/>
      <c r="D161" s="235"/>
      <c r="E161" s="235"/>
      <c r="F161" s="236"/>
      <c r="G161" s="235"/>
      <c r="H161" s="238"/>
      <c r="I161" s="236"/>
      <c r="J161" s="279"/>
      <c r="K161" s="274"/>
      <c r="L161" s="274"/>
    </row>
    <row r="162" spans="1:12" ht="15.75" customHeight="1">
      <c r="A162" s="235"/>
      <c r="B162" s="235"/>
      <c r="C162" s="237"/>
      <c r="D162" s="235"/>
      <c r="E162" s="235"/>
      <c r="F162" s="236"/>
      <c r="G162" s="235"/>
      <c r="H162" s="238"/>
      <c r="I162" s="236"/>
      <c r="J162" s="279"/>
      <c r="K162" s="274"/>
      <c r="L162" s="274"/>
    </row>
    <row r="163" spans="1:12" ht="15.75" customHeight="1">
      <c r="A163" s="235"/>
      <c r="B163" s="235"/>
      <c r="C163" s="237"/>
      <c r="D163" s="235"/>
      <c r="E163" s="235"/>
      <c r="F163" s="236"/>
      <c r="G163" s="235"/>
      <c r="H163" s="238"/>
      <c r="I163" s="236"/>
      <c r="J163" s="279"/>
      <c r="K163" s="274"/>
      <c r="L163" s="274"/>
    </row>
    <row r="164" spans="1:12" ht="15.75" customHeight="1">
      <c r="A164" s="235"/>
      <c r="B164" s="235"/>
      <c r="C164" s="237"/>
      <c r="D164" s="235"/>
      <c r="E164" s="235"/>
      <c r="F164" s="236"/>
      <c r="G164" s="235"/>
      <c r="H164" s="238"/>
      <c r="I164" s="236"/>
      <c r="J164" s="279"/>
      <c r="K164" s="274"/>
      <c r="L164" s="274"/>
    </row>
    <row r="165" spans="1:12" ht="15.75" customHeight="1">
      <c r="A165" s="235"/>
      <c r="B165" s="235"/>
      <c r="C165" s="237"/>
      <c r="D165" s="235"/>
      <c r="E165" s="235"/>
      <c r="F165" s="236"/>
      <c r="G165" s="235"/>
      <c r="H165" s="238"/>
      <c r="I165" s="236"/>
      <c r="J165" s="279"/>
      <c r="K165" s="274"/>
      <c r="L165" s="274"/>
    </row>
    <row r="166" spans="1:12" ht="15.75" customHeight="1">
      <c r="A166" s="235"/>
      <c r="B166" s="235"/>
      <c r="C166" s="237"/>
      <c r="D166" s="235"/>
      <c r="E166" s="235"/>
      <c r="F166" s="236"/>
      <c r="G166" s="235"/>
      <c r="H166" s="238"/>
      <c r="I166" s="236"/>
      <c r="J166" s="279"/>
      <c r="K166" s="274"/>
      <c r="L166" s="274"/>
    </row>
    <row r="167" spans="1:12" ht="15.75" customHeight="1">
      <c r="A167" s="235"/>
      <c r="B167" s="235"/>
      <c r="C167" s="237"/>
      <c r="D167" s="235"/>
      <c r="E167" s="235"/>
      <c r="F167" s="236"/>
      <c r="G167" s="235"/>
      <c r="H167" s="238"/>
      <c r="I167" s="236"/>
      <c r="J167" s="279"/>
      <c r="K167" s="274"/>
      <c r="L167" s="274"/>
    </row>
    <row r="168" spans="1:12" ht="15.75" customHeight="1">
      <c r="A168" s="235"/>
      <c r="B168" s="235"/>
      <c r="C168" s="237"/>
      <c r="D168" s="235"/>
      <c r="E168" s="235"/>
      <c r="F168" s="236"/>
      <c r="G168" s="235"/>
      <c r="H168" s="238"/>
      <c r="I168" s="236"/>
      <c r="J168" s="279"/>
      <c r="K168" s="274"/>
      <c r="L168" s="274"/>
    </row>
    <row r="169" spans="1:12" ht="15.75" customHeight="1">
      <c r="A169" s="235"/>
      <c r="B169" s="235"/>
      <c r="C169" s="237"/>
      <c r="D169" s="235"/>
      <c r="E169" s="235"/>
      <c r="F169" s="236"/>
      <c r="G169" s="235"/>
      <c r="H169" s="238"/>
      <c r="I169" s="236"/>
      <c r="J169" s="279"/>
      <c r="K169" s="274"/>
      <c r="L169" s="274"/>
    </row>
    <row r="170" spans="1:12" ht="15.75" customHeight="1">
      <c r="A170" s="235"/>
      <c r="B170" s="235"/>
      <c r="C170" s="237"/>
      <c r="D170" s="235"/>
      <c r="E170" s="235"/>
      <c r="F170" s="236"/>
      <c r="G170" s="235"/>
      <c r="H170" s="238"/>
      <c r="I170" s="236"/>
      <c r="J170" s="279"/>
      <c r="K170" s="274"/>
      <c r="L170" s="274"/>
    </row>
    <row r="171" spans="1:12" ht="15.75" customHeight="1">
      <c r="A171" s="235"/>
      <c r="B171" s="235"/>
      <c r="C171" s="237"/>
      <c r="D171" s="235"/>
      <c r="E171" s="235"/>
      <c r="F171" s="236"/>
      <c r="G171" s="235"/>
      <c r="H171" s="238"/>
      <c r="I171" s="236"/>
      <c r="J171" s="279"/>
      <c r="K171" s="274"/>
      <c r="L171" s="274"/>
    </row>
    <row r="172" spans="1:12" ht="15.75" customHeight="1">
      <c r="A172" s="235"/>
      <c r="B172" s="235"/>
      <c r="C172" s="237"/>
      <c r="D172" s="235"/>
      <c r="E172" s="235"/>
      <c r="F172" s="236"/>
      <c r="G172" s="235"/>
      <c r="H172" s="238"/>
      <c r="I172" s="236"/>
      <c r="J172" s="279"/>
      <c r="K172" s="274"/>
      <c r="L172" s="274"/>
    </row>
    <row r="173" spans="1:12" ht="15.75" customHeight="1">
      <c r="A173" s="235"/>
      <c r="B173" s="235"/>
      <c r="C173" s="237"/>
      <c r="D173" s="235"/>
      <c r="E173" s="235"/>
      <c r="F173" s="236"/>
      <c r="G173" s="235"/>
      <c r="H173" s="238"/>
      <c r="I173" s="236"/>
      <c r="J173" s="279"/>
      <c r="K173" s="274"/>
      <c r="L173" s="274"/>
    </row>
    <row r="174" spans="1:12" ht="15.75" customHeight="1">
      <c r="A174" s="235"/>
      <c r="B174" s="235"/>
      <c r="C174" s="237"/>
      <c r="D174" s="235"/>
      <c r="E174" s="235"/>
      <c r="F174" s="236"/>
      <c r="G174" s="235"/>
      <c r="H174" s="238"/>
      <c r="I174" s="236"/>
      <c r="J174" s="279"/>
      <c r="K174" s="274"/>
      <c r="L174" s="274"/>
    </row>
    <row r="175" spans="1:12" ht="15.75" customHeight="1">
      <c r="A175" s="235"/>
      <c r="B175" s="235"/>
      <c r="C175" s="237"/>
      <c r="D175" s="235"/>
      <c r="E175" s="235"/>
      <c r="F175" s="236"/>
      <c r="G175" s="235"/>
      <c r="H175" s="238"/>
      <c r="I175" s="236"/>
      <c r="J175" s="279"/>
      <c r="K175" s="274"/>
      <c r="L175" s="274"/>
    </row>
    <row r="176" spans="1:12" ht="15.75" customHeight="1">
      <c r="A176" s="235"/>
      <c r="B176" s="235"/>
      <c r="C176" s="237"/>
      <c r="D176" s="235"/>
      <c r="E176" s="235"/>
      <c r="F176" s="236"/>
      <c r="G176" s="235"/>
      <c r="H176" s="238"/>
      <c r="I176" s="236"/>
      <c r="J176" s="279"/>
      <c r="K176" s="274"/>
      <c r="L176" s="274"/>
    </row>
    <row r="177" spans="1:12" ht="15.75" customHeight="1">
      <c r="A177" s="235"/>
      <c r="B177" s="235"/>
      <c r="C177" s="237"/>
      <c r="D177" s="235"/>
      <c r="E177" s="235"/>
      <c r="F177" s="236"/>
      <c r="G177" s="235"/>
      <c r="H177" s="238"/>
      <c r="I177" s="236"/>
      <c r="J177" s="279"/>
      <c r="K177" s="274"/>
      <c r="L177" s="274"/>
    </row>
    <row r="178" spans="1:12" ht="15.75" customHeight="1">
      <c r="A178" s="235"/>
      <c r="B178" s="235"/>
      <c r="C178" s="237"/>
      <c r="D178" s="235"/>
      <c r="E178" s="235"/>
      <c r="F178" s="236"/>
      <c r="G178" s="235"/>
      <c r="H178" s="238"/>
      <c r="I178" s="236"/>
      <c r="J178" s="279"/>
      <c r="K178" s="274"/>
      <c r="L178" s="274"/>
    </row>
    <row r="179" spans="1:12" ht="15.75" customHeight="1">
      <c r="A179" s="235"/>
      <c r="B179" s="235"/>
      <c r="C179" s="237"/>
      <c r="D179" s="235"/>
      <c r="E179" s="235"/>
      <c r="F179" s="236"/>
      <c r="G179" s="235"/>
      <c r="H179" s="238"/>
      <c r="I179" s="236"/>
      <c r="J179" s="279"/>
      <c r="K179" s="274"/>
      <c r="L179" s="274"/>
    </row>
  </sheetData>
  <sortState xmlns:xlrd2="http://schemas.microsoft.com/office/spreadsheetml/2017/richdata2" ref="A95:H133">
    <sortCondition ref="D96:D133"/>
  </sortState>
  <phoneticPr fontId="13" type="noConversion"/>
  <dataValidations count="3">
    <dataValidation type="date" allowBlank="1" showInputMessage="1" showErrorMessage="1" sqref="J10 H146:H1048576 F146:F1048576 J64:J1048576 F3 H3 F53:F62 H5:H6 F5:F6 J12:J62 J8 F8:F12 F64:F92 H25:H62 F26:F49 H64:H95 H8:H16" xr:uid="{306E1C90-469D-8E4D-94E8-063F2DE92203}">
      <formula1>TODAY()-180</formula1>
      <formula2>TODAY()+180</formula2>
    </dataValidation>
    <dataValidation allowBlank="1" showInputMessage="1" showErrorMessage="1" sqref="J9:K9 I64:I111 I113:I1048576 I1:I3 I5:I6 I8:I62" xr:uid="{BE652B8E-0F0F-47FB-8FC1-87E84B8820ED}"/>
    <dataValidation type="list" allowBlank="1" showInputMessage="1" showErrorMessage="1" sqref="C134:C145" xr:uid="{F6F6B945-F680-43C0-ADDF-42A3F214CE74}">
      <formula1>"Основной долг, Проценты"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D20E448-C788-9149-9389-FE3E69F52B52}">
          <x14:formula1>
            <xm:f>DATA!$C$2:$C$15</xm:f>
          </x14:formula1>
          <xm:sqref>D64:D92 D146:D1048576 D3 D5:D6 D8:D10 D12:D62</xm:sqref>
        </x14:dataValidation>
        <x14:dataValidation type="list" allowBlank="1" showInputMessage="1" showErrorMessage="1" xr:uid="{3E8C86BD-50AD-467C-8612-0BBFEEA80D94}">
          <x14:formula1>
            <xm:f>DATA!$B$2:$B$15</xm:f>
          </x14:formula1>
          <xm:sqref>B229:B1048576 B37 B31 B76</xm:sqref>
        </x14:dataValidation>
        <x14:dataValidation type="list" allowBlank="1" showInputMessage="1" showErrorMessage="1" xr:uid="{CF6F6C30-55D7-7F42-ACC7-39A1B9BFAE39}">
          <x14:formula1>
            <xm:f>DATA!$A$2:$A$4</xm:f>
          </x14:formula1>
          <xm:sqref>G8:G10 G146:G1048576 G3 G5:G6 G12:G37 G76:G92</xm:sqref>
        </x14:dataValidation>
        <x14:dataValidation type="list" allowBlank="1" showInputMessage="1" showErrorMessage="1" xr:uid="{2A6C9E47-8D55-0843-AC11-D9245241513E}">
          <x14:formula1>
            <xm:f>DATA!$B$2:$B$50</xm:f>
          </x14:formula1>
          <xm:sqref>B32:B36 B64:B75 B146:B228 B3 B77:B92 B5:B6 B12:B30 B8:B10 B38:B62</xm:sqref>
        </x14:dataValidation>
        <x14:dataValidation type="list" allowBlank="1" showInputMessage="1" showErrorMessage="1" xr:uid="{266D5148-0C04-414B-ADB3-CD2BE35EC113}">
          <x14:formula1>
            <xm:f>DATA!$E$2:$E$15</xm:f>
          </x14:formula1>
          <xm:sqref>A146:A1048576 A61:A62 A3 A64:A84 A87:A92 A5:A6 A8:A11 A26:A58</xm:sqref>
        </x14:dataValidation>
        <x14:dataValidation type="list" allowBlank="1" showInputMessage="1" showErrorMessage="1" xr:uid="{30E7A82D-9572-8643-B3D0-DC2812B6BAC2}">
          <x14:formula1>
            <xm:f>DATA!$D$2:$D$31</xm:f>
          </x14:formula1>
          <xm:sqref>E146:E1048576 E61:E62 E64:E84 E87:E92 E3 E5:E6 E8:E58</xm:sqref>
        </x14:dataValidation>
        <x14:dataValidation type="list" allowBlank="1" showInputMessage="1" showErrorMessage="1" xr:uid="{268B27F7-1446-4018-BB0C-3BD583C7F82A}">
          <x14:formula1>
            <xm:f>DATA!$E$2:$E$50</xm:f>
          </x14:formula1>
          <xm:sqref>A59:A60 A85:A86</xm:sqref>
        </x14:dataValidation>
        <x14:dataValidation type="list" allowBlank="1" showInputMessage="1" showErrorMessage="1" xr:uid="{B9124D90-EDC9-4697-BEC6-E0C6985C3A94}">
          <x14:formula1>
            <xm:f>DATA!$D$2:$D$50</xm:f>
          </x14:formula1>
          <xm:sqref>E59:E60 E85:E86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4313-4DC3-F743-A721-A5A0C904CB5F}">
  <sheetPr>
    <tabColor theme="5"/>
  </sheetPr>
  <dimension ref="A1:BH177"/>
  <sheetViews>
    <sheetView topLeftCell="C1" workbookViewId="0">
      <pane ySplit="2" topLeftCell="A157" activePane="bottomLeft" state="frozen"/>
      <selection activeCell="C1" sqref="C1"/>
      <selection pane="bottomLeft" activeCell="M181" sqref="M181"/>
    </sheetView>
  </sheetViews>
  <sheetFormatPr baseColWidth="10" defaultColWidth="8.5" defaultRowHeight="18.75" customHeight="1"/>
  <cols>
    <col min="1" max="1" width="14.6640625" style="7" bestFit="1" customWidth="1"/>
    <col min="2" max="2" width="19.1640625" style="7" customWidth="1"/>
    <col min="3" max="3" width="10.33203125" style="7" customWidth="1"/>
    <col min="4" max="4" width="13.83203125" style="7" bestFit="1" customWidth="1"/>
    <col min="5" max="5" width="32.5" style="7" customWidth="1"/>
    <col min="6" max="6" width="19.1640625" style="7" customWidth="1"/>
    <col min="7" max="7" width="6.1640625" style="7" bestFit="1" customWidth="1"/>
    <col min="8" max="8" width="13.83203125" style="7" bestFit="1" customWidth="1"/>
    <col min="9" max="9" width="32.5" style="7" customWidth="1"/>
    <col min="10" max="10" width="19.1640625" style="7" customWidth="1"/>
    <col min="11" max="11" width="6.1640625" style="7" bestFit="1" customWidth="1"/>
    <col min="12" max="12" width="13.83203125" style="7" bestFit="1" customWidth="1"/>
    <col min="13" max="13" width="29" style="7" customWidth="1"/>
    <col min="14" max="14" width="19.1640625" style="7" customWidth="1"/>
    <col min="15" max="15" width="6.1640625" style="7" bestFit="1" customWidth="1"/>
    <col min="16" max="16" width="15.5" style="7" customWidth="1"/>
    <col min="17" max="17" width="49.5" style="7" customWidth="1"/>
    <col min="18" max="18" width="19.6640625" style="7" customWidth="1"/>
    <col min="19" max="19" width="11.33203125" style="7" customWidth="1"/>
    <col min="20" max="20" width="16.83203125" style="7" customWidth="1"/>
    <col min="21" max="21" width="29.5" style="7" customWidth="1"/>
    <col min="22" max="23" width="19.1640625" style="7" customWidth="1"/>
    <col min="24" max="24" width="11.1640625" style="7" customWidth="1"/>
    <col min="25" max="33" width="29.5" style="7" customWidth="1"/>
    <col min="34" max="37" width="19.1640625" style="7" customWidth="1"/>
    <col min="38" max="38" width="8.5" style="7"/>
    <col min="39" max="39" width="13.5" style="7" bestFit="1" customWidth="1"/>
    <col min="40" max="40" width="11.5" style="7" bestFit="1" customWidth="1"/>
    <col min="41" max="41" width="9.5" style="7" bestFit="1" customWidth="1"/>
    <col min="42" max="42" width="2.1640625" style="7" bestFit="1" customWidth="1"/>
    <col min="43" max="43" width="11.5" style="7" bestFit="1" customWidth="1"/>
    <col min="44" max="44" width="9.5" style="7" bestFit="1" customWidth="1"/>
    <col min="45" max="45" width="2.1640625" style="7" bestFit="1" customWidth="1"/>
    <col min="46" max="46" width="11.5" style="7" bestFit="1" customWidth="1"/>
    <col min="47" max="47" width="9" style="7" customWidth="1"/>
    <col min="48" max="48" width="2.1640625" style="7" bestFit="1" customWidth="1"/>
    <col min="49" max="49" width="10.33203125" style="7" bestFit="1" customWidth="1"/>
    <col min="50" max="51" width="8.5" style="7"/>
    <col min="52" max="52" width="13.5" style="7" bestFit="1" customWidth="1"/>
    <col min="53" max="53" width="11.5" style="7" bestFit="1" customWidth="1"/>
    <col min="54" max="54" width="8.5" style="7"/>
    <col min="55" max="55" width="15" style="7" customWidth="1"/>
    <col min="56" max="56" width="12.5" style="7" bestFit="1" customWidth="1"/>
    <col min="57" max="57" width="12.5" style="7" customWidth="1"/>
    <col min="58" max="58" width="8.5" style="7"/>
    <col min="59" max="59" width="13.1640625" style="7" customWidth="1"/>
    <col min="60" max="60" width="12.83203125" style="7" customWidth="1"/>
    <col min="61" max="16384" width="8.5" style="7"/>
  </cols>
  <sheetData>
    <row r="1" spans="1:60" ht="21" customHeight="1" thickBot="1">
      <c r="A1" s="598" t="s">
        <v>74</v>
      </c>
      <c r="B1" s="599" t="s">
        <v>0</v>
      </c>
      <c r="C1" s="599"/>
      <c r="D1" s="599"/>
      <c r="E1" s="599"/>
      <c r="F1" s="600" t="s">
        <v>27</v>
      </c>
      <c r="G1" s="600"/>
      <c r="H1" s="600"/>
      <c r="I1" s="600"/>
      <c r="J1" s="601" t="s">
        <v>31</v>
      </c>
      <c r="K1" s="601"/>
      <c r="L1" s="601"/>
      <c r="M1" s="601"/>
      <c r="N1" s="603" t="s">
        <v>71</v>
      </c>
      <c r="O1" s="603"/>
      <c r="P1" s="603"/>
      <c r="Q1" s="603"/>
      <c r="R1" s="608" t="s">
        <v>42</v>
      </c>
      <c r="S1" s="608"/>
      <c r="T1" s="608"/>
      <c r="U1" s="608"/>
      <c r="V1" s="610" t="s">
        <v>43</v>
      </c>
      <c r="W1" s="610"/>
      <c r="X1" s="610"/>
      <c r="Y1" s="610"/>
      <c r="Z1" s="612" t="s">
        <v>44</v>
      </c>
      <c r="AA1" s="612"/>
      <c r="AB1" s="612"/>
      <c r="AC1" s="612"/>
      <c r="AD1" s="611" t="s">
        <v>45</v>
      </c>
      <c r="AE1" s="611"/>
      <c r="AF1" s="611"/>
      <c r="AG1" s="611"/>
      <c r="AH1" s="609" t="s">
        <v>53</v>
      </c>
      <c r="AI1" s="609"/>
      <c r="AJ1" s="609"/>
      <c r="AK1" s="609"/>
      <c r="AM1" s="604" t="s">
        <v>74</v>
      </c>
      <c r="AN1" s="605" t="s">
        <v>0</v>
      </c>
      <c r="AO1" s="605"/>
      <c r="AP1" s="605"/>
      <c r="AQ1" s="606" t="s">
        <v>27</v>
      </c>
      <c r="AR1" s="606"/>
      <c r="AS1" s="606"/>
      <c r="AT1" s="607" t="s">
        <v>31</v>
      </c>
      <c r="AU1" s="607"/>
      <c r="AV1" s="607"/>
      <c r="AW1" s="602" t="s">
        <v>213</v>
      </c>
      <c r="AX1" s="209"/>
      <c r="AY1" s="209"/>
      <c r="AZ1" s="613" t="s">
        <v>74</v>
      </c>
      <c r="BA1" s="605" t="s">
        <v>71</v>
      </c>
      <c r="BB1" s="605"/>
      <c r="BC1" s="605"/>
      <c r="BD1" s="605"/>
      <c r="BE1" s="602" t="s">
        <v>213</v>
      </c>
      <c r="BG1" s="602" t="s">
        <v>214</v>
      </c>
      <c r="BH1" s="602" t="s">
        <v>215</v>
      </c>
    </row>
    <row r="2" spans="1:60" ht="21.75" customHeight="1" thickBot="1">
      <c r="A2" s="598"/>
      <c r="B2" s="208" t="s">
        <v>216</v>
      </c>
      <c r="C2" s="208" t="s">
        <v>33</v>
      </c>
      <c r="D2" s="208" t="s">
        <v>217</v>
      </c>
      <c r="E2" s="208" t="s">
        <v>120</v>
      </c>
      <c r="F2" s="208" t="s">
        <v>216</v>
      </c>
      <c r="G2" s="208" t="s">
        <v>33</v>
      </c>
      <c r="H2" s="208" t="s">
        <v>217</v>
      </c>
      <c r="I2" s="208" t="s">
        <v>120</v>
      </c>
      <c r="J2" s="208" t="s">
        <v>216</v>
      </c>
      <c r="K2" s="208" t="s">
        <v>33</v>
      </c>
      <c r="L2" s="208" t="s">
        <v>217</v>
      </c>
      <c r="M2" s="208" t="s">
        <v>120</v>
      </c>
      <c r="N2" s="208" t="s">
        <v>216</v>
      </c>
      <c r="O2" s="208" t="s">
        <v>33</v>
      </c>
      <c r="P2" s="208" t="s">
        <v>217</v>
      </c>
      <c r="Q2" s="208" t="s">
        <v>120</v>
      </c>
      <c r="R2" s="208" t="s">
        <v>216</v>
      </c>
      <c r="S2" s="208" t="s">
        <v>33</v>
      </c>
      <c r="T2" s="208" t="s">
        <v>217</v>
      </c>
      <c r="U2" s="208" t="s">
        <v>120</v>
      </c>
      <c r="V2" s="208" t="s">
        <v>216</v>
      </c>
      <c r="W2" s="208" t="s">
        <v>33</v>
      </c>
      <c r="X2" s="208" t="s">
        <v>217</v>
      </c>
      <c r="Y2" s="208" t="s">
        <v>120</v>
      </c>
      <c r="Z2" s="208" t="s">
        <v>216</v>
      </c>
      <c r="AA2" s="208" t="s">
        <v>33</v>
      </c>
      <c r="AB2" s="208" t="s">
        <v>217</v>
      </c>
      <c r="AC2" s="208" t="s">
        <v>120</v>
      </c>
      <c r="AD2" s="208" t="s">
        <v>216</v>
      </c>
      <c r="AE2" s="208" t="s">
        <v>33</v>
      </c>
      <c r="AF2" s="208" t="s">
        <v>217</v>
      </c>
      <c r="AG2" s="208" t="s">
        <v>120</v>
      </c>
      <c r="AH2" s="208" t="s">
        <v>216</v>
      </c>
      <c r="AI2" s="208" t="s">
        <v>33</v>
      </c>
      <c r="AJ2" s="208" t="s">
        <v>217</v>
      </c>
      <c r="AK2" s="208" t="s">
        <v>120</v>
      </c>
      <c r="AM2" s="604"/>
      <c r="AN2" s="210" t="s">
        <v>218</v>
      </c>
      <c r="AO2" s="210" t="s">
        <v>219</v>
      </c>
      <c r="AP2" s="210" t="s">
        <v>220</v>
      </c>
      <c r="AQ2" s="210" t="s">
        <v>218</v>
      </c>
      <c r="AR2" s="210" t="s">
        <v>219</v>
      </c>
      <c r="AS2" s="210" t="s">
        <v>220</v>
      </c>
      <c r="AT2" s="210" t="s">
        <v>218</v>
      </c>
      <c r="AU2" s="210" t="s">
        <v>219</v>
      </c>
      <c r="AV2" s="210" t="s">
        <v>220</v>
      </c>
      <c r="AW2" s="602"/>
      <c r="AX2" s="209"/>
      <c r="AY2" s="209"/>
      <c r="AZ2" s="613"/>
      <c r="BA2" s="210" t="s">
        <v>218</v>
      </c>
      <c r="BB2" s="210" t="s">
        <v>219</v>
      </c>
      <c r="BC2" s="210" t="s">
        <v>221</v>
      </c>
      <c r="BD2" s="210"/>
      <c r="BE2" s="602"/>
      <c r="BG2" s="602"/>
      <c r="BH2" s="602"/>
    </row>
    <row r="3" spans="1:60" s="212" customFormat="1" ht="19">
      <c r="A3" s="211">
        <v>45789</v>
      </c>
      <c r="B3" s="214">
        <v>2000000</v>
      </c>
      <c r="C3" s="212" t="s">
        <v>8</v>
      </c>
      <c r="D3" s="212" t="s">
        <v>222</v>
      </c>
      <c r="F3" s="214">
        <v>2200000</v>
      </c>
      <c r="G3" s="212" t="s">
        <v>5</v>
      </c>
      <c r="H3" s="212" t="s">
        <v>222</v>
      </c>
      <c r="J3" s="214">
        <v>8400000</v>
      </c>
      <c r="K3" s="212" t="s">
        <v>8</v>
      </c>
      <c r="L3" s="212" t="s">
        <v>223</v>
      </c>
      <c r="N3" s="214">
        <v>4000000</v>
      </c>
      <c r="O3" s="212" t="s">
        <v>8</v>
      </c>
      <c r="P3" s="212" t="s">
        <v>222</v>
      </c>
      <c r="Q3" s="212" t="s">
        <v>224</v>
      </c>
      <c r="T3" s="212" t="s">
        <v>222</v>
      </c>
      <c r="X3" s="212" t="s">
        <v>222</v>
      </c>
      <c r="AL3" s="7"/>
      <c r="AM3" s="211">
        <f>A3</f>
        <v>45789</v>
      </c>
      <c r="AN3" s="214">
        <v>6799368</v>
      </c>
      <c r="AO3" s="214">
        <v>5890000</v>
      </c>
      <c r="AQ3" s="214">
        <v>8780486</v>
      </c>
      <c r="AR3" s="214">
        <v>9410000</v>
      </c>
      <c r="AT3" s="214">
        <v>8478751</v>
      </c>
      <c r="AU3" s="214">
        <v>7050000</v>
      </c>
      <c r="AV3" s="213"/>
      <c r="AW3" s="214">
        <f>AT3+AQ3+AN3</f>
        <v>24058605</v>
      </c>
      <c r="AX3" s="35"/>
      <c r="AY3" s="35"/>
      <c r="AZ3" s="211">
        <f>A3</f>
        <v>45789</v>
      </c>
      <c r="BA3" s="214">
        <v>5475295</v>
      </c>
      <c r="BB3" s="213"/>
      <c r="BC3" s="214"/>
      <c r="BE3" s="214">
        <f>BB3+AY3+AV3</f>
        <v>0</v>
      </c>
      <c r="BF3" s="35"/>
      <c r="BG3" s="218"/>
      <c r="BH3" s="218"/>
    </row>
    <row r="4" spans="1:60" ht="19">
      <c r="A4" s="211">
        <v>45790</v>
      </c>
      <c r="B4" s="214">
        <v>2500000</v>
      </c>
      <c r="C4" s="212" t="s">
        <v>225</v>
      </c>
      <c r="D4" s="212" t="s">
        <v>222</v>
      </c>
      <c r="E4" s="212"/>
      <c r="F4" s="214">
        <v>830000</v>
      </c>
      <c r="G4" s="212" t="s">
        <v>5</v>
      </c>
      <c r="H4" s="212" t="s">
        <v>222</v>
      </c>
      <c r="I4" s="212"/>
      <c r="J4" s="214">
        <v>8700000</v>
      </c>
      <c r="K4" s="212" t="s">
        <v>8</v>
      </c>
      <c r="L4" s="212" t="s">
        <v>222</v>
      </c>
      <c r="M4" s="212" t="s">
        <v>226</v>
      </c>
      <c r="N4" s="214">
        <v>850000</v>
      </c>
      <c r="O4" s="212" t="s">
        <v>8</v>
      </c>
      <c r="P4" s="212" t="s">
        <v>222</v>
      </c>
      <c r="Q4" s="212"/>
      <c r="R4" s="212"/>
      <c r="S4" s="212"/>
      <c r="T4" s="212" t="s">
        <v>222</v>
      </c>
      <c r="U4" s="212"/>
      <c r="V4" s="212"/>
      <c r="W4" s="212"/>
      <c r="X4" s="212" t="s">
        <v>222</v>
      </c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M4" s="211"/>
      <c r="AN4" s="214"/>
      <c r="AO4" s="214"/>
      <c r="AP4" s="212"/>
      <c r="AQ4" s="214"/>
      <c r="AR4" s="214"/>
      <c r="AS4" s="212"/>
      <c r="AT4" s="214"/>
      <c r="AU4" s="214"/>
      <c r="AV4" s="213"/>
      <c r="AW4" s="214" t="e">
        <f>AW3-DEALS!#REF!-DEALS!#REF!-DEALS!#REF!-DEALS!#REF!-DEALS!#REF!-DEALS!#REF!-DEALS!#REF!-DEALS!#REF!-DEALS!#REF!-DEALS!#REF!-DEALS!#REF!-DEALS!#REF!</f>
        <v>#REF!</v>
      </c>
      <c r="AX4" s="35"/>
      <c r="AY4" s="35"/>
      <c r="AZ4" s="211">
        <f>A4</f>
        <v>45790</v>
      </c>
      <c r="BA4" s="214"/>
      <c r="BB4" s="213"/>
      <c r="BC4" s="214" t="e">
        <f>-DEALS!#REF!-DEALS!#REF!-DEALS!#REF!-DEALS!#REF!-DEALS!#REF!</f>
        <v>#REF!</v>
      </c>
      <c r="BD4" s="214">
        <v>-1311048</v>
      </c>
      <c r="BE4" s="214" t="e">
        <f>BA3+BC3+BC4+BD4</f>
        <v>#REF!</v>
      </c>
      <c r="BG4" s="219" t="e">
        <f>BE4+AW4</f>
        <v>#REF!</v>
      </c>
      <c r="BH4" s="219">
        <f>N5+J5+F5+B5</f>
        <v>12380003</v>
      </c>
    </row>
    <row r="5" spans="1:60" ht="19">
      <c r="A5" s="211">
        <v>45791</v>
      </c>
      <c r="B5" s="214">
        <v>1500001</v>
      </c>
      <c r="C5" s="212" t="s">
        <v>8</v>
      </c>
      <c r="D5" s="217" t="s">
        <v>223</v>
      </c>
      <c r="E5" s="212"/>
      <c r="F5" s="214">
        <v>830001</v>
      </c>
      <c r="G5" s="212" t="s">
        <v>5</v>
      </c>
      <c r="H5" s="212" t="s">
        <v>222</v>
      </c>
      <c r="I5" s="212"/>
      <c r="J5" s="214">
        <v>8700001</v>
      </c>
      <c r="K5" s="212" t="s">
        <v>8</v>
      </c>
      <c r="L5" s="212" t="s">
        <v>222</v>
      </c>
      <c r="M5" s="212" t="s">
        <v>226</v>
      </c>
      <c r="N5" s="214">
        <v>1350000</v>
      </c>
      <c r="O5" s="212" t="s">
        <v>8</v>
      </c>
      <c r="P5" s="212" t="s">
        <v>222</v>
      </c>
      <c r="Q5" s="212"/>
      <c r="R5" s="212"/>
      <c r="S5" s="212"/>
      <c r="T5" s="212" t="s">
        <v>222</v>
      </c>
      <c r="U5" s="212"/>
      <c r="V5" s="212"/>
      <c r="W5" s="212"/>
      <c r="X5" s="212" t="s">
        <v>222</v>
      </c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M5" s="211"/>
      <c r="AN5" s="214"/>
      <c r="AO5" s="214"/>
      <c r="AP5" s="212"/>
      <c r="AQ5" s="214"/>
      <c r="AR5" s="214"/>
      <c r="AS5" s="212"/>
      <c r="AT5" s="214"/>
      <c r="AU5" s="214"/>
      <c r="AV5" s="213"/>
      <c r="AW5" s="214"/>
      <c r="AZ5" s="211">
        <f>A5</f>
        <v>45791</v>
      </c>
      <c r="BA5" s="214"/>
      <c r="BB5" s="213"/>
      <c r="BC5" s="214" t="e">
        <f>-DEALS!#REF!-DEALS!#REF!-DEALS!#REF!</f>
        <v>#REF!</v>
      </c>
      <c r="BD5" s="212"/>
      <c r="BE5" s="214"/>
      <c r="BG5" s="219" t="e">
        <f>BG4</f>
        <v>#REF!</v>
      </c>
      <c r="BH5" s="219">
        <f>N6+J6+F6+B6</f>
        <v>11040002</v>
      </c>
    </row>
    <row r="6" spans="1:60" ht="18.75" customHeight="1">
      <c r="A6" s="211">
        <v>45792</v>
      </c>
      <c r="B6" s="214">
        <v>1500002</v>
      </c>
      <c r="C6" s="212" t="s">
        <v>8</v>
      </c>
      <c r="D6" s="217" t="s">
        <v>223</v>
      </c>
      <c r="E6" s="212"/>
      <c r="F6" s="214">
        <v>0</v>
      </c>
      <c r="G6" s="212" t="s">
        <v>5</v>
      </c>
      <c r="H6" s="212" t="s">
        <v>222</v>
      </c>
      <c r="I6" s="212"/>
      <c r="J6" s="214">
        <v>8600000</v>
      </c>
      <c r="K6" s="212" t="s">
        <v>8</v>
      </c>
      <c r="L6" s="212" t="s">
        <v>222</v>
      </c>
      <c r="M6" s="212" t="s">
        <v>226</v>
      </c>
      <c r="N6" s="214">
        <v>940000</v>
      </c>
      <c r="O6" s="212" t="s">
        <v>8</v>
      </c>
      <c r="P6" s="212" t="s">
        <v>222</v>
      </c>
      <c r="Q6" s="212"/>
      <c r="R6" s="212"/>
      <c r="S6" s="212"/>
      <c r="T6" s="212" t="s">
        <v>222</v>
      </c>
      <c r="U6" s="212"/>
      <c r="V6" s="212"/>
      <c r="W6" s="212"/>
      <c r="X6" s="212" t="s">
        <v>222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M6" s="211">
        <v>45796</v>
      </c>
      <c r="AN6" s="214">
        <f>6470418+8866669</f>
        <v>15337087</v>
      </c>
      <c r="AO6" s="214"/>
      <c r="AP6" s="212"/>
      <c r="AQ6" s="214">
        <f>4393984+6945218.56</f>
        <v>11339202.559999999</v>
      </c>
      <c r="AR6" s="214"/>
      <c r="AS6" s="212"/>
      <c r="AT6" s="214">
        <v>7977012</v>
      </c>
      <c r="AU6" s="214"/>
      <c r="AV6" s="213"/>
      <c r="AW6" s="214">
        <f>AN6+AQ6+AT6</f>
        <v>34653301.560000002</v>
      </c>
      <c r="AZ6" s="211">
        <f>A6</f>
        <v>45792</v>
      </c>
      <c r="BA6" s="214"/>
      <c r="BB6" s="213"/>
      <c r="BC6" s="214"/>
      <c r="BD6" s="212"/>
      <c r="BE6" s="214"/>
      <c r="BG6" s="219" t="e">
        <f>BG4</f>
        <v>#REF!</v>
      </c>
      <c r="BH6" s="219">
        <f>BH5</f>
        <v>11040002</v>
      </c>
    </row>
    <row r="7" spans="1:60" ht="18.75" customHeight="1">
      <c r="A7" s="211">
        <v>45793</v>
      </c>
      <c r="B7" s="214">
        <v>1000000</v>
      </c>
      <c r="C7" s="212" t="s">
        <v>8</v>
      </c>
      <c r="D7" s="217" t="s">
        <v>222</v>
      </c>
      <c r="E7" s="212"/>
      <c r="F7" s="214">
        <v>1</v>
      </c>
      <c r="G7" s="212" t="s">
        <v>5</v>
      </c>
      <c r="H7" s="212" t="s">
        <v>222</v>
      </c>
      <c r="I7" s="212"/>
      <c r="J7" s="214">
        <v>8600001</v>
      </c>
      <c r="K7" s="212" t="s">
        <v>8</v>
      </c>
      <c r="L7" s="212" t="s">
        <v>222</v>
      </c>
      <c r="M7" s="212" t="s">
        <v>226</v>
      </c>
      <c r="N7" s="214">
        <v>0</v>
      </c>
      <c r="O7" s="212" t="s">
        <v>8</v>
      </c>
      <c r="P7" s="212" t="s">
        <v>222</v>
      </c>
      <c r="Q7" s="212"/>
      <c r="R7" s="212"/>
      <c r="S7" s="212"/>
      <c r="T7" s="212" t="s">
        <v>222</v>
      </c>
      <c r="U7" s="212"/>
      <c r="V7" s="212"/>
      <c r="W7" s="212"/>
      <c r="X7" s="212" t="s">
        <v>222</v>
      </c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M7" s="211"/>
      <c r="AN7" s="214"/>
      <c r="AO7" s="214"/>
      <c r="AP7" s="212"/>
      <c r="AQ7" s="214"/>
      <c r="AR7" s="214"/>
      <c r="AS7" s="212"/>
      <c r="AT7" s="214"/>
      <c r="AU7" s="214"/>
      <c r="AV7" s="213"/>
      <c r="AW7" s="214" t="e">
        <f>AW6-DEALS!#REF!-DEALS!#REF!-DEALS!#REF!-DEALS!#REF!-DEALS!#REF!-DEALS!#REF!-DEALS!#REF!-DEALS!#REF!-DEALS!#REF!-DEALS!#REF!-DEALS!#REF!-DEALS!#REF!</f>
        <v>#REF!</v>
      </c>
      <c r="AZ7" s="211">
        <f>A7</f>
        <v>45793</v>
      </c>
      <c r="BA7" s="214"/>
      <c r="BB7" s="213"/>
      <c r="BC7" s="214"/>
      <c r="BD7" s="212"/>
      <c r="BE7" s="214"/>
      <c r="BG7" s="219" t="e">
        <f>BG6</f>
        <v>#REF!</v>
      </c>
      <c r="BH7" s="219">
        <f>N7+J7+F7+B7</f>
        <v>9600002</v>
      </c>
    </row>
    <row r="8" spans="1:60" ht="18.75" customHeight="1">
      <c r="A8" s="211">
        <v>45796</v>
      </c>
      <c r="B8" s="214">
        <v>400000</v>
      </c>
      <c r="C8" s="212" t="s">
        <v>8</v>
      </c>
      <c r="D8" s="217" t="s">
        <v>222</v>
      </c>
      <c r="E8" s="212"/>
      <c r="F8" s="214">
        <v>2</v>
      </c>
      <c r="G8" s="212" t="s">
        <v>5</v>
      </c>
      <c r="H8" s="212" t="s">
        <v>222</v>
      </c>
      <c r="I8" s="212"/>
      <c r="J8" s="214">
        <v>6800002</v>
      </c>
      <c r="K8" s="212" t="s">
        <v>8</v>
      </c>
      <c r="L8" s="212" t="s">
        <v>222</v>
      </c>
      <c r="M8" s="212" t="s">
        <v>227</v>
      </c>
      <c r="N8" s="214">
        <v>1</v>
      </c>
      <c r="O8" s="212" t="s">
        <v>8</v>
      </c>
      <c r="P8" s="212" t="s">
        <v>222</v>
      </c>
      <c r="Q8" s="212"/>
      <c r="R8" s="212"/>
      <c r="S8" s="212"/>
      <c r="T8" s="212" t="s">
        <v>222</v>
      </c>
      <c r="U8" s="212"/>
      <c r="V8" s="212"/>
      <c r="W8" s="212"/>
      <c r="X8" s="212" t="s">
        <v>222</v>
      </c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M8" s="211"/>
      <c r="AN8" s="214"/>
      <c r="AO8" s="214"/>
      <c r="AP8" s="212"/>
      <c r="AQ8" s="214"/>
      <c r="AR8" s="214"/>
      <c r="AS8" s="212"/>
      <c r="AT8" s="214"/>
      <c r="AU8" s="214"/>
      <c r="AV8" s="213"/>
      <c r="AW8" s="214"/>
      <c r="AZ8" s="211">
        <f t="shared" ref="AZ8:AZ10" si="0">A8</f>
        <v>45796</v>
      </c>
      <c r="BA8" s="214"/>
      <c r="BB8" s="213"/>
      <c r="BC8" s="214"/>
      <c r="BD8" s="212"/>
      <c r="BE8" s="214"/>
      <c r="BG8" s="219" t="e">
        <f>BG7</f>
        <v>#REF!</v>
      </c>
      <c r="BH8" s="219">
        <f>N8+J8+F8</f>
        <v>6800005</v>
      </c>
    </row>
    <row r="9" spans="1:60" ht="18.75" customHeight="1">
      <c r="A9" s="211">
        <v>45797</v>
      </c>
      <c r="B9" s="214">
        <v>0</v>
      </c>
      <c r="C9" s="212" t="s">
        <v>8</v>
      </c>
      <c r="D9" s="217" t="s">
        <v>222</v>
      </c>
      <c r="E9" s="212"/>
      <c r="F9" s="214">
        <v>3</v>
      </c>
      <c r="G9" s="212" t="s">
        <v>5</v>
      </c>
      <c r="H9" s="212" t="s">
        <v>222</v>
      </c>
      <c r="I9" s="212"/>
      <c r="J9" s="214">
        <v>5100003</v>
      </c>
      <c r="K9" s="212" t="s">
        <v>8</v>
      </c>
      <c r="L9" s="212" t="s">
        <v>222</v>
      </c>
      <c r="M9" s="212" t="s">
        <v>228</v>
      </c>
      <c r="N9" s="214">
        <v>2</v>
      </c>
      <c r="O9" s="212" t="s">
        <v>8</v>
      </c>
      <c r="P9" s="212" t="s">
        <v>222</v>
      </c>
      <c r="Q9" s="212"/>
      <c r="R9" s="212"/>
      <c r="S9" s="212"/>
      <c r="T9" s="212" t="s">
        <v>222</v>
      </c>
      <c r="U9" s="212"/>
      <c r="V9" s="212"/>
      <c r="W9" s="212"/>
      <c r="X9" s="212" t="s">
        <v>222</v>
      </c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M9" s="211"/>
      <c r="AN9" s="214"/>
      <c r="AO9" s="214"/>
      <c r="AP9" s="212"/>
      <c r="AQ9" s="214"/>
      <c r="AR9" s="214"/>
      <c r="AS9" s="212"/>
      <c r="AT9" s="214"/>
      <c r="AU9" s="214"/>
      <c r="AV9" s="213"/>
      <c r="AW9" s="214"/>
      <c r="AZ9" s="211">
        <f t="shared" si="0"/>
        <v>45797</v>
      </c>
      <c r="BA9" s="214"/>
      <c r="BB9" s="213"/>
      <c r="BC9" s="214"/>
      <c r="BD9" s="212"/>
      <c r="BE9" s="214"/>
    </row>
    <row r="10" spans="1:60" ht="18.75" customHeight="1">
      <c r="A10" s="211">
        <v>45798</v>
      </c>
      <c r="B10" s="214">
        <v>8500000</v>
      </c>
      <c r="C10" s="212" t="s">
        <v>8</v>
      </c>
      <c r="D10" s="217" t="s">
        <v>222</v>
      </c>
      <c r="E10" s="212"/>
      <c r="F10" s="214">
        <v>6700000</v>
      </c>
      <c r="G10" s="212" t="s">
        <v>5</v>
      </c>
      <c r="H10" s="212" t="s">
        <v>222</v>
      </c>
      <c r="I10" s="212"/>
      <c r="J10" s="214">
        <v>3700000</v>
      </c>
      <c r="K10" s="212" t="s">
        <v>8</v>
      </c>
      <c r="L10" s="212" t="s">
        <v>222</v>
      </c>
      <c r="M10" s="212" t="s">
        <v>229</v>
      </c>
      <c r="N10" s="214">
        <v>3</v>
      </c>
      <c r="O10" s="212" t="s">
        <v>8</v>
      </c>
      <c r="P10" s="212" t="s">
        <v>222</v>
      </c>
      <c r="Q10" s="212"/>
      <c r="R10" s="212"/>
      <c r="S10" s="212"/>
      <c r="T10" s="212" t="s">
        <v>222</v>
      </c>
      <c r="U10" s="212"/>
      <c r="V10" s="212"/>
      <c r="W10" s="212"/>
      <c r="X10" s="212" t="s">
        <v>222</v>
      </c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Z10" s="211">
        <f t="shared" si="0"/>
        <v>45798</v>
      </c>
      <c r="BA10" s="214"/>
      <c r="BB10" s="213"/>
      <c r="BC10" s="214"/>
      <c r="BD10" s="212"/>
      <c r="BE10" s="214"/>
      <c r="BG10" s="219" t="e">
        <f>AW7</f>
        <v>#REF!</v>
      </c>
      <c r="BH10" s="219">
        <f>J10+F10+B10</f>
        <v>18900000</v>
      </c>
    </row>
    <row r="11" spans="1:60" ht="18.75" customHeight="1">
      <c r="A11" s="211">
        <v>45799</v>
      </c>
      <c r="B11" s="214">
        <v>5100001</v>
      </c>
      <c r="C11" s="212" t="s">
        <v>8</v>
      </c>
      <c r="D11" s="217" t="s">
        <v>222</v>
      </c>
      <c r="E11" s="212"/>
      <c r="F11" s="214">
        <v>5200000</v>
      </c>
      <c r="G11" s="212" t="s">
        <v>5</v>
      </c>
      <c r="H11" s="212" t="s">
        <v>222</v>
      </c>
      <c r="I11" s="212"/>
      <c r="J11" s="214">
        <v>1600001</v>
      </c>
      <c r="K11" s="212" t="s">
        <v>8</v>
      </c>
      <c r="L11" s="212" t="s">
        <v>222</v>
      </c>
      <c r="M11" s="212"/>
      <c r="N11" s="214">
        <v>4</v>
      </c>
      <c r="O11" s="212" t="s">
        <v>8</v>
      </c>
      <c r="P11" s="212" t="s">
        <v>222</v>
      </c>
      <c r="Q11" s="212"/>
      <c r="R11" s="212"/>
      <c r="S11" s="212"/>
      <c r="T11" s="212" t="s">
        <v>222</v>
      </c>
      <c r="U11" s="212"/>
      <c r="V11" s="212"/>
      <c r="W11" s="212"/>
      <c r="X11" s="212" t="s">
        <v>222</v>
      </c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BG11" s="219" t="e">
        <f>BG10</f>
        <v>#REF!</v>
      </c>
      <c r="BH11" s="219">
        <f>J11+F11+B11</f>
        <v>11900002</v>
      </c>
    </row>
    <row r="12" spans="1:60" ht="18.75" customHeight="1">
      <c r="A12" s="211">
        <v>45800</v>
      </c>
      <c r="B12" s="214">
        <v>5800002</v>
      </c>
      <c r="C12" s="212" t="s">
        <v>8</v>
      </c>
      <c r="D12" s="217" t="s">
        <v>222</v>
      </c>
      <c r="E12" s="212"/>
      <c r="F12" s="214">
        <v>4700001</v>
      </c>
      <c r="G12" s="212" t="s">
        <v>5</v>
      </c>
      <c r="H12" s="212" t="s">
        <v>222</v>
      </c>
      <c r="I12" s="212"/>
      <c r="J12" s="214">
        <v>0</v>
      </c>
      <c r="K12" s="212" t="s">
        <v>8</v>
      </c>
      <c r="L12" s="212" t="s">
        <v>222</v>
      </c>
      <c r="M12" s="212"/>
      <c r="N12" s="214">
        <v>5</v>
      </c>
      <c r="O12" s="212" t="s">
        <v>8</v>
      </c>
      <c r="P12" s="212" t="s">
        <v>222</v>
      </c>
      <c r="Q12" s="212"/>
      <c r="R12" s="212"/>
      <c r="S12" s="212"/>
      <c r="T12" s="212" t="s">
        <v>222</v>
      </c>
      <c r="U12" s="212"/>
      <c r="V12" s="212"/>
      <c r="W12" s="212"/>
      <c r="X12" s="212" t="s">
        <v>222</v>
      </c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BG12" s="219" t="e">
        <f>BG11</f>
        <v>#REF!</v>
      </c>
      <c r="BH12" s="219">
        <f>J12+F12+B12</f>
        <v>10500003</v>
      </c>
    </row>
    <row r="13" spans="1:60" ht="18.75" customHeight="1">
      <c r="A13" s="211">
        <v>45803</v>
      </c>
      <c r="B13" s="214">
        <v>9000003</v>
      </c>
      <c r="C13" s="212" t="s">
        <v>225</v>
      </c>
      <c r="D13" s="217" t="s">
        <v>222</v>
      </c>
      <c r="E13" s="212"/>
      <c r="F13" s="214">
        <v>3400002</v>
      </c>
      <c r="G13" s="212" t="s">
        <v>5</v>
      </c>
      <c r="H13" s="212" t="s">
        <v>222</v>
      </c>
      <c r="I13" s="212"/>
      <c r="J13" s="214">
        <v>3600000</v>
      </c>
      <c r="K13" s="212" t="s">
        <v>5</v>
      </c>
      <c r="L13" s="212" t="s">
        <v>222</v>
      </c>
      <c r="M13" s="212" t="s">
        <v>5</v>
      </c>
      <c r="N13" s="214">
        <v>6</v>
      </c>
      <c r="O13" s="212" t="s">
        <v>8</v>
      </c>
      <c r="P13" s="212" t="s">
        <v>222</v>
      </c>
      <c r="Q13" s="212"/>
      <c r="R13" s="212"/>
      <c r="S13" s="212"/>
      <c r="T13" s="212" t="s">
        <v>222</v>
      </c>
      <c r="U13" s="212"/>
      <c r="V13" s="212"/>
      <c r="W13" s="212"/>
      <c r="X13" s="212" t="s">
        <v>222</v>
      </c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</row>
    <row r="14" spans="1:60" ht="18.75" customHeight="1">
      <c r="A14" s="211">
        <v>45804</v>
      </c>
      <c r="B14" s="214">
        <v>8400004</v>
      </c>
      <c r="C14" s="212" t="s">
        <v>225</v>
      </c>
      <c r="D14" s="217" t="s">
        <v>222</v>
      </c>
      <c r="E14" s="212"/>
      <c r="F14" s="214">
        <v>3400003</v>
      </c>
      <c r="G14" s="212" t="s">
        <v>5</v>
      </c>
      <c r="H14" s="212" t="s">
        <v>222</v>
      </c>
      <c r="I14" s="212"/>
      <c r="J14" s="214">
        <v>1700001</v>
      </c>
      <c r="K14" s="212" t="s">
        <v>5</v>
      </c>
      <c r="L14" s="212" t="s">
        <v>222</v>
      </c>
      <c r="M14" s="212" t="s">
        <v>5</v>
      </c>
      <c r="N14" s="214">
        <v>7</v>
      </c>
      <c r="O14" s="212" t="s">
        <v>8</v>
      </c>
      <c r="P14" s="212" t="s">
        <v>222</v>
      </c>
      <c r="Q14" s="212"/>
      <c r="R14" s="212"/>
      <c r="S14" s="212"/>
      <c r="T14" s="212" t="s">
        <v>222</v>
      </c>
      <c r="U14" s="212"/>
      <c r="V14" s="212"/>
      <c r="W14" s="212"/>
      <c r="X14" s="212" t="s">
        <v>222</v>
      </c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</row>
    <row r="15" spans="1:60" ht="18.75" customHeight="1">
      <c r="A15" s="211">
        <v>45805</v>
      </c>
      <c r="B15" s="214">
        <v>5000005</v>
      </c>
      <c r="C15" s="212" t="s">
        <v>225</v>
      </c>
      <c r="D15" s="217" t="s">
        <v>222</v>
      </c>
      <c r="E15" s="212"/>
      <c r="F15" s="214">
        <v>4200004</v>
      </c>
      <c r="G15" s="212" t="s">
        <v>5</v>
      </c>
      <c r="H15" s="212" t="s">
        <v>222</v>
      </c>
      <c r="I15" s="212"/>
      <c r="J15" s="214">
        <v>500002</v>
      </c>
      <c r="K15" s="212" t="s">
        <v>5</v>
      </c>
      <c r="L15" s="212" t="s">
        <v>222</v>
      </c>
      <c r="M15" s="212"/>
      <c r="N15" s="214">
        <v>8</v>
      </c>
      <c r="O15" s="212" t="s">
        <v>8</v>
      </c>
      <c r="P15" s="212" t="s">
        <v>222</v>
      </c>
      <c r="Q15" s="212"/>
      <c r="R15" s="212"/>
      <c r="S15" s="212"/>
      <c r="T15" s="212" t="s">
        <v>222</v>
      </c>
      <c r="U15" s="212"/>
      <c r="V15" s="212"/>
      <c r="W15" s="212"/>
      <c r="X15" s="212" t="s">
        <v>222</v>
      </c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</row>
    <row r="16" spans="1:60" ht="18.75" customHeight="1">
      <c r="A16" s="211">
        <v>45806</v>
      </c>
      <c r="B16" s="214">
        <v>2500006</v>
      </c>
      <c r="C16" s="212" t="s">
        <v>225</v>
      </c>
      <c r="D16" s="217" t="s">
        <v>222</v>
      </c>
      <c r="E16" s="212"/>
      <c r="F16" s="214">
        <v>3000005</v>
      </c>
      <c r="G16" s="212" t="s">
        <v>5</v>
      </c>
      <c r="H16" s="212" t="s">
        <v>222</v>
      </c>
      <c r="I16" s="212"/>
      <c r="J16" s="214">
        <v>250003</v>
      </c>
      <c r="K16" s="212" t="s">
        <v>5</v>
      </c>
      <c r="L16" s="212" t="s">
        <v>222</v>
      </c>
      <c r="M16" s="212"/>
      <c r="N16" s="214">
        <v>9</v>
      </c>
      <c r="O16" s="212" t="s">
        <v>8</v>
      </c>
      <c r="P16" s="212" t="s">
        <v>222</v>
      </c>
      <c r="Q16" s="212"/>
      <c r="R16" s="212"/>
      <c r="S16" s="212"/>
      <c r="T16" s="212" t="s">
        <v>222</v>
      </c>
      <c r="U16" s="212"/>
      <c r="V16" s="212"/>
      <c r="W16" s="212"/>
      <c r="X16" s="212" t="s">
        <v>222</v>
      </c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</row>
    <row r="17" spans="1:37" ht="18.75" customHeight="1">
      <c r="A17" s="211">
        <v>45807</v>
      </c>
      <c r="B17" s="214">
        <v>800007</v>
      </c>
      <c r="C17" s="212" t="s">
        <v>225</v>
      </c>
      <c r="D17" s="217" t="s">
        <v>222</v>
      </c>
      <c r="E17" s="212"/>
      <c r="F17" s="214">
        <v>3000006</v>
      </c>
      <c r="G17" s="212" t="s">
        <v>5</v>
      </c>
      <c r="H17" s="212" t="s">
        <v>222</v>
      </c>
      <c r="I17" s="212"/>
      <c r="J17" s="214">
        <v>0</v>
      </c>
      <c r="K17" s="212" t="s">
        <v>5</v>
      </c>
      <c r="L17" s="212" t="s">
        <v>222</v>
      </c>
      <c r="M17" s="212"/>
      <c r="N17" s="214">
        <v>10</v>
      </c>
      <c r="O17" s="212" t="s">
        <v>8</v>
      </c>
      <c r="P17" s="212" t="s">
        <v>222</v>
      </c>
      <c r="Q17" s="212"/>
      <c r="R17" s="212"/>
      <c r="S17" s="212"/>
      <c r="T17" s="212" t="s">
        <v>222</v>
      </c>
      <c r="U17" s="212"/>
      <c r="V17" s="212"/>
      <c r="W17" s="212"/>
      <c r="X17" s="212" t="s">
        <v>222</v>
      </c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</row>
    <row r="18" spans="1:37" ht="18.75" customHeight="1">
      <c r="A18" s="211">
        <v>45808</v>
      </c>
      <c r="B18" s="214"/>
      <c r="C18" s="212" t="s">
        <v>225</v>
      </c>
      <c r="D18" s="217" t="s">
        <v>222</v>
      </c>
      <c r="E18" s="212"/>
      <c r="F18" s="214"/>
      <c r="G18" s="212" t="s">
        <v>5</v>
      </c>
      <c r="H18" s="212" t="s">
        <v>222</v>
      </c>
      <c r="I18" s="212"/>
      <c r="J18" s="214"/>
      <c r="K18" s="212" t="s">
        <v>5</v>
      </c>
      <c r="L18" s="212" t="s">
        <v>222</v>
      </c>
      <c r="M18" s="212"/>
      <c r="N18" s="214"/>
      <c r="O18" s="212" t="s">
        <v>8</v>
      </c>
      <c r="P18" s="212" t="s">
        <v>222</v>
      </c>
      <c r="Q18" s="212"/>
      <c r="R18" s="212"/>
      <c r="S18" s="212"/>
      <c r="T18" s="212" t="s">
        <v>222</v>
      </c>
      <c r="U18" s="212"/>
      <c r="V18" s="212"/>
      <c r="W18" s="212"/>
      <c r="X18" s="212" t="s">
        <v>222</v>
      </c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</row>
    <row r="19" spans="1:37" ht="18.75" customHeight="1">
      <c r="A19" s="211">
        <v>45809</v>
      </c>
      <c r="B19" s="214">
        <v>11000009</v>
      </c>
      <c r="C19" s="212" t="s">
        <v>225</v>
      </c>
      <c r="D19" s="217" t="s">
        <v>222</v>
      </c>
      <c r="E19" s="212"/>
      <c r="F19" s="214">
        <v>3000008</v>
      </c>
      <c r="G19" s="212" t="s">
        <v>5</v>
      </c>
      <c r="H19" s="212" t="s">
        <v>222</v>
      </c>
      <c r="I19" s="212"/>
      <c r="J19" s="214">
        <v>2</v>
      </c>
      <c r="K19" s="212" t="s">
        <v>5</v>
      </c>
      <c r="L19" s="212" t="s">
        <v>222</v>
      </c>
      <c r="M19" s="212"/>
      <c r="N19" s="214">
        <v>12</v>
      </c>
      <c r="O19" s="212" t="s">
        <v>8</v>
      </c>
      <c r="P19" s="212" t="s">
        <v>222</v>
      </c>
      <c r="Q19" s="212"/>
      <c r="R19" s="212"/>
      <c r="S19" s="212"/>
      <c r="T19" s="212" t="s">
        <v>222</v>
      </c>
      <c r="U19" s="212"/>
      <c r="V19" s="212"/>
      <c r="W19" s="212"/>
      <c r="X19" s="212" t="s">
        <v>222</v>
      </c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</row>
    <row r="20" spans="1:37" ht="18.75" customHeight="1">
      <c r="A20" s="211">
        <v>45810</v>
      </c>
      <c r="B20" s="214">
        <v>11000010</v>
      </c>
      <c r="C20" s="212" t="s">
        <v>225</v>
      </c>
      <c r="D20" s="217" t="s">
        <v>222</v>
      </c>
      <c r="E20" s="212"/>
      <c r="F20" s="214">
        <v>4500009</v>
      </c>
      <c r="G20" s="212" t="s">
        <v>5</v>
      </c>
      <c r="H20" s="212" t="s">
        <v>222</v>
      </c>
      <c r="I20" s="212"/>
      <c r="J20" s="214">
        <v>3</v>
      </c>
      <c r="K20" s="212" t="s">
        <v>5</v>
      </c>
      <c r="L20" s="212" t="s">
        <v>222</v>
      </c>
      <c r="M20" s="212"/>
      <c r="N20" s="214">
        <v>13</v>
      </c>
      <c r="O20" s="212" t="s">
        <v>8</v>
      </c>
      <c r="P20" s="212" t="s">
        <v>222</v>
      </c>
      <c r="Q20" s="212"/>
      <c r="R20" s="212"/>
      <c r="S20" s="212"/>
      <c r="T20" s="212" t="s">
        <v>222</v>
      </c>
      <c r="U20" s="212"/>
      <c r="V20" s="212"/>
      <c r="W20" s="212"/>
      <c r="X20" s="212" t="s">
        <v>222</v>
      </c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</row>
    <row r="21" spans="1:37" ht="18.75" customHeight="1">
      <c r="A21" s="211">
        <v>45811</v>
      </c>
      <c r="B21" s="214">
        <v>11200011</v>
      </c>
      <c r="C21" s="212" t="s">
        <v>225</v>
      </c>
      <c r="D21" s="217" t="s">
        <v>222</v>
      </c>
      <c r="E21" s="212"/>
      <c r="F21" s="214">
        <v>1600010</v>
      </c>
      <c r="G21" s="212" t="s">
        <v>5</v>
      </c>
      <c r="H21" s="212" t="s">
        <v>222</v>
      </c>
      <c r="I21" s="212"/>
      <c r="J21" s="214">
        <v>4</v>
      </c>
      <c r="K21" s="212" t="s">
        <v>5</v>
      </c>
      <c r="L21" s="212" t="s">
        <v>222</v>
      </c>
      <c r="M21" s="212"/>
      <c r="N21" s="214">
        <v>14</v>
      </c>
      <c r="O21" s="212" t="s">
        <v>8</v>
      </c>
      <c r="P21" s="212" t="s">
        <v>222</v>
      </c>
      <c r="Q21" s="212"/>
      <c r="R21" s="212"/>
      <c r="S21" s="212"/>
      <c r="T21" s="212" t="s">
        <v>222</v>
      </c>
      <c r="U21" s="212"/>
      <c r="V21" s="212"/>
      <c r="W21" s="212"/>
      <c r="X21" s="212" t="s">
        <v>222</v>
      </c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</row>
    <row r="22" spans="1:37" ht="18.75" customHeight="1">
      <c r="A22" s="211">
        <v>45817</v>
      </c>
      <c r="B22" s="214">
        <v>10500012</v>
      </c>
      <c r="C22" s="212" t="s">
        <v>225</v>
      </c>
      <c r="D22" s="217" t="s">
        <v>222</v>
      </c>
      <c r="E22" s="212"/>
      <c r="F22" s="214">
        <v>0</v>
      </c>
      <c r="G22" s="212" t="s">
        <v>5</v>
      </c>
      <c r="H22" s="212" t="s">
        <v>222</v>
      </c>
      <c r="I22" s="212"/>
      <c r="J22" s="214">
        <v>5</v>
      </c>
      <c r="K22" s="212" t="s">
        <v>5</v>
      </c>
      <c r="L22" s="212" t="s">
        <v>222</v>
      </c>
      <c r="M22" s="212"/>
      <c r="N22" s="214">
        <v>15</v>
      </c>
      <c r="O22" s="212" t="s">
        <v>8</v>
      </c>
      <c r="P22" s="212" t="s">
        <v>222</v>
      </c>
      <c r="Q22" s="212"/>
      <c r="R22" s="212"/>
      <c r="S22" s="212"/>
      <c r="T22" s="212" t="s">
        <v>222</v>
      </c>
      <c r="U22" s="212"/>
      <c r="V22" s="212"/>
      <c r="W22" s="212"/>
      <c r="X22" s="212" t="s">
        <v>222</v>
      </c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</row>
    <row r="23" spans="1:37" ht="18.75" customHeight="1">
      <c r="A23" s="211">
        <v>45818</v>
      </c>
      <c r="B23" s="214">
        <v>6000013</v>
      </c>
      <c r="C23" s="212" t="s">
        <v>225</v>
      </c>
      <c r="D23" s="217" t="s">
        <v>222</v>
      </c>
      <c r="E23" s="212"/>
      <c r="F23" s="214">
        <v>1</v>
      </c>
      <c r="G23" s="212" t="s">
        <v>5</v>
      </c>
      <c r="H23" s="212" t="s">
        <v>222</v>
      </c>
      <c r="I23" s="212"/>
      <c r="J23" s="214">
        <v>6</v>
      </c>
      <c r="K23" s="212" t="s">
        <v>5</v>
      </c>
      <c r="L23" s="212" t="s">
        <v>222</v>
      </c>
      <c r="M23" s="212"/>
      <c r="N23" s="214">
        <v>16</v>
      </c>
      <c r="O23" s="212" t="s">
        <v>8</v>
      </c>
      <c r="P23" s="212" t="s">
        <v>222</v>
      </c>
      <c r="Q23" s="212"/>
      <c r="R23" s="212"/>
      <c r="S23" s="212"/>
      <c r="T23" s="212" t="s">
        <v>222</v>
      </c>
      <c r="U23" s="212"/>
      <c r="V23" s="212"/>
      <c r="W23" s="212"/>
      <c r="X23" s="212" t="s">
        <v>222</v>
      </c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</row>
    <row r="24" spans="1:37" ht="18.75" customHeight="1">
      <c r="A24" s="211">
        <v>45819</v>
      </c>
      <c r="B24" s="214">
        <v>1000014</v>
      </c>
      <c r="C24" s="212" t="s">
        <v>225</v>
      </c>
      <c r="D24" s="217" t="s">
        <v>222</v>
      </c>
      <c r="E24" s="212"/>
      <c r="F24" s="214">
        <v>2</v>
      </c>
      <c r="G24" s="212" t="s">
        <v>5</v>
      </c>
      <c r="H24" s="212" t="s">
        <v>222</v>
      </c>
      <c r="I24" s="212"/>
      <c r="J24" s="214">
        <v>7</v>
      </c>
      <c r="K24" s="212" t="s">
        <v>5</v>
      </c>
      <c r="L24" s="212" t="s">
        <v>222</v>
      </c>
      <c r="M24" s="212"/>
      <c r="N24" s="214">
        <v>17</v>
      </c>
      <c r="O24" s="212" t="s">
        <v>8</v>
      </c>
      <c r="P24" s="212" t="s">
        <v>222</v>
      </c>
      <c r="Q24" s="212" t="s">
        <v>230</v>
      </c>
      <c r="R24" s="212"/>
      <c r="S24" s="212"/>
      <c r="T24" s="212" t="s">
        <v>222</v>
      </c>
      <c r="U24" s="212"/>
      <c r="V24" s="212"/>
      <c r="W24" s="212"/>
      <c r="X24" s="212" t="s">
        <v>222</v>
      </c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</row>
    <row r="25" spans="1:37" ht="18.75" customHeight="1">
      <c r="A25" s="211">
        <v>45820</v>
      </c>
      <c r="B25" s="214">
        <v>14</v>
      </c>
      <c r="C25" s="212" t="s">
        <v>225</v>
      </c>
      <c r="D25" s="217" t="s">
        <v>222</v>
      </c>
      <c r="E25" s="212"/>
      <c r="F25" s="214">
        <v>3</v>
      </c>
      <c r="G25" s="212" t="s">
        <v>5</v>
      </c>
      <c r="H25" s="212" t="s">
        <v>222</v>
      </c>
      <c r="I25" s="212"/>
      <c r="J25" s="214">
        <v>8</v>
      </c>
      <c r="K25" s="212" t="s">
        <v>5</v>
      </c>
      <c r="L25" s="212" t="s">
        <v>222</v>
      </c>
      <c r="M25" s="212"/>
      <c r="N25" s="214">
        <v>18</v>
      </c>
      <c r="O25" s="212" t="s">
        <v>8</v>
      </c>
      <c r="P25" s="212" t="s">
        <v>222</v>
      </c>
      <c r="Q25" s="212" t="s">
        <v>230</v>
      </c>
      <c r="R25" s="212"/>
      <c r="S25" s="212"/>
      <c r="T25" s="212" t="s">
        <v>222</v>
      </c>
      <c r="U25" s="212"/>
      <c r="V25" s="212"/>
      <c r="W25" s="212"/>
      <c r="X25" s="212" t="s">
        <v>222</v>
      </c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</row>
    <row r="26" spans="1:37" ht="18.75" customHeight="1">
      <c r="A26" s="211">
        <v>45821</v>
      </c>
      <c r="B26" s="214">
        <v>15</v>
      </c>
      <c r="C26" s="212" t="s">
        <v>225</v>
      </c>
      <c r="D26" s="217" t="s">
        <v>222</v>
      </c>
      <c r="E26" s="212"/>
      <c r="F26" s="214">
        <v>4</v>
      </c>
      <c r="G26" s="212" t="s">
        <v>5</v>
      </c>
      <c r="H26" s="212" t="s">
        <v>222</v>
      </c>
      <c r="I26" s="212"/>
      <c r="J26" s="214">
        <v>9</v>
      </c>
      <c r="K26" s="212" t="s">
        <v>5</v>
      </c>
      <c r="L26" s="212" t="s">
        <v>222</v>
      </c>
      <c r="M26" s="212"/>
      <c r="N26" s="214">
        <v>19</v>
      </c>
      <c r="O26" s="212" t="s">
        <v>8</v>
      </c>
      <c r="P26" s="212" t="s">
        <v>222</v>
      </c>
      <c r="Q26" s="212" t="s">
        <v>231</v>
      </c>
      <c r="R26" s="212"/>
      <c r="S26" s="212"/>
      <c r="T26" s="212" t="s">
        <v>222</v>
      </c>
      <c r="U26" s="212"/>
      <c r="V26" s="212"/>
      <c r="W26" s="212"/>
      <c r="X26" s="212" t="s">
        <v>222</v>
      </c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</row>
    <row r="27" spans="1:37" ht="18.75" customHeight="1">
      <c r="A27" s="211">
        <v>45824</v>
      </c>
      <c r="B27" s="214">
        <v>16</v>
      </c>
      <c r="C27" s="212" t="s">
        <v>225</v>
      </c>
      <c r="D27" s="217" t="s">
        <v>222</v>
      </c>
      <c r="E27" s="212"/>
      <c r="F27" s="214">
        <v>500000</v>
      </c>
      <c r="G27" s="212" t="s">
        <v>5</v>
      </c>
      <c r="H27" s="212" t="s">
        <v>222</v>
      </c>
      <c r="I27" s="212"/>
      <c r="J27" s="214">
        <v>10</v>
      </c>
      <c r="K27" s="212" t="s">
        <v>5</v>
      </c>
      <c r="L27" s="212" t="s">
        <v>222</v>
      </c>
      <c r="M27" s="212"/>
      <c r="N27" s="214">
        <v>20</v>
      </c>
      <c r="O27" s="212" t="s">
        <v>8</v>
      </c>
      <c r="P27" s="212" t="s">
        <v>222</v>
      </c>
      <c r="Q27" s="212" t="s">
        <v>231</v>
      </c>
      <c r="R27" s="212"/>
      <c r="S27" s="212"/>
      <c r="T27" s="212" t="s">
        <v>222</v>
      </c>
      <c r="U27" s="212"/>
      <c r="V27" s="212"/>
      <c r="W27" s="212"/>
      <c r="X27" s="212" t="s">
        <v>222</v>
      </c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</row>
    <row r="28" spans="1:37" ht="18.75" customHeight="1">
      <c r="A28" s="211">
        <v>45825</v>
      </c>
      <c r="B28" s="214">
        <v>17</v>
      </c>
      <c r="C28" s="212" t="s">
        <v>225</v>
      </c>
      <c r="D28" s="217" t="s">
        <v>222</v>
      </c>
      <c r="E28" s="212"/>
      <c r="F28" s="214">
        <v>1</v>
      </c>
      <c r="G28" s="212" t="s">
        <v>5</v>
      </c>
      <c r="H28" s="212" t="s">
        <v>222</v>
      </c>
      <c r="I28" s="212"/>
      <c r="J28" s="214">
        <v>11</v>
      </c>
      <c r="K28" s="212" t="s">
        <v>5</v>
      </c>
      <c r="L28" s="212" t="s">
        <v>222</v>
      </c>
      <c r="M28" s="212"/>
      <c r="N28" s="214">
        <v>21</v>
      </c>
      <c r="O28" s="212" t="s">
        <v>8</v>
      </c>
      <c r="P28" s="212" t="s">
        <v>222</v>
      </c>
      <c r="Q28" s="212" t="s">
        <v>231</v>
      </c>
      <c r="R28" s="212"/>
      <c r="S28" s="212"/>
      <c r="T28" s="212" t="s">
        <v>222</v>
      </c>
      <c r="U28" s="212"/>
      <c r="V28" s="212"/>
      <c r="W28" s="212"/>
      <c r="X28" s="212" t="s">
        <v>222</v>
      </c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</row>
    <row r="29" spans="1:37" ht="18.75" customHeight="1">
      <c r="A29" s="211">
        <v>45826</v>
      </c>
      <c r="B29" s="214">
        <v>100000</v>
      </c>
      <c r="C29" s="212" t="s">
        <v>8</v>
      </c>
      <c r="D29" s="217" t="s">
        <v>222</v>
      </c>
      <c r="E29" s="212"/>
      <c r="F29" s="214">
        <v>2</v>
      </c>
      <c r="G29" s="212" t="s">
        <v>5</v>
      </c>
      <c r="H29" s="212" t="s">
        <v>222</v>
      </c>
      <c r="I29" s="212"/>
      <c r="J29" s="214">
        <v>12</v>
      </c>
      <c r="K29" s="212" t="s">
        <v>5</v>
      </c>
      <c r="L29" s="212" t="s">
        <v>222</v>
      </c>
      <c r="M29" s="212"/>
      <c r="N29" s="214">
        <v>22</v>
      </c>
      <c r="O29" s="212" t="s">
        <v>8</v>
      </c>
      <c r="P29" s="212" t="s">
        <v>222</v>
      </c>
      <c r="Q29" s="212"/>
      <c r="R29" s="212"/>
      <c r="S29" s="212"/>
      <c r="T29" s="212" t="s">
        <v>222</v>
      </c>
      <c r="U29" s="212"/>
      <c r="V29" s="212"/>
      <c r="W29" s="212"/>
      <c r="X29" s="212" t="s">
        <v>222</v>
      </c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</row>
    <row r="30" spans="1:37" ht="18.75" customHeight="1">
      <c r="A30" s="211">
        <v>45827</v>
      </c>
      <c r="B30" s="214">
        <v>100000</v>
      </c>
      <c r="C30" s="212" t="s">
        <v>8</v>
      </c>
      <c r="D30" s="217" t="s">
        <v>222</v>
      </c>
      <c r="E30" s="212"/>
      <c r="F30" s="214">
        <v>3</v>
      </c>
      <c r="G30" s="212" t="s">
        <v>5</v>
      </c>
      <c r="H30" s="212" t="s">
        <v>222</v>
      </c>
      <c r="I30" s="212"/>
      <c r="J30" s="214">
        <v>13</v>
      </c>
      <c r="K30" s="212" t="s">
        <v>5</v>
      </c>
      <c r="L30" s="212" t="s">
        <v>222</v>
      </c>
      <c r="M30" s="212"/>
      <c r="N30" s="214">
        <v>23</v>
      </c>
      <c r="O30" s="212" t="s">
        <v>8</v>
      </c>
      <c r="P30" s="212" t="s">
        <v>222</v>
      </c>
      <c r="Q30" s="212"/>
      <c r="R30" s="212"/>
      <c r="S30" s="212"/>
      <c r="T30" s="212" t="s">
        <v>222</v>
      </c>
      <c r="U30" s="212"/>
      <c r="V30" s="212"/>
      <c r="W30" s="212"/>
      <c r="X30" s="212" t="s">
        <v>222</v>
      </c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</row>
    <row r="31" spans="1:37" ht="18.75" customHeight="1">
      <c r="A31" s="211">
        <v>45828</v>
      </c>
      <c r="B31" s="214">
        <v>0</v>
      </c>
      <c r="C31" s="212" t="s">
        <v>8</v>
      </c>
      <c r="D31" s="217" t="s">
        <v>222</v>
      </c>
      <c r="E31" s="212"/>
      <c r="F31" s="214">
        <v>4</v>
      </c>
      <c r="G31" s="212" t="s">
        <v>5</v>
      </c>
      <c r="H31" s="212" t="s">
        <v>222</v>
      </c>
      <c r="I31" s="212"/>
      <c r="J31" s="214">
        <v>14</v>
      </c>
      <c r="K31" s="212" t="s">
        <v>5</v>
      </c>
      <c r="L31" s="212" t="s">
        <v>222</v>
      </c>
      <c r="M31" s="212"/>
      <c r="N31" s="214">
        <v>24</v>
      </c>
      <c r="O31" s="212" t="s">
        <v>8</v>
      </c>
      <c r="P31" s="212" t="s">
        <v>222</v>
      </c>
      <c r="Q31" s="212"/>
      <c r="R31" s="212"/>
      <c r="S31" s="212"/>
      <c r="T31" s="212" t="s">
        <v>222</v>
      </c>
      <c r="U31" s="212"/>
      <c r="V31" s="212"/>
      <c r="W31" s="212"/>
      <c r="X31" s="212" t="s">
        <v>222</v>
      </c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</row>
    <row r="32" spans="1:37" ht="18.75" customHeight="1">
      <c r="A32" s="211">
        <v>45831</v>
      </c>
      <c r="B32" s="214">
        <v>1</v>
      </c>
      <c r="C32" s="212" t="s">
        <v>8</v>
      </c>
      <c r="D32" s="217" t="s">
        <v>222</v>
      </c>
      <c r="E32" s="212"/>
      <c r="F32" s="214">
        <v>5</v>
      </c>
      <c r="G32" s="212" t="s">
        <v>5</v>
      </c>
      <c r="H32" s="212" t="s">
        <v>222</v>
      </c>
      <c r="I32" s="212"/>
      <c r="J32" s="214">
        <v>15</v>
      </c>
      <c r="K32" s="212" t="s">
        <v>5</v>
      </c>
      <c r="L32" s="212" t="s">
        <v>222</v>
      </c>
      <c r="M32" s="212"/>
      <c r="N32" s="214">
        <v>25</v>
      </c>
      <c r="O32" s="212" t="s">
        <v>8</v>
      </c>
      <c r="P32" s="212" t="s">
        <v>222</v>
      </c>
      <c r="Q32" s="212"/>
      <c r="R32" s="212"/>
      <c r="S32" s="212"/>
      <c r="T32" s="212" t="s">
        <v>222</v>
      </c>
      <c r="U32" s="212"/>
      <c r="V32" s="212"/>
      <c r="W32" s="212"/>
      <c r="X32" s="212" t="s">
        <v>222</v>
      </c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</row>
    <row r="33" spans="1:37" ht="18.75" customHeight="1">
      <c r="A33" s="211">
        <v>45832</v>
      </c>
      <c r="B33" s="214">
        <v>2</v>
      </c>
      <c r="C33" s="212" t="s">
        <v>8</v>
      </c>
      <c r="D33" s="217" t="s">
        <v>222</v>
      </c>
      <c r="E33" s="212"/>
      <c r="F33" s="214">
        <v>800000</v>
      </c>
      <c r="G33" s="212" t="s">
        <v>5</v>
      </c>
      <c r="H33" s="212" t="s">
        <v>222</v>
      </c>
      <c r="I33" s="212"/>
      <c r="J33" s="214">
        <v>16</v>
      </c>
      <c r="K33" s="212" t="s">
        <v>5</v>
      </c>
      <c r="L33" s="212" t="s">
        <v>222</v>
      </c>
      <c r="M33" s="212"/>
      <c r="N33" s="214">
        <v>6000000</v>
      </c>
      <c r="O33" s="212" t="s">
        <v>8</v>
      </c>
      <c r="P33" s="212" t="s">
        <v>222</v>
      </c>
      <c r="Q33" s="212"/>
      <c r="R33" s="212"/>
      <c r="S33" s="212"/>
      <c r="T33" s="212" t="s">
        <v>222</v>
      </c>
      <c r="U33" s="212"/>
      <c r="V33" s="212"/>
      <c r="W33" s="212"/>
      <c r="X33" s="212" t="s">
        <v>222</v>
      </c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</row>
    <row r="34" spans="1:37" ht="18.75" customHeight="1">
      <c r="A34" s="211">
        <v>45833</v>
      </c>
      <c r="B34" s="214">
        <v>3</v>
      </c>
      <c r="C34" s="212" t="s">
        <v>8</v>
      </c>
      <c r="D34" s="217" t="s">
        <v>222</v>
      </c>
      <c r="E34" s="212"/>
      <c r="F34" s="214">
        <v>900001</v>
      </c>
      <c r="G34" s="212" t="s">
        <v>5</v>
      </c>
      <c r="H34" s="212" t="s">
        <v>222</v>
      </c>
      <c r="I34" s="212"/>
      <c r="J34" s="214">
        <v>17</v>
      </c>
      <c r="K34" s="212" t="s">
        <v>5</v>
      </c>
      <c r="L34" s="212" t="s">
        <v>222</v>
      </c>
      <c r="M34" s="212"/>
      <c r="N34" s="214">
        <v>4000000</v>
      </c>
      <c r="O34" s="212" t="s">
        <v>8</v>
      </c>
      <c r="P34" s="212" t="s">
        <v>222</v>
      </c>
      <c r="Q34" s="212"/>
      <c r="R34" s="212"/>
      <c r="S34" s="212"/>
      <c r="T34" s="212" t="s">
        <v>222</v>
      </c>
      <c r="U34" s="212"/>
      <c r="V34" s="212"/>
      <c r="W34" s="212"/>
      <c r="X34" s="212" t="s">
        <v>222</v>
      </c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</row>
    <row r="35" spans="1:37" ht="18.75" customHeight="1">
      <c r="A35" s="211">
        <v>45834</v>
      </c>
      <c r="B35" s="214">
        <v>3000000</v>
      </c>
      <c r="C35" s="212" t="s">
        <v>5</v>
      </c>
      <c r="D35" s="217" t="s">
        <v>222</v>
      </c>
      <c r="E35" s="212"/>
      <c r="F35" s="214">
        <v>2500002</v>
      </c>
      <c r="G35" s="212" t="s">
        <v>5</v>
      </c>
      <c r="H35" s="212" t="s">
        <v>222</v>
      </c>
      <c r="I35" s="212" t="s">
        <v>232</v>
      </c>
      <c r="J35" s="214">
        <v>18</v>
      </c>
      <c r="K35" s="212" t="s">
        <v>5</v>
      </c>
      <c r="L35" s="212" t="s">
        <v>222</v>
      </c>
      <c r="M35" s="212"/>
      <c r="N35" s="214">
        <v>3000001</v>
      </c>
      <c r="O35" s="212" t="s">
        <v>8</v>
      </c>
      <c r="P35" s="212" t="s">
        <v>222</v>
      </c>
      <c r="Q35" s="212"/>
      <c r="R35" s="214"/>
      <c r="S35" s="212" t="s">
        <v>8</v>
      </c>
      <c r="T35" s="212" t="s">
        <v>222</v>
      </c>
      <c r="U35" s="212"/>
      <c r="V35" s="212"/>
      <c r="W35" s="212"/>
      <c r="X35" s="212" t="s">
        <v>222</v>
      </c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</row>
    <row r="36" spans="1:37" ht="18.75" customHeight="1">
      <c r="A36" s="211">
        <v>45835</v>
      </c>
      <c r="B36" s="214">
        <v>2000001</v>
      </c>
      <c r="C36" s="212" t="s">
        <v>5</v>
      </c>
      <c r="D36" s="217" t="s">
        <v>222</v>
      </c>
      <c r="E36" s="212"/>
      <c r="F36" s="214">
        <v>2500003</v>
      </c>
      <c r="G36" s="212" t="s">
        <v>5</v>
      </c>
      <c r="H36" s="212" t="s">
        <v>222</v>
      </c>
      <c r="I36" s="212" t="s">
        <v>232</v>
      </c>
      <c r="J36" s="214">
        <v>19</v>
      </c>
      <c r="K36" s="212" t="s">
        <v>5</v>
      </c>
      <c r="L36" s="212" t="s">
        <v>222</v>
      </c>
      <c r="M36" s="212"/>
      <c r="N36" s="214">
        <v>0</v>
      </c>
      <c r="O36" s="212" t="s">
        <v>8</v>
      </c>
      <c r="P36" s="212" t="s">
        <v>222</v>
      </c>
      <c r="Q36" s="212"/>
      <c r="R36" s="214"/>
      <c r="S36" s="212" t="s">
        <v>8</v>
      </c>
      <c r="T36" s="212" t="s">
        <v>222</v>
      </c>
      <c r="U36" s="212"/>
      <c r="V36" s="212"/>
      <c r="W36" s="212"/>
      <c r="X36" s="212" t="s">
        <v>222</v>
      </c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</row>
    <row r="37" spans="1:37" ht="18.75" customHeight="1">
      <c r="A37" s="211">
        <v>45838</v>
      </c>
      <c r="B37" s="214">
        <v>6000000</v>
      </c>
      <c r="C37" s="212" t="s">
        <v>5</v>
      </c>
      <c r="D37" s="217" t="s">
        <v>222</v>
      </c>
      <c r="E37" s="212"/>
      <c r="F37" s="214">
        <v>5000000</v>
      </c>
      <c r="G37" s="212" t="s">
        <v>5</v>
      </c>
      <c r="H37" s="212" t="s">
        <v>222</v>
      </c>
      <c r="I37" s="212"/>
      <c r="J37" s="214">
        <v>20</v>
      </c>
      <c r="K37" s="212" t="s">
        <v>5</v>
      </c>
      <c r="L37" s="212" t="s">
        <v>222</v>
      </c>
      <c r="M37" s="212"/>
      <c r="N37" s="214">
        <v>1</v>
      </c>
      <c r="O37" s="212" t="s">
        <v>8</v>
      </c>
      <c r="P37" s="212" t="s">
        <v>222</v>
      </c>
      <c r="Q37" s="212"/>
      <c r="R37" s="214"/>
      <c r="S37" s="212" t="s">
        <v>8</v>
      </c>
      <c r="T37" s="212" t="s">
        <v>222</v>
      </c>
      <c r="U37" s="212"/>
      <c r="V37" s="212"/>
      <c r="W37" s="212"/>
      <c r="X37" s="212" t="s">
        <v>222</v>
      </c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</row>
    <row r="38" spans="1:37" ht="18.75" customHeight="1">
      <c r="A38" s="211">
        <v>45839</v>
      </c>
      <c r="B38" s="214">
        <v>6000001</v>
      </c>
      <c r="C38" s="212" t="s">
        <v>5</v>
      </c>
      <c r="D38" s="217" t="s">
        <v>222</v>
      </c>
      <c r="E38" s="212"/>
      <c r="F38" s="214">
        <v>5000001</v>
      </c>
      <c r="G38" s="212" t="s">
        <v>5</v>
      </c>
      <c r="H38" s="212" t="s">
        <v>222</v>
      </c>
      <c r="I38" s="212"/>
      <c r="J38" s="214">
        <v>21</v>
      </c>
      <c r="K38" s="212" t="s">
        <v>5</v>
      </c>
      <c r="L38" s="212" t="s">
        <v>222</v>
      </c>
      <c r="M38" s="212"/>
      <c r="N38" s="214">
        <v>2</v>
      </c>
      <c r="O38" s="212" t="s">
        <v>8</v>
      </c>
      <c r="P38" s="212" t="s">
        <v>222</v>
      </c>
      <c r="Q38" s="212"/>
      <c r="R38" s="214"/>
      <c r="S38" s="212" t="s">
        <v>8</v>
      </c>
      <c r="T38" s="212" t="s">
        <v>222</v>
      </c>
      <c r="U38" s="212"/>
      <c r="V38" s="212"/>
      <c r="W38" s="212"/>
      <c r="X38" s="212" t="s">
        <v>222</v>
      </c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</row>
    <row r="39" spans="1:37" ht="18.75" customHeight="1">
      <c r="A39" s="211">
        <v>45840</v>
      </c>
      <c r="B39" s="214">
        <v>4000000</v>
      </c>
      <c r="C39" s="212" t="s">
        <v>5</v>
      </c>
      <c r="D39" s="217" t="s">
        <v>222</v>
      </c>
      <c r="E39" s="212"/>
      <c r="F39" s="214">
        <v>3500002</v>
      </c>
      <c r="G39" s="212" t="s">
        <v>5</v>
      </c>
      <c r="H39" s="212" t="s">
        <v>222</v>
      </c>
      <c r="I39" s="212"/>
      <c r="J39" s="214">
        <v>22</v>
      </c>
      <c r="K39" s="212" t="s">
        <v>5</v>
      </c>
      <c r="L39" s="212" t="s">
        <v>222</v>
      </c>
      <c r="M39" s="212"/>
      <c r="N39" s="214">
        <v>3</v>
      </c>
      <c r="O39" s="212" t="s">
        <v>8</v>
      </c>
      <c r="P39" s="212" t="s">
        <v>222</v>
      </c>
      <c r="Q39" s="212"/>
      <c r="R39" s="214"/>
      <c r="S39" s="212" t="s">
        <v>8</v>
      </c>
      <c r="T39" s="212" t="s">
        <v>222</v>
      </c>
      <c r="U39" s="212"/>
      <c r="V39" s="212"/>
      <c r="W39" s="212"/>
      <c r="X39" s="212" t="s">
        <v>222</v>
      </c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</row>
    <row r="40" spans="1:37" ht="18.75" customHeight="1">
      <c r="A40" s="211">
        <v>45845</v>
      </c>
      <c r="B40" s="214">
        <v>5000001</v>
      </c>
      <c r="C40" s="212" t="s">
        <v>5</v>
      </c>
      <c r="D40" s="217" t="s">
        <v>222</v>
      </c>
      <c r="E40" s="212"/>
      <c r="F40" s="214">
        <v>300000</v>
      </c>
      <c r="G40" s="212" t="s">
        <v>5</v>
      </c>
      <c r="H40" s="212" t="s">
        <v>222</v>
      </c>
      <c r="I40" s="212"/>
      <c r="J40" s="214" t="s">
        <v>233</v>
      </c>
      <c r="K40" s="212" t="s">
        <v>5</v>
      </c>
      <c r="L40" s="212" t="s">
        <v>222</v>
      </c>
      <c r="M40" s="212"/>
      <c r="N40" s="214">
        <v>4</v>
      </c>
      <c r="O40" s="212" t="s">
        <v>8</v>
      </c>
      <c r="P40" s="212" t="s">
        <v>222</v>
      </c>
      <c r="Q40" s="212"/>
      <c r="R40" s="214"/>
      <c r="S40" s="212" t="s">
        <v>8</v>
      </c>
      <c r="T40" s="212" t="s">
        <v>222</v>
      </c>
      <c r="U40" s="212"/>
      <c r="V40" s="212"/>
      <c r="W40" s="212"/>
      <c r="X40" s="212" t="s">
        <v>222</v>
      </c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</row>
    <row r="41" spans="1:37" ht="18.75" customHeight="1">
      <c r="A41" s="211">
        <v>45846</v>
      </c>
      <c r="B41" s="214">
        <v>4000002</v>
      </c>
      <c r="C41" s="212" t="s">
        <v>5</v>
      </c>
      <c r="D41" s="217" t="s">
        <v>222</v>
      </c>
      <c r="E41" s="212"/>
      <c r="F41" s="214" t="s">
        <v>233</v>
      </c>
      <c r="G41" s="212" t="s">
        <v>5</v>
      </c>
      <c r="H41" s="212" t="s">
        <v>222</v>
      </c>
      <c r="I41" s="212"/>
      <c r="J41" s="214" t="s">
        <v>233</v>
      </c>
      <c r="K41" s="212" t="s">
        <v>5</v>
      </c>
      <c r="L41" s="212" t="s">
        <v>222</v>
      </c>
      <c r="M41" s="212"/>
      <c r="N41" s="214">
        <v>5</v>
      </c>
      <c r="O41" s="212" t="s">
        <v>8</v>
      </c>
      <c r="P41" s="212" t="s">
        <v>222</v>
      </c>
      <c r="Q41" s="212"/>
      <c r="R41" s="214"/>
      <c r="S41" s="212" t="s">
        <v>8</v>
      </c>
      <c r="T41" s="212" t="s">
        <v>222</v>
      </c>
      <c r="U41" s="212"/>
      <c r="V41" s="212"/>
      <c r="W41" s="212"/>
      <c r="X41" s="212" t="s">
        <v>222</v>
      </c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</row>
    <row r="42" spans="1:37" ht="18.75" customHeight="1">
      <c r="A42" s="211">
        <v>45847</v>
      </c>
      <c r="B42" s="214">
        <v>1500003</v>
      </c>
      <c r="C42" s="212" t="s">
        <v>5</v>
      </c>
      <c r="D42" s="217" t="s">
        <v>222</v>
      </c>
      <c r="E42" s="212"/>
      <c r="F42" s="214" t="s">
        <v>233</v>
      </c>
      <c r="G42" s="212" t="s">
        <v>5</v>
      </c>
      <c r="H42" s="212" t="s">
        <v>222</v>
      </c>
      <c r="I42" s="212"/>
      <c r="J42" s="214" t="s">
        <v>233</v>
      </c>
      <c r="K42" s="212" t="s">
        <v>5</v>
      </c>
      <c r="L42" s="212" t="s">
        <v>222</v>
      </c>
      <c r="M42" s="212"/>
      <c r="N42" s="214">
        <v>6</v>
      </c>
      <c r="O42" s="212" t="s">
        <v>8</v>
      </c>
      <c r="P42" s="212" t="s">
        <v>222</v>
      </c>
      <c r="Q42" s="212"/>
      <c r="R42" s="214"/>
      <c r="S42" s="212" t="s">
        <v>8</v>
      </c>
      <c r="T42" s="212" t="s">
        <v>222</v>
      </c>
      <c r="U42" s="212"/>
      <c r="V42" s="212"/>
      <c r="W42" s="212"/>
      <c r="X42" s="212" t="s">
        <v>222</v>
      </c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</row>
    <row r="43" spans="1:37" ht="18.75" customHeight="1">
      <c r="A43" s="211">
        <v>45848</v>
      </c>
      <c r="B43" s="214">
        <v>1400003</v>
      </c>
      <c r="C43" s="212" t="s">
        <v>5</v>
      </c>
      <c r="D43" s="217" t="s">
        <v>222</v>
      </c>
      <c r="E43" s="212"/>
      <c r="F43" s="214" t="s">
        <v>233</v>
      </c>
      <c r="G43" s="212" t="s">
        <v>5</v>
      </c>
      <c r="H43" s="212" t="s">
        <v>222</v>
      </c>
      <c r="I43" s="212"/>
      <c r="J43" s="214" t="s">
        <v>233</v>
      </c>
      <c r="K43" s="212" t="s">
        <v>5</v>
      </c>
      <c r="L43" s="212" t="s">
        <v>222</v>
      </c>
      <c r="M43" s="212"/>
      <c r="N43" s="214">
        <v>7</v>
      </c>
      <c r="O43" s="212" t="s">
        <v>8</v>
      </c>
      <c r="P43" s="212" t="s">
        <v>222</v>
      </c>
      <c r="Q43" s="212"/>
      <c r="R43" s="214"/>
      <c r="S43" s="212" t="s">
        <v>8</v>
      </c>
      <c r="T43" s="212" t="s">
        <v>222</v>
      </c>
      <c r="U43" s="212"/>
      <c r="V43" s="212"/>
      <c r="W43" s="212"/>
      <c r="X43" s="212" t="s">
        <v>222</v>
      </c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</row>
    <row r="44" spans="1:37" ht="18.75" customHeight="1">
      <c r="A44" s="211">
        <v>45849</v>
      </c>
      <c r="B44" s="214">
        <v>1500004</v>
      </c>
      <c r="C44" s="212" t="s">
        <v>5</v>
      </c>
      <c r="D44" s="217" t="s">
        <v>222</v>
      </c>
      <c r="E44" s="212"/>
      <c r="F44" s="214" t="s">
        <v>233</v>
      </c>
      <c r="G44" s="212" t="s">
        <v>5</v>
      </c>
      <c r="H44" s="212" t="s">
        <v>222</v>
      </c>
      <c r="I44" s="212"/>
      <c r="J44" s="214" t="s">
        <v>233</v>
      </c>
      <c r="K44" s="212" t="s">
        <v>5</v>
      </c>
      <c r="L44" s="212" t="s">
        <v>222</v>
      </c>
      <c r="M44" s="212"/>
      <c r="N44" s="214">
        <v>8</v>
      </c>
      <c r="O44" s="212" t="s">
        <v>8</v>
      </c>
      <c r="P44" s="212" t="s">
        <v>222</v>
      </c>
      <c r="Q44" s="212"/>
      <c r="R44" s="214"/>
      <c r="S44" s="212" t="s">
        <v>8</v>
      </c>
      <c r="T44" s="212" t="s">
        <v>222</v>
      </c>
      <c r="U44" s="212"/>
      <c r="V44" s="212"/>
      <c r="W44" s="212"/>
      <c r="X44" s="212" t="s">
        <v>222</v>
      </c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</row>
    <row r="45" spans="1:37" ht="18.75" customHeight="1">
      <c r="A45" s="211">
        <v>45855</v>
      </c>
      <c r="B45" s="214" t="s">
        <v>233</v>
      </c>
      <c r="C45" s="212" t="s">
        <v>5</v>
      </c>
      <c r="D45" s="217" t="s">
        <v>222</v>
      </c>
      <c r="E45" s="212"/>
      <c r="F45" s="214" t="s">
        <v>233</v>
      </c>
      <c r="G45" s="212" t="s">
        <v>5</v>
      </c>
      <c r="H45" s="212" t="s">
        <v>222</v>
      </c>
      <c r="I45" s="212"/>
      <c r="J45" s="214" t="s">
        <v>233</v>
      </c>
      <c r="K45" s="212" t="s">
        <v>5</v>
      </c>
      <c r="L45" s="212" t="s">
        <v>222</v>
      </c>
      <c r="M45" s="212"/>
      <c r="N45" s="214">
        <v>9</v>
      </c>
      <c r="O45" s="212" t="s">
        <v>8</v>
      </c>
      <c r="P45" s="212" t="s">
        <v>222</v>
      </c>
      <c r="Q45" s="212" t="s">
        <v>234</v>
      </c>
      <c r="R45" s="214"/>
      <c r="S45" s="212" t="s">
        <v>8</v>
      </c>
      <c r="T45" s="212" t="s">
        <v>222</v>
      </c>
      <c r="U45" s="212"/>
      <c r="V45" s="212"/>
      <c r="W45" s="212"/>
      <c r="X45" s="212" t="s">
        <v>222</v>
      </c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</row>
    <row r="46" spans="1:37" ht="18.75" customHeight="1">
      <c r="A46" s="211">
        <v>45859</v>
      </c>
      <c r="B46" s="214" t="s">
        <v>233</v>
      </c>
      <c r="C46" s="212" t="s">
        <v>5</v>
      </c>
      <c r="D46" s="217" t="s">
        <v>222</v>
      </c>
      <c r="E46" s="212"/>
      <c r="F46" s="214" t="s">
        <v>233</v>
      </c>
      <c r="G46" s="212" t="s">
        <v>5</v>
      </c>
      <c r="H46" s="212" t="s">
        <v>222</v>
      </c>
      <c r="I46" s="212"/>
      <c r="J46" s="214" t="s">
        <v>233</v>
      </c>
      <c r="K46" s="212" t="s">
        <v>5</v>
      </c>
      <c r="L46" s="212" t="s">
        <v>222</v>
      </c>
      <c r="M46" s="212"/>
      <c r="N46" s="214">
        <v>0</v>
      </c>
      <c r="O46" s="212" t="s">
        <v>8</v>
      </c>
      <c r="P46" s="212" t="s">
        <v>222</v>
      </c>
      <c r="Q46" s="212" t="s">
        <v>234</v>
      </c>
      <c r="R46" s="214"/>
      <c r="S46" s="212" t="s">
        <v>8</v>
      </c>
      <c r="T46" s="212" t="s">
        <v>222</v>
      </c>
      <c r="U46" s="212"/>
      <c r="V46" s="212"/>
      <c r="W46" s="212"/>
      <c r="X46" s="212" t="s">
        <v>222</v>
      </c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</row>
    <row r="47" spans="1:37" ht="18.75" customHeight="1">
      <c r="A47" s="211">
        <v>45860</v>
      </c>
      <c r="B47" s="214" t="s">
        <v>233</v>
      </c>
      <c r="C47" s="212" t="s">
        <v>5</v>
      </c>
      <c r="D47" s="217" t="s">
        <v>222</v>
      </c>
      <c r="E47" s="212"/>
      <c r="F47" s="214" t="s">
        <v>233</v>
      </c>
      <c r="G47" s="212" t="s">
        <v>5</v>
      </c>
      <c r="H47" s="212" t="s">
        <v>222</v>
      </c>
      <c r="I47" s="212"/>
      <c r="J47" s="214" t="s">
        <v>233</v>
      </c>
      <c r="K47" s="212" t="s">
        <v>5</v>
      </c>
      <c r="L47" s="212" t="s">
        <v>222</v>
      </c>
      <c r="M47" s="212"/>
      <c r="N47" s="214">
        <v>1</v>
      </c>
      <c r="O47" s="212" t="s">
        <v>8</v>
      </c>
      <c r="P47" s="212" t="s">
        <v>222</v>
      </c>
      <c r="Q47" s="212" t="s">
        <v>235</v>
      </c>
      <c r="R47" s="214"/>
      <c r="S47" s="212" t="s">
        <v>8</v>
      </c>
      <c r="T47" s="212" t="s">
        <v>222</v>
      </c>
      <c r="U47" s="212"/>
      <c r="V47" s="212"/>
      <c r="W47" s="212"/>
      <c r="X47" s="212" t="s">
        <v>222</v>
      </c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</row>
    <row r="48" spans="1:37" ht="18.75" customHeight="1">
      <c r="A48" s="211">
        <v>45861</v>
      </c>
      <c r="B48" s="214">
        <v>600000</v>
      </c>
      <c r="C48" s="212" t="s">
        <v>5</v>
      </c>
      <c r="D48" s="217" t="s">
        <v>222</v>
      </c>
      <c r="E48" s="212"/>
      <c r="F48" s="214" t="s">
        <v>233</v>
      </c>
      <c r="G48" s="212" t="s">
        <v>5</v>
      </c>
      <c r="H48" s="212" t="s">
        <v>222</v>
      </c>
      <c r="I48" s="212"/>
      <c r="J48" s="214" t="s">
        <v>233</v>
      </c>
      <c r="K48" s="212" t="s">
        <v>5</v>
      </c>
      <c r="L48" s="212" t="s">
        <v>222</v>
      </c>
      <c r="M48" s="212"/>
      <c r="N48" s="214">
        <v>2</v>
      </c>
      <c r="O48" s="212" t="s">
        <v>8</v>
      </c>
      <c r="P48" s="212" t="s">
        <v>222</v>
      </c>
      <c r="Q48" s="212" t="s">
        <v>235</v>
      </c>
      <c r="R48" s="214"/>
      <c r="S48" s="212" t="s">
        <v>8</v>
      </c>
      <c r="T48" s="212" t="s">
        <v>222</v>
      </c>
      <c r="U48" s="212"/>
      <c r="V48" s="212"/>
      <c r="W48" s="212"/>
      <c r="X48" s="212" t="s">
        <v>222</v>
      </c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</row>
    <row r="49" spans="1:37" ht="18.75" customHeight="1">
      <c r="A49" s="211">
        <v>45862</v>
      </c>
      <c r="B49" s="214">
        <v>300001</v>
      </c>
      <c r="C49" s="212" t="s">
        <v>5</v>
      </c>
      <c r="D49" s="217" t="s">
        <v>222</v>
      </c>
      <c r="E49" s="212"/>
      <c r="F49" s="214" t="s">
        <v>233</v>
      </c>
      <c r="G49" s="212" t="s">
        <v>5</v>
      </c>
      <c r="H49" s="212" t="s">
        <v>222</v>
      </c>
      <c r="I49" s="212"/>
      <c r="J49" s="214" t="s">
        <v>233</v>
      </c>
      <c r="K49" s="212" t="s">
        <v>5</v>
      </c>
      <c r="L49" s="212" t="s">
        <v>222</v>
      </c>
      <c r="M49" s="212"/>
      <c r="N49" s="214">
        <v>3</v>
      </c>
      <c r="O49" s="212" t="s">
        <v>8</v>
      </c>
      <c r="P49" s="212" t="s">
        <v>222</v>
      </c>
      <c r="Q49" s="212" t="s">
        <v>235</v>
      </c>
      <c r="R49" s="214"/>
      <c r="S49" s="212" t="s">
        <v>8</v>
      </c>
      <c r="T49" s="212" t="s">
        <v>222</v>
      </c>
      <c r="U49" s="212"/>
      <c r="V49" s="212"/>
      <c r="W49" s="212"/>
      <c r="X49" s="212" t="s">
        <v>222</v>
      </c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</row>
    <row r="50" spans="1:37" ht="18.75" customHeight="1">
      <c r="A50" s="211">
        <v>45867</v>
      </c>
      <c r="B50" s="214">
        <v>4000000</v>
      </c>
      <c r="C50" s="212" t="s">
        <v>5</v>
      </c>
      <c r="D50" s="217" t="s">
        <v>222</v>
      </c>
      <c r="E50" s="212"/>
      <c r="F50" s="214" t="s">
        <v>233</v>
      </c>
      <c r="G50" s="212" t="s">
        <v>5</v>
      </c>
      <c r="H50" s="212" t="s">
        <v>222</v>
      </c>
      <c r="I50" s="212"/>
      <c r="J50" s="214" t="s">
        <v>233</v>
      </c>
      <c r="K50" s="212" t="s">
        <v>5</v>
      </c>
      <c r="L50" s="212" t="s">
        <v>222</v>
      </c>
      <c r="M50" s="212"/>
      <c r="N50" s="214">
        <v>4</v>
      </c>
      <c r="O50" s="212" t="s">
        <v>8</v>
      </c>
      <c r="P50" s="212" t="s">
        <v>222</v>
      </c>
      <c r="Q50" s="212" t="s">
        <v>234</v>
      </c>
      <c r="R50" s="214"/>
      <c r="S50" s="212" t="s">
        <v>8</v>
      </c>
      <c r="T50" s="212" t="s">
        <v>222</v>
      </c>
      <c r="U50" s="212"/>
      <c r="V50" s="212"/>
      <c r="W50" s="212"/>
      <c r="X50" s="212" t="s">
        <v>222</v>
      </c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</row>
    <row r="51" spans="1:37" ht="18.75" customHeight="1">
      <c r="A51" s="211">
        <v>45868</v>
      </c>
      <c r="B51" s="214">
        <v>4000001</v>
      </c>
      <c r="C51" s="212" t="s">
        <v>5</v>
      </c>
      <c r="D51" s="217" t="s">
        <v>222</v>
      </c>
      <c r="E51" s="212"/>
      <c r="F51" s="214" t="s">
        <v>233</v>
      </c>
      <c r="G51" s="212" t="s">
        <v>5</v>
      </c>
      <c r="H51" s="212" t="s">
        <v>222</v>
      </c>
      <c r="I51" s="212"/>
      <c r="J51" s="214">
        <v>500000</v>
      </c>
      <c r="K51" s="212" t="s">
        <v>5</v>
      </c>
      <c r="L51" s="212" t="s">
        <v>222</v>
      </c>
      <c r="M51" s="212"/>
      <c r="N51" s="214">
        <v>5</v>
      </c>
      <c r="O51" s="212" t="s">
        <v>8</v>
      </c>
      <c r="P51" s="212" t="s">
        <v>222</v>
      </c>
      <c r="Q51" s="212"/>
      <c r="R51" s="214"/>
      <c r="S51" s="212" t="s">
        <v>8</v>
      </c>
      <c r="T51" s="212" t="s">
        <v>222</v>
      </c>
      <c r="U51" s="212"/>
      <c r="V51" s="212"/>
      <c r="W51" s="212"/>
      <c r="X51" s="212" t="s">
        <v>222</v>
      </c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</row>
    <row r="52" spans="1:37" ht="18.75" customHeight="1">
      <c r="A52" s="211">
        <v>45869</v>
      </c>
      <c r="B52" s="214">
        <v>3600000</v>
      </c>
      <c r="C52" s="212" t="s">
        <v>5</v>
      </c>
      <c r="D52" s="217" t="s">
        <v>222</v>
      </c>
      <c r="E52" s="212"/>
      <c r="F52" s="214" t="s">
        <v>233</v>
      </c>
      <c r="G52" s="212" t="s">
        <v>5</v>
      </c>
      <c r="H52" s="212" t="s">
        <v>222</v>
      </c>
      <c r="I52" s="212"/>
      <c r="J52" s="214"/>
      <c r="K52" s="212" t="s">
        <v>5</v>
      </c>
      <c r="L52" s="212" t="s">
        <v>222</v>
      </c>
      <c r="M52" s="212"/>
      <c r="N52" s="214">
        <v>6</v>
      </c>
      <c r="O52" s="212" t="s">
        <v>8</v>
      </c>
      <c r="P52" s="212" t="s">
        <v>222</v>
      </c>
      <c r="Q52" s="212"/>
      <c r="R52" s="214"/>
      <c r="S52" s="212" t="s">
        <v>8</v>
      </c>
      <c r="T52" s="212" t="s">
        <v>222</v>
      </c>
      <c r="U52" s="212"/>
      <c r="V52" s="212"/>
      <c r="W52" s="212"/>
      <c r="X52" s="212" t="s">
        <v>222</v>
      </c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</row>
    <row r="53" spans="1:37" ht="18.75" customHeight="1">
      <c r="A53" s="211">
        <v>45870</v>
      </c>
      <c r="B53" s="214">
        <v>4500001</v>
      </c>
      <c r="C53" s="212" t="s">
        <v>5</v>
      </c>
      <c r="D53" s="217" t="s">
        <v>222</v>
      </c>
      <c r="E53" s="212"/>
      <c r="F53" s="214">
        <v>2000000</v>
      </c>
      <c r="G53" s="212" t="s">
        <v>5</v>
      </c>
      <c r="H53" s="212" t="s">
        <v>222</v>
      </c>
      <c r="I53" s="212"/>
      <c r="J53" s="214"/>
      <c r="K53" s="212" t="s">
        <v>5</v>
      </c>
      <c r="L53" s="212" t="s">
        <v>222</v>
      </c>
      <c r="M53" s="212"/>
      <c r="N53" s="214">
        <v>7</v>
      </c>
      <c r="O53" s="212" t="s">
        <v>8</v>
      </c>
      <c r="P53" s="212" t="s">
        <v>222</v>
      </c>
      <c r="Q53" s="212"/>
      <c r="R53" s="214"/>
      <c r="S53" s="212" t="s">
        <v>8</v>
      </c>
      <c r="T53" s="212" t="s">
        <v>222</v>
      </c>
      <c r="U53" s="212"/>
      <c r="V53" s="212"/>
      <c r="W53" s="212"/>
      <c r="X53" s="212" t="s">
        <v>222</v>
      </c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</row>
    <row r="54" spans="1:37" ht="18.75" customHeight="1">
      <c r="A54" s="211">
        <v>45874</v>
      </c>
      <c r="B54" s="214"/>
      <c r="C54" s="212" t="s">
        <v>5</v>
      </c>
      <c r="D54" s="217" t="s">
        <v>222</v>
      </c>
      <c r="E54" s="212"/>
      <c r="F54" s="214">
        <v>2000001</v>
      </c>
      <c r="G54" s="212" t="s">
        <v>5</v>
      </c>
      <c r="H54" s="212" t="s">
        <v>222</v>
      </c>
      <c r="I54" s="212"/>
      <c r="J54" s="214"/>
      <c r="K54" s="212" t="s">
        <v>5</v>
      </c>
      <c r="L54" s="212" t="s">
        <v>222</v>
      </c>
      <c r="M54" s="212"/>
      <c r="N54" s="214">
        <v>8</v>
      </c>
      <c r="O54" s="212" t="s">
        <v>8</v>
      </c>
      <c r="P54" s="212" t="s">
        <v>222</v>
      </c>
      <c r="Q54" s="212"/>
      <c r="R54" s="214"/>
      <c r="S54" s="212" t="s">
        <v>8</v>
      </c>
      <c r="T54" s="212" t="s">
        <v>222</v>
      </c>
      <c r="U54" s="212"/>
      <c r="V54" s="212"/>
      <c r="W54" s="212"/>
      <c r="X54" s="212" t="s">
        <v>222</v>
      </c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</row>
    <row r="55" spans="1:37" ht="18.75" customHeight="1">
      <c r="A55" s="211">
        <v>45875</v>
      </c>
      <c r="B55" s="214">
        <v>500000</v>
      </c>
      <c r="C55" s="212" t="s">
        <v>5</v>
      </c>
      <c r="D55" s="217" t="s">
        <v>222</v>
      </c>
      <c r="E55" s="212"/>
      <c r="F55" s="214">
        <v>800000</v>
      </c>
      <c r="G55" s="212" t="s">
        <v>5</v>
      </c>
      <c r="H55" s="212" t="s">
        <v>222</v>
      </c>
      <c r="I55" s="212"/>
      <c r="J55" s="214"/>
      <c r="K55" s="212" t="s">
        <v>5</v>
      </c>
      <c r="L55" s="212" t="s">
        <v>222</v>
      </c>
      <c r="M55" s="212" t="s">
        <v>236</v>
      </c>
      <c r="N55" s="214">
        <v>9</v>
      </c>
      <c r="O55" s="212" t="s">
        <v>8</v>
      </c>
      <c r="P55" s="212" t="s">
        <v>222</v>
      </c>
      <c r="Q55" s="212"/>
      <c r="R55" s="214"/>
      <c r="S55" s="212" t="s">
        <v>8</v>
      </c>
      <c r="T55" s="212" t="s">
        <v>222</v>
      </c>
      <c r="U55" s="212"/>
      <c r="V55" s="212"/>
      <c r="W55" s="212"/>
      <c r="X55" s="212" t="s">
        <v>222</v>
      </c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</row>
    <row r="56" spans="1:37" ht="18.75" customHeight="1">
      <c r="A56" s="211">
        <v>45876</v>
      </c>
      <c r="B56" s="214">
        <v>1400000</v>
      </c>
      <c r="C56" s="212" t="s">
        <v>5</v>
      </c>
      <c r="D56" s="217" t="s">
        <v>222</v>
      </c>
      <c r="E56" s="212"/>
      <c r="F56" s="214">
        <v>1000000</v>
      </c>
      <c r="G56" s="212" t="s">
        <v>5</v>
      </c>
      <c r="H56" s="212" t="s">
        <v>222</v>
      </c>
      <c r="I56" s="212"/>
      <c r="J56" s="214"/>
      <c r="K56" s="212" t="s">
        <v>5</v>
      </c>
      <c r="L56" s="212" t="s">
        <v>222</v>
      </c>
      <c r="M56" s="212" t="s">
        <v>237</v>
      </c>
      <c r="N56" s="214">
        <v>10</v>
      </c>
      <c r="O56" s="212" t="s">
        <v>8</v>
      </c>
      <c r="P56" s="212" t="s">
        <v>222</v>
      </c>
      <c r="Q56" s="212"/>
      <c r="R56" s="214"/>
      <c r="S56" s="212" t="s">
        <v>8</v>
      </c>
      <c r="T56" s="212" t="s">
        <v>222</v>
      </c>
      <c r="U56" s="212"/>
      <c r="V56" s="212"/>
      <c r="W56" s="212"/>
      <c r="X56" s="212" t="s">
        <v>222</v>
      </c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</row>
    <row r="57" spans="1:37" ht="18.75" customHeight="1">
      <c r="A57" s="211">
        <v>45877</v>
      </c>
      <c r="B57" s="214"/>
      <c r="C57" s="212" t="s">
        <v>5</v>
      </c>
      <c r="D57" s="217" t="s">
        <v>222</v>
      </c>
      <c r="E57" s="212"/>
      <c r="F57" s="214">
        <v>1000000</v>
      </c>
      <c r="G57" s="212" t="s">
        <v>5</v>
      </c>
      <c r="H57" s="212" t="s">
        <v>222</v>
      </c>
      <c r="I57" s="212"/>
      <c r="J57" s="214"/>
      <c r="K57" s="212" t="s">
        <v>5</v>
      </c>
      <c r="L57" s="212" t="s">
        <v>222</v>
      </c>
      <c r="M57" s="212" t="s">
        <v>237</v>
      </c>
      <c r="N57" s="214">
        <v>10</v>
      </c>
      <c r="O57" s="212" t="s">
        <v>8</v>
      </c>
      <c r="P57" s="212" t="s">
        <v>222</v>
      </c>
      <c r="Q57" s="212" t="s">
        <v>238</v>
      </c>
      <c r="R57" s="214"/>
      <c r="S57" s="212" t="s">
        <v>8</v>
      </c>
      <c r="T57" s="212" t="s">
        <v>222</v>
      </c>
      <c r="U57" s="212"/>
      <c r="V57" s="212"/>
      <c r="W57" s="212"/>
      <c r="X57" s="212" t="s">
        <v>222</v>
      </c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</row>
    <row r="58" spans="1:37" ht="18.75" customHeight="1">
      <c r="A58" s="211">
        <v>45880</v>
      </c>
      <c r="B58" s="214"/>
      <c r="C58" s="212" t="s">
        <v>5</v>
      </c>
      <c r="D58" s="217" t="s">
        <v>222</v>
      </c>
      <c r="E58" s="212"/>
      <c r="F58" s="214">
        <v>700000</v>
      </c>
      <c r="G58" s="212" t="s">
        <v>5</v>
      </c>
      <c r="H58" s="212" t="s">
        <v>222</v>
      </c>
      <c r="I58" s="212"/>
      <c r="J58" s="214"/>
      <c r="K58" s="212" t="s">
        <v>5</v>
      </c>
      <c r="L58" s="212" t="s">
        <v>222</v>
      </c>
      <c r="M58" s="212" t="s">
        <v>237</v>
      </c>
      <c r="N58" s="214">
        <v>10</v>
      </c>
      <c r="O58" s="212" t="s">
        <v>8</v>
      </c>
      <c r="P58" s="212" t="s">
        <v>222</v>
      </c>
      <c r="Q58" s="212"/>
      <c r="R58" s="214"/>
      <c r="S58" s="212" t="s">
        <v>8</v>
      </c>
      <c r="T58" s="212" t="s">
        <v>222</v>
      </c>
      <c r="U58" s="212"/>
      <c r="V58" s="212"/>
      <c r="W58" s="212"/>
      <c r="X58" s="212" t="s">
        <v>222</v>
      </c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</row>
    <row r="59" spans="1:37" ht="18.75" customHeight="1">
      <c r="A59" s="211">
        <v>45881</v>
      </c>
      <c r="B59" s="214"/>
      <c r="C59" s="212" t="s">
        <v>5</v>
      </c>
      <c r="D59" s="217" t="s">
        <v>222</v>
      </c>
      <c r="E59" s="212"/>
      <c r="F59" s="214">
        <v>600000</v>
      </c>
      <c r="G59" s="212" t="s">
        <v>5</v>
      </c>
      <c r="H59" s="212" t="s">
        <v>222</v>
      </c>
      <c r="I59" s="212"/>
      <c r="J59" s="214"/>
      <c r="K59" s="212" t="s">
        <v>5</v>
      </c>
      <c r="L59" s="212" t="s">
        <v>222</v>
      </c>
      <c r="M59" s="212" t="s">
        <v>239</v>
      </c>
      <c r="N59" s="214">
        <v>600000</v>
      </c>
      <c r="O59" s="212" t="s">
        <v>8</v>
      </c>
      <c r="P59" s="212" t="s">
        <v>222</v>
      </c>
      <c r="Q59" s="212"/>
      <c r="R59" s="214"/>
      <c r="S59" s="212" t="s">
        <v>8</v>
      </c>
      <c r="T59" s="212" t="s">
        <v>222</v>
      </c>
      <c r="U59" s="212"/>
      <c r="V59" s="212"/>
      <c r="W59" s="212"/>
      <c r="X59" s="212" t="s">
        <v>222</v>
      </c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</row>
    <row r="60" spans="1:37" ht="18.75" customHeight="1">
      <c r="A60" s="211">
        <v>45882</v>
      </c>
      <c r="B60" s="214"/>
      <c r="C60" s="212" t="s">
        <v>5</v>
      </c>
      <c r="D60" s="217" t="s">
        <v>222</v>
      </c>
      <c r="E60" s="212"/>
      <c r="F60" s="214">
        <v>300000</v>
      </c>
      <c r="G60" s="212" t="s">
        <v>5</v>
      </c>
      <c r="H60" s="212" t="s">
        <v>222</v>
      </c>
      <c r="I60" s="212"/>
      <c r="J60" s="214"/>
      <c r="K60" s="212" t="s">
        <v>5</v>
      </c>
      <c r="L60" s="212" t="s">
        <v>222</v>
      </c>
      <c r="M60" s="212" t="s">
        <v>239</v>
      </c>
      <c r="N60" s="214">
        <v>1300000</v>
      </c>
      <c r="O60" s="212" t="s">
        <v>8</v>
      </c>
      <c r="P60" s="212" t="s">
        <v>222</v>
      </c>
      <c r="Q60" s="212"/>
      <c r="R60" s="214"/>
      <c r="S60" s="212" t="s">
        <v>8</v>
      </c>
      <c r="T60" s="212" t="s">
        <v>222</v>
      </c>
      <c r="U60" s="212"/>
      <c r="V60" s="212"/>
      <c r="W60" s="212"/>
      <c r="X60" s="212" t="s">
        <v>222</v>
      </c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</row>
    <row r="61" spans="1:37" ht="18.75" customHeight="1">
      <c r="A61" s="211">
        <v>45883</v>
      </c>
      <c r="B61" s="214"/>
      <c r="C61" s="212" t="s">
        <v>5</v>
      </c>
      <c r="D61" s="217" t="s">
        <v>222</v>
      </c>
      <c r="E61" s="212"/>
      <c r="F61" s="214">
        <v>300000</v>
      </c>
      <c r="G61" s="212" t="s">
        <v>5</v>
      </c>
      <c r="H61" s="212" t="s">
        <v>222</v>
      </c>
      <c r="I61" s="212"/>
      <c r="J61" s="214"/>
      <c r="K61" s="212" t="s">
        <v>5</v>
      </c>
      <c r="L61" s="212" t="s">
        <v>222</v>
      </c>
      <c r="M61" s="212" t="s">
        <v>239</v>
      </c>
      <c r="N61" s="214">
        <v>1000000</v>
      </c>
      <c r="O61" s="212" t="s">
        <v>8</v>
      </c>
      <c r="P61" s="212" t="s">
        <v>222</v>
      </c>
      <c r="Q61" s="212" t="s">
        <v>238</v>
      </c>
      <c r="R61" s="214"/>
      <c r="S61" s="212" t="s">
        <v>8</v>
      </c>
      <c r="T61" s="212" t="s">
        <v>222</v>
      </c>
      <c r="U61" s="212"/>
      <c r="V61" s="212"/>
      <c r="W61" s="212"/>
      <c r="X61" s="212" t="s">
        <v>222</v>
      </c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</row>
    <row r="62" spans="1:37" ht="18.75" customHeight="1">
      <c r="A62" s="211">
        <v>45884</v>
      </c>
      <c r="B62" s="214"/>
      <c r="C62" s="212" t="s">
        <v>5</v>
      </c>
      <c r="D62" s="217" t="s">
        <v>222</v>
      </c>
      <c r="E62" s="212"/>
      <c r="F62" s="214"/>
      <c r="G62" s="212" t="s">
        <v>5</v>
      </c>
      <c r="H62" s="212" t="s">
        <v>222</v>
      </c>
      <c r="I62" s="212"/>
      <c r="J62" s="214"/>
      <c r="K62" s="212" t="s">
        <v>5</v>
      </c>
      <c r="L62" s="212" t="s">
        <v>222</v>
      </c>
      <c r="M62" s="212"/>
      <c r="N62" s="214">
        <v>0</v>
      </c>
      <c r="O62" s="212" t="s">
        <v>8</v>
      </c>
      <c r="P62" s="212" t="s">
        <v>222</v>
      </c>
      <c r="Q62" s="212" t="s">
        <v>240</v>
      </c>
      <c r="R62" s="214"/>
      <c r="S62" s="212" t="s">
        <v>8</v>
      </c>
      <c r="T62" s="212" t="s">
        <v>222</v>
      </c>
      <c r="U62" s="212"/>
      <c r="V62" s="212"/>
      <c r="W62" s="212"/>
      <c r="X62" s="212" t="s">
        <v>222</v>
      </c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</row>
    <row r="63" spans="1:37" ht="18.75" customHeight="1">
      <c r="A63" s="211">
        <v>45887</v>
      </c>
      <c r="B63" s="214"/>
      <c r="C63" s="212" t="s">
        <v>5</v>
      </c>
      <c r="D63" s="217" t="s">
        <v>222</v>
      </c>
      <c r="E63" s="212"/>
      <c r="F63" s="214">
        <v>2500000</v>
      </c>
      <c r="G63" s="212" t="s">
        <v>5</v>
      </c>
      <c r="H63" s="212" t="s">
        <v>222</v>
      </c>
      <c r="I63" s="212"/>
      <c r="J63" s="214"/>
      <c r="K63" s="212" t="s">
        <v>5</v>
      </c>
      <c r="L63" s="212" t="s">
        <v>222</v>
      </c>
      <c r="M63" s="212"/>
      <c r="N63" s="214">
        <v>1500000</v>
      </c>
      <c r="O63" s="289" t="s">
        <v>5</v>
      </c>
      <c r="P63" s="212" t="s">
        <v>222</v>
      </c>
      <c r="Q63" s="212" t="s">
        <v>241</v>
      </c>
      <c r="R63" s="214"/>
      <c r="S63" s="212" t="s">
        <v>8</v>
      </c>
      <c r="T63" s="212" t="s">
        <v>222</v>
      </c>
      <c r="U63" s="212"/>
      <c r="V63" s="212"/>
      <c r="W63" s="212"/>
      <c r="X63" s="212" t="s">
        <v>222</v>
      </c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</row>
    <row r="64" spans="1:37" ht="18.75" customHeight="1">
      <c r="A64" s="211">
        <v>45888</v>
      </c>
      <c r="B64" s="214">
        <v>1000000</v>
      </c>
      <c r="C64" s="212" t="s">
        <v>5</v>
      </c>
      <c r="D64" s="217" t="s">
        <v>222</v>
      </c>
      <c r="E64" s="212"/>
      <c r="F64" s="214">
        <v>3000000</v>
      </c>
      <c r="G64" s="212" t="s">
        <v>5</v>
      </c>
      <c r="H64" s="212" t="s">
        <v>222</v>
      </c>
      <c r="I64" s="212"/>
      <c r="J64" s="214"/>
      <c r="K64" s="212" t="s">
        <v>5</v>
      </c>
      <c r="L64" s="212" t="s">
        <v>222</v>
      </c>
      <c r="M64" s="212"/>
      <c r="N64" s="214"/>
      <c r="O64" s="289" t="s">
        <v>5</v>
      </c>
      <c r="P64" s="212" t="s">
        <v>222</v>
      </c>
      <c r="Q64" s="212"/>
      <c r="R64" s="214"/>
      <c r="S64" s="212" t="s">
        <v>8</v>
      </c>
      <c r="T64" s="212" t="s">
        <v>222</v>
      </c>
      <c r="U64" s="212"/>
      <c r="V64" s="212"/>
      <c r="W64" s="212"/>
      <c r="X64" s="212" t="s">
        <v>222</v>
      </c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</row>
    <row r="65" spans="1:37" ht="18.75" customHeight="1">
      <c r="A65" s="211">
        <v>45889</v>
      </c>
      <c r="B65" s="214">
        <v>500001</v>
      </c>
      <c r="C65" s="212" t="s">
        <v>5</v>
      </c>
      <c r="D65" s="217" t="s">
        <v>222</v>
      </c>
      <c r="E65" s="212"/>
      <c r="F65" s="214">
        <v>3700001</v>
      </c>
      <c r="G65" s="212" t="s">
        <v>5</v>
      </c>
      <c r="H65" s="212" t="s">
        <v>222</v>
      </c>
      <c r="I65" s="212"/>
      <c r="J65" s="214"/>
      <c r="K65" s="212" t="s">
        <v>5</v>
      </c>
      <c r="L65" s="212" t="s">
        <v>222</v>
      </c>
      <c r="M65" s="212"/>
      <c r="N65" s="214">
        <v>150000</v>
      </c>
      <c r="O65" s="289" t="s">
        <v>5</v>
      </c>
      <c r="P65" s="212" t="s">
        <v>222</v>
      </c>
      <c r="Q65" s="212" t="s">
        <v>242</v>
      </c>
      <c r="R65" s="214"/>
      <c r="S65" s="212" t="s">
        <v>8</v>
      </c>
      <c r="T65" s="212" t="s">
        <v>222</v>
      </c>
      <c r="U65" s="212"/>
      <c r="V65" s="212"/>
      <c r="W65" s="212"/>
      <c r="X65" s="212" t="s">
        <v>222</v>
      </c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</row>
    <row r="66" spans="1:37" ht="18.75" customHeight="1">
      <c r="A66" s="211">
        <v>45890</v>
      </c>
      <c r="B66" s="214">
        <v>0</v>
      </c>
      <c r="C66" s="212" t="s">
        <v>5</v>
      </c>
      <c r="D66" s="217" t="s">
        <v>222</v>
      </c>
      <c r="E66" s="212"/>
      <c r="F66" s="214">
        <v>2000002</v>
      </c>
      <c r="G66" s="212" t="s">
        <v>5</v>
      </c>
      <c r="H66" s="212" t="s">
        <v>222</v>
      </c>
      <c r="I66" s="212"/>
      <c r="J66" s="214"/>
      <c r="K66" s="212" t="s">
        <v>5</v>
      </c>
      <c r="L66" s="212" t="s">
        <v>222</v>
      </c>
      <c r="M66" s="212"/>
      <c r="N66" s="214">
        <v>800000</v>
      </c>
      <c r="O66" s="289" t="s">
        <v>5</v>
      </c>
      <c r="P66" s="212" t="s">
        <v>222</v>
      </c>
      <c r="Q66" s="212" t="s">
        <v>243</v>
      </c>
      <c r="R66" s="214"/>
      <c r="S66" s="212" t="s">
        <v>8</v>
      </c>
      <c r="T66" s="212" t="s">
        <v>222</v>
      </c>
      <c r="U66" s="212"/>
      <c r="V66" s="212"/>
      <c r="W66" s="212"/>
      <c r="X66" s="212" t="s">
        <v>222</v>
      </c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</row>
    <row r="67" spans="1:37" ht="18.75" customHeight="1">
      <c r="A67" s="211">
        <v>45891</v>
      </c>
      <c r="B67" s="214">
        <v>1</v>
      </c>
      <c r="C67" s="212" t="s">
        <v>5</v>
      </c>
      <c r="D67" s="217" t="s">
        <v>222</v>
      </c>
      <c r="E67" s="212"/>
      <c r="F67" s="214">
        <v>1700003</v>
      </c>
      <c r="G67" s="212" t="s">
        <v>5</v>
      </c>
      <c r="H67" s="212" t="s">
        <v>222</v>
      </c>
      <c r="I67" s="212"/>
      <c r="J67" s="214"/>
      <c r="K67" s="212" t="s">
        <v>5</v>
      </c>
      <c r="L67" s="212" t="s">
        <v>222</v>
      </c>
      <c r="M67" s="212"/>
      <c r="N67" s="214">
        <v>400000</v>
      </c>
      <c r="O67" s="289" t="s">
        <v>5</v>
      </c>
      <c r="P67" s="212" t="s">
        <v>222</v>
      </c>
      <c r="Q67" s="212" t="s">
        <v>244</v>
      </c>
      <c r="R67" s="214"/>
      <c r="S67" s="212" t="s">
        <v>8</v>
      </c>
      <c r="T67" s="212" t="s">
        <v>222</v>
      </c>
      <c r="U67" s="212"/>
      <c r="V67" s="212"/>
      <c r="W67" s="212"/>
      <c r="X67" s="212" t="s">
        <v>222</v>
      </c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</row>
    <row r="68" spans="1:37" ht="18.75" customHeight="1">
      <c r="A68" s="211">
        <v>45894</v>
      </c>
      <c r="B68" s="214">
        <v>2</v>
      </c>
      <c r="C68" s="212" t="s">
        <v>5</v>
      </c>
      <c r="D68" s="217" t="s">
        <v>222</v>
      </c>
      <c r="E68" s="212"/>
      <c r="F68" s="214">
        <v>0</v>
      </c>
      <c r="G68" s="212" t="s">
        <v>5</v>
      </c>
      <c r="H68" s="212" t="s">
        <v>222</v>
      </c>
      <c r="I68" s="212"/>
      <c r="J68" s="214"/>
      <c r="K68" s="212" t="s">
        <v>5</v>
      </c>
      <c r="L68" s="212" t="s">
        <v>222</v>
      </c>
      <c r="M68" s="212"/>
      <c r="N68" s="214">
        <v>3000000</v>
      </c>
      <c r="O68" s="289" t="s">
        <v>5</v>
      </c>
      <c r="P68" s="212" t="s">
        <v>222</v>
      </c>
      <c r="Q68" s="212"/>
      <c r="R68" s="214"/>
      <c r="S68" s="212" t="s">
        <v>8</v>
      </c>
      <c r="T68" s="212" t="s">
        <v>222</v>
      </c>
      <c r="U68" s="212"/>
      <c r="V68" s="212"/>
      <c r="W68" s="212"/>
      <c r="X68" s="212" t="s">
        <v>222</v>
      </c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</row>
    <row r="69" spans="1:37" ht="18.75" customHeight="1">
      <c r="A69" s="211">
        <v>45895</v>
      </c>
      <c r="B69" s="214">
        <v>3</v>
      </c>
      <c r="C69" s="212" t="s">
        <v>5</v>
      </c>
      <c r="D69" s="217" t="s">
        <v>222</v>
      </c>
      <c r="E69" s="212"/>
      <c r="F69" s="214">
        <v>1</v>
      </c>
      <c r="G69" s="212" t="s">
        <v>5</v>
      </c>
      <c r="H69" s="212" t="s">
        <v>222</v>
      </c>
      <c r="I69" s="212"/>
      <c r="J69" s="214"/>
      <c r="K69" s="212" t="s">
        <v>5</v>
      </c>
      <c r="L69" s="212" t="s">
        <v>222</v>
      </c>
      <c r="M69" s="212"/>
      <c r="N69" s="214">
        <v>3200001</v>
      </c>
      <c r="O69" s="289" t="s">
        <v>5</v>
      </c>
      <c r="P69" s="212" t="s">
        <v>222</v>
      </c>
      <c r="Q69" s="212"/>
      <c r="R69" s="214"/>
      <c r="S69" s="212" t="s">
        <v>8</v>
      </c>
      <c r="T69" s="212" t="s">
        <v>222</v>
      </c>
      <c r="U69" s="212"/>
      <c r="V69" s="212"/>
      <c r="W69" s="212"/>
      <c r="X69" s="212" t="s">
        <v>222</v>
      </c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</row>
    <row r="70" spans="1:37" ht="18.75" customHeight="1">
      <c r="A70" s="211">
        <v>45896</v>
      </c>
      <c r="B70" s="214">
        <v>4</v>
      </c>
      <c r="C70" s="212" t="s">
        <v>5</v>
      </c>
      <c r="D70" s="217" t="s">
        <v>222</v>
      </c>
      <c r="E70" s="212"/>
      <c r="F70" s="214">
        <v>2</v>
      </c>
      <c r="G70" s="212" t="s">
        <v>5</v>
      </c>
      <c r="H70" s="212" t="s">
        <v>222</v>
      </c>
      <c r="I70" s="212"/>
      <c r="J70" s="214"/>
      <c r="K70" s="212" t="s">
        <v>5</v>
      </c>
      <c r="L70" s="212" t="s">
        <v>222</v>
      </c>
      <c r="M70" s="212"/>
      <c r="N70" s="214">
        <v>1900000</v>
      </c>
      <c r="O70" s="289" t="s">
        <v>5</v>
      </c>
      <c r="P70" s="212" t="s">
        <v>222</v>
      </c>
      <c r="Q70" s="212"/>
      <c r="R70" s="214"/>
      <c r="S70" s="212" t="s">
        <v>8</v>
      </c>
      <c r="T70" s="212" t="s">
        <v>222</v>
      </c>
      <c r="U70" s="212"/>
      <c r="V70" s="212"/>
      <c r="W70" s="212"/>
      <c r="X70" s="212" t="s">
        <v>222</v>
      </c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</row>
    <row r="71" spans="1:37" ht="18.75" customHeight="1">
      <c r="A71" s="211">
        <v>45897</v>
      </c>
      <c r="B71" s="214">
        <v>1300000</v>
      </c>
      <c r="C71" s="212" t="s">
        <v>5</v>
      </c>
      <c r="D71" s="217" t="s">
        <v>222</v>
      </c>
      <c r="E71" s="212"/>
      <c r="F71" s="214">
        <v>3</v>
      </c>
      <c r="G71" s="212" t="s">
        <v>5</v>
      </c>
      <c r="H71" s="212" t="s">
        <v>222</v>
      </c>
      <c r="I71" s="212"/>
      <c r="J71" s="214"/>
      <c r="K71" s="212" t="s">
        <v>5</v>
      </c>
      <c r="L71" s="212" t="s">
        <v>222</v>
      </c>
      <c r="M71" s="212"/>
      <c r="N71" s="214">
        <v>0</v>
      </c>
      <c r="O71" s="289" t="s">
        <v>5</v>
      </c>
      <c r="P71" s="212" t="s">
        <v>222</v>
      </c>
      <c r="Q71" s="212"/>
      <c r="R71" s="214"/>
      <c r="S71" s="212" t="s">
        <v>8</v>
      </c>
      <c r="T71" s="212" t="s">
        <v>222</v>
      </c>
      <c r="U71" s="212"/>
      <c r="V71" s="212"/>
      <c r="W71" s="212"/>
      <c r="X71" s="212" t="s">
        <v>222</v>
      </c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</row>
    <row r="72" spans="1:37" ht="18.75" customHeight="1">
      <c r="A72" s="211">
        <v>45898</v>
      </c>
      <c r="B72" s="214">
        <v>1400001</v>
      </c>
      <c r="C72" s="212" t="s">
        <v>5</v>
      </c>
      <c r="D72" s="217" t="s">
        <v>222</v>
      </c>
      <c r="E72" s="212"/>
      <c r="F72" s="214">
        <v>4</v>
      </c>
      <c r="G72" s="212" t="s">
        <v>5</v>
      </c>
      <c r="H72" s="212" t="s">
        <v>222</v>
      </c>
      <c r="I72" s="212"/>
      <c r="J72" s="214">
        <v>600000</v>
      </c>
      <c r="K72" s="212" t="s">
        <v>5</v>
      </c>
      <c r="L72" s="212" t="s">
        <v>222</v>
      </c>
      <c r="M72" s="212"/>
      <c r="N72" s="214">
        <v>1</v>
      </c>
      <c r="O72" s="289" t="s">
        <v>5</v>
      </c>
      <c r="P72" s="212" t="s">
        <v>222</v>
      </c>
      <c r="Q72" s="212"/>
      <c r="R72" s="214"/>
      <c r="S72" s="212" t="s">
        <v>8</v>
      </c>
      <c r="T72" s="212" t="s">
        <v>222</v>
      </c>
      <c r="U72" s="212"/>
      <c r="V72" s="212"/>
      <c r="W72" s="212"/>
      <c r="X72" s="212" t="s">
        <v>222</v>
      </c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</row>
    <row r="73" spans="1:37" ht="18.75" customHeight="1">
      <c r="A73" s="211">
        <v>45901</v>
      </c>
      <c r="B73" s="214"/>
      <c r="C73" s="212" t="s">
        <v>5</v>
      </c>
      <c r="D73" s="217" t="s">
        <v>222</v>
      </c>
      <c r="E73" s="212"/>
      <c r="F73" s="214">
        <v>1300000</v>
      </c>
      <c r="G73" s="212" t="s">
        <v>5</v>
      </c>
      <c r="H73" s="212" t="s">
        <v>222</v>
      </c>
      <c r="I73" s="212"/>
      <c r="J73" s="214">
        <v>0</v>
      </c>
      <c r="K73" s="212" t="s">
        <v>5</v>
      </c>
      <c r="L73" s="212" t="s">
        <v>222</v>
      </c>
      <c r="M73" s="212"/>
      <c r="N73" s="214">
        <v>2</v>
      </c>
      <c r="O73" s="289" t="s">
        <v>5</v>
      </c>
      <c r="P73" s="212" t="s">
        <v>222</v>
      </c>
      <c r="Q73" s="212"/>
      <c r="R73" s="214"/>
      <c r="S73" s="212" t="s">
        <v>8</v>
      </c>
      <c r="T73" s="212" t="s">
        <v>222</v>
      </c>
      <c r="U73" s="212"/>
      <c r="V73" s="212"/>
      <c r="W73" s="212"/>
      <c r="X73" s="212" t="s">
        <v>222</v>
      </c>
      <c r="Y73" s="212"/>
      <c r="Z73" s="212"/>
      <c r="AA73" s="212"/>
      <c r="AB73" s="212"/>
      <c r="AC73" s="212"/>
      <c r="AD73" s="212"/>
      <c r="AE73" s="212"/>
      <c r="AF73" s="212"/>
      <c r="AG73" s="212"/>
      <c r="AH73" s="214">
        <v>600000</v>
      </c>
      <c r="AI73" s="212" t="s">
        <v>53</v>
      </c>
      <c r="AJ73" s="212"/>
      <c r="AK73" s="212"/>
    </row>
    <row r="74" spans="1:37" ht="18.75" customHeight="1">
      <c r="A74" s="211">
        <v>45902</v>
      </c>
      <c r="B74" s="214"/>
      <c r="C74" s="212" t="s">
        <v>5</v>
      </c>
      <c r="D74" s="217" t="s">
        <v>222</v>
      </c>
      <c r="E74" s="212"/>
      <c r="F74" s="214">
        <v>1300001</v>
      </c>
      <c r="G74" s="212" t="s">
        <v>5</v>
      </c>
      <c r="H74" s="212" t="s">
        <v>222</v>
      </c>
      <c r="I74" s="212"/>
      <c r="J74" s="214">
        <v>1</v>
      </c>
      <c r="K74" s="212" t="s">
        <v>5</v>
      </c>
      <c r="L74" s="212" t="s">
        <v>222</v>
      </c>
      <c r="M74" s="212"/>
      <c r="N74" s="214">
        <v>3</v>
      </c>
      <c r="O74" s="289" t="s">
        <v>5</v>
      </c>
      <c r="P74" s="212" t="s">
        <v>222</v>
      </c>
      <c r="Q74" s="212"/>
      <c r="R74" s="214"/>
      <c r="S74" s="212" t="s">
        <v>8</v>
      </c>
      <c r="T74" s="212" t="s">
        <v>222</v>
      </c>
      <c r="U74" s="212"/>
      <c r="V74" s="212"/>
      <c r="W74" s="212"/>
      <c r="X74" s="212" t="s">
        <v>222</v>
      </c>
      <c r="Y74" s="212"/>
      <c r="Z74" s="212"/>
      <c r="AA74" s="212"/>
      <c r="AB74" s="212"/>
      <c r="AC74" s="212"/>
      <c r="AD74" s="212"/>
      <c r="AE74" s="212"/>
      <c r="AF74" s="212"/>
      <c r="AG74" s="212"/>
      <c r="AH74" s="214">
        <v>590000</v>
      </c>
      <c r="AI74" s="212" t="s">
        <v>53</v>
      </c>
      <c r="AJ74" s="212"/>
      <c r="AK74" s="212"/>
    </row>
    <row r="75" spans="1:37" ht="18.75" customHeight="1">
      <c r="A75" s="211">
        <v>45903</v>
      </c>
      <c r="B75" s="214"/>
      <c r="C75" s="212" t="s">
        <v>5</v>
      </c>
      <c r="D75" s="217" t="s">
        <v>222</v>
      </c>
      <c r="E75" s="212"/>
      <c r="F75" s="214">
        <v>1300002</v>
      </c>
      <c r="G75" s="212" t="s">
        <v>5</v>
      </c>
      <c r="H75" s="212" t="s">
        <v>222</v>
      </c>
      <c r="I75" s="212"/>
      <c r="J75" s="214">
        <v>2</v>
      </c>
      <c r="K75" s="212" t="s">
        <v>5</v>
      </c>
      <c r="L75" s="212" t="s">
        <v>222</v>
      </c>
      <c r="M75" s="212"/>
      <c r="N75" s="214">
        <v>4</v>
      </c>
      <c r="O75" s="289" t="s">
        <v>5</v>
      </c>
      <c r="P75" s="212" t="s">
        <v>222</v>
      </c>
      <c r="Q75" s="212"/>
      <c r="R75" s="214">
        <v>1200000</v>
      </c>
      <c r="S75" s="212" t="s">
        <v>5</v>
      </c>
      <c r="T75" s="212" t="s">
        <v>222</v>
      </c>
      <c r="U75" s="212"/>
      <c r="V75" s="212"/>
      <c r="W75" s="212"/>
      <c r="X75" s="212" t="s">
        <v>222</v>
      </c>
      <c r="Y75" s="212"/>
      <c r="Z75" s="212"/>
      <c r="AA75" s="212"/>
      <c r="AB75" s="212"/>
      <c r="AC75" s="212"/>
      <c r="AD75" s="212"/>
      <c r="AE75" s="212"/>
      <c r="AF75" s="212"/>
      <c r="AG75" s="212"/>
      <c r="AH75" s="214">
        <v>93463.44</v>
      </c>
      <c r="AI75" s="212" t="s">
        <v>53</v>
      </c>
      <c r="AJ75" s="212"/>
      <c r="AK75" s="212"/>
    </row>
    <row r="76" spans="1:37" ht="18.75" customHeight="1">
      <c r="A76" s="211">
        <v>45904</v>
      </c>
      <c r="B76" s="214">
        <v>0</v>
      </c>
      <c r="C76" s="212" t="s">
        <v>5</v>
      </c>
      <c r="D76" s="217" t="s">
        <v>222</v>
      </c>
      <c r="E76" s="212"/>
      <c r="F76" s="214">
        <v>0</v>
      </c>
      <c r="G76" s="212" t="s">
        <v>5</v>
      </c>
      <c r="H76" s="212" t="s">
        <v>222</v>
      </c>
      <c r="I76" s="212"/>
      <c r="J76" s="214">
        <v>400000</v>
      </c>
      <c r="K76" s="212" t="s">
        <v>5</v>
      </c>
      <c r="L76" s="212" t="s">
        <v>222</v>
      </c>
      <c r="M76" s="212"/>
      <c r="N76" s="214">
        <v>5</v>
      </c>
      <c r="O76" s="289" t="s">
        <v>5</v>
      </c>
      <c r="P76" s="212" t="s">
        <v>222</v>
      </c>
      <c r="Q76" s="212"/>
      <c r="R76" s="214">
        <v>1000000</v>
      </c>
      <c r="S76" s="212" t="s">
        <v>5</v>
      </c>
      <c r="T76" s="212" t="s">
        <v>222</v>
      </c>
      <c r="U76" s="212"/>
      <c r="V76" s="212"/>
      <c r="W76" s="212"/>
      <c r="X76" s="212" t="s">
        <v>222</v>
      </c>
      <c r="Y76" s="212"/>
      <c r="Z76" s="212"/>
      <c r="AA76" s="212"/>
      <c r="AB76" s="212"/>
      <c r="AC76" s="212"/>
      <c r="AD76" s="212"/>
      <c r="AE76" s="212"/>
      <c r="AF76" s="212"/>
      <c r="AG76" s="212"/>
      <c r="AH76" s="214">
        <v>55055.91</v>
      </c>
      <c r="AI76" s="212" t="s">
        <v>53</v>
      </c>
      <c r="AJ76" s="212"/>
      <c r="AK76" s="212"/>
    </row>
    <row r="77" spans="1:37" ht="18.75" customHeight="1">
      <c r="A77" s="211">
        <v>45908</v>
      </c>
      <c r="B77" s="214">
        <v>500000</v>
      </c>
      <c r="C77" s="212" t="s">
        <v>5</v>
      </c>
      <c r="D77" s="217" t="s">
        <v>222</v>
      </c>
      <c r="E77" s="212"/>
      <c r="F77" s="214">
        <v>1</v>
      </c>
      <c r="G77" s="212" t="s">
        <v>5</v>
      </c>
      <c r="H77" s="212" t="s">
        <v>222</v>
      </c>
      <c r="I77" s="212"/>
      <c r="J77" s="214">
        <v>0</v>
      </c>
      <c r="K77" s="212" t="s">
        <v>5</v>
      </c>
      <c r="L77" s="212" t="s">
        <v>222</v>
      </c>
      <c r="M77" s="212"/>
      <c r="N77" s="214">
        <v>6</v>
      </c>
      <c r="O77" s="289" t="s">
        <v>5</v>
      </c>
      <c r="P77" s="212" t="s">
        <v>222</v>
      </c>
      <c r="Q77" s="212"/>
      <c r="R77" s="214">
        <v>0</v>
      </c>
      <c r="S77" s="212" t="s">
        <v>5</v>
      </c>
      <c r="T77" s="212" t="s">
        <v>222</v>
      </c>
      <c r="U77" s="212"/>
      <c r="V77" s="212"/>
      <c r="W77" s="212"/>
      <c r="X77" s="212" t="s">
        <v>222</v>
      </c>
      <c r="Y77" s="212"/>
      <c r="Z77" s="212"/>
      <c r="AA77" s="212"/>
      <c r="AB77" s="212"/>
      <c r="AC77" s="212"/>
      <c r="AD77" s="212"/>
      <c r="AE77" s="212"/>
      <c r="AF77" s="212"/>
      <c r="AG77" s="212"/>
      <c r="AH77" s="214">
        <v>55055.91</v>
      </c>
      <c r="AI77" s="212" t="s">
        <v>53</v>
      </c>
      <c r="AJ77" s="212"/>
      <c r="AK77" s="212"/>
    </row>
    <row r="78" spans="1:37" ht="18.75" customHeight="1">
      <c r="A78" s="211">
        <v>45909</v>
      </c>
      <c r="B78" s="214">
        <v>0</v>
      </c>
      <c r="C78" s="212" t="s">
        <v>5</v>
      </c>
      <c r="D78" s="217" t="s">
        <v>222</v>
      </c>
      <c r="E78" s="212" t="s">
        <v>245</v>
      </c>
      <c r="F78" s="214">
        <v>2</v>
      </c>
      <c r="G78" s="212" t="s">
        <v>5</v>
      </c>
      <c r="H78" s="212" t="s">
        <v>222</v>
      </c>
      <c r="I78" s="212"/>
      <c r="J78" s="214">
        <v>1</v>
      </c>
      <c r="K78" s="212" t="s">
        <v>5</v>
      </c>
      <c r="L78" s="212" t="s">
        <v>222</v>
      </c>
      <c r="M78" s="212"/>
      <c r="N78" s="214">
        <v>7</v>
      </c>
      <c r="O78" s="289" t="s">
        <v>5</v>
      </c>
      <c r="P78" s="212" t="s">
        <v>222</v>
      </c>
      <c r="Q78" s="212"/>
      <c r="R78" s="214">
        <v>1</v>
      </c>
      <c r="S78" s="212" t="s">
        <v>5</v>
      </c>
      <c r="T78" s="212" t="s">
        <v>222</v>
      </c>
      <c r="U78" s="212"/>
      <c r="V78" s="212"/>
      <c r="W78" s="212"/>
      <c r="X78" s="212" t="s">
        <v>222</v>
      </c>
      <c r="Y78" s="212"/>
      <c r="Z78" s="212"/>
      <c r="AA78" s="212"/>
      <c r="AB78" s="212"/>
      <c r="AC78" s="212"/>
      <c r="AD78" s="212"/>
      <c r="AE78" s="212"/>
      <c r="AF78" s="212"/>
      <c r="AG78" s="212"/>
      <c r="AH78" s="214">
        <v>55055.91</v>
      </c>
      <c r="AI78" s="212" t="s">
        <v>53</v>
      </c>
      <c r="AJ78" s="212"/>
      <c r="AK78" s="212"/>
    </row>
    <row r="79" spans="1:37" ht="18.75" customHeight="1">
      <c r="A79" s="211">
        <v>45910</v>
      </c>
      <c r="B79" s="214">
        <v>500000</v>
      </c>
      <c r="C79" s="212" t="s">
        <v>5</v>
      </c>
      <c r="D79" s="217" t="s">
        <v>222</v>
      </c>
      <c r="E79" s="212"/>
      <c r="F79" s="214">
        <v>3</v>
      </c>
      <c r="G79" s="212" t="s">
        <v>5</v>
      </c>
      <c r="H79" s="212" t="s">
        <v>222</v>
      </c>
      <c r="I79" s="212"/>
      <c r="J79" s="214">
        <v>270000</v>
      </c>
      <c r="K79" s="212" t="s">
        <v>5</v>
      </c>
      <c r="L79" s="212" t="s">
        <v>222</v>
      </c>
      <c r="M79" s="212"/>
      <c r="N79" s="214">
        <v>8</v>
      </c>
      <c r="O79" s="289" t="s">
        <v>5</v>
      </c>
      <c r="P79" s="212" t="s">
        <v>222</v>
      </c>
      <c r="Q79" s="212"/>
      <c r="R79" s="214"/>
      <c r="S79" s="212" t="s">
        <v>5</v>
      </c>
      <c r="T79" s="212" t="s">
        <v>222</v>
      </c>
      <c r="U79" s="212"/>
      <c r="V79" s="212"/>
      <c r="W79" s="212"/>
      <c r="X79" s="212" t="s">
        <v>222</v>
      </c>
      <c r="Y79" s="212"/>
      <c r="Z79" s="212"/>
      <c r="AA79" s="212"/>
      <c r="AB79" s="212"/>
      <c r="AC79" s="212"/>
      <c r="AD79" s="212"/>
      <c r="AE79" s="212"/>
      <c r="AF79" s="212"/>
      <c r="AG79" s="212"/>
      <c r="AH79" s="214">
        <v>24260.78</v>
      </c>
      <c r="AI79" s="212" t="s">
        <v>53</v>
      </c>
      <c r="AJ79" s="212"/>
      <c r="AK79" s="212"/>
    </row>
    <row r="80" spans="1:37" ht="18.75" customHeight="1">
      <c r="A80" s="211">
        <v>45911</v>
      </c>
      <c r="B80" s="214">
        <v>1</v>
      </c>
      <c r="C80" s="212" t="s">
        <v>5</v>
      </c>
      <c r="D80" s="217" t="s">
        <v>222</v>
      </c>
      <c r="E80" s="212"/>
      <c r="F80" s="214">
        <v>4</v>
      </c>
      <c r="G80" s="212" t="s">
        <v>5</v>
      </c>
      <c r="H80" s="212" t="s">
        <v>222</v>
      </c>
      <c r="I80" s="212"/>
      <c r="J80" s="214">
        <v>1</v>
      </c>
      <c r="K80" s="212" t="s">
        <v>5</v>
      </c>
      <c r="L80" s="212" t="s">
        <v>222</v>
      </c>
      <c r="M80" s="212"/>
      <c r="N80" s="214">
        <v>9</v>
      </c>
      <c r="O80" s="289" t="s">
        <v>5</v>
      </c>
      <c r="P80" s="212" t="s">
        <v>222</v>
      </c>
      <c r="Q80" s="212"/>
      <c r="R80" s="214"/>
      <c r="S80" s="212" t="s">
        <v>5</v>
      </c>
      <c r="T80" s="212" t="s">
        <v>222</v>
      </c>
      <c r="U80" s="212"/>
      <c r="V80" s="212"/>
      <c r="W80" s="212"/>
      <c r="X80" s="212" t="s">
        <v>222</v>
      </c>
      <c r="Y80" s="212"/>
      <c r="Z80" s="212"/>
      <c r="AA80" s="212"/>
      <c r="AB80" s="212"/>
      <c r="AC80" s="212"/>
      <c r="AD80" s="212"/>
      <c r="AE80" s="212"/>
      <c r="AF80" s="212"/>
      <c r="AG80" s="212"/>
      <c r="AH80" s="214">
        <v>0</v>
      </c>
      <c r="AI80" s="212" t="s">
        <v>53</v>
      </c>
      <c r="AJ80" s="212"/>
      <c r="AK80" s="212"/>
    </row>
    <row r="81" spans="1:37" ht="18.75" customHeight="1">
      <c r="A81" s="211">
        <v>45912</v>
      </c>
      <c r="B81" s="214">
        <v>500000</v>
      </c>
      <c r="C81" s="212" t="s">
        <v>5</v>
      </c>
      <c r="D81" s="217" t="s">
        <v>222</v>
      </c>
      <c r="E81" s="212"/>
      <c r="F81" s="214">
        <v>5</v>
      </c>
      <c r="G81" s="212" t="s">
        <v>5</v>
      </c>
      <c r="H81" s="212" t="s">
        <v>222</v>
      </c>
      <c r="I81" s="212"/>
      <c r="J81" s="214">
        <v>1200000</v>
      </c>
      <c r="K81" s="212" t="s">
        <v>5</v>
      </c>
      <c r="L81" s="212" t="s">
        <v>222</v>
      </c>
      <c r="M81" s="212"/>
      <c r="N81" s="214">
        <v>10</v>
      </c>
      <c r="O81" s="289" t="s">
        <v>5</v>
      </c>
      <c r="P81" s="212" t="s">
        <v>222</v>
      </c>
      <c r="Q81" s="212" t="s">
        <v>246</v>
      </c>
      <c r="R81" s="214"/>
      <c r="S81" s="212" t="s">
        <v>5</v>
      </c>
      <c r="T81" s="212" t="s">
        <v>222</v>
      </c>
      <c r="U81" s="212"/>
      <c r="V81" s="212"/>
      <c r="W81" s="212"/>
      <c r="X81" s="212" t="s">
        <v>222</v>
      </c>
      <c r="Y81" s="212"/>
      <c r="Z81" s="212"/>
      <c r="AA81" s="212"/>
      <c r="AB81" s="212"/>
      <c r="AC81" s="212"/>
      <c r="AD81" s="212"/>
      <c r="AE81" s="212"/>
      <c r="AF81" s="212"/>
      <c r="AG81" s="212"/>
      <c r="AH81" s="214">
        <v>134185.75</v>
      </c>
      <c r="AI81" s="212" t="s">
        <v>53</v>
      </c>
      <c r="AJ81" s="212"/>
      <c r="AK81" s="212"/>
    </row>
    <row r="82" spans="1:37" ht="18.75" customHeight="1">
      <c r="A82" s="211">
        <v>45915</v>
      </c>
      <c r="B82" s="214">
        <v>5000000</v>
      </c>
      <c r="C82" s="212" t="s">
        <v>5</v>
      </c>
      <c r="D82" s="217" t="s">
        <v>222</v>
      </c>
      <c r="E82" s="212"/>
      <c r="F82" s="214">
        <v>6</v>
      </c>
      <c r="G82" s="212" t="s">
        <v>5</v>
      </c>
      <c r="H82" s="212" t="s">
        <v>222</v>
      </c>
      <c r="I82" s="212"/>
      <c r="J82" s="214">
        <v>100000</v>
      </c>
      <c r="K82" s="212" t="s">
        <v>5</v>
      </c>
      <c r="L82" s="212" t="s">
        <v>222</v>
      </c>
      <c r="M82" s="212"/>
      <c r="N82" s="214">
        <v>3000000</v>
      </c>
      <c r="O82" s="289" t="s">
        <v>5</v>
      </c>
      <c r="P82" s="212" t="s">
        <v>223</v>
      </c>
      <c r="Q82" s="212" t="s">
        <v>247</v>
      </c>
      <c r="R82" s="214"/>
      <c r="S82" s="212" t="s">
        <v>5</v>
      </c>
      <c r="T82" s="212" t="s">
        <v>222</v>
      </c>
      <c r="U82" s="212"/>
      <c r="V82" s="212"/>
      <c r="W82" s="212"/>
      <c r="X82" s="212" t="s">
        <v>222</v>
      </c>
      <c r="Y82" s="212"/>
      <c r="Z82" s="212"/>
      <c r="AA82" s="212"/>
      <c r="AB82" s="212"/>
      <c r="AC82" s="212"/>
      <c r="AD82" s="212"/>
      <c r="AE82" s="212"/>
      <c r="AF82" s="212"/>
      <c r="AG82" s="212"/>
      <c r="AH82" s="214">
        <v>9039.23</v>
      </c>
      <c r="AI82" s="212" t="s">
        <v>53</v>
      </c>
      <c r="AJ82" s="212"/>
      <c r="AK82" s="212"/>
    </row>
    <row r="83" spans="1:37" ht="18.75" customHeight="1">
      <c r="A83" s="211">
        <v>45916</v>
      </c>
      <c r="B83" s="214">
        <v>4200000</v>
      </c>
      <c r="C83" s="212" t="s">
        <v>5</v>
      </c>
      <c r="D83" s="217" t="s">
        <v>222</v>
      </c>
      <c r="E83" s="212"/>
      <c r="F83" s="214">
        <v>7</v>
      </c>
      <c r="G83" s="212" t="s">
        <v>5</v>
      </c>
      <c r="H83" s="212" t="s">
        <v>222</v>
      </c>
      <c r="I83" s="212"/>
      <c r="J83" s="214">
        <v>1850000</v>
      </c>
      <c r="K83" s="212" t="s">
        <v>5</v>
      </c>
      <c r="L83" s="212" t="s">
        <v>222</v>
      </c>
      <c r="M83" s="212"/>
      <c r="N83" s="214">
        <v>5800000</v>
      </c>
      <c r="O83" s="289" t="s">
        <v>5</v>
      </c>
      <c r="P83" s="212" t="s">
        <v>222</v>
      </c>
      <c r="Q83" s="212"/>
      <c r="R83" s="214"/>
      <c r="S83" s="212" t="s">
        <v>5</v>
      </c>
      <c r="T83" s="212" t="s">
        <v>222</v>
      </c>
      <c r="U83" s="212"/>
      <c r="V83" s="212"/>
      <c r="W83" s="212"/>
      <c r="X83" s="212" t="s">
        <v>222</v>
      </c>
      <c r="Y83" s="212"/>
      <c r="Z83" s="212"/>
      <c r="AA83" s="212"/>
      <c r="AB83" s="212"/>
      <c r="AC83" s="212"/>
      <c r="AD83" s="212"/>
      <c r="AE83" s="212"/>
      <c r="AF83" s="212"/>
      <c r="AG83" s="212"/>
      <c r="AH83" s="214">
        <v>710944.24</v>
      </c>
      <c r="AI83" s="212" t="s">
        <v>53</v>
      </c>
      <c r="AJ83" s="212"/>
      <c r="AK83" s="212"/>
    </row>
    <row r="84" spans="1:37" ht="18.75" customHeight="1">
      <c r="A84" s="211">
        <v>45917</v>
      </c>
      <c r="B84" s="214">
        <v>4200002</v>
      </c>
      <c r="C84" s="212" t="s">
        <v>5</v>
      </c>
      <c r="D84" s="217" t="s">
        <v>222</v>
      </c>
      <c r="E84" s="212"/>
      <c r="F84" s="214">
        <v>8</v>
      </c>
      <c r="G84" s="212" t="s">
        <v>5</v>
      </c>
      <c r="H84" s="212" t="s">
        <v>222</v>
      </c>
      <c r="I84" s="212"/>
      <c r="J84" s="214">
        <v>1850000</v>
      </c>
      <c r="K84" s="212" t="s">
        <v>5</v>
      </c>
      <c r="L84" s="212" t="s">
        <v>222</v>
      </c>
      <c r="M84" s="212"/>
      <c r="N84" s="214">
        <v>5600000</v>
      </c>
      <c r="O84" s="289" t="s">
        <v>5</v>
      </c>
      <c r="P84" s="212" t="s">
        <v>222</v>
      </c>
      <c r="Q84" s="212"/>
      <c r="R84" s="214"/>
      <c r="S84" s="212" t="s">
        <v>5</v>
      </c>
      <c r="T84" s="212" t="s">
        <v>222</v>
      </c>
      <c r="U84" s="212"/>
      <c r="V84" s="212"/>
      <c r="W84" s="212"/>
      <c r="X84" s="212" t="s">
        <v>222</v>
      </c>
      <c r="Y84" s="212"/>
      <c r="Z84" s="212"/>
      <c r="AA84" s="212"/>
      <c r="AB84" s="212"/>
      <c r="AC84" s="212"/>
      <c r="AD84" s="212"/>
      <c r="AE84" s="212"/>
      <c r="AF84" s="212"/>
      <c r="AG84" s="212"/>
      <c r="AH84" s="214">
        <v>710945.24</v>
      </c>
      <c r="AI84" s="212" t="s">
        <v>53</v>
      </c>
      <c r="AJ84" s="212"/>
      <c r="AK84" s="212"/>
    </row>
    <row r="85" spans="1:37" ht="18.75" customHeight="1">
      <c r="A85" s="211">
        <v>45918</v>
      </c>
      <c r="B85" s="214">
        <v>4200002</v>
      </c>
      <c r="C85" s="212" t="s">
        <v>5</v>
      </c>
      <c r="D85" s="217" t="s">
        <v>222</v>
      </c>
      <c r="E85" s="212"/>
      <c r="F85" s="214">
        <v>9</v>
      </c>
      <c r="G85" s="212" t="s">
        <v>5</v>
      </c>
      <c r="H85" s="212" t="s">
        <v>222</v>
      </c>
      <c r="I85" s="212"/>
      <c r="J85" s="214">
        <v>1500000</v>
      </c>
      <c r="K85" s="212" t="s">
        <v>5</v>
      </c>
      <c r="L85" s="212" t="s">
        <v>222</v>
      </c>
      <c r="M85" s="212"/>
      <c r="N85" s="214">
        <v>1000000</v>
      </c>
      <c r="O85" s="289" t="s">
        <v>5</v>
      </c>
      <c r="P85" s="212" t="s">
        <v>222</v>
      </c>
      <c r="Q85" s="212"/>
      <c r="R85" s="214"/>
      <c r="S85" s="212" t="s">
        <v>5</v>
      </c>
      <c r="T85" s="212" t="s">
        <v>222</v>
      </c>
      <c r="U85" s="212"/>
      <c r="V85" s="212"/>
      <c r="W85" s="212"/>
      <c r="X85" s="212" t="s">
        <v>222</v>
      </c>
      <c r="Y85" s="212"/>
      <c r="Z85" s="212"/>
      <c r="AA85" s="212"/>
      <c r="AB85" s="212"/>
      <c r="AC85" s="212"/>
      <c r="AD85" s="212"/>
      <c r="AE85" s="212"/>
      <c r="AF85" s="212"/>
      <c r="AG85" s="212"/>
      <c r="AH85" s="214">
        <v>824574.24</v>
      </c>
      <c r="AI85" s="212" t="s">
        <v>53</v>
      </c>
      <c r="AJ85" s="212"/>
      <c r="AK85" s="212"/>
    </row>
    <row r="86" spans="1:37" ht="18.75" customHeight="1">
      <c r="A86" s="211">
        <v>45919</v>
      </c>
      <c r="B86" s="214">
        <v>2000004</v>
      </c>
      <c r="C86" s="212" t="s">
        <v>5</v>
      </c>
      <c r="D86" s="217" t="s">
        <v>222</v>
      </c>
      <c r="E86" s="212" t="s">
        <v>248</v>
      </c>
      <c r="F86" s="214">
        <v>10</v>
      </c>
      <c r="G86" s="212" t="s">
        <v>5</v>
      </c>
      <c r="H86" s="212" t="s">
        <v>222</v>
      </c>
      <c r="I86" s="212"/>
      <c r="J86" s="214">
        <v>1500001</v>
      </c>
      <c r="K86" s="212" t="s">
        <v>5</v>
      </c>
      <c r="L86" s="212" t="s">
        <v>222</v>
      </c>
      <c r="M86" s="212"/>
      <c r="N86" s="214">
        <v>1200001</v>
      </c>
      <c r="O86" s="289" t="s">
        <v>5</v>
      </c>
      <c r="P86" s="212" t="s">
        <v>222</v>
      </c>
      <c r="Q86" s="212"/>
      <c r="R86" s="214"/>
      <c r="S86" s="212" t="s">
        <v>5</v>
      </c>
      <c r="T86" s="212" t="s">
        <v>222</v>
      </c>
      <c r="U86" s="212"/>
      <c r="V86" s="214">
        <v>5500000</v>
      </c>
      <c r="W86" s="212" t="s">
        <v>5</v>
      </c>
      <c r="X86" s="212" t="s">
        <v>222</v>
      </c>
      <c r="Y86" s="212"/>
      <c r="Z86" s="212"/>
      <c r="AA86" s="212"/>
      <c r="AB86" s="212"/>
      <c r="AC86" s="212"/>
      <c r="AD86" s="212"/>
      <c r="AE86" s="212"/>
      <c r="AF86" s="212"/>
      <c r="AG86" s="212"/>
      <c r="AH86" s="214">
        <v>803157.34</v>
      </c>
      <c r="AI86" s="212" t="s">
        <v>53</v>
      </c>
      <c r="AJ86" s="212"/>
      <c r="AK86" s="212"/>
    </row>
    <row r="87" spans="1:37" ht="18.75" customHeight="1">
      <c r="A87" s="211">
        <v>45922</v>
      </c>
      <c r="B87" s="214">
        <v>1000000</v>
      </c>
      <c r="C87" s="212" t="s">
        <v>5</v>
      </c>
      <c r="D87" s="217" t="s">
        <v>222</v>
      </c>
      <c r="E87" s="212"/>
      <c r="F87" s="214">
        <v>11</v>
      </c>
      <c r="G87" s="212" t="s">
        <v>5</v>
      </c>
      <c r="H87" s="212" t="s">
        <v>222</v>
      </c>
      <c r="I87" s="212"/>
      <c r="J87" s="214">
        <v>500000</v>
      </c>
      <c r="K87" s="212" t="s">
        <v>5</v>
      </c>
      <c r="L87" s="212" t="s">
        <v>222</v>
      </c>
      <c r="M87" s="212"/>
      <c r="N87" s="214">
        <v>0</v>
      </c>
      <c r="O87" s="289" t="s">
        <v>5</v>
      </c>
      <c r="P87" s="212" t="s">
        <v>222</v>
      </c>
      <c r="Q87" s="212"/>
      <c r="R87" s="214"/>
      <c r="S87" s="212" t="s">
        <v>5</v>
      </c>
      <c r="T87" s="212" t="s">
        <v>222</v>
      </c>
      <c r="U87" s="212"/>
      <c r="V87" s="214">
        <v>3800000</v>
      </c>
      <c r="W87" s="212" t="s">
        <v>5</v>
      </c>
      <c r="X87" s="212" t="s">
        <v>222</v>
      </c>
      <c r="Y87" s="212"/>
      <c r="Z87" s="212"/>
      <c r="AA87" s="212"/>
      <c r="AB87" s="212"/>
      <c r="AC87" s="212"/>
      <c r="AD87" s="212"/>
      <c r="AE87" s="212"/>
      <c r="AF87" s="212"/>
      <c r="AG87" s="212"/>
      <c r="AH87" s="214">
        <v>653437.49</v>
      </c>
      <c r="AI87" s="212" t="s">
        <v>53</v>
      </c>
      <c r="AJ87" s="212"/>
      <c r="AK87" s="212"/>
    </row>
    <row r="88" spans="1:37" ht="18.75" customHeight="1">
      <c r="A88" s="211">
        <v>45923</v>
      </c>
      <c r="B88" s="214">
        <v>1500001</v>
      </c>
      <c r="C88" s="212" t="s">
        <v>5</v>
      </c>
      <c r="D88" s="217" t="s">
        <v>222</v>
      </c>
      <c r="E88" s="217" t="s">
        <v>249</v>
      </c>
      <c r="F88" s="214">
        <v>12</v>
      </c>
      <c r="G88" s="212" t="s">
        <v>5</v>
      </c>
      <c r="H88" s="212" t="s">
        <v>222</v>
      </c>
      <c r="I88" s="212"/>
      <c r="J88" s="214">
        <v>800000</v>
      </c>
      <c r="K88" s="212" t="s">
        <v>5</v>
      </c>
      <c r="L88" s="212" t="s">
        <v>222</v>
      </c>
      <c r="M88" s="217" t="s">
        <v>250</v>
      </c>
      <c r="N88" s="214">
        <v>1</v>
      </c>
      <c r="O88" s="289" t="s">
        <v>5</v>
      </c>
      <c r="P88" s="212" t="s">
        <v>222</v>
      </c>
      <c r="Q88" s="212"/>
      <c r="R88" s="214"/>
      <c r="S88" s="212" t="s">
        <v>5</v>
      </c>
      <c r="T88" s="212" t="s">
        <v>222</v>
      </c>
      <c r="U88" s="212"/>
      <c r="V88" s="214">
        <v>1600000</v>
      </c>
      <c r="W88" s="212" t="s">
        <v>5</v>
      </c>
      <c r="X88" s="212" t="s">
        <v>222</v>
      </c>
      <c r="Y88" s="217" t="s">
        <v>251</v>
      </c>
      <c r="Z88" s="217"/>
      <c r="AA88" s="217"/>
      <c r="AB88" s="217"/>
      <c r="AC88" s="217"/>
      <c r="AD88" s="217"/>
      <c r="AE88" s="217"/>
      <c r="AF88" s="217"/>
      <c r="AG88" s="217"/>
      <c r="AH88" s="214">
        <v>979486.89</v>
      </c>
      <c r="AI88" s="212" t="s">
        <v>53</v>
      </c>
      <c r="AJ88" s="212"/>
      <c r="AK88" s="212"/>
    </row>
    <row r="89" spans="1:37" ht="18.75" customHeight="1">
      <c r="A89" s="211">
        <v>45924</v>
      </c>
      <c r="B89" s="214">
        <v>0</v>
      </c>
      <c r="C89" s="212" t="s">
        <v>5</v>
      </c>
      <c r="D89" s="217" t="s">
        <v>222</v>
      </c>
      <c r="E89" s="217"/>
      <c r="F89" s="214">
        <v>13</v>
      </c>
      <c r="G89" s="212" t="s">
        <v>5</v>
      </c>
      <c r="H89" s="212" t="s">
        <v>222</v>
      </c>
      <c r="I89" s="212"/>
      <c r="J89" s="214">
        <v>800001</v>
      </c>
      <c r="K89" s="212" t="s">
        <v>5</v>
      </c>
      <c r="L89" s="212" t="s">
        <v>223</v>
      </c>
      <c r="M89" s="217" t="s">
        <v>250</v>
      </c>
      <c r="N89" s="214">
        <v>1000000</v>
      </c>
      <c r="O89" s="289" t="s">
        <v>5</v>
      </c>
      <c r="P89" s="212" t="s">
        <v>222</v>
      </c>
      <c r="Q89" s="217" t="s">
        <v>252</v>
      </c>
      <c r="R89" s="214"/>
      <c r="S89" s="212" t="s">
        <v>5</v>
      </c>
      <c r="T89" s="212" t="s">
        <v>222</v>
      </c>
      <c r="U89" s="217"/>
      <c r="V89" s="214">
        <v>475000</v>
      </c>
      <c r="W89" s="212" t="s">
        <v>5</v>
      </c>
      <c r="X89" s="212" t="s">
        <v>222</v>
      </c>
      <c r="Y89" s="217" t="s">
        <v>251</v>
      </c>
      <c r="Z89" s="217"/>
      <c r="AA89" s="217"/>
      <c r="AB89" s="217"/>
      <c r="AC89" s="217"/>
      <c r="AD89" s="217"/>
      <c r="AE89" s="217"/>
      <c r="AF89" s="217"/>
      <c r="AG89" s="217"/>
      <c r="AH89" s="214">
        <v>979487.89</v>
      </c>
      <c r="AI89" s="212" t="s">
        <v>53</v>
      </c>
      <c r="AJ89" s="212"/>
      <c r="AK89" s="212"/>
    </row>
    <row r="90" spans="1:37" ht="18.75" customHeight="1">
      <c r="A90" s="211">
        <v>45925</v>
      </c>
      <c r="B90" s="214">
        <v>1</v>
      </c>
      <c r="C90" s="212" t="s">
        <v>5</v>
      </c>
      <c r="D90" s="217" t="s">
        <v>222</v>
      </c>
      <c r="E90" s="217"/>
      <c r="F90" s="214">
        <v>14</v>
      </c>
      <c r="G90" s="212" t="s">
        <v>5</v>
      </c>
      <c r="H90" s="212" t="s">
        <v>222</v>
      </c>
      <c r="I90" s="212"/>
      <c r="J90" s="330">
        <v>800002</v>
      </c>
      <c r="K90" s="217" t="s">
        <v>5</v>
      </c>
      <c r="L90" s="217" t="s">
        <v>223</v>
      </c>
      <c r="M90" s="217" t="s">
        <v>250</v>
      </c>
      <c r="N90" s="214">
        <v>1000001</v>
      </c>
      <c r="O90" s="289" t="s">
        <v>5</v>
      </c>
      <c r="P90" s="212" t="s">
        <v>222</v>
      </c>
      <c r="Q90" s="217" t="s">
        <v>252</v>
      </c>
      <c r="R90" s="214"/>
      <c r="S90" s="212" t="s">
        <v>5</v>
      </c>
      <c r="T90" s="212" t="s">
        <v>222</v>
      </c>
      <c r="U90" s="217"/>
      <c r="V90" s="214">
        <v>400000</v>
      </c>
      <c r="W90" s="212" t="s">
        <v>5</v>
      </c>
      <c r="X90" s="212" t="s">
        <v>222</v>
      </c>
      <c r="Y90" s="217" t="s">
        <v>253</v>
      </c>
      <c r="Z90" s="217"/>
      <c r="AA90" s="217"/>
      <c r="AB90" s="217"/>
      <c r="AC90" s="217"/>
      <c r="AD90" s="217"/>
      <c r="AE90" s="217"/>
      <c r="AF90" s="217"/>
      <c r="AG90" s="217"/>
      <c r="AH90" s="214">
        <v>979488.89</v>
      </c>
      <c r="AI90" s="212" t="s">
        <v>53</v>
      </c>
      <c r="AJ90" s="212"/>
      <c r="AK90" s="212"/>
    </row>
    <row r="91" spans="1:37" ht="18.75" customHeight="1">
      <c r="A91" s="211">
        <v>45926</v>
      </c>
      <c r="B91" s="214">
        <v>2</v>
      </c>
      <c r="C91" s="212" t="s">
        <v>5</v>
      </c>
      <c r="D91" s="217" t="s">
        <v>222</v>
      </c>
      <c r="E91" s="217"/>
      <c r="F91" s="214">
        <v>15</v>
      </c>
      <c r="G91" s="212" t="s">
        <v>5</v>
      </c>
      <c r="H91" s="212" t="s">
        <v>222</v>
      </c>
      <c r="I91" s="212"/>
      <c r="J91" s="330">
        <v>1200000</v>
      </c>
      <c r="K91" s="217" t="s">
        <v>5</v>
      </c>
      <c r="L91" s="217" t="s">
        <v>223</v>
      </c>
      <c r="M91" s="217" t="s">
        <v>250</v>
      </c>
      <c r="N91" s="214">
        <v>0</v>
      </c>
      <c r="O91" s="289" t="s">
        <v>5</v>
      </c>
      <c r="P91" s="212" t="s">
        <v>222</v>
      </c>
      <c r="Q91" s="217" t="s">
        <v>252</v>
      </c>
      <c r="R91" s="214"/>
      <c r="S91" s="212" t="s">
        <v>5</v>
      </c>
      <c r="T91" s="212" t="s">
        <v>222</v>
      </c>
      <c r="U91" s="217"/>
      <c r="V91" s="214">
        <v>500001</v>
      </c>
      <c r="W91" s="212" t="s">
        <v>5</v>
      </c>
      <c r="X91" s="212" t="s">
        <v>222</v>
      </c>
      <c r="Y91" s="217" t="s">
        <v>253</v>
      </c>
      <c r="Z91" s="217"/>
      <c r="AA91" s="217"/>
      <c r="AB91" s="217"/>
      <c r="AC91" s="217"/>
      <c r="AD91" s="217"/>
      <c r="AE91" s="217"/>
      <c r="AF91" s="217"/>
      <c r="AG91" s="217"/>
      <c r="AH91" s="214">
        <v>984992.44</v>
      </c>
      <c r="AI91" s="212" t="s">
        <v>53</v>
      </c>
      <c r="AJ91" s="212"/>
      <c r="AK91" s="212"/>
    </row>
    <row r="92" spans="1:37" ht="18.75" customHeight="1">
      <c r="A92" s="211">
        <v>45929</v>
      </c>
      <c r="B92" s="214">
        <v>3</v>
      </c>
      <c r="C92" s="212" t="s">
        <v>5</v>
      </c>
      <c r="D92" s="217" t="s">
        <v>222</v>
      </c>
      <c r="E92" s="217"/>
      <c r="F92" s="214">
        <v>16</v>
      </c>
      <c r="G92" s="212" t="s">
        <v>5</v>
      </c>
      <c r="H92" s="212" t="s">
        <v>222</v>
      </c>
      <c r="I92" s="212"/>
      <c r="J92" s="330">
        <v>1100001</v>
      </c>
      <c r="K92" s="217" t="s">
        <v>5</v>
      </c>
      <c r="L92" s="217" t="s">
        <v>222</v>
      </c>
      <c r="M92" s="217" t="s">
        <v>254</v>
      </c>
      <c r="N92" s="214">
        <v>1</v>
      </c>
      <c r="O92" s="289" t="s">
        <v>5</v>
      </c>
      <c r="P92" s="212" t="s">
        <v>222</v>
      </c>
      <c r="Q92" s="217"/>
      <c r="R92" s="214"/>
      <c r="S92" s="212" t="s">
        <v>5</v>
      </c>
      <c r="T92" s="212" t="s">
        <v>222</v>
      </c>
      <c r="U92" s="217"/>
      <c r="V92" s="214">
        <v>1000000</v>
      </c>
      <c r="W92" s="212" t="s">
        <v>5</v>
      </c>
      <c r="X92" s="212" t="s">
        <v>222</v>
      </c>
      <c r="Y92" s="217"/>
      <c r="Z92" s="217"/>
      <c r="AA92" s="217"/>
      <c r="AB92" s="217"/>
      <c r="AC92" s="217"/>
      <c r="AD92" s="217"/>
      <c r="AE92" s="217"/>
      <c r="AF92" s="217"/>
      <c r="AG92" s="217"/>
      <c r="AH92" s="214">
        <v>310523.59000000003</v>
      </c>
      <c r="AI92" s="212" t="s">
        <v>53</v>
      </c>
      <c r="AJ92" s="212"/>
      <c r="AK92" s="212"/>
    </row>
    <row r="93" spans="1:37" ht="18.75" customHeight="1">
      <c r="A93" s="211">
        <v>45930</v>
      </c>
      <c r="B93" s="214">
        <v>4</v>
      </c>
      <c r="C93" s="212" t="s">
        <v>5</v>
      </c>
      <c r="D93" s="217" t="s">
        <v>222</v>
      </c>
      <c r="E93" s="217"/>
      <c r="F93" s="214">
        <v>17</v>
      </c>
      <c r="G93" s="212" t="s">
        <v>5</v>
      </c>
      <c r="H93" s="212" t="s">
        <v>222</v>
      </c>
      <c r="I93" s="212"/>
      <c r="J93" s="330">
        <v>2000000</v>
      </c>
      <c r="K93" s="217" t="s">
        <v>5</v>
      </c>
      <c r="L93" s="217" t="s">
        <v>222</v>
      </c>
      <c r="M93" s="217" t="s">
        <v>255</v>
      </c>
      <c r="N93" s="214">
        <v>2</v>
      </c>
      <c r="O93" s="289" t="s">
        <v>5</v>
      </c>
      <c r="P93" s="212" t="s">
        <v>222</v>
      </c>
      <c r="Q93" s="217"/>
      <c r="R93" s="214"/>
      <c r="S93" s="212" t="s">
        <v>5</v>
      </c>
      <c r="T93" s="212" t="s">
        <v>222</v>
      </c>
      <c r="U93" s="217"/>
      <c r="V93" s="214">
        <v>1000001</v>
      </c>
      <c r="W93" s="212" t="s">
        <v>5</v>
      </c>
      <c r="X93" s="212" t="s">
        <v>222</v>
      </c>
      <c r="Y93" s="217"/>
      <c r="Z93" s="217"/>
      <c r="AA93" s="217"/>
      <c r="AB93" s="217"/>
      <c r="AC93" s="217"/>
      <c r="AD93" s="217"/>
      <c r="AE93" s="217"/>
      <c r="AF93" s="217"/>
      <c r="AG93" s="217"/>
      <c r="AH93" s="214">
        <v>182310.88</v>
      </c>
      <c r="AI93" s="212" t="s">
        <v>53</v>
      </c>
      <c r="AJ93" s="212"/>
      <c r="AK93" s="212"/>
    </row>
    <row r="94" spans="1:37" ht="18.75" customHeight="1">
      <c r="A94" s="211">
        <v>45931</v>
      </c>
      <c r="B94" s="214">
        <v>5</v>
      </c>
      <c r="C94" s="212" t="s">
        <v>5</v>
      </c>
      <c r="D94" s="217" t="s">
        <v>222</v>
      </c>
      <c r="E94" s="217"/>
      <c r="F94" s="214">
        <v>18</v>
      </c>
      <c r="G94" s="212" t="s">
        <v>5</v>
      </c>
      <c r="H94" s="212" t="s">
        <v>222</v>
      </c>
      <c r="I94" s="212"/>
      <c r="J94" s="330">
        <v>370000</v>
      </c>
      <c r="K94" s="217" t="s">
        <v>5</v>
      </c>
      <c r="L94" s="217" t="s">
        <v>222</v>
      </c>
      <c r="M94" s="217"/>
      <c r="N94" s="214">
        <v>3</v>
      </c>
      <c r="O94" s="289" t="s">
        <v>5</v>
      </c>
      <c r="P94" s="212" t="s">
        <v>222</v>
      </c>
      <c r="Q94" s="217"/>
      <c r="R94" s="214"/>
      <c r="S94" s="212" t="s">
        <v>5</v>
      </c>
      <c r="T94" s="212" t="s">
        <v>222</v>
      </c>
      <c r="U94" s="217"/>
      <c r="V94" s="214">
        <v>270000</v>
      </c>
      <c r="W94" s="212" t="s">
        <v>5</v>
      </c>
      <c r="X94" s="212" t="s">
        <v>222</v>
      </c>
      <c r="Y94" s="217"/>
      <c r="Z94" s="217"/>
      <c r="AA94" s="217"/>
      <c r="AB94" s="217"/>
      <c r="AC94" s="217"/>
      <c r="AD94" s="217"/>
      <c r="AE94" s="217"/>
      <c r="AF94" s="217"/>
      <c r="AG94" s="217"/>
      <c r="AH94" s="214">
        <v>182311.88</v>
      </c>
      <c r="AI94" s="212" t="s">
        <v>53</v>
      </c>
      <c r="AJ94" s="212"/>
      <c r="AK94" s="212"/>
    </row>
    <row r="95" spans="1:37" ht="18.75" customHeight="1">
      <c r="A95" s="211">
        <v>45932</v>
      </c>
      <c r="B95" s="214">
        <v>6</v>
      </c>
      <c r="C95" s="212" t="s">
        <v>5</v>
      </c>
      <c r="D95" s="217" t="s">
        <v>222</v>
      </c>
      <c r="E95" s="217"/>
      <c r="F95" s="214">
        <v>19</v>
      </c>
      <c r="G95" s="212" t="s">
        <v>5</v>
      </c>
      <c r="H95" s="212" t="s">
        <v>222</v>
      </c>
      <c r="I95" s="212"/>
      <c r="J95" s="330">
        <v>0</v>
      </c>
      <c r="K95" s="217" t="s">
        <v>5</v>
      </c>
      <c r="L95" s="217" t="s">
        <v>222</v>
      </c>
      <c r="M95" s="217"/>
      <c r="N95" s="214">
        <v>4</v>
      </c>
      <c r="O95" s="289" t="s">
        <v>5</v>
      </c>
      <c r="P95" s="212" t="s">
        <v>222</v>
      </c>
      <c r="Q95" s="217"/>
      <c r="R95" s="214"/>
      <c r="S95" s="212" t="s">
        <v>5</v>
      </c>
      <c r="T95" s="212" t="s">
        <v>222</v>
      </c>
      <c r="U95" s="217"/>
      <c r="V95" s="214">
        <v>0</v>
      </c>
      <c r="W95" s="212" t="s">
        <v>5</v>
      </c>
      <c r="X95" s="212" t="s">
        <v>222</v>
      </c>
      <c r="Y95" s="217"/>
      <c r="Z95" s="217"/>
      <c r="AA95" s="217"/>
      <c r="AB95" s="217"/>
      <c r="AC95" s="217"/>
      <c r="AD95" s="217"/>
      <c r="AE95" s="217"/>
      <c r="AF95" s="217"/>
      <c r="AG95" s="217"/>
      <c r="AH95" s="214">
        <v>39935.879999999997</v>
      </c>
      <c r="AI95" s="212" t="s">
        <v>53</v>
      </c>
      <c r="AJ95" s="212"/>
      <c r="AK95" s="212"/>
    </row>
    <row r="96" spans="1:37" ht="18.75" customHeight="1">
      <c r="A96" s="211">
        <v>45933</v>
      </c>
      <c r="B96" s="214">
        <v>7</v>
      </c>
      <c r="C96" s="212" t="s">
        <v>5</v>
      </c>
      <c r="D96" s="217" t="s">
        <v>222</v>
      </c>
      <c r="E96" s="217"/>
      <c r="F96" s="214">
        <v>20</v>
      </c>
      <c r="G96" s="212" t="s">
        <v>5</v>
      </c>
      <c r="H96" s="212" t="s">
        <v>222</v>
      </c>
      <c r="I96" s="212"/>
      <c r="J96" s="330">
        <v>1</v>
      </c>
      <c r="K96" s="217" t="s">
        <v>5</v>
      </c>
      <c r="L96" s="217" t="s">
        <v>222</v>
      </c>
      <c r="M96" s="217"/>
      <c r="N96" s="214">
        <v>5</v>
      </c>
      <c r="O96" s="289" t="s">
        <v>5</v>
      </c>
      <c r="P96" s="212" t="s">
        <v>222</v>
      </c>
      <c r="Q96" s="217"/>
      <c r="R96" s="214"/>
      <c r="S96" s="212" t="s">
        <v>5</v>
      </c>
      <c r="T96" s="212" t="s">
        <v>222</v>
      </c>
      <c r="U96" s="217"/>
      <c r="V96" s="214">
        <v>1</v>
      </c>
      <c r="W96" s="212" t="s">
        <v>5</v>
      </c>
      <c r="X96" s="212" t="s">
        <v>222</v>
      </c>
      <c r="Y96" s="217"/>
      <c r="Z96" s="217"/>
      <c r="AA96" s="217"/>
      <c r="AB96" s="217"/>
      <c r="AC96" s="217"/>
      <c r="AD96" s="217"/>
      <c r="AE96" s="217"/>
      <c r="AF96" s="217"/>
      <c r="AG96" s="217"/>
      <c r="AH96" s="214">
        <v>39936.879999999997</v>
      </c>
      <c r="AI96" s="212" t="s">
        <v>53</v>
      </c>
      <c r="AJ96" s="212"/>
      <c r="AK96" s="212"/>
    </row>
    <row r="97" spans="1:37" ht="18.75" customHeight="1">
      <c r="A97" s="211">
        <v>45934</v>
      </c>
      <c r="B97" s="214">
        <v>8</v>
      </c>
      <c r="C97" s="212" t="s">
        <v>5</v>
      </c>
      <c r="D97" s="217" t="s">
        <v>222</v>
      </c>
      <c r="E97" s="217"/>
      <c r="F97" s="214">
        <v>21</v>
      </c>
      <c r="G97" s="212" t="s">
        <v>5</v>
      </c>
      <c r="H97" s="212" t="s">
        <v>222</v>
      </c>
      <c r="I97" s="212"/>
      <c r="J97" s="330">
        <v>2</v>
      </c>
      <c r="K97" s="217" t="s">
        <v>5</v>
      </c>
      <c r="L97" s="217" t="s">
        <v>222</v>
      </c>
      <c r="M97" s="217"/>
      <c r="N97" s="214">
        <v>6</v>
      </c>
      <c r="O97" s="289" t="s">
        <v>5</v>
      </c>
      <c r="P97" s="212" t="s">
        <v>222</v>
      </c>
      <c r="Q97" s="217"/>
      <c r="R97" s="214"/>
      <c r="S97" s="212" t="s">
        <v>5</v>
      </c>
      <c r="T97" s="212" t="s">
        <v>222</v>
      </c>
      <c r="U97" s="217"/>
      <c r="V97" s="214">
        <v>2</v>
      </c>
      <c r="W97" s="212" t="s">
        <v>5</v>
      </c>
      <c r="X97" s="212" t="s">
        <v>222</v>
      </c>
      <c r="Y97" s="217"/>
      <c r="Z97" s="217"/>
      <c r="AA97" s="217"/>
      <c r="AB97" s="217"/>
      <c r="AC97" s="217"/>
      <c r="AD97" s="217"/>
      <c r="AE97" s="217"/>
      <c r="AF97" s="217"/>
      <c r="AG97" s="217"/>
      <c r="AH97" s="214">
        <v>39937.879999999997</v>
      </c>
      <c r="AI97" s="212" t="s">
        <v>53</v>
      </c>
      <c r="AJ97" s="212"/>
      <c r="AK97" s="212"/>
    </row>
    <row r="98" spans="1:37" ht="18.75" customHeight="1">
      <c r="A98" s="211">
        <v>45936</v>
      </c>
      <c r="B98" s="214">
        <v>9</v>
      </c>
      <c r="C98" s="212" t="s">
        <v>5</v>
      </c>
      <c r="D98" s="217" t="s">
        <v>222</v>
      </c>
      <c r="E98" s="217"/>
      <c r="F98" s="214">
        <v>22</v>
      </c>
      <c r="G98" s="212" t="s">
        <v>5</v>
      </c>
      <c r="H98" s="212" t="s">
        <v>222</v>
      </c>
      <c r="I98" s="212"/>
      <c r="J98" s="330">
        <v>3</v>
      </c>
      <c r="K98" s="217" t="s">
        <v>5</v>
      </c>
      <c r="L98" s="217" t="s">
        <v>222</v>
      </c>
      <c r="M98" s="217"/>
      <c r="N98" s="214">
        <v>7</v>
      </c>
      <c r="O98" s="289" t="s">
        <v>5</v>
      </c>
      <c r="P98" s="212" t="s">
        <v>223</v>
      </c>
      <c r="Q98" s="217"/>
      <c r="R98" s="214"/>
      <c r="S98" s="212" t="s">
        <v>5</v>
      </c>
      <c r="T98" s="212" t="s">
        <v>222</v>
      </c>
      <c r="U98" s="217"/>
      <c r="V98" s="214">
        <v>3</v>
      </c>
      <c r="W98" s="212" t="s">
        <v>5</v>
      </c>
      <c r="X98" s="212" t="s">
        <v>222</v>
      </c>
      <c r="Y98" s="217"/>
      <c r="Z98" s="217"/>
      <c r="AA98" s="217"/>
      <c r="AB98" s="217"/>
      <c r="AC98" s="217"/>
      <c r="AD98" s="217"/>
      <c r="AE98" s="217"/>
      <c r="AF98" s="217"/>
      <c r="AG98" s="217"/>
      <c r="AH98" s="214">
        <v>368003.21</v>
      </c>
      <c r="AI98" s="212" t="s">
        <v>53</v>
      </c>
      <c r="AJ98" s="212"/>
      <c r="AK98" s="212"/>
    </row>
    <row r="99" spans="1:37" ht="18.75" customHeight="1">
      <c r="A99" s="211">
        <v>45937</v>
      </c>
      <c r="B99" s="214">
        <v>10</v>
      </c>
      <c r="C99" s="212" t="s">
        <v>5</v>
      </c>
      <c r="D99" s="217" t="s">
        <v>222</v>
      </c>
      <c r="E99" s="217"/>
      <c r="F99" s="214">
        <v>23</v>
      </c>
      <c r="G99" s="212" t="s">
        <v>5</v>
      </c>
      <c r="H99" s="212" t="s">
        <v>222</v>
      </c>
      <c r="I99" s="212"/>
      <c r="J99" s="330">
        <v>600000</v>
      </c>
      <c r="K99" s="217" t="s">
        <v>5</v>
      </c>
      <c r="L99" s="217" t="s">
        <v>222</v>
      </c>
      <c r="M99" s="217" t="s">
        <v>256</v>
      </c>
      <c r="N99" s="214">
        <v>2933000</v>
      </c>
      <c r="O99" s="289" t="s">
        <v>5</v>
      </c>
      <c r="P99" s="212" t="s">
        <v>222</v>
      </c>
      <c r="Q99" s="217" t="s">
        <v>257</v>
      </c>
      <c r="R99" s="214"/>
      <c r="S99" s="212" t="s">
        <v>5</v>
      </c>
      <c r="T99" s="212" t="s">
        <v>222</v>
      </c>
      <c r="U99" s="217"/>
      <c r="V99" s="214">
        <v>170000</v>
      </c>
      <c r="W99" s="212" t="s">
        <v>5</v>
      </c>
      <c r="X99" s="212" t="s">
        <v>222</v>
      </c>
      <c r="Y99" s="217" t="s">
        <v>258</v>
      </c>
      <c r="Z99" s="217"/>
      <c r="AA99" s="217"/>
      <c r="AB99" s="217"/>
      <c r="AC99" s="217"/>
      <c r="AD99" s="217"/>
      <c r="AE99" s="217"/>
      <c r="AF99" s="217"/>
      <c r="AG99" s="217"/>
      <c r="AH99" s="214">
        <v>63485.09</v>
      </c>
      <c r="AI99" s="212" t="s">
        <v>53</v>
      </c>
      <c r="AJ99" s="212"/>
      <c r="AK99" s="212"/>
    </row>
    <row r="100" spans="1:37" ht="18.75" customHeight="1">
      <c r="A100" s="211">
        <v>45938</v>
      </c>
      <c r="B100" s="214">
        <v>11</v>
      </c>
      <c r="C100" s="212" t="s">
        <v>5</v>
      </c>
      <c r="D100" s="217" t="s">
        <v>222</v>
      </c>
      <c r="E100" s="217"/>
      <c r="F100" s="214">
        <v>4500000</v>
      </c>
      <c r="G100" s="212" t="s">
        <v>5</v>
      </c>
      <c r="H100" s="212" t="s">
        <v>222</v>
      </c>
      <c r="I100" s="212"/>
      <c r="J100" s="330">
        <v>0</v>
      </c>
      <c r="K100" s="217" t="s">
        <v>5</v>
      </c>
      <c r="L100" s="217" t="s">
        <v>222</v>
      </c>
      <c r="M100" s="217">
        <v>0</v>
      </c>
      <c r="N100" s="214">
        <v>0</v>
      </c>
      <c r="O100" s="289" t="s">
        <v>5</v>
      </c>
      <c r="P100" s="212" t="s">
        <v>222</v>
      </c>
      <c r="Q100" s="217">
        <v>0</v>
      </c>
      <c r="R100" s="214"/>
      <c r="S100" s="212" t="s">
        <v>5</v>
      </c>
      <c r="T100" s="212" t="s">
        <v>222</v>
      </c>
      <c r="U100" s="217"/>
      <c r="V100" s="214">
        <v>0</v>
      </c>
      <c r="W100" s="212" t="s">
        <v>5</v>
      </c>
      <c r="X100" s="212" t="s">
        <v>222</v>
      </c>
      <c r="Y100" s="217" t="s">
        <v>258</v>
      </c>
      <c r="Z100" s="217"/>
      <c r="AA100" s="217"/>
      <c r="AB100" s="217"/>
      <c r="AC100" s="217"/>
      <c r="AD100" s="217"/>
      <c r="AE100" s="217"/>
      <c r="AF100" s="217"/>
      <c r="AG100" s="217"/>
      <c r="AH100" s="214">
        <v>63486.09</v>
      </c>
      <c r="AI100" s="212" t="s">
        <v>53</v>
      </c>
      <c r="AJ100" s="212"/>
      <c r="AK100" s="212"/>
    </row>
    <row r="101" spans="1:37" ht="18.75" customHeight="1">
      <c r="A101" s="211">
        <v>45940</v>
      </c>
      <c r="B101" s="214">
        <v>6000000</v>
      </c>
      <c r="C101" s="212" t="s">
        <v>5</v>
      </c>
      <c r="D101" s="217" t="s">
        <v>222</v>
      </c>
      <c r="E101" s="217"/>
      <c r="F101" s="214">
        <v>500000</v>
      </c>
      <c r="G101" s="212" t="s">
        <v>5</v>
      </c>
      <c r="H101" s="212" t="s">
        <v>222</v>
      </c>
      <c r="I101" s="212"/>
      <c r="J101" s="330">
        <v>1</v>
      </c>
      <c r="K101" s="217" t="s">
        <v>5</v>
      </c>
      <c r="L101" s="217" t="s">
        <v>222</v>
      </c>
      <c r="M101" s="217">
        <v>0</v>
      </c>
      <c r="N101" s="214">
        <v>0</v>
      </c>
      <c r="O101" s="289" t="s">
        <v>5</v>
      </c>
      <c r="P101" s="212" t="s">
        <v>223</v>
      </c>
      <c r="Q101" s="217"/>
      <c r="R101" s="214"/>
      <c r="S101" s="212" t="s">
        <v>5</v>
      </c>
      <c r="T101" s="212" t="s">
        <v>222</v>
      </c>
      <c r="U101" s="217"/>
      <c r="V101" s="214">
        <v>1</v>
      </c>
      <c r="W101" s="212" t="s">
        <v>5</v>
      </c>
      <c r="X101" s="212" t="s">
        <v>222</v>
      </c>
      <c r="Y101" s="217" t="s">
        <v>258</v>
      </c>
      <c r="Z101" s="217"/>
      <c r="AA101" s="217"/>
      <c r="AB101" s="217"/>
      <c r="AC101" s="217"/>
      <c r="AD101" s="217"/>
      <c r="AE101" s="217"/>
      <c r="AF101" s="217"/>
      <c r="AG101" s="217"/>
      <c r="AH101" s="214">
        <v>37387.06</v>
      </c>
      <c r="AI101" s="212" t="s">
        <v>53</v>
      </c>
      <c r="AJ101" s="212"/>
      <c r="AK101" s="212"/>
    </row>
    <row r="102" spans="1:37" ht="18.75" customHeight="1">
      <c r="A102" s="211">
        <v>45943</v>
      </c>
      <c r="B102" s="214">
        <v>6500000</v>
      </c>
      <c r="C102" s="212" t="s">
        <v>5</v>
      </c>
      <c r="D102" s="217" t="s">
        <v>222</v>
      </c>
      <c r="E102" s="217" t="s">
        <v>259</v>
      </c>
      <c r="F102" s="214">
        <v>800000</v>
      </c>
      <c r="G102" s="212" t="s">
        <v>5</v>
      </c>
      <c r="H102" s="212" t="s">
        <v>222</v>
      </c>
      <c r="I102" s="212"/>
      <c r="J102" s="330">
        <v>2</v>
      </c>
      <c r="K102" s="217" t="s">
        <v>5</v>
      </c>
      <c r="L102" s="217" t="s">
        <v>222</v>
      </c>
      <c r="M102" s="217">
        <v>0</v>
      </c>
      <c r="N102" s="214">
        <v>1800000</v>
      </c>
      <c r="O102" s="289" t="s">
        <v>5</v>
      </c>
      <c r="P102" s="212" t="s">
        <v>223</v>
      </c>
      <c r="Q102" s="217" t="s">
        <v>260</v>
      </c>
      <c r="R102" s="214">
        <v>10000000</v>
      </c>
      <c r="S102" s="212" t="s">
        <v>5</v>
      </c>
      <c r="T102" s="212" t="s">
        <v>222</v>
      </c>
      <c r="U102" s="217" t="s">
        <v>261</v>
      </c>
      <c r="V102" s="214">
        <v>2</v>
      </c>
      <c r="W102" s="212" t="s">
        <v>5</v>
      </c>
      <c r="X102" s="212" t="s">
        <v>222</v>
      </c>
      <c r="Y102" s="217" t="s">
        <v>258</v>
      </c>
      <c r="Z102" s="217"/>
      <c r="AA102" s="217"/>
      <c r="AB102" s="217"/>
      <c r="AC102" s="217"/>
      <c r="AD102" s="217"/>
      <c r="AE102" s="217"/>
      <c r="AF102" s="217"/>
      <c r="AG102" s="217"/>
      <c r="AH102" s="214">
        <v>465387</v>
      </c>
      <c r="AI102" s="212" t="s">
        <v>53</v>
      </c>
      <c r="AJ102" s="212"/>
      <c r="AK102" s="212"/>
    </row>
    <row r="103" spans="1:37" ht="18.75" customHeight="1">
      <c r="A103" s="211">
        <v>45944</v>
      </c>
      <c r="B103" s="214">
        <v>4000000</v>
      </c>
      <c r="C103" s="212" t="s">
        <v>5</v>
      </c>
      <c r="D103" s="217" t="s">
        <v>222</v>
      </c>
      <c r="E103" s="217" t="s">
        <v>262</v>
      </c>
      <c r="F103" s="214">
        <v>0</v>
      </c>
      <c r="G103" s="212" t="s">
        <v>5</v>
      </c>
      <c r="H103" s="212" t="s">
        <v>222</v>
      </c>
      <c r="I103" s="212" t="s">
        <v>263</v>
      </c>
      <c r="J103" s="330">
        <v>3</v>
      </c>
      <c r="K103" s="217" t="s">
        <v>5</v>
      </c>
      <c r="L103" s="217" t="s">
        <v>222</v>
      </c>
      <c r="M103" s="217">
        <v>0</v>
      </c>
      <c r="N103" s="214">
        <v>0</v>
      </c>
      <c r="O103" s="289" t="s">
        <v>5</v>
      </c>
      <c r="P103" s="212" t="s">
        <v>223</v>
      </c>
      <c r="Q103" s="217" t="s">
        <v>264</v>
      </c>
      <c r="R103" s="214">
        <v>9500000</v>
      </c>
      <c r="S103" s="212" t="s">
        <v>5</v>
      </c>
      <c r="T103" s="212" t="s">
        <v>222</v>
      </c>
      <c r="U103" s="217" t="s">
        <v>265</v>
      </c>
      <c r="V103" s="214">
        <v>3</v>
      </c>
      <c r="W103" s="212" t="s">
        <v>5</v>
      </c>
      <c r="X103" s="212" t="s">
        <v>222</v>
      </c>
      <c r="Y103" s="217" t="s">
        <v>258</v>
      </c>
      <c r="Z103" s="217"/>
      <c r="AA103" s="217"/>
      <c r="AB103" s="217"/>
      <c r="AC103" s="217"/>
      <c r="AD103" s="217"/>
      <c r="AE103" s="217"/>
      <c r="AF103" s="217"/>
      <c r="AG103" s="217"/>
      <c r="AH103" s="214">
        <v>465388</v>
      </c>
      <c r="AI103" s="212" t="s">
        <v>53</v>
      </c>
      <c r="AJ103" s="212"/>
      <c r="AK103" s="212"/>
    </row>
    <row r="104" spans="1:37" ht="18.75" customHeight="1">
      <c r="A104" s="211">
        <v>45945</v>
      </c>
      <c r="B104" s="214">
        <v>2400000</v>
      </c>
      <c r="C104" s="212" t="s">
        <v>5</v>
      </c>
      <c r="D104" s="217" t="s">
        <v>222</v>
      </c>
      <c r="E104" s="217" t="s">
        <v>259</v>
      </c>
      <c r="F104" s="214">
        <v>1</v>
      </c>
      <c r="G104" s="212" t="s">
        <v>5</v>
      </c>
      <c r="H104" s="212" t="s">
        <v>222</v>
      </c>
      <c r="I104" s="212"/>
      <c r="J104" s="330">
        <v>4</v>
      </c>
      <c r="K104" s="217" t="s">
        <v>5</v>
      </c>
      <c r="L104" s="217" t="s">
        <v>222</v>
      </c>
      <c r="M104" s="217">
        <v>0</v>
      </c>
      <c r="N104" s="214">
        <v>0</v>
      </c>
      <c r="O104" s="289" t="s">
        <v>5</v>
      </c>
      <c r="P104" s="212" t="s">
        <v>222</v>
      </c>
      <c r="Q104" s="217" t="s">
        <v>266</v>
      </c>
      <c r="R104" s="214">
        <v>9500001</v>
      </c>
      <c r="S104" s="212" t="s">
        <v>5</v>
      </c>
      <c r="T104" s="212" t="s">
        <v>222</v>
      </c>
      <c r="U104" s="217" t="s">
        <v>265</v>
      </c>
      <c r="V104" s="214">
        <v>4</v>
      </c>
      <c r="W104" s="212" t="s">
        <v>5</v>
      </c>
      <c r="X104" s="212" t="s">
        <v>222</v>
      </c>
      <c r="Y104" s="217" t="s">
        <v>258</v>
      </c>
      <c r="Z104" s="217"/>
      <c r="AA104" s="217"/>
      <c r="AB104" s="217"/>
      <c r="AC104" s="217"/>
      <c r="AD104" s="217"/>
      <c r="AE104" s="217"/>
      <c r="AF104" s="217"/>
      <c r="AG104" s="217"/>
      <c r="AH104" s="214">
        <v>1096177</v>
      </c>
      <c r="AI104" s="212" t="s">
        <v>53</v>
      </c>
      <c r="AJ104" s="212"/>
      <c r="AK104" s="212"/>
    </row>
    <row r="105" spans="1:37" ht="18.75" customHeight="1">
      <c r="A105" s="211">
        <v>45946</v>
      </c>
      <c r="B105" s="214">
        <v>1000000</v>
      </c>
      <c r="C105" s="212" t="s">
        <v>5</v>
      </c>
      <c r="D105" s="217" t="s">
        <v>222</v>
      </c>
      <c r="E105" s="217"/>
      <c r="F105" s="214">
        <v>2</v>
      </c>
      <c r="G105" s="212" t="s">
        <v>5</v>
      </c>
      <c r="H105" s="212" t="s">
        <v>222</v>
      </c>
      <c r="I105" s="212"/>
      <c r="J105" s="330">
        <v>5</v>
      </c>
      <c r="K105" s="217" t="s">
        <v>5</v>
      </c>
      <c r="L105" s="217" t="s">
        <v>222</v>
      </c>
      <c r="M105" s="217">
        <v>0</v>
      </c>
      <c r="N105" s="214">
        <v>0</v>
      </c>
      <c r="O105" s="289" t="s">
        <v>5</v>
      </c>
      <c r="P105" s="212" t="s">
        <v>222</v>
      </c>
      <c r="Q105" s="217" t="s">
        <v>267</v>
      </c>
      <c r="R105" s="214">
        <v>7500000</v>
      </c>
      <c r="S105" s="212" t="s">
        <v>5</v>
      </c>
      <c r="T105" s="212" t="s">
        <v>222</v>
      </c>
      <c r="U105" s="217" t="s">
        <v>265</v>
      </c>
      <c r="V105" s="214">
        <v>5</v>
      </c>
      <c r="W105" s="212" t="s">
        <v>5</v>
      </c>
      <c r="X105" s="212" t="s">
        <v>222</v>
      </c>
      <c r="Y105" s="217" t="s">
        <v>258</v>
      </c>
      <c r="Z105" s="217"/>
      <c r="AA105" s="217"/>
      <c r="AB105" s="217"/>
      <c r="AC105" s="217"/>
      <c r="AD105" s="217"/>
      <c r="AE105" s="217"/>
      <c r="AF105" s="217"/>
      <c r="AG105" s="217"/>
      <c r="AH105" s="214">
        <v>84538</v>
      </c>
      <c r="AI105" s="212" t="s">
        <v>53</v>
      </c>
      <c r="AJ105" s="212"/>
      <c r="AK105" s="212"/>
    </row>
    <row r="106" spans="1:37" ht="18.75" customHeight="1">
      <c r="A106" s="211">
        <v>45947</v>
      </c>
      <c r="B106" s="214">
        <v>3</v>
      </c>
      <c r="C106" s="212" t="s">
        <v>5</v>
      </c>
      <c r="D106" s="217" t="s">
        <v>222</v>
      </c>
      <c r="E106" s="217"/>
      <c r="F106" s="214">
        <v>3</v>
      </c>
      <c r="G106" s="212" t="s">
        <v>5</v>
      </c>
      <c r="H106" s="212" t="s">
        <v>222</v>
      </c>
      <c r="I106" s="212"/>
      <c r="J106" s="330">
        <v>6</v>
      </c>
      <c r="K106" s="217" t="s">
        <v>5</v>
      </c>
      <c r="L106" s="217" t="s">
        <v>222</v>
      </c>
      <c r="M106" s="217" t="s">
        <v>268</v>
      </c>
      <c r="N106" s="214">
        <v>3</v>
      </c>
      <c r="O106" s="289" t="s">
        <v>5</v>
      </c>
      <c r="P106" s="212" t="s">
        <v>222</v>
      </c>
      <c r="Q106" s="217" t="s">
        <v>267</v>
      </c>
      <c r="R106" s="214">
        <v>6850000</v>
      </c>
      <c r="S106" s="212" t="s">
        <v>5</v>
      </c>
      <c r="T106" s="212" t="s">
        <v>222</v>
      </c>
      <c r="U106" s="217" t="s">
        <v>269</v>
      </c>
      <c r="V106" s="214">
        <v>6</v>
      </c>
      <c r="W106" s="212" t="s">
        <v>5</v>
      </c>
      <c r="X106" s="212" t="s">
        <v>222</v>
      </c>
      <c r="Y106" s="217" t="s">
        <v>258</v>
      </c>
      <c r="Z106" s="217"/>
      <c r="AA106" s="217"/>
      <c r="AB106" s="217"/>
      <c r="AC106" s="217"/>
      <c r="AD106" s="217"/>
      <c r="AE106" s="217"/>
      <c r="AF106" s="217"/>
      <c r="AG106" s="217"/>
      <c r="AH106" s="214">
        <v>84539</v>
      </c>
      <c r="AI106" s="212" t="s">
        <v>53</v>
      </c>
      <c r="AJ106" s="212"/>
      <c r="AK106" s="212"/>
    </row>
    <row r="107" spans="1:37" ht="18.75" customHeight="1">
      <c r="A107" s="211">
        <v>45950</v>
      </c>
      <c r="B107" s="214">
        <v>4</v>
      </c>
      <c r="C107" s="212" t="s">
        <v>5</v>
      </c>
      <c r="D107" s="217" t="s">
        <v>222</v>
      </c>
      <c r="E107" s="217"/>
      <c r="F107" s="214">
        <v>4</v>
      </c>
      <c r="G107" s="212" t="s">
        <v>5</v>
      </c>
      <c r="H107" s="212" t="s">
        <v>222</v>
      </c>
      <c r="I107" s="212"/>
      <c r="J107" s="330">
        <v>7</v>
      </c>
      <c r="K107" s="217" t="s">
        <v>5</v>
      </c>
      <c r="L107" s="217" t="s">
        <v>222</v>
      </c>
      <c r="M107" s="217" t="s">
        <v>270</v>
      </c>
      <c r="N107" s="214">
        <v>4</v>
      </c>
      <c r="O107" s="289" t="s">
        <v>5</v>
      </c>
      <c r="P107" s="212" t="s">
        <v>222</v>
      </c>
      <c r="Q107" s="217" t="s">
        <v>267</v>
      </c>
      <c r="R107" s="214">
        <v>5944000</v>
      </c>
      <c r="S107" s="212" t="s">
        <v>5</v>
      </c>
      <c r="T107" s="212" t="s">
        <v>222</v>
      </c>
      <c r="U107" s="217" t="s">
        <v>271</v>
      </c>
      <c r="V107" s="214">
        <v>7</v>
      </c>
      <c r="W107" s="212" t="s">
        <v>5</v>
      </c>
      <c r="X107" s="212" t="s">
        <v>222</v>
      </c>
      <c r="Y107" s="217" t="s">
        <v>258</v>
      </c>
      <c r="Z107" s="217"/>
      <c r="AA107" s="217"/>
      <c r="AB107" s="217"/>
      <c r="AC107" s="217"/>
      <c r="AD107" s="217"/>
      <c r="AE107" s="217"/>
      <c r="AF107" s="217"/>
      <c r="AG107" s="217"/>
      <c r="AH107" s="214">
        <v>684538</v>
      </c>
      <c r="AI107" s="212" t="s">
        <v>53</v>
      </c>
      <c r="AJ107" s="212"/>
      <c r="AK107" s="212"/>
    </row>
    <row r="108" spans="1:37" ht="18.75" customHeight="1">
      <c r="A108" s="211">
        <v>45951</v>
      </c>
      <c r="B108" s="214">
        <v>5</v>
      </c>
      <c r="C108" s="212" t="s">
        <v>5</v>
      </c>
      <c r="D108" s="217" t="s">
        <v>222</v>
      </c>
      <c r="E108" s="217"/>
      <c r="F108" s="214">
        <v>5</v>
      </c>
      <c r="G108" s="212" t="s">
        <v>5</v>
      </c>
      <c r="H108" s="212" t="s">
        <v>222</v>
      </c>
      <c r="I108" s="212"/>
      <c r="J108" s="330">
        <v>8</v>
      </c>
      <c r="K108" s="217" t="s">
        <v>5</v>
      </c>
      <c r="L108" s="217" t="s">
        <v>222</v>
      </c>
      <c r="M108" s="217" t="s">
        <v>270</v>
      </c>
      <c r="N108" s="214">
        <v>5</v>
      </c>
      <c r="O108" s="289" t="s">
        <v>5</v>
      </c>
      <c r="P108" s="212" t="s">
        <v>222</v>
      </c>
      <c r="Q108" s="217" t="s">
        <v>267</v>
      </c>
      <c r="R108" s="214">
        <v>5944001</v>
      </c>
      <c r="S108" s="212" t="s">
        <v>5</v>
      </c>
      <c r="T108" s="212" t="s">
        <v>222</v>
      </c>
      <c r="U108" s="217" t="s">
        <v>271</v>
      </c>
      <c r="V108" s="214">
        <v>8</v>
      </c>
      <c r="W108" s="212" t="s">
        <v>5</v>
      </c>
      <c r="X108" s="212" t="s">
        <v>222</v>
      </c>
      <c r="Y108" s="217" t="s">
        <v>258</v>
      </c>
      <c r="Z108" s="217"/>
      <c r="AA108" s="217"/>
      <c r="AB108" s="217"/>
      <c r="AC108" s="217"/>
      <c r="AD108" s="217"/>
      <c r="AE108" s="217"/>
      <c r="AF108" s="217"/>
      <c r="AG108" s="217"/>
      <c r="AH108" s="214">
        <v>0</v>
      </c>
      <c r="AI108" s="212" t="s">
        <v>53</v>
      </c>
      <c r="AJ108" s="212"/>
      <c r="AK108" s="212"/>
    </row>
    <row r="109" spans="1:37" ht="18.75" customHeight="1">
      <c r="A109" s="211">
        <v>45952</v>
      </c>
      <c r="B109" s="214">
        <v>6</v>
      </c>
      <c r="C109" s="212" t="s">
        <v>5</v>
      </c>
      <c r="D109" s="217" t="s">
        <v>222</v>
      </c>
      <c r="E109" s="217"/>
      <c r="F109" s="214">
        <v>6</v>
      </c>
      <c r="G109" s="212" t="s">
        <v>5</v>
      </c>
      <c r="H109" s="212" t="s">
        <v>222</v>
      </c>
      <c r="I109" s="212"/>
      <c r="J109" s="330">
        <v>9</v>
      </c>
      <c r="K109" s="217" t="s">
        <v>5</v>
      </c>
      <c r="L109" s="217" t="s">
        <v>222</v>
      </c>
      <c r="M109" s="217"/>
      <c r="N109" s="214">
        <v>6</v>
      </c>
      <c r="O109" s="289" t="s">
        <v>5</v>
      </c>
      <c r="P109" s="212" t="s">
        <v>222</v>
      </c>
      <c r="Q109" s="217"/>
      <c r="R109" s="214">
        <v>4210000</v>
      </c>
      <c r="S109" s="212" t="s">
        <v>5</v>
      </c>
      <c r="T109" s="212" t="s">
        <v>222</v>
      </c>
      <c r="U109" s="217" t="s">
        <v>272</v>
      </c>
      <c r="V109" s="214">
        <v>9</v>
      </c>
      <c r="W109" s="212" t="s">
        <v>5</v>
      </c>
      <c r="X109" s="212" t="s">
        <v>222</v>
      </c>
      <c r="Y109" s="217" t="s">
        <v>258</v>
      </c>
      <c r="Z109" s="217"/>
      <c r="AA109" s="217"/>
      <c r="AB109" s="217"/>
      <c r="AC109" s="217"/>
      <c r="AD109" s="217"/>
      <c r="AE109" s="217"/>
      <c r="AF109" s="217"/>
      <c r="AG109" s="217"/>
      <c r="AH109" s="214">
        <v>1</v>
      </c>
      <c r="AI109" s="212" t="s">
        <v>53</v>
      </c>
      <c r="AJ109" s="212"/>
      <c r="AK109" s="212"/>
    </row>
    <row r="110" spans="1:37" ht="18.75" customHeight="1">
      <c r="A110" s="211">
        <v>45953</v>
      </c>
      <c r="B110" s="214">
        <v>7</v>
      </c>
      <c r="C110" s="212" t="s">
        <v>5</v>
      </c>
      <c r="D110" s="217" t="s">
        <v>222</v>
      </c>
      <c r="E110" s="217"/>
      <c r="F110" s="214">
        <v>7</v>
      </c>
      <c r="G110" s="212" t="s">
        <v>5</v>
      </c>
      <c r="H110" s="212" t="s">
        <v>222</v>
      </c>
      <c r="I110" s="212"/>
      <c r="J110" s="330">
        <v>10</v>
      </c>
      <c r="K110" s="217" t="s">
        <v>5</v>
      </c>
      <c r="L110" s="217" t="s">
        <v>222</v>
      </c>
      <c r="M110" s="217"/>
      <c r="N110" s="214">
        <v>7</v>
      </c>
      <c r="O110" s="289" t="s">
        <v>5</v>
      </c>
      <c r="P110" s="212" t="s">
        <v>222</v>
      </c>
      <c r="Q110" s="217"/>
      <c r="R110" s="214">
        <v>2930000</v>
      </c>
      <c r="S110" s="212" t="s">
        <v>5</v>
      </c>
      <c r="T110" s="212" t="s">
        <v>222</v>
      </c>
      <c r="U110" s="217" t="s">
        <v>273</v>
      </c>
      <c r="V110" s="214">
        <v>10</v>
      </c>
      <c r="W110" s="212" t="s">
        <v>5</v>
      </c>
      <c r="X110" s="212" t="s">
        <v>222</v>
      </c>
      <c r="Y110" s="217" t="s">
        <v>258</v>
      </c>
      <c r="Z110" s="217"/>
      <c r="AA110" s="217"/>
      <c r="AB110" s="217"/>
      <c r="AC110" s="217"/>
      <c r="AD110" s="217"/>
      <c r="AE110" s="217"/>
      <c r="AF110" s="217"/>
      <c r="AG110" s="217"/>
      <c r="AH110" s="214">
        <v>2</v>
      </c>
      <c r="AI110" s="212" t="s">
        <v>53</v>
      </c>
      <c r="AJ110" s="212"/>
      <c r="AK110" s="212"/>
    </row>
    <row r="111" spans="1:37" ht="18.75" customHeight="1">
      <c r="A111" s="211">
        <v>45954</v>
      </c>
      <c r="B111" s="214">
        <v>350000</v>
      </c>
      <c r="C111" s="212" t="s">
        <v>5</v>
      </c>
      <c r="D111" s="217" t="s">
        <v>222</v>
      </c>
      <c r="E111" s="217"/>
      <c r="F111" s="214">
        <v>8</v>
      </c>
      <c r="G111" s="212" t="s">
        <v>5</v>
      </c>
      <c r="H111" s="212" t="s">
        <v>222</v>
      </c>
      <c r="I111" s="212"/>
      <c r="J111" s="330">
        <v>11</v>
      </c>
      <c r="K111" s="217" t="s">
        <v>5</v>
      </c>
      <c r="L111" s="217" t="s">
        <v>222</v>
      </c>
      <c r="M111" s="217" t="s">
        <v>274</v>
      </c>
      <c r="N111" s="214">
        <v>1</v>
      </c>
      <c r="O111" s="289" t="s">
        <v>5</v>
      </c>
      <c r="P111" s="212" t="s">
        <v>222</v>
      </c>
      <c r="Q111" s="217"/>
      <c r="R111" s="214">
        <v>2930001</v>
      </c>
      <c r="S111" s="212" t="s">
        <v>5</v>
      </c>
      <c r="T111" s="212" t="s">
        <v>222</v>
      </c>
      <c r="U111" s="217" t="s">
        <v>273</v>
      </c>
      <c r="V111" s="214">
        <v>11</v>
      </c>
      <c r="W111" s="212" t="s">
        <v>5</v>
      </c>
      <c r="X111" s="212" t="s">
        <v>222</v>
      </c>
      <c r="Y111" s="217" t="s">
        <v>258</v>
      </c>
      <c r="Z111" s="217"/>
      <c r="AA111" s="217"/>
      <c r="AB111" s="217"/>
      <c r="AC111" s="217"/>
      <c r="AD111" s="217"/>
      <c r="AE111" s="217"/>
      <c r="AF111" s="217"/>
      <c r="AG111" s="217"/>
      <c r="AH111" s="214">
        <v>3</v>
      </c>
      <c r="AI111" s="212" t="s">
        <v>53</v>
      </c>
      <c r="AJ111" s="212"/>
      <c r="AK111" s="212"/>
    </row>
    <row r="112" spans="1:37" ht="18.75" customHeight="1">
      <c r="A112" s="211">
        <v>45957</v>
      </c>
      <c r="B112" s="214">
        <v>1</v>
      </c>
      <c r="C112" s="212" t="s">
        <v>5</v>
      </c>
      <c r="D112" s="217" t="s">
        <v>222</v>
      </c>
      <c r="E112" s="217"/>
      <c r="F112" s="214">
        <v>9</v>
      </c>
      <c r="G112" s="212" t="s">
        <v>5</v>
      </c>
      <c r="H112" s="212" t="s">
        <v>222</v>
      </c>
      <c r="I112" s="212"/>
      <c r="J112" s="330">
        <v>1000000</v>
      </c>
      <c r="K112" s="217" t="s">
        <v>5</v>
      </c>
      <c r="L112" s="217" t="s">
        <v>222</v>
      </c>
      <c r="M112" s="217" t="s">
        <v>275</v>
      </c>
      <c r="N112" s="214">
        <v>1900000</v>
      </c>
      <c r="O112" s="289" t="s">
        <v>5</v>
      </c>
      <c r="P112" s="212" t="s">
        <v>222</v>
      </c>
      <c r="Q112" s="217" t="s">
        <v>275</v>
      </c>
      <c r="R112" s="214">
        <v>111</v>
      </c>
      <c r="S112" s="212" t="s">
        <v>5</v>
      </c>
      <c r="T112" s="212" t="s">
        <v>222</v>
      </c>
      <c r="U112" s="217"/>
      <c r="V112" s="214">
        <v>12</v>
      </c>
      <c r="W112" s="212" t="s">
        <v>5</v>
      </c>
      <c r="X112" s="212" t="s">
        <v>222</v>
      </c>
      <c r="Y112" s="217" t="s">
        <v>258</v>
      </c>
      <c r="Z112" s="217"/>
      <c r="AA112" s="217"/>
      <c r="AB112" s="217"/>
      <c r="AC112" s="217"/>
      <c r="AD112" s="217"/>
      <c r="AE112" s="217"/>
      <c r="AF112" s="217"/>
      <c r="AG112" s="217"/>
      <c r="AH112" s="214">
        <v>4</v>
      </c>
      <c r="AI112" s="212" t="s">
        <v>53</v>
      </c>
      <c r="AJ112" s="212"/>
      <c r="AK112" s="212"/>
    </row>
    <row r="113" spans="1:37" ht="18.75" customHeight="1">
      <c r="A113" s="211">
        <v>45958</v>
      </c>
      <c r="B113" s="214">
        <v>2</v>
      </c>
      <c r="C113" s="212" t="s">
        <v>5</v>
      </c>
      <c r="D113" s="217" t="s">
        <v>222</v>
      </c>
      <c r="E113" s="217"/>
      <c r="F113" s="214">
        <v>10</v>
      </c>
      <c r="G113" s="212" t="s">
        <v>5</v>
      </c>
      <c r="H113" s="212" t="s">
        <v>222</v>
      </c>
      <c r="I113" s="212"/>
      <c r="J113" s="330">
        <v>1</v>
      </c>
      <c r="K113" s="217" t="s">
        <v>5</v>
      </c>
      <c r="L113" s="217" t="s">
        <v>222</v>
      </c>
      <c r="M113" s="217"/>
      <c r="N113" s="214">
        <v>1</v>
      </c>
      <c r="O113" s="289" t="s">
        <v>5</v>
      </c>
      <c r="P113" s="212" t="s">
        <v>222</v>
      </c>
      <c r="Q113" s="217"/>
      <c r="R113" s="214">
        <v>112</v>
      </c>
      <c r="S113" s="212" t="s">
        <v>5</v>
      </c>
      <c r="T113" s="212" t="s">
        <v>222</v>
      </c>
      <c r="U113" s="217"/>
      <c r="V113" s="214">
        <v>13</v>
      </c>
      <c r="W113" s="212" t="s">
        <v>5</v>
      </c>
      <c r="X113" s="212" t="s">
        <v>222</v>
      </c>
      <c r="Y113" s="217" t="s">
        <v>258</v>
      </c>
      <c r="Z113" s="217"/>
      <c r="AA113" s="217"/>
      <c r="AB113" s="217"/>
      <c r="AC113" s="217"/>
      <c r="AD113" s="217"/>
      <c r="AE113" s="217"/>
      <c r="AF113" s="217"/>
      <c r="AG113" s="217"/>
      <c r="AH113" s="214">
        <v>5</v>
      </c>
      <c r="AI113" s="212" t="s">
        <v>53</v>
      </c>
      <c r="AJ113" s="212"/>
      <c r="AK113" s="212"/>
    </row>
    <row r="114" spans="1:37" ht="18.75" customHeight="1">
      <c r="A114" s="211">
        <v>45959</v>
      </c>
      <c r="B114" s="214">
        <v>3</v>
      </c>
      <c r="C114" s="212" t="s">
        <v>5</v>
      </c>
      <c r="D114" s="217" t="s">
        <v>222</v>
      </c>
      <c r="E114" s="217"/>
      <c r="F114" s="214">
        <v>11</v>
      </c>
      <c r="G114" s="212" t="s">
        <v>5</v>
      </c>
      <c r="H114" s="212" t="s">
        <v>222</v>
      </c>
      <c r="I114" s="212"/>
      <c r="J114" s="330">
        <v>2</v>
      </c>
      <c r="K114" s="217" t="s">
        <v>5</v>
      </c>
      <c r="L114" s="217" t="s">
        <v>222</v>
      </c>
      <c r="M114" s="217"/>
      <c r="N114" s="214">
        <v>2</v>
      </c>
      <c r="O114" s="289" t="s">
        <v>5</v>
      </c>
      <c r="P114" s="212" t="s">
        <v>222</v>
      </c>
      <c r="Q114" s="217"/>
      <c r="R114" s="214">
        <v>113</v>
      </c>
      <c r="S114" s="212" t="s">
        <v>5</v>
      </c>
      <c r="T114" s="212" t="s">
        <v>222</v>
      </c>
      <c r="U114" s="217"/>
      <c r="V114" s="214">
        <v>14</v>
      </c>
      <c r="W114" s="212" t="s">
        <v>5</v>
      </c>
      <c r="X114" s="212" t="s">
        <v>222</v>
      </c>
      <c r="Y114" s="217" t="s">
        <v>258</v>
      </c>
      <c r="Z114" s="217"/>
      <c r="AA114" s="217"/>
      <c r="AB114" s="217"/>
      <c r="AC114" s="217"/>
      <c r="AD114" s="217"/>
      <c r="AE114" s="217"/>
      <c r="AF114" s="217"/>
      <c r="AG114" s="217"/>
      <c r="AH114" s="214">
        <v>6</v>
      </c>
      <c r="AI114" s="212" t="s">
        <v>53</v>
      </c>
      <c r="AJ114" s="212"/>
      <c r="AK114" s="212"/>
    </row>
    <row r="115" spans="1:37" ht="18.75" customHeight="1">
      <c r="A115" s="211">
        <v>45960</v>
      </c>
      <c r="B115" s="214">
        <v>4</v>
      </c>
      <c r="C115" s="212" t="s">
        <v>5</v>
      </c>
      <c r="D115" s="217" t="s">
        <v>222</v>
      </c>
      <c r="E115" s="217"/>
      <c r="F115" s="214">
        <v>12</v>
      </c>
      <c r="G115" s="212" t="s">
        <v>5</v>
      </c>
      <c r="H115" s="212" t="s">
        <v>222</v>
      </c>
      <c r="I115" s="212"/>
      <c r="J115" s="330">
        <v>3</v>
      </c>
      <c r="K115" s="217" t="s">
        <v>5</v>
      </c>
      <c r="L115" s="217" t="s">
        <v>222</v>
      </c>
      <c r="M115" s="217"/>
      <c r="N115" s="214">
        <v>3</v>
      </c>
      <c r="O115" s="289" t="s">
        <v>5</v>
      </c>
      <c r="P115" s="212" t="s">
        <v>222</v>
      </c>
      <c r="Q115" s="217"/>
      <c r="R115" s="214">
        <v>114</v>
      </c>
      <c r="S115" s="212" t="s">
        <v>5</v>
      </c>
      <c r="T115" s="212" t="s">
        <v>222</v>
      </c>
      <c r="U115" s="217"/>
      <c r="V115" s="214">
        <v>15</v>
      </c>
      <c r="W115" s="212" t="s">
        <v>5</v>
      </c>
      <c r="X115" s="212" t="s">
        <v>222</v>
      </c>
      <c r="Y115" s="217" t="s">
        <v>258</v>
      </c>
      <c r="Z115" s="217"/>
      <c r="AA115" s="217"/>
      <c r="AB115" s="217"/>
      <c r="AC115" s="217"/>
      <c r="AD115" s="217"/>
      <c r="AE115" s="217"/>
      <c r="AF115" s="217"/>
      <c r="AG115" s="217"/>
      <c r="AH115" s="214">
        <v>7</v>
      </c>
      <c r="AI115" s="212" t="s">
        <v>53</v>
      </c>
      <c r="AJ115" s="212"/>
      <c r="AK115" s="212"/>
    </row>
    <row r="116" spans="1:37" ht="18.75" customHeight="1">
      <c r="A116" s="211">
        <v>45961</v>
      </c>
      <c r="B116" s="214">
        <v>5</v>
      </c>
      <c r="C116" s="212" t="s">
        <v>5</v>
      </c>
      <c r="D116" s="217" t="s">
        <v>222</v>
      </c>
      <c r="E116" s="217"/>
      <c r="F116" s="214">
        <v>13</v>
      </c>
      <c r="G116" s="212" t="s">
        <v>5</v>
      </c>
      <c r="H116" s="212" t="s">
        <v>222</v>
      </c>
      <c r="I116" s="212"/>
      <c r="J116" s="330">
        <v>4</v>
      </c>
      <c r="K116" s="217" t="s">
        <v>5</v>
      </c>
      <c r="L116" s="217" t="s">
        <v>222</v>
      </c>
      <c r="M116" s="217"/>
      <c r="N116" s="214">
        <v>4</v>
      </c>
      <c r="O116" s="289" t="s">
        <v>5</v>
      </c>
      <c r="P116" s="212" t="s">
        <v>222</v>
      </c>
      <c r="Q116" s="217"/>
      <c r="R116" s="214">
        <v>115</v>
      </c>
      <c r="S116" s="212" t="s">
        <v>5</v>
      </c>
      <c r="T116" s="212" t="s">
        <v>222</v>
      </c>
      <c r="U116" s="217"/>
      <c r="V116" s="214">
        <v>16</v>
      </c>
      <c r="W116" s="212" t="s">
        <v>5</v>
      </c>
      <c r="X116" s="212" t="s">
        <v>222</v>
      </c>
      <c r="Y116" s="217" t="s">
        <v>258</v>
      </c>
      <c r="Z116" s="217"/>
      <c r="AA116" s="217"/>
      <c r="AB116" s="217"/>
      <c r="AC116" s="217"/>
      <c r="AD116" s="217"/>
      <c r="AE116" s="217"/>
      <c r="AF116" s="217"/>
      <c r="AG116" s="217"/>
      <c r="AH116" s="214">
        <v>1769500</v>
      </c>
      <c r="AI116" s="212" t="s">
        <v>53</v>
      </c>
      <c r="AJ116" s="212"/>
      <c r="AK116" s="212"/>
    </row>
    <row r="117" spans="1:37" ht="18.75" customHeight="1">
      <c r="A117" s="211">
        <v>45966</v>
      </c>
      <c r="B117" s="214">
        <v>6</v>
      </c>
      <c r="C117" s="212" t="s">
        <v>5</v>
      </c>
      <c r="D117" s="217" t="s">
        <v>222</v>
      </c>
      <c r="E117" s="217"/>
      <c r="F117" s="214">
        <v>3500000</v>
      </c>
      <c r="G117" s="212" t="s">
        <v>5</v>
      </c>
      <c r="H117" s="212" t="s">
        <v>222</v>
      </c>
      <c r="I117" s="212"/>
      <c r="J117" s="330">
        <v>5</v>
      </c>
      <c r="K117" s="217" t="s">
        <v>5</v>
      </c>
      <c r="L117" s="217" t="s">
        <v>222</v>
      </c>
      <c r="M117" s="217"/>
      <c r="N117" s="214">
        <v>6000000</v>
      </c>
      <c r="O117" s="289" t="s">
        <v>5</v>
      </c>
      <c r="P117" s="212" t="s">
        <v>223</v>
      </c>
      <c r="Q117" s="217" t="s">
        <v>276</v>
      </c>
      <c r="R117" s="214">
        <v>116</v>
      </c>
      <c r="S117" s="212" t="s">
        <v>5</v>
      </c>
      <c r="T117" s="212" t="s">
        <v>222</v>
      </c>
      <c r="U117" s="217"/>
      <c r="V117" s="214">
        <v>17</v>
      </c>
      <c r="W117" s="212" t="s">
        <v>5</v>
      </c>
      <c r="X117" s="212" t="s">
        <v>222</v>
      </c>
      <c r="Y117" s="217" t="s">
        <v>258</v>
      </c>
      <c r="Z117" s="217"/>
      <c r="AA117" s="217"/>
      <c r="AB117" s="217"/>
      <c r="AC117" s="217"/>
      <c r="AD117" s="217"/>
      <c r="AE117" s="217"/>
      <c r="AF117" s="217"/>
      <c r="AG117" s="217"/>
      <c r="AH117" s="214">
        <v>1769501</v>
      </c>
      <c r="AI117" s="212" t="s">
        <v>53</v>
      </c>
      <c r="AJ117" s="212"/>
      <c r="AK117" s="212"/>
    </row>
    <row r="118" spans="1:37" ht="18.75" customHeight="1">
      <c r="A118" s="211">
        <v>45967</v>
      </c>
      <c r="B118" s="214">
        <v>7</v>
      </c>
      <c r="C118" s="212" t="s">
        <v>5</v>
      </c>
      <c r="D118" s="217" t="s">
        <v>222</v>
      </c>
      <c r="E118" s="217"/>
      <c r="F118" s="214">
        <v>1000000</v>
      </c>
      <c r="G118" s="212" t="s">
        <v>5</v>
      </c>
      <c r="H118" s="212" t="s">
        <v>222</v>
      </c>
      <c r="I118" s="212"/>
      <c r="J118" s="330">
        <v>5400000</v>
      </c>
      <c r="K118" s="217" t="s">
        <v>5</v>
      </c>
      <c r="L118" s="217" t="s">
        <v>222</v>
      </c>
      <c r="M118" s="217"/>
      <c r="N118" s="214">
        <v>4500000</v>
      </c>
      <c r="O118" s="289" t="s">
        <v>5</v>
      </c>
      <c r="P118" s="212" t="s">
        <v>223</v>
      </c>
      <c r="Q118" s="217"/>
      <c r="R118" s="214">
        <v>117</v>
      </c>
      <c r="S118" s="212" t="s">
        <v>5</v>
      </c>
      <c r="T118" s="212" t="s">
        <v>222</v>
      </c>
      <c r="U118" s="217"/>
      <c r="V118" s="214">
        <v>18</v>
      </c>
      <c r="W118" s="212" t="s">
        <v>5</v>
      </c>
      <c r="X118" s="212" t="s">
        <v>222</v>
      </c>
      <c r="Y118" s="217" t="s">
        <v>258</v>
      </c>
      <c r="Z118" s="217"/>
      <c r="AA118" s="217"/>
      <c r="AB118" s="217"/>
      <c r="AC118" s="217"/>
      <c r="AD118" s="217"/>
      <c r="AE118" s="217"/>
      <c r="AF118" s="217"/>
      <c r="AG118" s="217"/>
      <c r="AH118" s="214">
        <v>1664000</v>
      </c>
      <c r="AI118" s="212" t="s">
        <v>53</v>
      </c>
      <c r="AJ118" s="212"/>
      <c r="AK118" s="212"/>
    </row>
    <row r="119" spans="1:37" ht="18.75" customHeight="1">
      <c r="A119" s="211">
        <v>45968</v>
      </c>
      <c r="B119" s="214">
        <v>8</v>
      </c>
      <c r="C119" s="212" t="s">
        <v>5</v>
      </c>
      <c r="D119" s="217" t="s">
        <v>222</v>
      </c>
      <c r="E119" s="217"/>
      <c r="F119" s="214">
        <v>1000001</v>
      </c>
      <c r="G119" s="212" t="s">
        <v>5</v>
      </c>
      <c r="H119" s="212" t="s">
        <v>222</v>
      </c>
      <c r="I119" s="212"/>
      <c r="J119" s="330">
        <v>2600000</v>
      </c>
      <c r="K119" s="217" t="s">
        <v>5</v>
      </c>
      <c r="L119" s="217" t="s">
        <v>222</v>
      </c>
      <c r="M119" s="217"/>
      <c r="N119" s="214">
        <v>1300000</v>
      </c>
      <c r="O119" s="289" t="s">
        <v>5</v>
      </c>
      <c r="P119" s="212" t="s">
        <v>222</v>
      </c>
      <c r="Q119" s="217"/>
      <c r="R119" s="214">
        <v>118</v>
      </c>
      <c r="S119" s="212" t="s">
        <v>5</v>
      </c>
      <c r="T119" s="212" t="s">
        <v>222</v>
      </c>
      <c r="U119" s="217"/>
      <c r="V119" s="214">
        <v>19</v>
      </c>
      <c r="W119" s="212" t="s">
        <v>5</v>
      </c>
      <c r="X119" s="212" t="s">
        <v>222</v>
      </c>
      <c r="Y119" s="217" t="s">
        <v>258</v>
      </c>
      <c r="Z119" s="217"/>
      <c r="AA119" s="217"/>
      <c r="AB119" s="217"/>
      <c r="AC119" s="217"/>
      <c r="AD119" s="217"/>
      <c r="AE119" s="217"/>
      <c r="AF119" s="217"/>
      <c r="AG119" s="217"/>
      <c r="AH119" s="214">
        <v>2835382.81</v>
      </c>
      <c r="AI119" s="212" t="s">
        <v>53</v>
      </c>
      <c r="AJ119" s="212"/>
      <c r="AK119" s="212"/>
    </row>
    <row r="120" spans="1:37" ht="18.75" customHeight="1">
      <c r="A120" s="211">
        <v>45971</v>
      </c>
      <c r="B120" s="214">
        <v>9</v>
      </c>
      <c r="C120" s="212" t="s">
        <v>5</v>
      </c>
      <c r="D120" s="217" t="s">
        <v>222</v>
      </c>
      <c r="E120" s="217"/>
      <c r="F120" s="214">
        <v>1300000</v>
      </c>
      <c r="G120" s="212" t="s">
        <v>5</v>
      </c>
      <c r="H120" s="212" t="s">
        <v>222</v>
      </c>
      <c r="I120" s="212"/>
      <c r="J120" s="330">
        <v>7700000</v>
      </c>
      <c r="K120" s="217" t="s">
        <v>5</v>
      </c>
      <c r="L120" s="217" t="s">
        <v>222</v>
      </c>
      <c r="M120" s="217"/>
      <c r="N120" s="214">
        <v>1</v>
      </c>
      <c r="O120" s="289" t="s">
        <v>5</v>
      </c>
      <c r="P120" s="212" t="s">
        <v>222</v>
      </c>
      <c r="Q120" s="217"/>
      <c r="R120" s="214">
        <v>119</v>
      </c>
      <c r="S120" s="212" t="s">
        <v>5</v>
      </c>
      <c r="T120" s="212" t="s">
        <v>222</v>
      </c>
      <c r="U120" s="217"/>
      <c r="V120" s="214">
        <v>1800000</v>
      </c>
      <c r="W120" s="212" t="s">
        <v>5</v>
      </c>
      <c r="X120" s="212" t="s">
        <v>223</v>
      </c>
      <c r="Y120" s="217" t="s">
        <v>277</v>
      </c>
      <c r="Z120" s="217"/>
      <c r="AA120" s="217"/>
      <c r="AB120" s="217"/>
      <c r="AC120" s="217"/>
      <c r="AD120" s="217"/>
      <c r="AE120" s="217"/>
      <c r="AF120" s="217"/>
      <c r="AG120" s="217"/>
      <c r="AH120" s="214">
        <v>2785147</v>
      </c>
      <c r="AI120" s="212" t="s">
        <v>53</v>
      </c>
      <c r="AJ120" s="212"/>
      <c r="AK120" s="212"/>
    </row>
    <row r="121" spans="1:37" ht="18.75" customHeight="1">
      <c r="A121" s="211">
        <v>45972</v>
      </c>
      <c r="B121" s="214">
        <v>10</v>
      </c>
      <c r="C121" s="212" t="s">
        <v>5</v>
      </c>
      <c r="D121" s="217" t="s">
        <v>222</v>
      </c>
      <c r="E121" s="217"/>
      <c r="F121" s="214">
        <v>1400001</v>
      </c>
      <c r="G121" s="212" t="s">
        <v>5</v>
      </c>
      <c r="H121" s="212" t="s">
        <v>222</v>
      </c>
      <c r="I121" s="212"/>
      <c r="J121" s="330">
        <v>4400000</v>
      </c>
      <c r="K121" s="217" t="s">
        <v>5</v>
      </c>
      <c r="L121" s="217" t="s">
        <v>222</v>
      </c>
      <c r="M121" s="217"/>
      <c r="N121" s="214">
        <v>1000000</v>
      </c>
      <c r="O121" s="289" t="s">
        <v>5</v>
      </c>
      <c r="P121" s="212" t="s">
        <v>222</v>
      </c>
      <c r="Q121" s="217"/>
      <c r="R121" s="214">
        <v>120</v>
      </c>
      <c r="S121" s="212" t="s">
        <v>5</v>
      </c>
      <c r="T121" s="212" t="s">
        <v>222</v>
      </c>
      <c r="U121" s="217"/>
      <c r="V121" s="214">
        <v>3430000</v>
      </c>
      <c r="W121" s="212" t="s">
        <v>5</v>
      </c>
      <c r="X121" s="212" t="s">
        <v>223</v>
      </c>
      <c r="Y121" s="217" t="s">
        <v>277</v>
      </c>
      <c r="Z121" s="217"/>
      <c r="AA121" s="217"/>
      <c r="AB121" s="217"/>
      <c r="AC121" s="217"/>
      <c r="AD121" s="217"/>
      <c r="AE121" s="217"/>
      <c r="AF121" s="217"/>
      <c r="AG121" s="217"/>
      <c r="AH121" s="214">
        <v>2943808</v>
      </c>
      <c r="AI121" s="212" t="s">
        <v>53</v>
      </c>
      <c r="AJ121" s="212"/>
      <c r="AK121" s="212"/>
    </row>
    <row r="122" spans="1:37" ht="18.75" customHeight="1">
      <c r="A122" s="211">
        <v>45973</v>
      </c>
      <c r="B122" s="214">
        <v>400000</v>
      </c>
      <c r="C122" s="212" t="s">
        <v>5</v>
      </c>
      <c r="D122" s="217" t="s">
        <v>222</v>
      </c>
      <c r="E122" s="217"/>
      <c r="F122" s="214">
        <v>1400002</v>
      </c>
      <c r="G122" s="212" t="s">
        <v>5</v>
      </c>
      <c r="H122" s="212" t="s">
        <v>222</v>
      </c>
      <c r="I122" s="212"/>
      <c r="J122" s="330">
        <v>4100000</v>
      </c>
      <c r="K122" s="217" t="s">
        <v>5</v>
      </c>
      <c r="L122" s="217" t="s">
        <v>222</v>
      </c>
      <c r="M122" s="217"/>
      <c r="N122" s="214">
        <v>11</v>
      </c>
      <c r="O122" s="289" t="s">
        <v>5</v>
      </c>
      <c r="P122" s="212" t="s">
        <v>222</v>
      </c>
      <c r="Q122" s="217"/>
      <c r="R122" s="214">
        <v>121</v>
      </c>
      <c r="S122" s="212" t="s">
        <v>5</v>
      </c>
      <c r="T122" s="212" t="s">
        <v>222</v>
      </c>
      <c r="U122" s="217"/>
      <c r="V122" s="214">
        <v>3430001</v>
      </c>
      <c r="W122" s="212" t="s">
        <v>5</v>
      </c>
      <c r="X122" s="212" t="s">
        <v>222</v>
      </c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4">
        <v>2943809</v>
      </c>
      <c r="AI122" s="212" t="s">
        <v>53</v>
      </c>
      <c r="AJ122" s="212"/>
      <c r="AK122" s="212"/>
    </row>
    <row r="123" spans="1:37" ht="18.75" customHeight="1">
      <c r="A123" s="211">
        <v>45974</v>
      </c>
      <c r="B123" s="214">
        <v>1000001</v>
      </c>
      <c r="C123" s="212" t="s">
        <v>5</v>
      </c>
      <c r="D123" s="217" t="s">
        <v>222</v>
      </c>
      <c r="E123" s="217"/>
      <c r="F123" s="214">
        <v>1400003</v>
      </c>
      <c r="G123" s="212" t="s">
        <v>5</v>
      </c>
      <c r="H123" s="212" t="s">
        <v>222</v>
      </c>
      <c r="I123" s="212"/>
      <c r="J123" s="330">
        <v>1200000</v>
      </c>
      <c r="K123" s="217" t="s">
        <v>5</v>
      </c>
      <c r="L123" s="217" t="s">
        <v>222</v>
      </c>
      <c r="M123" s="217"/>
      <c r="N123" s="214">
        <v>1700000</v>
      </c>
      <c r="O123" s="289" t="s">
        <v>5</v>
      </c>
      <c r="P123" s="212" t="s">
        <v>222</v>
      </c>
      <c r="Q123" s="217"/>
      <c r="R123" s="214">
        <v>122</v>
      </c>
      <c r="S123" s="212" t="s">
        <v>5</v>
      </c>
      <c r="T123" s="212" t="s">
        <v>222</v>
      </c>
      <c r="U123" s="217"/>
      <c r="V123" s="214">
        <v>500000</v>
      </c>
      <c r="W123" s="212" t="s">
        <v>5</v>
      </c>
      <c r="X123" s="212" t="s">
        <v>222</v>
      </c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4">
        <v>2943810</v>
      </c>
      <c r="AI123" s="212" t="s">
        <v>53</v>
      </c>
      <c r="AJ123" s="212"/>
      <c r="AK123" s="212"/>
    </row>
    <row r="124" spans="1:37" ht="18.75" customHeight="1">
      <c r="A124" s="211">
        <v>45978</v>
      </c>
      <c r="B124" s="214">
        <v>1</v>
      </c>
      <c r="C124" s="212" t="s">
        <v>5</v>
      </c>
      <c r="D124" s="217" t="s">
        <v>222</v>
      </c>
      <c r="E124" s="217"/>
      <c r="F124" s="214">
        <v>950000</v>
      </c>
      <c r="G124" s="212" t="s">
        <v>5</v>
      </c>
      <c r="H124" s="212" t="s">
        <v>222</v>
      </c>
      <c r="I124" s="212"/>
      <c r="J124" s="330">
        <v>1</v>
      </c>
      <c r="K124" s="217" t="s">
        <v>5</v>
      </c>
      <c r="L124" s="217" t="s">
        <v>222</v>
      </c>
      <c r="M124" s="217"/>
      <c r="N124" s="214">
        <v>3300000</v>
      </c>
      <c r="O124" s="289" t="s">
        <v>5</v>
      </c>
      <c r="P124" s="212" t="s">
        <v>222</v>
      </c>
      <c r="Q124" s="217"/>
      <c r="R124" s="214">
        <v>123</v>
      </c>
      <c r="S124" s="212" t="s">
        <v>5</v>
      </c>
      <c r="T124" s="212" t="s">
        <v>222</v>
      </c>
      <c r="U124" s="217"/>
      <c r="V124" s="214">
        <v>500001</v>
      </c>
      <c r="W124" s="212" t="s">
        <v>5</v>
      </c>
      <c r="X124" s="212" t="s">
        <v>222</v>
      </c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4">
        <v>2900000</v>
      </c>
      <c r="AI124" s="212" t="s">
        <v>53</v>
      </c>
      <c r="AJ124" s="212"/>
      <c r="AK124" s="212"/>
    </row>
    <row r="125" spans="1:37" ht="18.75" customHeight="1">
      <c r="A125" s="211">
        <v>45979</v>
      </c>
      <c r="B125" s="214">
        <v>2</v>
      </c>
      <c r="C125" s="212" t="s">
        <v>5</v>
      </c>
      <c r="D125" s="217" t="s">
        <v>222</v>
      </c>
      <c r="E125" s="217"/>
      <c r="F125" s="214">
        <v>370000</v>
      </c>
      <c r="G125" s="212" t="s">
        <v>5</v>
      </c>
      <c r="H125" s="212" t="s">
        <v>222</v>
      </c>
      <c r="I125" s="212"/>
      <c r="J125" s="330">
        <v>100000</v>
      </c>
      <c r="K125" s="217" t="s">
        <v>5</v>
      </c>
      <c r="L125" s="217" t="s">
        <v>222</v>
      </c>
      <c r="M125" s="217"/>
      <c r="N125" s="214">
        <v>1800000</v>
      </c>
      <c r="O125" s="289" t="s">
        <v>5</v>
      </c>
      <c r="P125" s="212" t="s">
        <v>222</v>
      </c>
      <c r="Q125" s="217"/>
      <c r="R125" s="214">
        <v>124</v>
      </c>
      <c r="S125" s="212" t="s">
        <v>5</v>
      </c>
      <c r="T125" s="212" t="s">
        <v>222</v>
      </c>
      <c r="U125" s="217"/>
      <c r="V125" s="214">
        <v>500002</v>
      </c>
      <c r="W125" s="212" t="s">
        <v>5</v>
      </c>
      <c r="X125" s="212" t="s">
        <v>222</v>
      </c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4">
        <v>2900001</v>
      </c>
      <c r="AI125" s="212" t="s">
        <v>53</v>
      </c>
      <c r="AJ125" s="212"/>
      <c r="AK125" s="212"/>
    </row>
    <row r="126" spans="1:37" ht="18.75" customHeight="1">
      <c r="A126" s="211">
        <v>45980</v>
      </c>
      <c r="B126" s="214">
        <v>3000000</v>
      </c>
      <c r="C126" s="212" t="s">
        <v>5</v>
      </c>
      <c r="D126" s="217" t="s">
        <v>223</v>
      </c>
      <c r="E126" s="217" t="s">
        <v>278</v>
      </c>
      <c r="F126" s="214">
        <v>370001</v>
      </c>
      <c r="G126" s="212" t="s">
        <v>5</v>
      </c>
      <c r="H126" s="212" t="s">
        <v>222</v>
      </c>
      <c r="I126" s="212"/>
      <c r="J126" s="330">
        <v>1100000</v>
      </c>
      <c r="K126" s="217" t="s">
        <v>5</v>
      </c>
      <c r="L126" s="217" t="s">
        <v>222</v>
      </c>
      <c r="M126" s="217"/>
      <c r="N126" s="214">
        <v>1700000</v>
      </c>
      <c r="O126" s="289" t="s">
        <v>5</v>
      </c>
      <c r="P126" s="212" t="s">
        <v>222</v>
      </c>
      <c r="Q126" s="217" t="s">
        <v>279</v>
      </c>
      <c r="R126" s="214">
        <v>125</v>
      </c>
      <c r="S126" s="212" t="s">
        <v>5</v>
      </c>
      <c r="T126" s="212" t="s">
        <v>222</v>
      </c>
      <c r="U126" s="217"/>
      <c r="V126" s="214">
        <v>500002</v>
      </c>
      <c r="W126" s="212" t="s">
        <v>5</v>
      </c>
      <c r="X126" s="212" t="s">
        <v>222</v>
      </c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4">
        <v>2600000</v>
      </c>
      <c r="AI126" s="212" t="s">
        <v>53</v>
      </c>
      <c r="AJ126" s="212"/>
      <c r="AK126" s="212"/>
    </row>
    <row r="127" spans="1:37" ht="18.75" customHeight="1">
      <c r="A127" s="211">
        <v>45981</v>
      </c>
      <c r="B127" s="214">
        <v>3000001</v>
      </c>
      <c r="C127" s="212" t="s">
        <v>5</v>
      </c>
      <c r="D127" s="217" t="s">
        <v>223</v>
      </c>
      <c r="E127" s="217" t="s">
        <v>280</v>
      </c>
      <c r="F127" s="214">
        <v>100000</v>
      </c>
      <c r="G127" s="212" t="s">
        <v>5</v>
      </c>
      <c r="H127" s="212" t="s">
        <v>222</v>
      </c>
      <c r="I127" s="212"/>
      <c r="J127" s="330">
        <v>400000</v>
      </c>
      <c r="K127" s="217" t="s">
        <v>5</v>
      </c>
      <c r="L127" s="217" t="s">
        <v>222</v>
      </c>
      <c r="M127" s="217"/>
      <c r="N127" s="214">
        <v>900000</v>
      </c>
      <c r="O127" s="289" t="s">
        <v>5</v>
      </c>
      <c r="P127" s="212" t="s">
        <v>222</v>
      </c>
      <c r="Q127" s="217" t="s">
        <v>281</v>
      </c>
      <c r="R127" s="214">
        <v>126</v>
      </c>
      <c r="S127" s="212" t="s">
        <v>5</v>
      </c>
      <c r="T127" s="212" t="s">
        <v>222</v>
      </c>
      <c r="U127" s="217"/>
      <c r="V127" s="214">
        <v>300000</v>
      </c>
      <c r="W127" s="212" t="s">
        <v>5</v>
      </c>
      <c r="X127" s="212" t="s">
        <v>222</v>
      </c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4">
        <v>2600001</v>
      </c>
      <c r="AI127" s="212" t="s">
        <v>53</v>
      </c>
      <c r="AJ127" s="212"/>
      <c r="AK127" s="212"/>
    </row>
    <row r="128" spans="1:37" ht="18.75" customHeight="1">
      <c r="A128" s="211">
        <v>45982</v>
      </c>
      <c r="B128" s="214">
        <v>1</v>
      </c>
      <c r="C128" s="212" t="s">
        <v>5</v>
      </c>
      <c r="D128" s="217" t="s">
        <v>223</v>
      </c>
      <c r="E128" s="217"/>
      <c r="F128" s="214">
        <v>100001</v>
      </c>
      <c r="G128" s="212" t="s">
        <v>5</v>
      </c>
      <c r="H128" s="212" t="s">
        <v>222</v>
      </c>
      <c r="I128" s="212"/>
      <c r="J128" s="330">
        <v>100000</v>
      </c>
      <c r="K128" s="217" t="s">
        <v>5</v>
      </c>
      <c r="L128" s="217" t="s">
        <v>222</v>
      </c>
      <c r="M128" s="217"/>
      <c r="N128" s="214">
        <v>3600000</v>
      </c>
      <c r="O128" s="289" t="s">
        <v>5</v>
      </c>
      <c r="P128" s="212" t="s">
        <v>223</v>
      </c>
      <c r="Q128" s="217" t="s">
        <v>281</v>
      </c>
      <c r="R128" s="214">
        <v>2400000</v>
      </c>
      <c r="S128" s="212" t="s">
        <v>5</v>
      </c>
      <c r="T128" s="212" t="s">
        <v>222</v>
      </c>
      <c r="U128" s="217"/>
      <c r="V128" s="214">
        <v>3000000</v>
      </c>
      <c r="W128" s="212" t="s">
        <v>5</v>
      </c>
      <c r="X128" s="212" t="s">
        <v>222</v>
      </c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4">
        <v>2600002</v>
      </c>
      <c r="AI128" s="212" t="s">
        <v>53</v>
      </c>
      <c r="AJ128" s="212"/>
      <c r="AK128" s="212"/>
    </row>
    <row r="129" spans="1:37" ht="18.75" customHeight="1">
      <c r="A129" s="211">
        <v>45985</v>
      </c>
      <c r="B129" s="214">
        <v>2</v>
      </c>
      <c r="C129" s="212" t="s">
        <v>5</v>
      </c>
      <c r="D129" s="217" t="s">
        <v>223</v>
      </c>
      <c r="E129" s="217"/>
      <c r="F129" s="214">
        <v>200000</v>
      </c>
      <c r="G129" s="212" t="s">
        <v>5</v>
      </c>
      <c r="H129" s="212" t="s">
        <v>222</v>
      </c>
      <c r="I129" s="212"/>
      <c r="J129" s="330">
        <v>300000</v>
      </c>
      <c r="K129" s="217" t="s">
        <v>5</v>
      </c>
      <c r="L129" s="217" t="s">
        <v>222</v>
      </c>
      <c r="M129" s="217"/>
      <c r="N129" s="214">
        <v>600000</v>
      </c>
      <c r="O129" s="289" t="s">
        <v>5</v>
      </c>
      <c r="P129" s="212" t="s">
        <v>222</v>
      </c>
      <c r="Q129" s="217"/>
      <c r="R129" s="214">
        <v>5400001</v>
      </c>
      <c r="S129" s="212" t="s">
        <v>5</v>
      </c>
      <c r="T129" s="212" t="s">
        <v>222</v>
      </c>
      <c r="U129" s="217"/>
      <c r="V129" s="214">
        <v>1800000</v>
      </c>
      <c r="W129" s="212" t="s">
        <v>5</v>
      </c>
      <c r="X129" s="212" t="s">
        <v>222</v>
      </c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4">
        <f>2701626-326701</f>
        <v>2374925</v>
      </c>
      <c r="AI129" s="212" t="s">
        <v>53</v>
      </c>
      <c r="AJ129" s="212"/>
      <c r="AK129" s="212"/>
    </row>
    <row r="130" spans="1:37" ht="18.75" customHeight="1">
      <c r="A130" s="211">
        <v>45986</v>
      </c>
      <c r="B130" s="214">
        <v>3</v>
      </c>
      <c r="C130" s="212" t="s">
        <v>5</v>
      </c>
      <c r="D130" s="217" t="s">
        <v>223</v>
      </c>
      <c r="E130" s="217"/>
      <c r="F130" s="214">
        <v>800000</v>
      </c>
      <c r="G130" s="212" t="s">
        <v>5</v>
      </c>
      <c r="H130" s="212" t="s">
        <v>222</v>
      </c>
      <c r="I130" s="212"/>
      <c r="J130" s="330">
        <v>300001</v>
      </c>
      <c r="K130" s="217" t="s">
        <v>5</v>
      </c>
      <c r="L130" s="217" t="s">
        <v>222</v>
      </c>
      <c r="M130" s="217"/>
      <c r="N130" s="214">
        <v>11</v>
      </c>
      <c r="O130" s="289" t="s">
        <v>5</v>
      </c>
      <c r="P130" s="212" t="s">
        <v>222</v>
      </c>
      <c r="Q130" s="217"/>
      <c r="R130" s="214">
        <v>2600000</v>
      </c>
      <c r="S130" s="212" t="s">
        <v>5</v>
      </c>
      <c r="T130" s="212" t="s">
        <v>222</v>
      </c>
      <c r="U130" s="217"/>
      <c r="V130" s="214">
        <v>1200001</v>
      </c>
      <c r="W130" s="212" t="s">
        <v>5</v>
      </c>
      <c r="X130" s="212" t="s">
        <v>222</v>
      </c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4"/>
      <c r="AI130" s="212" t="s">
        <v>53</v>
      </c>
      <c r="AJ130" s="212"/>
      <c r="AK130" s="212"/>
    </row>
    <row r="131" spans="1:37" ht="18.75" customHeight="1">
      <c r="A131" s="211">
        <v>45987</v>
      </c>
      <c r="B131" s="214">
        <v>1500000</v>
      </c>
      <c r="C131" s="212" t="s">
        <v>5</v>
      </c>
      <c r="D131" s="217" t="s">
        <v>223</v>
      </c>
      <c r="E131" s="217" t="s">
        <v>277</v>
      </c>
      <c r="F131" s="214">
        <v>300000</v>
      </c>
      <c r="G131" s="212" t="s">
        <v>5</v>
      </c>
      <c r="H131" s="212" t="s">
        <v>222</v>
      </c>
      <c r="I131" s="212"/>
      <c r="J131" s="330">
        <v>200002</v>
      </c>
      <c r="K131" s="217" t="s">
        <v>5</v>
      </c>
      <c r="L131" s="217" t="s">
        <v>222</v>
      </c>
      <c r="M131" s="217"/>
      <c r="N131" s="214">
        <v>12</v>
      </c>
      <c r="O131" s="289" t="s">
        <v>5</v>
      </c>
      <c r="P131" s="212" t="s">
        <v>222</v>
      </c>
      <c r="Q131" s="217"/>
      <c r="R131" s="214">
        <v>800000</v>
      </c>
      <c r="S131" s="212" t="s">
        <v>5</v>
      </c>
      <c r="T131" s="212" t="s">
        <v>222</v>
      </c>
      <c r="U131" s="217"/>
      <c r="V131" s="214">
        <v>1</v>
      </c>
      <c r="W131" s="212" t="s">
        <v>5</v>
      </c>
      <c r="X131" s="212" t="s">
        <v>222</v>
      </c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4"/>
      <c r="AI131" s="212" t="s">
        <v>53</v>
      </c>
      <c r="AJ131" s="212"/>
      <c r="AK131" s="212"/>
    </row>
    <row r="132" spans="1:37" ht="18.75" customHeight="1">
      <c r="A132" s="211">
        <v>45988</v>
      </c>
      <c r="B132" s="214">
        <v>500000</v>
      </c>
      <c r="C132" s="212" t="s">
        <v>5</v>
      </c>
      <c r="D132" s="217" t="s">
        <v>223</v>
      </c>
      <c r="E132" s="217" t="s">
        <v>278</v>
      </c>
      <c r="F132" s="214">
        <v>300001</v>
      </c>
      <c r="G132" s="212" t="s">
        <v>5</v>
      </c>
      <c r="H132" s="212" t="s">
        <v>222</v>
      </c>
      <c r="I132" s="212"/>
      <c r="J132" s="330">
        <v>200003</v>
      </c>
      <c r="K132" s="217" t="s">
        <v>5</v>
      </c>
      <c r="L132" s="217" t="s">
        <v>222</v>
      </c>
      <c r="M132" s="217"/>
      <c r="N132" s="214">
        <v>13</v>
      </c>
      <c r="O132" s="289" t="s">
        <v>5</v>
      </c>
      <c r="P132" s="212" t="s">
        <v>222</v>
      </c>
      <c r="Q132" s="217" t="s">
        <v>282</v>
      </c>
      <c r="R132" s="214">
        <v>1</v>
      </c>
      <c r="S132" s="212" t="s">
        <v>5</v>
      </c>
      <c r="T132" s="212" t="s">
        <v>222</v>
      </c>
      <c r="U132" s="217"/>
      <c r="V132" s="214">
        <v>350000</v>
      </c>
      <c r="W132" s="212" t="s">
        <v>5</v>
      </c>
      <c r="X132" s="212" t="s">
        <v>222</v>
      </c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4"/>
      <c r="AI132" s="212" t="s">
        <v>53</v>
      </c>
      <c r="AJ132" s="212"/>
      <c r="AK132" s="212"/>
    </row>
    <row r="133" spans="1:37" ht="18.75" customHeight="1">
      <c r="A133" s="211">
        <v>45994</v>
      </c>
      <c r="B133" s="214">
        <v>600000</v>
      </c>
      <c r="C133" s="212" t="s">
        <v>5</v>
      </c>
      <c r="D133" s="217" t="s">
        <v>222</v>
      </c>
      <c r="E133" s="217"/>
      <c r="F133" s="214">
        <v>1</v>
      </c>
      <c r="G133" s="212" t="s">
        <v>5</v>
      </c>
      <c r="H133" s="212" t="s">
        <v>222</v>
      </c>
      <c r="I133" s="212"/>
      <c r="J133" s="330">
        <v>2</v>
      </c>
      <c r="K133" s="217" t="s">
        <v>5</v>
      </c>
      <c r="L133" s="217" t="s">
        <v>222</v>
      </c>
      <c r="M133" s="217"/>
      <c r="N133" s="214">
        <v>2000000</v>
      </c>
      <c r="O133" s="289" t="s">
        <v>5</v>
      </c>
      <c r="P133" s="212" t="s">
        <v>222</v>
      </c>
      <c r="Q133" s="217" t="s">
        <v>283</v>
      </c>
      <c r="R133" s="214">
        <v>2</v>
      </c>
      <c r="S133" s="212" t="s">
        <v>5</v>
      </c>
      <c r="T133" s="212" t="s">
        <v>222</v>
      </c>
      <c r="U133" s="217"/>
      <c r="V133" s="214">
        <v>1</v>
      </c>
      <c r="W133" s="212" t="s">
        <v>5</v>
      </c>
      <c r="X133" s="212" t="s">
        <v>222</v>
      </c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4"/>
      <c r="AI133" s="212" t="s">
        <v>53</v>
      </c>
      <c r="AJ133" s="212"/>
      <c r="AK133" s="212"/>
    </row>
    <row r="134" spans="1:37" ht="18.75" customHeight="1">
      <c r="A134" s="211">
        <v>45995</v>
      </c>
      <c r="B134" s="214">
        <v>1</v>
      </c>
      <c r="C134" s="212" t="s">
        <v>5</v>
      </c>
      <c r="D134" s="217" t="s">
        <v>222</v>
      </c>
      <c r="E134" s="217"/>
      <c r="F134" s="214">
        <v>2</v>
      </c>
      <c r="G134" s="212" t="s">
        <v>5</v>
      </c>
      <c r="H134" s="212" t="s">
        <v>222</v>
      </c>
      <c r="I134" s="212"/>
      <c r="J134" s="330">
        <v>3</v>
      </c>
      <c r="K134" s="217" t="s">
        <v>5</v>
      </c>
      <c r="L134" s="217" t="s">
        <v>222</v>
      </c>
      <c r="M134" s="217"/>
      <c r="N134" s="214">
        <v>800000</v>
      </c>
      <c r="O134" s="289" t="s">
        <v>5</v>
      </c>
      <c r="P134" s="212" t="s">
        <v>222</v>
      </c>
      <c r="Q134" s="217" t="s">
        <v>284</v>
      </c>
      <c r="R134" s="214">
        <v>3</v>
      </c>
      <c r="S134" s="212" t="s">
        <v>5</v>
      </c>
      <c r="T134" s="212" t="s">
        <v>222</v>
      </c>
      <c r="U134" s="217"/>
      <c r="V134" s="214">
        <v>2</v>
      </c>
      <c r="W134" s="212" t="s">
        <v>5</v>
      </c>
      <c r="X134" s="212" t="s">
        <v>222</v>
      </c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4">
        <v>690000</v>
      </c>
      <c r="AI134" s="212" t="s">
        <v>53</v>
      </c>
      <c r="AJ134" s="212"/>
      <c r="AK134" s="212"/>
    </row>
    <row r="135" spans="1:37" ht="18.75" customHeight="1">
      <c r="A135" s="211">
        <v>45996</v>
      </c>
      <c r="B135" s="214">
        <v>2</v>
      </c>
      <c r="C135" s="212" t="s">
        <v>5</v>
      </c>
      <c r="D135" s="217" t="s">
        <v>222</v>
      </c>
      <c r="E135" s="217"/>
      <c r="F135" s="214">
        <v>3</v>
      </c>
      <c r="G135" s="212" t="s">
        <v>5</v>
      </c>
      <c r="H135" s="212" t="s">
        <v>222</v>
      </c>
      <c r="I135" s="212"/>
      <c r="J135" s="330">
        <v>4</v>
      </c>
      <c r="K135" s="217" t="s">
        <v>5</v>
      </c>
      <c r="L135" s="217" t="s">
        <v>222</v>
      </c>
      <c r="M135" s="217"/>
      <c r="N135" s="214">
        <v>1600001</v>
      </c>
      <c r="O135" s="289" t="s">
        <v>5</v>
      </c>
      <c r="P135" s="212" t="s">
        <v>222</v>
      </c>
      <c r="Q135" s="217"/>
      <c r="R135" s="214">
        <v>4</v>
      </c>
      <c r="S135" s="212" t="s">
        <v>5</v>
      </c>
      <c r="T135" s="212" t="s">
        <v>222</v>
      </c>
      <c r="U135" s="217"/>
      <c r="V135" s="214">
        <v>3</v>
      </c>
      <c r="W135" s="212" t="s">
        <v>5</v>
      </c>
      <c r="X135" s="212" t="s">
        <v>222</v>
      </c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4">
        <v>90000</v>
      </c>
      <c r="AI135" s="212" t="s">
        <v>53</v>
      </c>
      <c r="AJ135" s="212"/>
      <c r="AK135" s="212"/>
    </row>
    <row r="136" spans="1:37" ht="18.75" customHeight="1">
      <c r="A136" s="211">
        <v>45999</v>
      </c>
      <c r="B136" s="214">
        <v>800000</v>
      </c>
      <c r="C136" s="212" t="s">
        <v>5</v>
      </c>
      <c r="D136" s="217" t="s">
        <v>222</v>
      </c>
      <c r="E136" s="217"/>
      <c r="F136" s="214">
        <v>120000</v>
      </c>
      <c r="G136" s="212" t="s">
        <v>5</v>
      </c>
      <c r="H136" s="212" t="s">
        <v>222</v>
      </c>
      <c r="I136" s="212"/>
      <c r="J136" s="330">
        <v>5</v>
      </c>
      <c r="K136" s="217" t="s">
        <v>5</v>
      </c>
      <c r="L136" s="217" t="s">
        <v>222</v>
      </c>
      <c r="M136" s="217"/>
      <c r="N136" s="214">
        <v>1600002</v>
      </c>
      <c r="O136" s="289" t="s">
        <v>5</v>
      </c>
      <c r="P136" s="212" t="s">
        <v>222</v>
      </c>
      <c r="Q136" s="217" t="s">
        <v>285</v>
      </c>
      <c r="R136" s="214">
        <v>5</v>
      </c>
      <c r="S136" s="212" t="s">
        <v>5</v>
      </c>
      <c r="T136" s="212" t="s">
        <v>222</v>
      </c>
      <c r="U136" s="217"/>
      <c r="V136" s="214">
        <v>4</v>
      </c>
      <c r="W136" s="212" t="s">
        <v>5</v>
      </c>
      <c r="X136" s="212" t="s">
        <v>222</v>
      </c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4">
        <v>20000</v>
      </c>
      <c r="AI136" s="212" t="s">
        <v>53</v>
      </c>
      <c r="AJ136" s="212"/>
      <c r="AK136" s="212"/>
    </row>
    <row r="137" spans="1:37" ht="18.75" customHeight="1">
      <c r="A137" s="211">
        <v>46001</v>
      </c>
      <c r="B137" s="214">
        <v>2600000</v>
      </c>
      <c r="C137" s="212" t="s">
        <v>5</v>
      </c>
      <c r="D137" s="217" t="s">
        <v>222</v>
      </c>
      <c r="E137" s="217"/>
      <c r="F137" s="214">
        <v>1</v>
      </c>
      <c r="G137" s="212" t="s">
        <v>5</v>
      </c>
      <c r="H137" s="212" t="s">
        <v>222</v>
      </c>
      <c r="I137" s="212"/>
      <c r="J137" s="330">
        <v>6</v>
      </c>
      <c r="K137" s="217" t="s">
        <v>5</v>
      </c>
      <c r="L137" s="217" t="s">
        <v>222</v>
      </c>
      <c r="M137" s="217"/>
      <c r="N137" s="214">
        <v>1</v>
      </c>
      <c r="O137" s="289" t="s">
        <v>5</v>
      </c>
      <c r="P137" s="212" t="s">
        <v>222</v>
      </c>
      <c r="Q137" s="217"/>
      <c r="R137" s="214">
        <v>3800000</v>
      </c>
      <c r="S137" s="212" t="s">
        <v>5</v>
      </c>
      <c r="T137" s="212" t="s">
        <v>222</v>
      </c>
      <c r="U137" s="217"/>
      <c r="V137" s="214">
        <v>5</v>
      </c>
      <c r="W137" s="212" t="s">
        <v>5</v>
      </c>
      <c r="X137" s="212" t="s">
        <v>222</v>
      </c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4">
        <v>20001</v>
      </c>
      <c r="AI137" s="212" t="s">
        <v>53</v>
      </c>
      <c r="AJ137" s="212"/>
      <c r="AK137" s="212"/>
    </row>
    <row r="138" spans="1:37" ht="18.75" customHeight="1">
      <c r="A138" s="211">
        <v>46002</v>
      </c>
      <c r="B138" s="214">
        <v>2500001</v>
      </c>
      <c r="C138" s="212" t="s">
        <v>5</v>
      </c>
      <c r="D138" s="217" t="s">
        <v>222</v>
      </c>
      <c r="E138" s="217"/>
      <c r="F138" s="214">
        <v>2</v>
      </c>
      <c r="G138" s="212" t="s">
        <v>5</v>
      </c>
      <c r="H138" s="212" t="s">
        <v>222</v>
      </c>
      <c r="I138" s="212"/>
      <c r="J138" s="330">
        <v>7</v>
      </c>
      <c r="K138" s="217" t="s">
        <v>5</v>
      </c>
      <c r="L138" s="217" t="s">
        <v>222</v>
      </c>
      <c r="M138" s="217"/>
      <c r="N138" s="214">
        <v>1750000</v>
      </c>
      <c r="O138" s="289" t="s">
        <v>5</v>
      </c>
      <c r="P138" s="212" t="s">
        <v>222</v>
      </c>
      <c r="Q138" s="217"/>
      <c r="R138" s="214">
        <v>3000000</v>
      </c>
      <c r="S138" s="212" t="s">
        <v>5</v>
      </c>
      <c r="T138" s="212" t="s">
        <v>222</v>
      </c>
      <c r="U138" s="217"/>
      <c r="V138" s="214">
        <v>6</v>
      </c>
      <c r="W138" s="212" t="s">
        <v>5</v>
      </c>
      <c r="X138" s="212" t="s">
        <v>222</v>
      </c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4">
        <v>20002</v>
      </c>
      <c r="AI138" s="212" t="s">
        <v>53</v>
      </c>
      <c r="AJ138" s="212"/>
      <c r="AK138" s="212"/>
    </row>
    <row r="139" spans="1:37" ht="18.75" customHeight="1">
      <c r="A139" s="211">
        <v>46003</v>
      </c>
      <c r="B139" s="214">
        <v>2200002</v>
      </c>
      <c r="C139" s="212" t="s">
        <v>5</v>
      </c>
      <c r="D139" s="217" t="s">
        <v>222</v>
      </c>
      <c r="E139" s="217"/>
      <c r="F139" s="214">
        <v>120000</v>
      </c>
      <c r="G139" s="212" t="s">
        <v>5</v>
      </c>
      <c r="H139" s="212" t="s">
        <v>222</v>
      </c>
      <c r="I139" s="212"/>
      <c r="J139" s="330">
        <v>8</v>
      </c>
      <c r="K139" s="217" t="s">
        <v>5</v>
      </c>
      <c r="L139" s="217" t="s">
        <v>222</v>
      </c>
      <c r="M139" s="217"/>
      <c r="N139" s="214">
        <v>2700000</v>
      </c>
      <c r="O139" s="289" t="s">
        <v>5</v>
      </c>
      <c r="P139" s="212" t="s">
        <v>222</v>
      </c>
      <c r="Q139" s="217"/>
      <c r="R139" s="214">
        <v>660000</v>
      </c>
      <c r="S139" s="212" t="s">
        <v>5</v>
      </c>
      <c r="T139" s="212" t="s">
        <v>222</v>
      </c>
      <c r="U139" s="217"/>
      <c r="V139" s="214">
        <v>7</v>
      </c>
      <c r="W139" s="212" t="s">
        <v>5</v>
      </c>
      <c r="X139" s="212" t="s">
        <v>222</v>
      </c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4">
        <v>20003</v>
      </c>
      <c r="AI139" s="212" t="s">
        <v>53</v>
      </c>
      <c r="AJ139" s="212"/>
      <c r="AK139" s="212"/>
    </row>
    <row r="140" spans="1:37" ht="18.75" customHeight="1">
      <c r="A140" s="211">
        <v>46006</v>
      </c>
      <c r="B140" s="214">
        <v>2400003</v>
      </c>
      <c r="C140" s="212" t="s">
        <v>5</v>
      </c>
      <c r="D140" s="217" t="s">
        <v>222</v>
      </c>
      <c r="E140" s="217"/>
      <c r="F140" s="214">
        <v>500000</v>
      </c>
      <c r="G140" s="212" t="s">
        <v>5</v>
      </c>
      <c r="H140" s="212" t="s">
        <v>222</v>
      </c>
      <c r="I140" s="212"/>
      <c r="J140" s="330">
        <v>9</v>
      </c>
      <c r="K140" s="217" t="s">
        <v>5</v>
      </c>
      <c r="L140" s="217" t="s">
        <v>222</v>
      </c>
      <c r="M140" s="217"/>
      <c r="N140" s="214">
        <v>2800001</v>
      </c>
      <c r="O140" s="289" t="s">
        <v>5</v>
      </c>
      <c r="P140" s="212" t="s">
        <v>222</v>
      </c>
      <c r="Q140" s="217"/>
      <c r="R140" s="214">
        <v>1</v>
      </c>
      <c r="S140" s="212" t="s">
        <v>5</v>
      </c>
      <c r="T140" s="212" t="s">
        <v>222</v>
      </c>
      <c r="U140" s="217"/>
      <c r="V140" s="214">
        <v>8</v>
      </c>
      <c r="W140" s="212" t="s">
        <v>5</v>
      </c>
      <c r="X140" s="212" t="s">
        <v>222</v>
      </c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4">
        <v>0</v>
      </c>
      <c r="AI140" s="212" t="s">
        <v>53</v>
      </c>
      <c r="AJ140" s="212"/>
      <c r="AK140" s="212"/>
    </row>
    <row r="141" spans="1:37" ht="18.75" customHeight="1">
      <c r="A141" s="211">
        <v>46007</v>
      </c>
      <c r="B141" s="214">
        <v>2400004</v>
      </c>
      <c r="C141" s="212" t="s">
        <v>5</v>
      </c>
      <c r="D141" s="217" t="s">
        <v>222</v>
      </c>
      <c r="E141" s="217"/>
      <c r="F141" s="214">
        <v>500001</v>
      </c>
      <c r="G141" s="212" t="s">
        <v>5</v>
      </c>
      <c r="H141" s="212" t="s">
        <v>222</v>
      </c>
      <c r="I141" s="212"/>
      <c r="J141" s="330">
        <v>10</v>
      </c>
      <c r="K141" s="217" t="s">
        <v>5</v>
      </c>
      <c r="L141" s="217" t="s">
        <v>222</v>
      </c>
      <c r="M141" s="217"/>
      <c r="N141" s="214">
        <v>2800002</v>
      </c>
      <c r="O141" s="289" t="s">
        <v>5</v>
      </c>
      <c r="P141" s="212" t="s">
        <v>222</v>
      </c>
      <c r="Q141" s="217"/>
      <c r="R141" s="214">
        <v>2</v>
      </c>
      <c r="S141" s="212" t="s">
        <v>5</v>
      </c>
      <c r="T141" s="212" t="s">
        <v>222</v>
      </c>
      <c r="U141" s="217"/>
      <c r="V141" s="214">
        <v>9</v>
      </c>
      <c r="W141" s="212" t="s">
        <v>5</v>
      </c>
      <c r="X141" s="212" t="s">
        <v>222</v>
      </c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4">
        <v>1</v>
      </c>
      <c r="AI141" s="212" t="s">
        <v>53</v>
      </c>
      <c r="AJ141" s="212"/>
      <c r="AK141" s="212"/>
    </row>
    <row r="142" spans="1:37" ht="18.75" customHeight="1">
      <c r="A142" s="211">
        <v>46008</v>
      </c>
      <c r="B142" s="214">
        <v>2400005</v>
      </c>
      <c r="C142" s="212" t="s">
        <v>5</v>
      </c>
      <c r="D142" s="217" t="s">
        <v>222</v>
      </c>
      <c r="E142" s="217"/>
      <c r="F142" s="214">
        <v>600002</v>
      </c>
      <c r="G142" s="212" t="s">
        <v>5</v>
      </c>
      <c r="H142" s="212" t="s">
        <v>222</v>
      </c>
      <c r="I142" s="212"/>
      <c r="J142" s="330">
        <v>11</v>
      </c>
      <c r="K142" s="217" t="s">
        <v>5</v>
      </c>
      <c r="L142" s="217" t="s">
        <v>222</v>
      </c>
      <c r="M142" s="217"/>
      <c r="N142" s="214">
        <v>1100000</v>
      </c>
      <c r="O142" s="289" t="s">
        <v>5</v>
      </c>
      <c r="P142" s="212" t="s">
        <v>222</v>
      </c>
      <c r="Q142" s="217"/>
      <c r="R142" s="214">
        <v>3</v>
      </c>
      <c r="S142" s="212" t="s">
        <v>5</v>
      </c>
      <c r="T142" s="212" t="s">
        <v>222</v>
      </c>
      <c r="U142" s="217"/>
      <c r="V142" s="214">
        <v>10</v>
      </c>
      <c r="W142" s="212" t="s">
        <v>5</v>
      </c>
      <c r="X142" s="212" t="s">
        <v>222</v>
      </c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4">
        <v>440000</v>
      </c>
      <c r="AI142" s="212" t="s">
        <v>53</v>
      </c>
      <c r="AJ142" s="212"/>
      <c r="AK142" s="212"/>
    </row>
    <row r="143" spans="1:37" ht="18.75" customHeight="1">
      <c r="A143" s="211">
        <v>46009</v>
      </c>
      <c r="B143" s="214">
        <v>2450006</v>
      </c>
      <c r="C143" s="212" t="s">
        <v>5</v>
      </c>
      <c r="D143" s="217" t="s">
        <v>222</v>
      </c>
      <c r="E143" s="217"/>
      <c r="F143" s="214">
        <v>600003</v>
      </c>
      <c r="G143" s="212" t="s">
        <v>5</v>
      </c>
      <c r="H143" s="212" t="s">
        <v>222</v>
      </c>
      <c r="I143" s="212"/>
      <c r="J143" s="330">
        <v>12</v>
      </c>
      <c r="K143" s="217" t="s">
        <v>5</v>
      </c>
      <c r="L143" s="217" t="s">
        <v>222</v>
      </c>
      <c r="M143" s="217"/>
      <c r="N143" s="214">
        <v>1400000</v>
      </c>
      <c r="O143" s="289" t="s">
        <v>5</v>
      </c>
      <c r="P143" s="212" t="s">
        <v>222</v>
      </c>
      <c r="Q143" s="217"/>
      <c r="R143" s="214">
        <v>4</v>
      </c>
      <c r="S143" s="212" t="s">
        <v>5</v>
      </c>
      <c r="T143" s="212" t="s">
        <v>222</v>
      </c>
      <c r="U143" s="217"/>
      <c r="V143" s="214">
        <v>11</v>
      </c>
      <c r="W143" s="212" t="s">
        <v>5</v>
      </c>
      <c r="X143" s="212" t="s">
        <v>222</v>
      </c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4">
        <v>440001</v>
      </c>
      <c r="AI143" s="212" t="s">
        <v>53</v>
      </c>
      <c r="AJ143" s="212"/>
      <c r="AK143" s="212"/>
    </row>
    <row r="144" spans="1:37" ht="18.75" customHeight="1">
      <c r="A144" s="211">
        <v>46010</v>
      </c>
      <c r="B144" s="214">
        <v>1800000</v>
      </c>
      <c r="C144" s="212" t="s">
        <v>5</v>
      </c>
      <c r="D144" s="217" t="s">
        <v>222</v>
      </c>
      <c r="E144" s="217"/>
      <c r="F144" s="214">
        <v>600004</v>
      </c>
      <c r="G144" s="212" t="s">
        <v>5</v>
      </c>
      <c r="H144" s="212" t="s">
        <v>222</v>
      </c>
      <c r="I144" s="212"/>
      <c r="J144" s="330">
        <v>13</v>
      </c>
      <c r="K144" s="217" t="s">
        <v>5</v>
      </c>
      <c r="L144" s="217" t="s">
        <v>222</v>
      </c>
      <c r="M144" s="217"/>
      <c r="N144" s="214">
        <v>500000</v>
      </c>
      <c r="O144" s="289" t="s">
        <v>5</v>
      </c>
      <c r="P144" s="212" t="s">
        <v>222</v>
      </c>
      <c r="Q144" s="217" t="s">
        <v>286</v>
      </c>
      <c r="R144" s="214">
        <v>5</v>
      </c>
      <c r="S144" s="212" t="s">
        <v>5</v>
      </c>
      <c r="T144" s="212" t="s">
        <v>222</v>
      </c>
      <c r="U144" s="217"/>
      <c r="V144" s="214">
        <v>12</v>
      </c>
      <c r="W144" s="212" t="s">
        <v>5</v>
      </c>
      <c r="X144" s="212" t="s">
        <v>222</v>
      </c>
      <c r="Y144" s="217"/>
      <c r="Z144" s="214">
        <v>12</v>
      </c>
      <c r="AA144" s="212" t="s">
        <v>5</v>
      </c>
      <c r="AB144" s="212" t="s">
        <v>222</v>
      </c>
      <c r="AC144" s="217"/>
      <c r="AD144" s="214">
        <v>12</v>
      </c>
      <c r="AE144" s="212" t="s">
        <v>5</v>
      </c>
      <c r="AF144" s="212" t="s">
        <v>222</v>
      </c>
      <c r="AG144" s="217"/>
      <c r="AH144" s="214">
        <f>440002-170000</f>
        <v>270002</v>
      </c>
      <c r="AI144" s="212" t="s">
        <v>53</v>
      </c>
      <c r="AJ144" s="212"/>
      <c r="AK144" s="212"/>
    </row>
    <row r="145" spans="1:37" ht="18.75" customHeight="1">
      <c r="A145" s="211">
        <v>46013</v>
      </c>
      <c r="B145" s="214">
        <v>400000</v>
      </c>
      <c r="C145" s="212" t="s">
        <v>5</v>
      </c>
      <c r="D145" s="217" t="s">
        <v>222</v>
      </c>
      <c r="E145" s="217"/>
      <c r="F145" s="214">
        <v>200005</v>
      </c>
      <c r="G145" s="212" t="s">
        <v>5</v>
      </c>
      <c r="H145" s="212" t="s">
        <v>222</v>
      </c>
      <c r="I145" s="212"/>
      <c r="J145" s="330">
        <v>100000</v>
      </c>
      <c r="K145" s="217" t="s">
        <v>5</v>
      </c>
      <c r="L145" s="217" t="s">
        <v>222</v>
      </c>
      <c r="M145" s="217"/>
      <c r="N145" s="214">
        <v>1</v>
      </c>
      <c r="O145" s="289" t="s">
        <v>5</v>
      </c>
      <c r="P145" s="212" t="s">
        <v>222</v>
      </c>
      <c r="Q145" s="217" t="s">
        <v>287</v>
      </c>
      <c r="R145" s="214">
        <v>6</v>
      </c>
      <c r="S145" s="212" t="s">
        <v>5</v>
      </c>
      <c r="T145" s="212" t="s">
        <v>222</v>
      </c>
      <c r="U145" s="217"/>
      <c r="V145" s="214">
        <v>13</v>
      </c>
      <c r="W145" s="212" t="s">
        <v>5</v>
      </c>
      <c r="X145" s="212" t="s">
        <v>222</v>
      </c>
      <c r="Y145" s="217"/>
      <c r="Z145" s="214">
        <v>12</v>
      </c>
      <c r="AA145" s="212" t="s">
        <v>5</v>
      </c>
      <c r="AB145" s="212" t="s">
        <v>222</v>
      </c>
      <c r="AC145" s="217"/>
      <c r="AD145" s="214">
        <v>12</v>
      </c>
      <c r="AE145" s="212" t="s">
        <v>5</v>
      </c>
      <c r="AF145" s="212" t="s">
        <v>222</v>
      </c>
      <c r="AG145" s="217"/>
      <c r="AH145" s="214">
        <f>440002-170000</f>
        <v>270002</v>
      </c>
      <c r="AI145" s="212" t="s">
        <v>53</v>
      </c>
      <c r="AJ145" s="212"/>
      <c r="AK145" s="212"/>
    </row>
    <row r="146" spans="1:37" ht="18.75" customHeight="1">
      <c r="A146" s="211">
        <v>46015</v>
      </c>
      <c r="B146" s="214">
        <v>1</v>
      </c>
      <c r="C146" s="212" t="s">
        <v>5</v>
      </c>
      <c r="D146" s="217" t="s">
        <v>222</v>
      </c>
      <c r="E146" s="217"/>
      <c r="F146" s="214">
        <v>100000</v>
      </c>
      <c r="G146" s="212" t="s">
        <v>5</v>
      </c>
      <c r="H146" s="212" t="s">
        <v>222</v>
      </c>
      <c r="I146" s="212"/>
      <c r="J146" s="330">
        <v>2</v>
      </c>
      <c r="K146" s="217" t="s">
        <v>5</v>
      </c>
      <c r="L146" s="217" t="s">
        <v>222</v>
      </c>
      <c r="M146" s="217"/>
      <c r="N146" s="214">
        <v>2700000</v>
      </c>
      <c r="O146" s="289" t="s">
        <v>5</v>
      </c>
      <c r="P146" s="212" t="s">
        <v>222</v>
      </c>
      <c r="Q146" s="217"/>
      <c r="R146" s="214">
        <v>7</v>
      </c>
      <c r="S146" s="212" t="s">
        <v>5</v>
      </c>
      <c r="T146" s="212" t="s">
        <v>222</v>
      </c>
      <c r="U146" s="217"/>
      <c r="V146" s="214">
        <v>14</v>
      </c>
      <c r="W146" s="212" t="s">
        <v>5</v>
      </c>
      <c r="X146" s="212" t="s">
        <v>222</v>
      </c>
      <c r="Y146" s="217"/>
      <c r="Z146" s="214">
        <v>13</v>
      </c>
      <c r="AA146" s="212" t="s">
        <v>5</v>
      </c>
      <c r="AB146" s="212" t="s">
        <v>222</v>
      </c>
      <c r="AC146" s="217"/>
      <c r="AD146" s="214">
        <v>13</v>
      </c>
      <c r="AE146" s="212" t="s">
        <v>5</v>
      </c>
      <c r="AF146" s="212" t="s">
        <v>222</v>
      </c>
      <c r="AG146" s="217"/>
      <c r="AH146" s="214">
        <f>325000</f>
        <v>325000</v>
      </c>
      <c r="AI146" s="212" t="s">
        <v>53</v>
      </c>
      <c r="AJ146" s="212"/>
      <c r="AK146" s="212"/>
    </row>
    <row r="147" spans="1:37" ht="18.75" customHeight="1">
      <c r="A147" s="211">
        <v>46016</v>
      </c>
      <c r="B147" s="214">
        <v>2</v>
      </c>
      <c r="C147" s="212" t="s">
        <v>5</v>
      </c>
      <c r="D147" s="217" t="s">
        <v>222</v>
      </c>
      <c r="E147" s="217"/>
      <c r="F147" s="214">
        <v>400001</v>
      </c>
      <c r="G147" s="212" t="s">
        <v>5</v>
      </c>
      <c r="H147" s="212" t="s">
        <v>222</v>
      </c>
      <c r="I147" s="212"/>
      <c r="J147" s="330">
        <v>3</v>
      </c>
      <c r="K147" s="217" t="s">
        <v>5</v>
      </c>
      <c r="L147" s="217" t="s">
        <v>222</v>
      </c>
      <c r="M147" s="217"/>
      <c r="N147" s="214">
        <v>200000</v>
      </c>
      <c r="O147" s="289" t="s">
        <v>5</v>
      </c>
      <c r="P147" s="212" t="s">
        <v>222</v>
      </c>
      <c r="Q147" s="217"/>
      <c r="R147" s="214">
        <v>8</v>
      </c>
      <c r="S147" s="212" t="s">
        <v>5</v>
      </c>
      <c r="T147" s="212" t="s">
        <v>222</v>
      </c>
      <c r="U147" s="217"/>
      <c r="V147" s="214">
        <v>15</v>
      </c>
      <c r="W147" s="212" t="s">
        <v>5</v>
      </c>
      <c r="X147" s="212" t="s">
        <v>222</v>
      </c>
      <c r="Y147" s="217"/>
      <c r="Z147" s="214">
        <v>14</v>
      </c>
      <c r="AA147" s="212" t="s">
        <v>5</v>
      </c>
      <c r="AB147" s="212" t="s">
        <v>222</v>
      </c>
      <c r="AC147" s="217"/>
      <c r="AD147" s="214">
        <v>14</v>
      </c>
      <c r="AE147" s="212" t="s">
        <v>5</v>
      </c>
      <c r="AF147" s="212" t="s">
        <v>222</v>
      </c>
      <c r="AG147" s="217"/>
      <c r="AH147" s="214">
        <f>225000</f>
        <v>225000</v>
      </c>
      <c r="AI147" s="212" t="s">
        <v>53</v>
      </c>
      <c r="AJ147" s="212"/>
      <c r="AK147" s="212"/>
    </row>
    <row r="148" spans="1:37" ht="18.75" customHeight="1">
      <c r="A148" s="211">
        <v>46017</v>
      </c>
      <c r="B148" s="214">
        <v>3</v>
      </c>
      <c r="C148" s="212" t="s">
        <v>5</v>
      </c>
      <c r="D148" s="217" t="s">
        <v>222</v>
      </c>
      <c r="E148" s="217"/>
      <c r="F148" s="214">
        <v>200002</v>
      </c>
      <c r="G148" s="212" t="s">
        <v>5</v>
      </c>
      <c r="H148" s="212" t="s">
        <v>222</v>
      </c>
      <c r="I148" s="212"/>
      <c r="J148" s="330">
        <v>4</v>
      </c>
      <c r="K148" s="217" t="s">
        <v>5</v>
      </c>
      <c r="L148" s="217" t="s">
        <v>222</v>
      </c>
      <c r="M148" s="217"/>
      <c r="N148" s="214">
        <v>1</v>
      </c>
      <c r="O148" s="289" t="s">
        <v>5</v>
      </c>
      <c r="P148" s="212" t="s">
        <v>222</v>
      </c>
      <c r="Q148" s="217"/>
      <c r="R148" s="214">
        <v>1800000</v>
      </c>
      <c r="S148" s="212" t="s">
        <v>5</v>
      </c>
      <c r="T148" s="212" t="s">
        <v>222</v>
      </c>
      <c r="U148" s="217"/>
      <c r="V148" s="214">
        <v>16</v>
      </c>
      <c r="W148" s="212" t="s">
        <v>5</v>
      </c>
      <c r="X148" s="212" t="s">
        <v>222</v>
      </c>
      <c r="Y148" s="217"/>
      <c r="Z148" s="214">
        <v>15</v>
      </c>
      <c r="AA148" s="212" t="s">
        <v>5</v>
      </c>
      <c r="AB148" s="212" t="s">
        <v>222</v>
      </c>
      <c r="AC148" s="217"/>
      <c r="AD148" s="214">
        <v>15</v>
      </c>
      <c r="AE148" s="212" t="s">
        <v>5</v>
      </c>
      <c r="AF148" s="212" t="s">
        <v>222</v>
      </c>
      <c r="AG148" s="217"/>
      <c r="AH148" s="214">
        <v>0</v>
      </c>
      <c r="AI148" s="212" t="s">
        <v>53</v>
      </c>
      <c r="AJ148" s="212"/>
      <c r="AK148" s="212"/>
    </row>
    <row r="149" spans="1:37" ht="18.75" customHeight="1">
      <c r="A149" s="211">
        <v>46020</v>
      </c>
      <c r="B149" s="214">
        <v>4</v>
      </c>
      <c r="C149" s="212" t="s">
        <v>5</v>
      </c>
      <c r="D149" s="217" t="s">
        <v>222</v>
      </c>
      <c r="E149" s="217"/>
      <c r="F149" s="214">
        <v>1</v>
      </c>
      <c r="G149" s="212" t="s">
        <v>5</v>
      </c>
      <c r="H149" s="212" t="s">
        <v>222</v>
      </c>
      <c r="I149" s="212"/>
      <c r="J149" s="330">
        <v>5</v>
      </c>
      <c r="K149" s="217" t="s">
        <v>5</v>
      </c>
      <c r="L149" s="217" t="s">
        <v>222</v>
      </c>
      <c r="M149" s="217"/>
      <c r="N149" s="214">
        <v>2</v>
      </c>
      <c r="O149" s="289" t="s">
        <v>5</v>
      </c>
      <c r="P149" s="212" t="s">
        <v>222</v>
      </c>
      <c r="Q149" s="217"/>
      <c r="R149" s="214">
        <v>1450000</v>
      </c>
      <c r="S149" s="212" t="s">
        <v>5</v>
      </c>
      <c r="T149" s="212" t="s">
        <v>222</v>
      </c>
      <c r="U149" s="217" t="s">
        <v>288</v>
      </c>
      <c r="V149" s="214">
        <v>17</v>
      </c>
      <c r="W149" s="212" t="s">
        <v>5</v>
      </c>
      <c r="X149" s="212" t="s">
        <v>222</v>
      </c>
      <c r="Y149" s="217"/>
      <c r="Z149" s="214">
        <v>16</v>
      </c>
      <c r="AA149" s="212" t="s">
        <v>5</v>
      </c>
      <c r="AB149" s="212" t="s">
        <v>222</v>
      </c>
      <c r="AC149" s="217"/>
      <c r="AD149" s="214">
        <v>16</v>
      </c>
      <c r="AE149" s="212" t="s">
        <v>5</v>
      </c>
      <c r="AF149" s="212" t="s">
        <v>222</v>
      </c>
      <c r="AG149" s="217"/>
      <c r="AH149" s="214">
        <v>1</v>
      </c>
      <c r="AI149" s="212" t="s">
        <v>53</v>
      </c>
      <c r="AJ149" s="212"/>
      <c r="AK149" s="212"/>
    </row>
    <row r="150" spans="1:37" ht="18.75" customHeight="1">
      <c r="A150" s="211">
        <v>46021</v>
      </c>
      <c r="B150" s="214">
        <v>5</v>
      </c>
      <c r="C150" s="212" t="s">
        <v>5</v>
      </c>
      <c r="D150" s="217" t="s">
        <v>222</v>
      </c>
      <c r="E150" s="217"/>
      <c r="F150" s="214">
        <v>2</v>
      </c>
      <c r="G150" s="212" t="s">
        <v>5</v>
      </c>
      <c r="H150" s="212" t="s">
        <v>222</v>
      </c>
      <c r="I150" s="212"/>
      <c r="J150" s="330">
        <v>6</v>
      </c>
      <c r="K150" s="217" t="s">
        <v>5</v>
      </c>
      <c r="L150" s="217" t="s">
        <v>222</v>
      </c>
      <c r="M150" s="217"/>
      <c r="N150" s="214">
        <v>3</v>
      </c>
      <c r="O150" s="289" t="s">
        <v>5</v>
      </c>
      <c r="P150" s="212" t="s">
        <v>222</v>
      </c>
      <c r="Q150" s="217"/>
      <c r="R150" s="214">
        <v>1260000</v>
      </c>
      <c r="S150" s="212" t="s">
        <v>5</v>
      </c>
      <c r="T150" s="212" t="s">
        <v>222</v>
      </c>
      <c r="U150" s="217" t="s">
        <v>289</v>
      </c>
      <c r="V150" s="214">
        <v>18</v>
      </c>
      <c r="W150" s="212" t="s">
        <v>5</v>
      </c>
      <c r="X150" s="212" t="s">
        <v>222</v>
      </c>
      <c r="Y150" s="217"/>
      <c r="Z150" s="214">
        <v>17</v>
      </c>
      <c r="AA150" s="212" t="s">
        <v>5</v>
      </c>
      <c r="AB150" s="212" t="s">
        <v>222</v>
      </c>
      <c r="AC150" s="217"/>
      <c r="AD150" s="214">
        <v>17</v>
      </c>
      <c r="AE150" s="212" t="s">
        <v>5</v>
      </c>
      <c r="AF150" s="212" t="s">
        <v>222</v>
      </c>
      <c r="AG150" s="217"/>
      <c r="AH150" s="214">
        <v>2</v>
      </c>
      <c r="AI150" s="212" t="s">
        <v>53</v>
      </c>
      <c r="AJ150" s="212"/>
      <c r="AK150" s="212"/>
    </row>
    <row r="151" spans="1:37" ht="18.75" customHeight="1">
      <c r="A151" s="211">
        <v>46034</v>
      </c>
      <c r="B151" s="214">
        <v>200000</v>
      </c>
      <c r="C151" s="212" t="s">
        <v>5</v>
      </c>
      <c r="D151" s="217" t="s">
        <v>222</v>
      </c>
      <c r="E151" s="217"/>
      <c r="F151" s="214">
        <v>100000</v>
      </c>
      <c r="G151" s="212" t="s">
        <v>5</v>
      </c>
      <c r="H151" s="212" t="s">
        <v>222</v>
      </c>
      <c r="I151" s="212"/>
      <c r="J151" s="330">
        <v>7</v>
      </c>
      <c r="K151" s="217" t="s">
        <v>5</v>
      </c>
      <c r="L151" s="217" t="s">
        <v>222</v>
      </c>
      <c r="M151" s="217"/>
      <c r="N151" s="214">
        <v>4</v>
      </c>
      <c r="O151" s="289" t="s">
        <v>5</v>
      </c>
      <c r="P151" s="212" t="s">
        <v>222</v>
      </c>
      <c r="Q151" s="217"/>
      <c r="R151" s="214">
        <v>1260001</v>
      </c>
      <c r="S151" s="212" t="s">
        <v>5</v>
      </c>
      <c r="T151" s="212" t="s">
        <v>222</v>
      </c>
      <c r="U151" s="217" t="s">
        <v>289</v>
      </c>
      <c r="V151" s="214">
        <v>2000000</v>
      </c>
      <c r="W151" s="212" t="s">
        <v>5</v>
      </c>
      <c r="X151" s="212" t="s">
        <v>222</v>
      </c>
      <c r="Y151" s="217"/>
      <c r="Z151" s="214">
        <v>18</v>
      </c>
      <c r="AA151" s="212" t="s">
        <v>5</v>
      </c>
      <c r="AB151" s="212" t="s">
        <v>222</v>
      </c>
      <c r="AC151" s="217"/>
      <c r="AD151" s="214">
        <v>18</v>
      </c>
      <c r="AE151" s="212" t="s">
        <v>5</v>
      </c>
      <c r="AF151" s="212" t="s">
        <v>222</v>
      </c>
      <c r="AG151" s="217"/>
      <c r="AH151" s="214">
        <v>3</v>
      </c>
      <c r="AI151" s="212" t="s">
        <v>53</v>
      </c>
      <c r="AJ151" s="212"/>
      <c r="AK151" s="212"/>
    </row>
    <row r="152" spans="1:37" ht="18.75" customHeight="1">
      <c r="A152" s="211">
        <v>46035</v>
      </c>
      <c r="B152" s="214">
        <v>1</v>
      </c>
      <c r="C152" s="212" t="s">
        <v>5</v>
      </c>
      <c r="D152" s="217" t="s">
        <v>222</v>
      </c>
      <c r="E152" s="217"/>
      <c r="F152" s="214">
        <v>100001</v>
      </c>
      <c r="G152" s="212" t="s">
        <v>5</v>
      </c>
      <c r="H152" s="212" t="s">
        <v>222</v>
      </c>
      <c r="I152" s="212"/>
      <c r="J152" s="330">
        <v>8</v>
      </c>
      <c r="K152" s="217" t="s">
        <v>5</v>
      </c>
      <c r="L152" s="217" t="s">
        <v>222</v>
      </c>
      <c r="M152" s="217"/>
      <c r="N152" s="214">
        <v>5</v>
      </c>
      <c r="O152" s="289" t="s">
        <v>5</v>
      </c>
      <c r="P152" s="212" t="s">
        <v>222</v>
      </c>
      <c r="Q152" s="217"/>
      <c r="R152" s="214">
        <v>1260002</v>
      </c>
      <c r="S152" s="212" t="s">
        <v>5</v>
      </c>
      <c r="T152" s="212" t="s">
        <v>222</v>
      </c>
      <c r="U152" s="217" t="s">
        <v>289</v>
      </c>
      <c r="V152" s="214">
        <v>1800001</v>
      </c>
      <c r="W152" s="212" t="s">
        <v>5</v>
      </c>
      <c r="X152" s="212" t="s">
        <v>222</v>
      </c>
      <c r="Y152" s="217"/>
      <c r="Z152" s="214">
        <v>19</v>
      </c>
      <c r="AA152" s="212" t="s">
        <v>5</v>
      </c>
      <c r="AB152" s="212" t="s">
        <v>222</v>
      </c>
      <c r="AC152" s="217"/>
      <c r="AD152" s="214">
        <v>19</v>
      </c>
      <c r="AE152" s="212" t="s">
        <v>5</v>
      </c>
      <c r="AF152" s="212" t="s">
        <v>222</v>
      </c>
      <c r="AG152" s="217"/>
      <c r="AH152" s="214">
        <v>4</v>
      </c>
      <c r="AI152" s="212" t="s">
        <v>53</v>
      </c>
      <c r="AJ152" s="212"/>
      <c r="AK152" s="212"/>
    </row>
    <row r="153" spans="1:37" ht="18.75" customHeight="1">
      <c r="A153" s="211">
        <v>46037</v>
      </c>
      <c r="B153" s="214">
        <v>2</v>
      </c>
      <c r="C153" s="212" t="s">
        <v>5</v>
      </c>
      <c r="D153" s="217" t="s">
        <v>222</v>
      </c>
      <c r="E153" s="217" t="s">
        <v>290</v>
      </c>
      <c r="F153" s="214">
        <v>550000</v>
      </c>
      <c r="G153" s="212" t="s">
        <v>5</v>
      </c>
      <c r="H153" s="212" t="s">
        <v>222</v>
      </c>
      <c r="I153" s="212"/>
      <c r="J153" s="330">
        <v>1100000</v>
      </c>
      <c r="K153" s="217" t="s">
        <v>5</v>
      </c>
      <c r="L153" s="217" t="s">
        <v>222</v>
      </c>
      <c r="M153" s="217" t="s">
        <v>291</v>
      </c>
      <c r="N153" s="214">
        <v>500000</v>
      </c>
      <c r="O153" s="289" t="s">
        <v>5</v>
      </c>
      <c r="P153" s="212" t="s">
        <v>222</v>
      </c>
      <c r="Q153" s="217" t="s">
        <v>292</v>
      </c>
      <c r="R153" s="214">
        <v>1</v>
      </c>
      <c r="S153" s="212" t="s">
        <v>5</v>
      </c>
      <c r="T153" s="212" t="s">
        <v>222</v>
      </c>
      <c r="U153" s="217"/>
      <c r="V153" s="214">
        <v>200000</v>
      </c>
      <c r="W153" s="212" t="s">
        <v>5</v>
      </c>
      <c r="X153" s="212" t="s">
        <v>222</v>
      </c>
      <c r="Y153" s="217"/>
      <c r="Z153" s="214">
        <v>20</v>
      </c>
      <c r="AA153" s="212" t="s">
        <v>5</v>
      </c>
      <c r="AB153" s="212" t="s">
        <v>222</v>
      </c>
      <c r="AC153" s="217"/>
      <c r="AD153" s="214">
        <v>20</v>
      </c>
      <c r="AE153" s="212" t="s">
        <v>5</v>
      </c>
      <c r="AF153" s="212" t="s">
        <v>222</v>
      </c>
      <c r="AG153" s="217"/>
      <c r="AH153" s="214">
        <v>5</v>
      </c>
      <c r="AI153" s="212" t="s">
        <v>53</v>
      </c>
      <c r="AJ153" s="212"/>
      <c r="AK153" s="212"/>
    </row>
    <row r="154" spans="1:37" ht="18.75" customHeight="1">
      <c r="A154" s="211">
        <v>46041</v>
      </c>
      <c r="B154" s="214">
        <v>3</v>
      </c>
      <c r="C154" s="212" t="s">
        <v>5</v>
      </c>
      <c r="D154" s="217" t="s">
        <v>222</v>
      </c>
      <c r="E154" s="217"/>
      <c r="F154" s="214">
        <v>550001</v>
      </c>
      <c r="G154" s="212" t="s">
        <v>5</v>
      </c>
      <c r="H154" s="212" t="s">
        <v>222</v>
      </c>
      <c r="I154" s="212"/>
      <c r="J154" s="330">
        <v>300000</v>
      </c>
      <c r="K154" s="217" t="s">
        <v>5</v>
      </c>
      <c r="L154" s="217" t="s">
        <v>222</v>
      </c>
      <c r="M154" s="217" t="s">
        <v>291</v>
      </c>
      <c r="N154" s="214">
        <v>1900000</v>
      </c>
      <c r="O154" s="289" t="s">
        <v>5</v>
      </c>
      <c r="P154" s="212" t="s">
        <v>222</v>
      </c>
      <c r="Q154" s="217" t="s">
        <v>292</v>
      </c>
      <c r="R154" s="214">
        <v>2</v>
      </c>
      <c r="S154" s="212" t="s">
        <v>5</v>
      </c>
      <c r="T154" s="212" t="s">
        <v>222</v>
      </c>
      <c r="U154" s="217"/>
      <c r="V154" s="214">
        <v>111</v>
      </c>
      <c r="W154" s="212" t="s">
        <v>5</v>
      </c>
      <c r="X154" s="212" t="s">
        <v>222</v>
      </c>
      <c r="Y154" s="217"/>
      <c r="Z154" s="214">
        <v>21</v>
      </c>
      <c r="AA154" s="212" t="s">
        <v>5</v>
      </c>
      <c r="AB154" s="212" t="s">
        <v>222</v>
      </c>
      <c r="AC154" s="217"/>
      <c r="AD154" s="214">
        <v>21</v>
      </c>
      <c r="AE154" s="212" t="s">
        <v>5</v>
      </c>
      <c r="AF154" s="212" t="s">
        <v>222</v>
      </c>
      <c r="AG154" s="217"/>
      <c r="AH154" s="214">
        <v>30000</v>
      </c>
      <c r="AI154" s="212" t="s">
        <v>53</v>
      </c>
      <c r="AJ154" s="212"/>
      <c r="AK154" s="212"/>
    </row>
    <row r="155" spans="1:37" ht="18.75" customHeight="1">
      <c r="A155" s="211">
        <v>46042</v>
      </c>
      <c r="B155" s="214">
        <v>4</v>
      </c>
      <c r="C155" s="212" t="s">
        <v>5</v>
      </c>
      <c r="D155" s="217" t="s">
        <v>222</v>
      </c>
      <c r="E155" s="217"/>
      <c r="F155" s="214">
        <v>550000</v>
      </c>
      <c r="G155" s="212" t="s">
        <v>5</v>
      </c>
      <c r="H155" s="212" t="s">
        <v>222</v>
      </c>
      <c r="I155" s="212"/>
      <c r="J155" s="330">
        <v>350000</v>
      </c>
      <c r="K155" s="217" t="s">
        <v>5</v>
      </c>
      <c r="L155" s="217" t="s">
        <v>222</v>
      </c>
      <c r="M155" s="217" t="s">
        <v>291</v>
      </c>
      <c r="N155" s="214">
        <v>2000000</v>
      </c>
      <c r="O155" s="289" t="s">
        <v>5</v>
      </c>
      <c r="P155" s="212" t="s">
        <v>222</v>
      </c>
      <c r="Q155" s="217" t="s">
        <v>293</v>
      </c>
      <c r="R155" s="214">
        <v>3</v>
      </c>
      <c r="S155" s="212" t="s">
        <v>5</v>
      </c>
      <c r="T155" s="212" t="s">
        <v>222</v>
      </c>
      <c r="U155" s="217"/>
      <c r="V155" s="214">
        <v>112</v>
      </c>
      <c r="W155" s="212" t="s">
        <v>5</v>
      </c>
      <c r="X155" s="212" t="s">
        <v>222</v>
      </c>
      <c r="Y155" s="217"/>
      <c r="Z155" s="214">
        <v>22</v>
      </c>
      <c r="AA155" s="212" t="s">
        <v>5</v>
      </c>
      <c r="AB155" s="212" t="s">
        <v>222</v>
      </c>
      <c r="AC155" s="217"/>
      <c r="AD155" s="214">
        <v>22</v>
      </c>
      <c r="AE155" s="212" t="s">
        <v>5</v>
      </c>
      <c r="AF155" s="212" t="s">
        <v>222</v>
      </c>
      <c r="AG155" s="217"/>
      <c r="AH155" s="214">
        <v>30001</v>
      </c>
      <c r="AI155" s="212" t="s">
        <v>53</v>
      </c>
      <c r="AJ155" s="212"/>
      <c r="AK155" s="212"/>
    </row>
    <row r="156" spans="1:37" ht="18.75" customHeight="1">
      <c r="A156" s="211">
        <v>46043</v>
      </c>
      <c r="B156" s="214">
        <v>5</v>
      </c>
      <c r="C156" s="212" t="s">
        <v>5</v>
      </c>
      <c r="D156" s="217" t="s">
        <v>222</v>
      </c>
      <c r="E156" s="217"/>
      <c r="F156" s="214">
        <v>150000</v>
      </c>
      <c r="G156" s="212" t="s">
        <v>5</v>
      </c>
      <c r="H156" s="212" t="s">
        <v>222</v>
      </c>
      <c r="I156" s="212"/>
      <c r="J156" s="330">
        <v>1</v>
      </c>
      <c r="K156" s="217" t="s">
        <v>5</v>
      </c>
      <c r="L156" s="217" t="s">
        <v>222</v>
      </c>
      <c r="M156" s="217" t="s">
        <v>291</v>
      </c>
      <c r="N156" s="214">
        <v>1480000</v>
      </c>
      <c r="O156" s="289" t="s">
        <v>5</v>
      </c>
      <c r="P156" s="212" t="s">
        <v>222</v>
      </c>
      <c r="Q156" s="217" t="s">
        <v>294</v>
      </c>
      <c r="R156" s="214">
        <v>4</v>
      </c>
      <c r="S156" s="212" t="s">
        <v>5</v>
      </c>
      <c r="T156" s="212" t="s">
        <v>222</v>
      </c>
      <c r="U156" s="217"/>
      <c r="V156" s="214">
        <v>113</v>
      </c>
      <c r="W156" s="212" t="s">
        <v>5</v>
      </c>
      <c r="X156" s="212" t="s">
        <v>222</v>
      </c>
      <c r="Y156" s="217"/>
      <c r="Z156" s="214">
        <v>23</v>
      </c>
      <c r="AA156" s="212" t="s">
        <v>5</v>
      </c>
      <c r="AB156" s="212" t="s">
        <v>222</v>
      </c>
      <c r="AC156" s="217"/>
      <c r="AD156" s="214">
        <v>23</v>
      </c>
      <c r="AE156" s="212" t="s">
        <v>5</v>
      </c>
      <c r="AF156" s="212" t="s">
        <v>222</v>
      </c>
      <c r="AG156" s="217"/>
      <c r="AH156" s="214">
        <v>30002</v>
      </c>
      <c r="AI156" s="212" t="s">
        <v>53</v>
      </c>
      <c r="AJ156" s="212"/>
      <c r="AK156" s="212"/>
    </row>
    <row r="157" spans="1:37" ht="18.75" customHeight="1">
      <c r="A157" s="211">
        <v>46044</v>
      </c>
      <c r="B157" s="214">
        <v>500000</v>
      </c>
      <c r="C157" s="212" t="s">
        <v>5</v>
      </c>
      <c r="D157" s="217" t="s">
        <v>222</v>
      </c>
      <c r="E157" s="217"/>
      <c r="F157" s="214">
        <v>150001</v>
      </c>
      <c r="G157" s="212" t="s">
        <v>5</v>
      </c>
      <c r="H157" s="212" t="s">
        <v>222</v>
      </c>
      <c r="I157" s="212"/>
      <c r="J157" s="330">
        <v>2</v>
      </c>
      <c r="K157" s="217" t="s">
        <v>5</v>
      </c>
      <c r="L157" s="217" t="s">
        <v>222</v>
      </c>
      <c r="M157" s="217" t="s">
        <v>291</v>
      </c>
      <c r="N157" s="214">
        <v>3000000</v>
      </c>
      <c r="O157" s="289" t="s">
        <v>5</v>
      </c>
      <c r="P157" s="212" t="s">
        <v>222</v>
      </c>
      <c r="Q157" s="217" t="s">
        <v>294</v>
      </c>
      <c r="R157" s="214">
        <v>5</v>
      </c>
      <c r="S157" s="212" t="s">
        <v>5</v>
      </c>
      <c r="T157" s="212" t="s">
        <v>222</v>
      </c>
      <c r="U157" s="217"/>
      <c r="V157" s="214">
        <v>114</v>
      </c>
      <c r="W157" s="212" t="s">
        <v>5</v>
      </c>
      <c r="X157" s="212" t="s">
        <v>222</v>
      </c>
      <c r="Y157" s="217"/>
      <c r="Z157" s="214">
        <v>24</v>
      </c>
      <c r="AA157" s="212" t="s">
        <v>5</v>
      </c>
      <c r="AB157" s="212" t="s">
        <v>222</v>
      </c>
      <c r="AC157" s="217"/>
      <c r="AD157" s="214">
        <v>300000</v>
      </c>
      <c r="AE157" s="212" t="s">
        <v>5</v>
      </c>
      <c r="AF157" s="212" t="s">
        <v>222</v>
      </c>
      <c r="AG157" s="217"/>
      <c r="AH157" s="214">
        <v>30003</v>
      </c>
      <c r="AI157" s="212" t="s">
        <v>53</v>
      </c>
      <c r="AJ157" s="212"/>
      <c r="AK157" s="212"/>
    </row>
    <row r="158" spans="1:37" ht="18.75" customHeight="1">
      <c r="A158" s="211">
        <v>46045</v>
      </c>
      <c r="B158" s="214">
        <v>0</v>
      </c>
      <c r="C158" s="212" t="s">
        <v>5</v>
      </c>
      <c r="D158" s="217" t="s">
        <v>222</v>
      </c>
      <c r="E158" s="217"/>
      <c r="F158" s="214">
        <v>150002</v>
      </c>
      <c r="G158" s="212" t="s">
        <v>5</v>
      </c>
      <c r="H158" s="212" t="s">
        <v>222</v>
      </c>
      <c r="I158" s="212"/>
      <c r="J158" s="330">
        <v>3</v>
      </c>
      <c r="K158" s="217" t="s">
        <v>5</v>
      </c>
      <c r="L158" s="217" t="s">
        <v>222</v>
      </c>
      <c r="M158" s="217" t="s">
        <v>291</v>
      </c>
      <c r="N158" s="214">
        <v>3200000</v>
      </c>
      <c r="O158" s="289" t="s">
        <v>5</v>
      </c>
      <c r="P158" s="212" t="s">
        <v>222</v>
      </c>
      <c r="Q158" s="217" t="s">
        <v>295</v>
      </c>
      <c r="R158" s="214">
        <v>6</v>
      </c>
      <c r="S158" s="212" t="s">
        <v>5</v>
      </c>
      <c r="T158" s="212" t="s">
        <v>222</v>
      </c>
      <c r="U158" s="217"/>
      <c r="V158" s="214">
        <v>115</v>
      </c>
      <c r="W158" s="212" t="s">
        <v>5</v>
      </c>
      <c r="X158" s="212" t="s">
        <v>222</v>
      </c>
      <c r="Y158" s="217"/>
      <c r="Z158" s="214">
        <v>25</v>
      </c>
      <c r="AA158" s="212" t="s">
        <v>5</v>
      </c>
      <c r="AB158" s="212" t="s">
        <v>222</v>
      </c>
      <c r="AC158" s="217"/>
      <c r="AD158" s="214">
        <v>200001</v>
      </c>
      <c r="AE158" s="212" t="s">
        <v>5</v>
      </c>
      <c r="AF158" s="212" t="s">
        <v>222</v>
      </c>
      <c r="AG158" s="217"/>
      <c r="AH158" s="214">
        <f>570000+200000</f>
        <v>770000</v>
      </c>
      <c r="AI158" s="212" t="s">
        <v>53</v>
      </c>
      <c r="AJ158" s="212"/>
      <c r="AK158" s="212"/>
    </row>
    <row r="159" spans="1:37" ht="18.75" customHeight="1">
      <c r="A159" s="211">
        <v>46048</v>
      </c>
      <c r="B159" s="214">
        <v>1</v>
      </c>
      <c r="C159" s="212" t="s">
        <v>5</v>
      </c>
      <c r="D159" s="217" t="s">
        <v>222</v>
      </c>
      <c r="E159" s="217"/>
      <c r="F159" s="214">
        <v>150003</v>
      </c>
      <c r="G159" s="212" t="s">
        <v>5</v>
      </c>
      <c r="H159" s="212" t="s">
        <v>222</v>
      </c>
      <c r="I159" s="212"/>
      <c r="J159" s="330">
        <v>4</v>
      </c>
      <c r="K159" s="217" t="s">
        <v>5</v>
      </c>
      <c r="L159" s="217" t="s">
        <v>222</v>
      </c>
      <c r="M159" s="217" t="s">
        <v>291</v>
      </c>
      <c r="N159" s="214"/>
      <c r="O159" s="289" t="s">
        <v>5</v>
      </c>
      <c r="P159" s="212" t="s">
        <v>222</v>
      </c>
      <c r="Q159" s="217" t="s">
        <v>296</v>
      </c>
      <c r="R159" s="214">
        <v>7</v>
      </c>
      <c r="S159" s="212" t="s">
        <v>5</v>
      </c>
      <c r="T159" s="212" t="s">
        <v>222</v>
      </c>
      <c r="U159" s="217"/>
      <c r="V159" s="214">
        <v>116</v>
      </c>
      <c r="W159" s="212" t="s">
        <v>5</v>
      </c>
      <c r="X159" s="212" t="s">
        <v>222</v>
      </c>
      <c r="Y159" s="217"/>
      <c r="Z159" s="214">
        <v>26</v>
      </c>
      <c r="AA159" s="212" t="s">
        <v>5</v>
      </c>
      <c r="AB159" s="212" t="s">
        <v>222</v>
      </c>
      <c r="AC159" s="217"/>
      <c r="AD159" s="214">
        <v>400002</v>
      </c>
      <c r="AE159" s="212" t="s">
        <v>5</v>
      </c>
      <c r="AF159" s="212" t="s">
        <v>222</v>
      </c>
      <c r="AG159" s="217"/>
      <c r="AH159" s="214">
        <f>570000</f>
        <v>570000</v>
      </c>
      <c r="AI159" s="212" t="s">
        <v>53</v>
      </c>
      <c r="AJ159" s="212"/>
      <c r="AK159" s="212"/>
    </row>
    <row r="160" spans="1:37" ht="18.75" customHeight="1">
      <c r="A160" s="211">
        <v>46049</v>
      </c>
      <c r="B160" s="214">
        <v>1</v>
      </c>
      <c r="C160" s="212" t="s">
        <v>5</v>
      </c>
      <c r="D160" s="217" t="s">
        <v>222</v>
      </c>
      <c r="E160" s="217"/>
      <c r="F160" s="214">
        <v>4</v>
      </c>
      <c r="G160" s="212" t="s">
        <v>5</v>
      </c>
      <c r="H160" s="212" t="s">
        <v>222</v>
      </c>
      <c r="I160" s="212"/>
      <c r="J160" s="330">
        <v>5</v>
      </c>
      <c r="K160" s="217" t="s">
        <v>5</v>
      </c>
      <c r="L160" s="217" t="s">
        <v>222</v>
      </c>
      <c r="M160" s="217" t="s">
        <v>291</v>
      </c>
      <c r="N160" s="214"/>
      <c r="O160" s="289" t="s">
        <v>5</v>
      </c>
      <c r="P160" s="212" t="s">
        <v>222</v>
      </c>
      <c r="Q160" s="217" t="s">
        <v>297</v>
      </c>
      <c r="R160" s="214">
        <v>8</v>
      </c>
      <c r="S160" s="212" t="s">
        <v>5</v>
      </c>
      <c r="T160" s="212" t="s">
        <v>222</v>
      </c>
      <c r="U160" s="217"/>
      <c r="V160" s="214">
        <v>117</v>
      </c>
      <c r="W160" s="212" t="s">
        <v>5</v>
      </c>
      <c r="X160" s="212" t="s">
        <v>222</v>
      </c>
      <c r="Y160" s="217"/>
      <c r="Z160" s="214">
        <v>27</v>
      </c>
      <c r="AA160" s="212" t="s">
        <v>5</v>
      </c>
      <c r="AB160" s="212" t="s">
        <v>222</v>
      </c>
      <c r="AC160" s="217"/>
      <c r="AD160" s="214">
        <v>400003</v>
      </c>
      <c r="AE160" s="212" t="s">
        <v>5</v>
      </c>
      <c r="AF160" s="212" t="s">
        <v>222</v>
      </c>
      <c r="AG160" s="217"/>
      <c r="AH160" s="214">
        <f>570000</f>
        <v>570000</v>
      </c>
      <c r="AI160" s="212" t="s">
        <v>53</v>
      </c>
      <c r="AJ160" s="212"/>
      <c r="AK160" s="212"/>
    </row>
    <row r="161" spans="1:37" ht="18.75" customHeight="1">
      <c r="A161" s="211">
        <v>46050</v>
      </c>
      <c r="B161" s="214">
        <v>2</v>
      </c>
      <c r="C161" s="212" t="s">
        <v>5</v>
      </c>
      <c r="D161" s="217" t="s">
        <v>222</v>
      </c>
      <c r="E161" s="217"/>
      <c r="F161" s="214">
        <v>5</v>
      </c>
      <c r="G161" s="212" t="s">
        <v>5</v>
      </c>
      <c r="H161" s="212" t="s">
        <v>222</v>
      </c>
      <c r="I161" s="212"/>
      <c r="J161" s="330">
        <v>6</v>
      </c>
      <c r="K161" s="217" t="s">
        <v>5</v>
      </c>
      <c r="L161" s="217" t="s">
        <v>222</v>
      </c>
      <c r="M161" s="217" t="s">
        <v>291</v>
      </c>
      <c r="N161" s="214"/>
      <c r="O161" s="289" t="s">
        <v>5</v>
      </c>
      <c r="P161" s="212" t="s">
        <v>222</v>
      </c>
      <c r="Q161" s="217"/>
      <c r="R161" s="214">
        <v>4600000</v>
      </c>
      <c r="S161" s="212" t="s">
        <v>5</v>
      </c>
      <c r="T161" s="212" t="s">
        <v>222</v>
      </c>
      <c r="U161" s="217"/>
      <c r="V161" s="214">
        <v>118</v>
      </c>
      <c r="W161" s="212" t="s">
        <v>5</v>
      </c>
      <c r="X161" s="212" t="s">
        <v>222</v>
      </c>
      <c r="Y161" s="217"/>
      <c r="Z161" s="214">
        <v>28</v>
      </c>
      <c r="AA161" s="212" t="s">
        <v>5</v>
      </c>
      <c r="AB161" s="212" t="s">
        <v>222</v>
      </c>
      <c r="AC161" s="217"/>
      <c r="AD161" s="214">
        <v>400004</v>
      </c>
      <c r="AE161" s="212" t="s">
        <v>5</v>
      </c>
      <c r="AF161" s="212" t="s">
        <v>222</v>
      </c>
      <c r="AG161" s="217"/>
      <c r="AH161" s="214">
        <v>1120000</v>
      </c>
      <c r="AI161" s="212" t="s">
        <v>53</v>
      </c>
      <c r="AJ161" s="212"/>
      <c r="AK161" s="212"/>
    </row>
    <row r="162" spans="1:37" ht="18.75" customHeight="1">
      <c r="A162" s="211">
        <v>46051</v>
      </c>
      <c r="B162" s="214">
        <v>3</v>
      </c>
      <c r="C162" s="212" t="s">
        <v>5</v>
      </c>
      <c r="D162" s="217" t="s">
        <v>222</v>
      </c>
      <c r="E162" s="217"/>
      <c r="F162" s="214">
        <v>6</v>
      </c>
      <c r="G162" s="212" t="s">
        <v>5</v>
      </c>
      <c r="H162" s="212" t="s">
        <v>222</v>
      </c>
      <c r="I162" s="212"/>
      <c r="J162" s="330">
        <v>7</v>
      </c>
      <c r="K162" s="217" t="s">
        <v>5</v>
      </c>
      <c r="L162" s="217" t="s">
        <v>222</v>
      </c>
      <c r="M162" s="217"/>
      <c r="N162" s="214">
        <v>1</v>
      </c>
      <c r="O162" s="289" t="s">
        <v>5</v>
      </c>
      <c r="P162" s="212" t="s">
        <v>222</v>
      </c>
      <c r="Q162" s="217"/>
      <c r="R162" s="214">
        <v>3750000</v>
      </c>
      <c r="S162" s="212" t="s">
        <v>5</v>
      </c>
      <c r="T162" s="212" t="s">
        <v>222</v>
      </c>
      <c r="U162" s="217"/>
      <c r="V162" s="214">
        <v>119</v>
      </c>
      <c r="W162" s="212" t="s">
        <v>5</v>
      </c>
      <c r="X162" s="212" t="s">
        <v>222</v>
      </c>
      <c r="Y162" s="217"/>
      <c r="Z162" s="214">
        <v>29</v>
      </c>
      <c r="AA162" s="212" t="s">
        <v>5</v>
      </c>
      <c r="AB162" s="212" t="s">
        <v>222</v>
      </c>
      <c r="AC162" s="217"/>
      <c r="AD162" s="214">
        <v>400005</v>
      </c>
      <c r="AE162" s="212" t="s">
        <v>5</v>
      </c>
      <c r="AF162" s="212" t="s">
        <v>222</v>
      </c>
      <c r="AG162" s="217"/>
      <c r="AH162" s="214">
        <v>1120001</v>
      </c>
      <c r="AI162" s="212" t="s">
        <v>53</v>
      </c>
      <c r="AJ162" s="212"/>
      <c r="AK162" s="212"/>
    </row>
    <row r="163" spans="1:37" ht="18.75" customHeight="1">
      <c r="A163" s="211">
        <v>46052</v>
      </c>
      <c r="B163" s="214">
        <v>4</v>
      </c>
      <c r="C163" s="212" t="s">
        <v>5</v>
      </c>
      <c r="D163" s="217" t="s">
        <v>222</v>
      </c>
      <c r="E163" s="217"/>
      <c r="F163" s="214">
        <v>7</v>
      </c>
      <c r="G163" s="212" t="s">
        <v>5</v>
      </c>
      <c r="H163" s="212" t="s">
        <v>222</v>
      </c>
      <c r="I163" s="212"/>
      <c r="J163" s="330">
        <v>8</v>
      </c>
      <c r="K163" s="217" t="s">
        <v>5</v>
      </c>
      <c r="L163" s="217" t="s">
        <v>222</v>
      </c>
      <c r="M163" s="217"/>
      <c r="N163" s="214">
        <v>2</v>
      </c>
      <c r="O163" s="289" t="s">
        <v>5</v>
      </c>
      <c r="P163" s="212" t="s">
        <v>222</v>
      </c>
      <c r="Q163" s="217"/>
      <c r="R163" s="214">
        <v>0</v>
      </c>
      <c r="S163" s="212" t="s">
        <v>5</v>
      </c>
      <c r="T163" s="212" t="s">
        <v>222</v>
      </c>
      <c r="U163" s="217"/>
      <c r="V163" s="214">
        <v>120</v>
      </c>
      <c r="W163" s="212" t="s">
        <v>5</v>
      </c>
      <c r="X163" s="212" t="s">
        <v>222</v>
      </c>
      <c r="Y163" s="217"/>
      <c r="Z163" s="214">
        <v>30</v>
      </c>
      <c r="AA163" s="212" t="s">
        <v>5</v>
      </c>
      <c r="AB163" s="212" t="s">
        <v>222</v>
      </c>
      <c r="AC163" s="217"/>
      <c r="AD163" s="214">
        <v>23</v>
      </c>
      <c r="AE163" s="212" t="s">
        <v>5</v>
      </c>
      <c r="AF163" s="212" t="s">
        <v>222</v>
      </c>
      <c r="AG163" s="217"/>
      <c r="AH163" s="214">
        <v>472220</v>
      </c>
      <c r="AI163" s="212" t="s">
        <v>53</v>
      </c>
      <c r="AJ163" s="212"/>
      <c r="AK163" s="212"/>
    </row>
    <row r="164" spans="1:37" ht="18.75" customHeight="1">
      <c r="A164" s="211">
        <v>46053</v>
      </c>
      <c r="B164" s="214">
        <v>5</v>
      </c>
      <c r="C164" s="212" t="s">
        <v>5</v>
      </c>
      <c r="D164" s="217" t="s">
        <v>222</v>
      </c>
      <c r="E164" s="217"/>
      <c r="F164" s="214">
        <v>8</v>
      </c>
      <c r="G164" s="212" t="s">
        <v>5</v>
      </c>
      <c r="H164" s="212" t="s">
        <v>222</v>
      </c>
      <c r="I164" s="212"/>
      <c r="J164" s="330">
        <v>9</v>
      </c>
      <c r="K164" s="217" t="s">
        <v>5</v>
      </c>
      <c r="L164" s="217" t="s">
        <v>222</v>
      </c>
      <c r="M164" s="217"/>
      <c r="N164" s="214">
        <v>3</v>
      </c>
      <c r="O164" s="289" t="s">
        <v>5</v>
      </c>
      <c r="P164" s="212" t="s">
        <v>222</v>
      </c>
      <c r="Q164" s="217"/>
      <c r="R164" s="214">
        <v>1</v>
      </c>
      <c r="S164" s="212" t="s">
        <v>5</v>
      </c>
      <c r="T164" s="212" t="s">
        <v>222</v>
      </c>
      <c r="U164" s="217"/>
      <c r="V164" s="214">
        <v>121</v>
      </c>
      <c r="W164" s="212" t="s">
        <v>5</v>
      </c>
      <c r="X164" s="212" t="s">
        <v>222</v>
      </c>
      <c r="Y164" s="217"/>
      <c r="Z164" s="214">
        <v>31</v>
      </c>
      <c r="AA164" s="212" t="s">
        <v>5</v>
      </c>
      <c r="AB164" s="212" t="s">
        <v>222</v>
      </c>
      <c r="AC164" s="217"/>
      <c r="AD164" s="214">
        <v>24</v>
      </c>
      <c r="AE164" s="212" t="s">
        <v>5</v>
      </c>
      <c r="AF164" s="212" t="s">
        <v>222</v>
      </c>
      <c r="AG164" s="217"/>
      <c r="AH164" s="214">
        <v>472221</v>
      </c>
      <c r="AI164" s="212" t="s">
        <v>53</v>
      </c>
      <c r="AJ164" s="212"/>
      <c r="AK164" s="212"/>
    </row>
    <row r="165" spans="1:37" ht="18.75" customHeight="1">
      <c r="A165" s="211">
        <v>46055</v>
      </c>
      <c r="B165" s="214">
        <v>6</v>
      </c>
      <c r="C165" s="212" t="s">
        <v>5</v>
      </c>
      <c r="D165" s="217" t="s">
        <v>222</v>
      </c>
      <c r="E165" s="217"/>
      <c r="F165" s="214">
        <v>9</v>
      </c>
      <c r="G165" s="212" t="s">
        <v>5</v>
      </c>
      <c r="H165" s="212" t="s">
        <v>222</v>
      </c>
      <c r="I165" s="212"/>
      <c r="J165" s="330">
        <v>10</v>
      </c>
      <c r="K165" s="217" t="s">
        <v>5</v>
      </c>
      <c r="L165" s="217" t="s">
        <v>222</v>
      </c>
      <c r="M165" s="217"/>
      <c r="N165" s="214">
        <v>190000</v>
      </c>
      <c r="O165" s="289" t="s">
        <v>5</v>
      </c>
      <c r="P165" s="212" t="s">
        <v>222</v>
      </c>
      <c r="Q165" s="217"/>
      <c r="R165" s="214">
        <v>2</v>
      </c>
      <c r="S165" s="212" t="s">
        <v>5</v>
      </c>
      <c r="T165" s="212" t="s">
        <v>222</v>
      </c>
      <c r="U165" s="217"/>
      <c r="V165" s="214">
        <v>122</v>
      </c>
      <c r="W165" s="212" t="s">
        <v>5</v>
      </c>
      <c r="X165" s="212" t="s">
        <v>222</v>
      </c>
      <c r="Y165" s="217"/>
      <c r="Z165" s="214">
        <v>32</v>
      </c>
      <c r="AA165" s="212" t="s">
        <v>5</v>
      </c>
      <c r="AB165" s="212" t="s">
        <v>222</v>
      </c>
      <c r="AC165" s="217"/>
      <c r="AD165" s="214">
        <v>25</v>
      </c>
      <c r="AE165" s="212" t="s">
        <v>5</v>
      </c>
      <c r="AF165" s="212" t="s">
        <v>222</v>
      </c>
      <c r="AG165" s="217"/>
      <c r="AH165" s="214">
        <v>472222</v>
      </c>
      <c r="AI165" s="212" t="s">
        <v>53</v>
      </c>
      <c r="AJ165" s="212"/>
      <c r="AK165" s="212"/>
    </row>
    <row r="166" spans="1:37" ht="18.75" customHeight="1">
      <c r="A166" s="211">
        <v>46056</v>
      </c>
      <c r="B166" s="214">
        <v>7</v>
      </c>
      <c r="C166" s="212" t="s">
        <v>5</v>
      </c>
      <c r="D166" s="217" t="s">
        <v>222</v>
      </c>
      <c r="E166" s="217"/>
      <c r="F166" s="214">
        <v>10</v>
      </c>
      <c r="G166" s="212" t="s">
        <v>5</v>
      </c>
      <c r="H166" s="212" t="s">
        <v>222</v>
      </c>
      <c r="I166" s="212"/>
      <c r="J166" s="330">
        <v>11</v>
      </c>
      <c r="K166" s="217" t="s">
        <v>5</v>
      </c>
      <c r="L166" s="217" t="s">
        <v>222</v>
      </c>
      <c r="M166" s="217"/>
      <c r="N166" s="214">
        <v>0</v>
      </c>
      <c r="O166" s="289" t="s">
        <v>5</v>
      </c>
      <c r="P166" s="212" t="s">
        <v>222</v>
      </c>
      <c r="Q166" s="217"/>
      <c r="R166" s="214" t="s">
        <v>298</v>
      </c>
      <c r="S166" s="212" t="s">
        <v>5</v>
      </c>
      <c r="T166" s="212" t="s">
        <v>222</v>
      </c>
      <c r="U166" s="217"/>
      <c r="V166" s="214">
        <v>123</v>
      </c>
      <c r="W166" s="212" t="s">
        <v>5</v>
      </c>
      <c r="X166" s="212" t="s">
        <v>222</v>
      </c>
      <c r="Y166" s="217"/>
      <c r="Z166" s="214">
        <v>33</v>
      </c>
      <c r="AA166" s="212" t="s">
        <v>5</v>
      </c>
      <c r="AB166" s="212" t="s">
        <v>222</v>
      </c>
      <c r="AC166" s="217"/>
      <c r="AD166" s="214">
        <v>26</v>
      </c>
      <c r="AE166" s="212" t="s">
        <v>5</v>
      </c>
      <c r="AF166" s="212" t="s">
        <v>222</v>
      </c>
      <c r="AG166" s="217"/>
      <c r="AH166" s="214">
        <v>955546</v>
      </c>
      <c r="AI166" s="212" t="s">
        <v>53</v>
      </c>
      <c r="AJ166" s="212"/>
      <c r="AK166" s="212"/>
    </row>
    <row r="167" spans="1:37" ht="18.75" customHeight="1">
      <c r="A167" s="211">
        <v>46057</v>
      </c>
      <c r="B167" s="214">
        <v>8</v>
      </c>
      <c r="C167" s="212" t="s">
        <v>5</v>
      </c>
      <c r="D167" s="217" t="s">
        <v>222</v>
      </c>
      <c r="E167" s="217"/>
      <c r="F167" s="214">
        <v>11</v>
      </c>
      <c r="G167" s="212" t="s">
        <v>5</v>
      </c>
      <c r="H167" s="212" t="s">
        <v>222</v>
      </c>
      <c r="I167" s="212"/>
      <c r="J167" s="330">
        <v>12</v>
      </c>
      <c r="K167" s="217" t="s">
        <v>5</v>
      </c>
      <c r="L167" s="217" t="s">
        <v>222</v>
      </c>
      <c r="M167" s="217"/>
      <c r="N167" s="214">
        <v>1000000</v>
      </c>
      <c r="O167" s="289" t="s">
        <v>5</v>
      </c>
      <c r="P167" s="212" t="s">
        <v>222</v>
      </c>
      <c r="Q167" s="217"/>
      <c r="R167" s="214">
        <v>1</v>
      </c>
      <c r="S167" s="212" t="s">
        <v>5</v>
      </c>
      <c r="T167" s="212" t="s">
        <v>222</v>
      </c>
      <c r="U167" s="217"/>
      <c r="V167" s="214">
        <v>124</v>
      </c>
      <c r="W167" s="212" t="s">
        <v>5</v>
      </c>
      <c r="X167" s="212" t="s">
        <v>222</v>
      </c>
      <c r="Y167" s="217"/>
      <c r="Z167" s="214">
        <v>34</v>
      </c>
      <c r="AA167" s="212" t="s">
        <v>5</v>
      </c>
      <c r="AB167" s="212" t="s">
        <v>222</v>
      </c>
      <c r="AC167" s="217"/>
      <c r="AD167" s="214">
        <v>27</v>
      </c>
      <c r="AE167" s="212" t="s">
        <v>5</v>
      </c>
      <c r="AF167" s="212" t="s">
        <v>222</v>
      </c>
      <c r="AG167" s="217"/>
      <c r="AH167" s="214">
        <v>955547</v>
      </c>
      <c r="AI167" s="212" t="s">
        <v>53</v>
      </c>
      <c r="AJ167" s="212"/>
      <c r="AK167" s="212"/>
    </row>
    <row r="168" spans="1:37" ht="18.75" customHeight="1">
      <c r="A168" s="211">
        <v>46058</v>
      </c>
      <c r="B168" s="214">
        <v>1300000</v>
      </c>
      <c r="C168" s="212" t="s">
        <v>5</v>
      </c>
      <c r="D168" s="217" t="s">
        <v>222</v>
      </c>
      <c r="E168" s="217"/>
      <c r="F168" s="214">
        <v>12</v>
      </c>
      <c r="G168" s="212" t="s">
        <v>5</v>
      </c>
      <c r="H168" s="212" t="s">
        <v>222</v>
      </c>
      <c r="I168" s="212"/>
      <c r="J168" s="330">
        <v>13</v>
      </c>
      <c r="K168" s="217" t="s">
        <v>5</v>
      </c>
      <c r="L168" s="217" t="s">
        <v>222</v>
      </c>
      <c r="M168" s="217"/>
      <c r="N168" s="214">
        <v>1500001</v>
      </c>
      <c r="O168" s="289" t="s">
        <v>5</v>
      </c>
      <c r="P168" s="212" t="s">
        <v>222</v>
      </c>
      <c r="Q168" s="217"/>
      <c r="R168" s="214">
        <v>2</v>
      </c>
      <c r="S168" s="212" t="s">
        <v>5</v>
      </c>
      <c r="T168" s="212" t="s">
        <v>222</v>
      </c>
      <c r="U168" s="217"/>
      <c r="V168" s="214">
        <v>125</v>
      </c>
      <c r="W168" s="212" t="s">
        <v>5</v>
      </c>
      <c r="X168" s="212" t="s">
        <v>222</v>
      </c>
      <c r="Y168" s="217"/>
      <c r="Z168" s="214">
        <v>35</v>
      </c>
      <c r="AA168" s="212" t="s">
        <v>5</v>
      </c>
      <c r="AB168" s="212" t="s">
        <v>222</v>
      </c>
      <c r="AC168" s="217"/>
      <c r="AD168" s="214">
        <v>28</v>
      </c>
      <c r="AE168" s="212" t="s">
        <v>5</v>
      </c>
      <c r="AF168" s="212" t="s">
        <v>222</v>
      </c>
      <c r="AG168" s="217"/>
      <c r="AH168" s="214">
        <v>955548</v>
      </c>
      <c r="AI168" s="212" t="s">
        <v>53</v>
      </c>
      <c r="AJ168" s="212"/>
      <c r="AK168" s="212"/>
    </row>
    <row r="169" spans="1:37" ht="18.75" customHeight="1">
      <c r="A169" s="211">
        <v>46062</v>
      </c>
      <c r="B169" s="214">
        <v>1</v>
      </c>
      <c r="C169" s="212" t="s">
        <v>5</v>
      </c>
      <c r="D169" s="217" t="s">
        <v>222</v>
      </c>
      <c r="E169" s="217"/>
      <c r="F169" s="214">
        <v>13</v>
      </c>
      <c r="G169" s="212" t="s">
        <v>5</v>
      </c>
      <c r="H169" s="212" t="s">
        <v>222</v>
      </c>
      <c r="I169" s="212"/>
      <c r="J169" s="330">
        <v>14</v>
      </c>
      <c r="K169" s="217" t="s">
        <v>5</v>
      </c>
      <c r="L169" s="217" t="s">
        <v>222</v>
      </c>
      <c r="M169" s="217" t="s">
        <v>299</v>
      </c>
      <c r="N169" s="214">
        <v>2700000</v>
      </c>
      <c r="O169" s="289" t="s">
        <v>5</v>
      </c>
      <c r="P169" s="212" t="s">
        <v>222</v>
      </c>
      <c r="Q169" s="217"/>
      <c r="R169" s="214">
        <v>1460000</v>
      </c>
      <c r="S169" s="212" t="s">
        <v>5</v>
      </c>
      <c r="T169" s="212" t="s">
        <v>222</v>
      </c>
      <c r="U169" s="217"/>
      <c r="V169" s="214">
        <v>126</v>
      </c>
      <c r="W169" s="212" t="s">
        <v>5</v>
      </c>
      <c r="X169" s="212" t="s">
        <v>222</v>
      </c>
      <c r="Y169" s="217"/>
      <c r="Z169" s="214">
        <v>36</v>
      </c>
      <c r="AA169" s="212" t="s">
        <v>5</v>
      </c>
      <c r="AB169" s="212" t="s">
        <v>222</v>
      </c>
      <c r="AC169" s="217"/>
      <c r="AD169" s="214">
        <v>29</v>
      </c>
      <c r="AE169" s="212" t="s">
        <v>5</v>
      </c>
      <c r="AF169" s="212" t="s">
        <v>222</v>
      </c>
      <c r="AG169" s="217"/>
      <c r="AH169" s="214">
        <v>955549</v>
      </c>
      <c r="AI169" s="212" t="s">
        <v>53</v>
      </c>
      <c r="AJ169" s="212"/>
      <c r="AK169" s="212"/>
    </row>
    <row r="170" spans="1:37" ht="18.75" customHeight="1">
      <c r="A170" s="211">
        <v>46063</v>
      </c>
      <c r="B170" s="214">
        <v>2</v>
      </c>
      <c r="C170" s="212" t="s">
        <v>5</v>
      </c>
      <c r="D170" s="217" t="s">
        <v>222</v>
      </c>
      <c r="E170" s="217"/>
      <c r="F170" s="214">
        <v>14</v>
      </c>
      <c r="G170" s="212" t="s">
        <v>5</v>
      </c>
      <c r="H170" s="212" t="s">
        <v>222</v>
      </c>
      <c r="I170" s="212"/>
      <c r="J170" s="330">
        <v>7000000</v>
      </c>
      <c r="K170" s="217" t="s">
        <v>5</v>
      </c>
      <c r="L170" s="217" t="s">
        <v>222</v>
      </c>
      <c r="M170" s="217"/>
      <c r="N170" s="214">
        <v>3400000</v>
      </c>
      <c r="O170" s="289" t="s">
        <v>5</v>
      </c>
      <c r="P170" s="212" t="s">
        <v>222</v>
      </c>
      <c r="Q170" s="217"/>
      <c r="R170" s="214">
        <v>1460001</v>
      </c>
      <c r="S170" s="212" t="s">
        <v>5</v>
      </c>
      <c r="T170" s="212" t="s">
        <v>222</v>
      </c>
      <c r="U170" s="217"/>
      <c r="V170" s="214">
        <v>127</v>
      </c>
      <c r="W170" s="212" t="s">
        <v>5</v>
      </c>
      <c r="X170" s="212" t="s">
        <v>222</v>
      </c>
      <c r="Y170" s="217"/>
      <c r="Z170" s="214">
        <v>37</v>
      </c>
      <c r="AA170" s="212" t="s">
        <v>5</v>
      </c>
      <c r="AB170" s="212" t="s">
        <v>222</v>
      </c>
      <c r="AC170" s="217"/>
      <c r="AD170" s="214">
        <v>30</v>
      </c>
      <c r="AE170" s="212" t="s">
        <v>5</v>
      </c>
      <c r="AF170" s="212" t="s">
        <v>222</v>
      </c>
      <c r="AG170" s="217" t="s">
        <v>300</v>
      </c>
      <c r="AH170" s="214">
        <v>907761</v>
      </c>
      <c r="AI170" s="212" t="s">
        <v>53</v>
      </c>
      <c r="AJ170" s="212"/>
      <c r="AK170" s="212"/>
    </row>
    <row r="171" spans="1:37" ht="18.75" customHeight="1">
      <c r="A171" s="211">
        <v>46064</v>
      </c>
      <c r="B171" s="214">
        <v>3</v>
      </c>
      <c r="C171" s="212" t="s">
        <v>5</v>
      </c>
      <c r="D171" s="217" t="s">
        <v>222</v>
      </c>
      <c r="E171" s="217"/>
      <c r="F171" s="214">
        <v>15</v>
      </c>
      <c r="G171" s="212" t="s">
        <v>5</v>
      </c>
      <c r="H171" s="212" t="s">
        <v>222</v>
      </c>
      <c r="I171" s="212"/>
      <c r="J171" s="330">
        <v>7000001</v>
      </c>
      <c r="K171" s="217" t="s">
        <v>5</v>
      </c>
      <c r="L171" s="217" t="s">
        <v>222</v>
      </c>
      <c r="M171" s="217"/>
      <c r="N171" s="214">
        <v>3400001</v>
      </c>
      <c r="O171" s="289" t="s">
        <v>5</v>
      </c>
      <c r="P171" s="212" t="s">
        <v>222</v>
      </c>
      <c r="Q171" s="217"/>
      <c r="R171" s="214">
        <v>1</v>
      </c>
      <c r="S171" s="212" t="s">
        <v>5</v>
      </c>
      <c r="T171" s="212" t="s">
        <v>222</v>
      </c>
      <c r="U171" s="217"/>
      <c r="V171" s="214">
        <v>128</v>
      </c>
      <c r="W171" s="212" t="s">
        <v>5</v>
      </c>
      <c r="X171" s="212" t="s">
        <v>222</v>
      </c>
      <c r="Y171" s="217"/>
      <c r="Z171" s="214">
        <v>38</v>
      </c>
      <c r="AA171" s="212" t="s">
        <v>5</v>
      </c>
      <c r="AB171" s="212" t="s">
        <v>222</v>
      </c>
      <c r="AC171" s="217"/>
      <c r="AD171" s="214">
        <v>900000</v>
      </c>
      <c r="AE171" s="212" t="s">
        <v>5</v>
      </c>
      <c r="AF171" s="212" t="s">
        <v>222</v>
      </c>
      <c r="AG171" s="217"/>
      <c r="AH171" s="214">
        <v>173000</v>
      </c>
      <c r="AI171" s="212" t="s">
        <v>53</v>
      </c>
      <c r="AJ171" s="212"/>
      <c r="AK171" s="212"/>
    </row>
    <row r="172" spans="1:37" ht="18.75" customHeight="1">
      <c r="A172" s="211">
        <v>46066</v>
      </c>
      <c r="B172" s="214">
        <v>200000</v>
      </c>
      <c r="C172" s="212" t="s">
        <v>5</v>
      </c>
      <c r="D172" s="217" t="s">
        <v>222</v>
      </c>
      <c r="E172" s="217"/>
      <c r="F172" s="214">
        <v>16</v>
      </c>
      <c r="G172" s="212" t="s">
        <v>5</v>
      </c>
      <c r="H172" s="212" t="s">
        <v>222</v>
      </c>
      <c r="I172" s="212"/>
      <c r="J172" s="330">
        <v>5200000</v>
      </c>
      <c r="K172" s="217" t="s">
        <v>5</v>
      </c>
      <c r="L172" s="217" t="s">
        <v>222</v>
      </c>
      <c r="M172" s="217"/>
      <c r="N172" s="214">
        <v>2500000</v>
      </c>
      <c r="O172" s="289" t="s">
        <v>5</v>
      </c>
      <c r="P172" s="212" t="s">
        <v>222</v>
      </c>
      <c r="Q172" s="217" t="s">
        <v>301</v>
      </c>
      <c r="R172" s="214">
        <v>2</v>
      </c>
      <c r="S172" s="212" t="s">
        <v>5</v>
      </c>
      <c r="T172" s="212" t="s">
        <v>222</v>
      </c>
      <c r="U172" s="217"/>
      <c r="V172" s="214">
        <v>129</v>
      </c>
      <c r="W172" s="212" t="s">
        <v>5</v>
      </c>
      <c r="X172" s="212" t="s">
        <v>222</v>
      </c>
      <c r="Y172" s="217"/>
      <c r="Z172" s="214">
        <v>39</v>
      </c>
      <c r="AA172" s="212" t="s">
        <v>5</v>
      </c>
      <c r="AB172" s="212" t="s">
        <v>222</v>
      </c>
      <c r="AC172" s="217"/>
      <c r="AD172" s="214">
        <v>700000</v>
      </c>
      <c r="AE172" s="212" t="s">
        <v>5</v>
      </c>
      <c r="AF172" s="212" t="s">
        <v>222</v>
      </c>
      <c r="AG172" s="217"/>
      <c r="AH172" s="214">
        <v>560000</v>
      </c>
      <c r="AI172" s="212" t="s">
        <v>53</v>
      </c>
      <c r="AJ172" s="212"/>
      <c r="AK172" s="212"/>
    </row>
    <row r="173" spans="1:37" ht="18.75" customHeight="1">
      <c r="A173" s="211">
        <v>46069</v>
      </c>
      <c r="B173" s="214">
        <v>200001</v>
      </c>
      <c r="C173" s="212" t="s">
        <v>5</v>
      </c>
      <c r="D173" s="217" t="s">
        <v>222</v>
      </c>
      <c r="E173" s="217"/>
      <c r="F173" s="214">
        <v>6200000</v>
      </c>
      <c r="G173" s="212" t="s">
        <v>5</v>
      </c>
      <c r="H173" s="212" t="s">
        <v>222</v>
      </c>
      <c r="I173" s="212"/>
      <c r="J173" s="330">
        <v>5100001</v>
      </c>
      <c r="K173" s="217" t="s">
        <v>5</v>
      </c>
      <c r="L173" s="217" t="s">
        <v>222</v>
      </c>
      <c r="M173" s="217"/>
      <c r="N173" s="214">
        <v>2000001</v>
      </c>
      <c r="O173" s="289" t="s">
        <v>5</v>
      </c>
      <c r="P173" s="212" t="s">
        <v>222</v>
      </c>
      <c r="Q173" s="217" t="s">
        <v>302</v>
      </c>
      <c r="R173" s="214">
        <v>3</v>
      </c>
      <c r="S173" s="212" t="s">
        <v>5</v>
      </c>
      <c r="T173" s="212" t="s">
        <v>222</v>
      </c>
      <c r="U173" s="217"/>
      <c r="V173" s="214">
        <v>130</v>
      </c>
      <c r="W173" s="212" t="s">
        <v>5</v>
      </c>
      <c r="X173" s="212" t="s">
        <v>222</v>
      </c>
      <c r="Y173" s="217"/>
      <c r="Z173" s="214">
        <v>40</v>
      </c>
      <c r="AA173" s="212" t="s">
        <v>5</v>
      </c>
      <c r="AB173" s="212" t="s">
        <v>222</v>
      </c>
      <c r="AC173" s="217"/>
      <c r="AD173" s="214">
        <v>900001</v>
      </c>
      <c r="AE173" s="212" t="s">
        <v>5</v>
      </c>
      <c r="AF173" s="212" t="s">
        <v>222</v>
      </c>
      <c r="AG173" s="217"/>
      <c r="AH173" s="214">
        <v>100000</v>
      </c>
      <c r="AI173" s="212" t="s">
        <v>53</v>
      </c>
      <c r="AJ173" s="212"/>
      <c r="AK173" s="212"/>
    </row>
    <row r="174" spans="1:37" ht="18.75" customHeight="1">
      <c r="A174" s="211">
        <v>46070</v>
      </c>
      <c r="B174" s="214">
        <v>1</v>
      </c>
      <c r="C174" s="212" t="s">
        <v>5</v>
      </c>
      <c r="D174" s="217" t="s">
        <v>222</v>
      </c>
      <c r="E174" s="217"/>
      <c r="F174" s="214">
        <v>5300000</v>
      </c>
      <c r="G174" s="212" t="s">
        <v>5</v>
      </c>
      <c r="H174" s="212" t="s">
        <v>222</v>
      </c>
      <c r="I174" s="212"/>
      <c r="J174" s="330">
        <v>2700000</v>
      </c>
      <c r="K174" s="217" t="s">
        <v>5</v>
      </c>
      <c r="L174" s="217" t="s">
        <v>222</v>
      </c>
      <c r="M174" s="217"/>
      <c r="N174" s="214">
        <v>1300000</v>
      </c>
      <c r="O174" s="289" t="s">
        <v>5</v>
      </c>
      <c r="P174" s="212" t="s">
        <v>222</v>
      </c>
      <c r="Q174" s="217" t="s">
        <v>303</v>
      </c>
      <c r="R174" s="214">
        <v>3</v>
      </c>
      <c r="S174" s="212" t="s">
        <v>5</v>
      </c>
      <c r="T174" s="212" t="s">
        <v>222</v>
      </c>
      <c r="U174" s="217"/>
      <c r="V174" s="214">
        <v>130</v>
      </c>
      <c r="W174" s="212" t="s">
        <v>5</v>
      </c>
      <c r="X174" s="212" t="s">
        <v>222</v>
      </c>
      <c r="Y174" s="217"/>
      <c r="Z174" s="214">
        <v>40</v>
      </c>
      <c r="AA174" s="212" t="s">
        <v>5</v>
      </c>
      <c r="AB174" s="212" t="s">
        <v>222</v>
      </c>
      <c r="AC174" s="217"/>
      <c r="AD174" s="214">
        <v>2400000</v>
      </c>
      <c r="AE174" s="212" t="s">
        <v>5</v>
      </c>
      <c r="AF174" s="212" t="s">
        <v>222</v>
      </c>
      <c r="AG174" s="217"/>
      <c r="AH174" s="214">
        <v>135032</v>
      </c>
      <c r="AI174" s="212" t="s">
        <v>53</v>
      </c>
      <c r="AJ174" s="212"/>
      <c r="AK174" s="212"/>
    </row>
    <row r="175" spans="1:37" ht="18.75" customHeight="1">
      <c r="A175" s="211">
        <v>46071</v>
      </c>
      <c r="B175" s="214">
        <v>2</v>
      </c>
      <c r="C175" s="212" t="s">
        <v>5</v>
      </c>
      <c r="D175" s="217" t="s">
        <v>222</v>
      </c>
      <c r="E175" s="217"/>
      <c r="F175" s="214">
        <v>4000000</v>
      </c>
      <c r="G175" s="212" t="s">
        <v>5</v>
      </c>
      <c r="H175" s="212" t="s">
        <v>222</v>
      </c>
      <c r="I175" s="212"/>
      <c r="J175" s="330">
        <v>1</v>
      </c>
      <c r="K175" s="217" t="s">
        <v>5</v>
      </c>
      <c r="L175" s="217" t="s">
        <v>222</v>
      </c>
      <c r="M175" s="217"/>
      <c r="N175" s="214">
        <v>1150000</v>
      </c>
      <c r="O175" s="289" t="s">
        <v>5</v>
      </c>
      <c r="P175" s="212" t="s">
        <v>222</v>
      </c>
      <c r="Q175" s="217" t="s">
        <v>304</v>
      </c>
      <c r="R175" s="214">
        <v>4</v>
      </c>
      <c r="S175" s="212" t="s">
        <v>5</v>
      </c>
      <c r="T175" s="212" t="s">
        <v>222</v>
      </c>
      <c r="U175" s="217"/>
      <c r="V175" s="214">
        <v>131</v>
      </c>
      <c r="W175" s="212" t="s">
        <v>5</v>
      </c>
      <c r="X175" s="212" t="s">
        <v>222</v>
      </c>
      <c r="Y175" s="217"/>
      <c r="Z175" s="214">
        <v>41</v>
      </c>
      <c r="AA175" s="212" t="s">
        <v>5</v>
      </c>
      <c r="AB175" s="212" t="s">
        <v>222</v>
      </c>
      <c r="AC175" s="217"/>
      <c r="AD175" s="214">
        <v>2400001</v>
      </c>
      <c r="AE175" s="212" t="s">
        <v>5</v>
      </c>
      <c r="AF175" s="212" t="s">
        <v>222</v>
      </c>
      <c r="AG175" s="217"/>
      <c r="AH175" s="214">
        <v>45000</v>
      </c>
      <c r="AI175" s="212" t="s">
        <v>53</v>
      </c>
      <c r="AJ175" s="212"/>
      <c r="AK175" s="212"/>
    </row>
    <row r="176" spans="1:37" ht="18.75" customHeight="1">
      <c r="A176" s="211">
        <v>46072</v>
      </c>
      <c r="B176" s="214">
        <v>3</v>
      </c>
      <c r="C176" s="212" t="s">
        <v>5</v>
      </c>
      <c r="D176" s="217" t="s">
        <v>222</v>
      </c>
      <c r="E176" s="217"/>
      <c r="F176" s="214">
        <v>3000000</v>
      </c>
      <c r="G176" s="212" t="s">
        <v>5</v>
      </c>
      <c r="H176" s="212" t="s">
        <v>222</v>
      </c>
      <c r="I176" s="212"/>
      <c r="J176" s="330">
        <v>2</v>
      </c>
      <c r="K176" s="217" t="s">
        <v>5</v>
      </c>
      <c r="L176" s="217" t="s">
        <v>222</v>
      </c>
      <c r="M176" s="217"/>
      <c r="N176" s="214">
        <v>900000</v>
      </c>
      <c r="O176" s="289" t="s">
        <v>5</v>
      </c>
      <c r="P176" s="212" t="s">
        <v>222</v>
      </c>
      <c r="Q176" s="217"/>
      <c r="R176" s="214">
        <v>5</v>
      </c>
      <c r="S176" s="212" t="s">
        <v>5</v>
      </c>
      <c r="T176" s="212" t="s">
        <v>222</v>
      </c>
      <c r="U176" s="217"/>
      <c r="V176" s="214">
        <v>132</v>
      </c>
      <c r="W176" s="212" t="s">
        <v>5</v>
      </c>
      <c r="X176" s="212" t="s">
        <v>222</v>
      </c>
      <c r="Y176" s="217"/>
      <c r="Z176" s="214">
        <v>42</v>
      </c>
      <c r="AA176" s="212" t="s">
        <v>5</v>
      </c>
      <c r="AB176" s="212" t="s">
        <v>222</v>
      </c>
      <c r="AC176" s="217"/>
      <c r="AD176" s="214">
        <v>3150000</v>
      </c>
      <c r="AE176" s="212" t="s">
        <v>5</v>
      </c>
      <c r="AF176" s="212" t="s">
        <v>222</v>
      </c>
      <c r="AG176" s="217"/>
      <c r="AH176" s="214">
        <v>68473</v>
      </c>
      <c r="AI176" s="212" t="s">
        <v>53</v>
      </c>
      <c r="AJ176" s="212"/>
      <c r="AK176" s="212"/>
    </row>
    <row r="177" spans="1:37" ht="18.75" customHeight="1">
      <c r="A177" s="211">
        <v>46073</v>
      </c>
      <c r="B177" s="214">
        <v>4</v>
      </c>
      <c r="C177" s="212" t="s">
        <v>5</v>
      </c>
      <c r="D177" s="217" t="s">
        <v>222</v>
      </c>
      <c r="E177" s="217"/>
      <c r="F177" s="214">
        <v>3000001</v>
      </c>
      <c r="G177" s="212" t="s">
        <v>5</v>
      </c>
      <c r="H177" s="212" t="s">
        <v>222</v>
      </c>
      <c r="I177" s="212"/>
      <c r="J177" s="330">
        <v>3</v>
      </c>
      <c r="K177" s="217" t="s">
        <v>5</v>
      </c>
      <c r="L177" s="217" t="s">
        <v>222</v>
      </c>
      <c r="M177" s="217"/>
      <c r="N177" s="214"/>
      <c r="O177" s="289" t="s">
        <v>5</v>
      </c>
      <c r="P177" s="212" t="s">
        <v>222</v>
      </c>
      <c r="Q177" s="217"/>
      <c r="R177" s="214">
        <v>6</v>
      </c>
      <c r="S177" s="212" t="s">
        <v>5</v>
      </c>
      <c r="T177" s="212" t="s">
        <v>222</v>
      </c>
      <c r="U177" s="217"/>
      <c r="V177" s="214">
        <v>133</v>
      </c>
      <c r="W177" s="212" t="s">
        <v>5</v>
      </c>
      <c r="X177" s="212" t="s">
        <v>222</v>
      </c>
      <c r="Y177" s="217"/>
      <c r="Z177" s="214">
        <v>43</v>
      </c>
      <c r="AA177" s="212" t="s">
        <v>5</v>
      </c>
      <c r="AB177" s="212" t="s">
        <v>222</v>
      </c>
      <c r="AC177" s="217"/>
      <c r="AD177" s="214">
        <v>2200000</v>
      </c>
      <c r="AE177" s="212" t="s">
        <v>5</v>
      </c>
      <c r="AF177" s="212" t="s">
        <v>222</v>
      </c>
      <c r="AG177" s="217"/>
      <c r="AH177" s="214">
        <v>68474</v>
      </c>
      <c r="AI177" s="212" t="s">
        <v>53</v>
      </c>
      <c r="AJ177" s="212"/>
      <c r="AK177" s="212"/>
    </row>
  </sheetData>
  <mergeCells count="20">
    <mergeCell ref="BG1:BG2"/>
    <mergeCell ref="BH1:BH2"/>
    <mergeCell ref="BE1:BE2"/>
    <mergeCell ref="AZ1:AZ2"/>
    <mergeCell ref="BA1:BD1"/>
    <mergeCell ref="A1:A2"/>
    <mergeCell ref="B1:E1"/>
    <mergeCell ref="F1:I1"/>
    <mergeCell ref="J1:M1"/>
    <mergeCell ref="AW1:AW2"/>
    <mergeCell ref="N1:Q1"/>
    <mergeCell ref="AM1:AM2"/>
    <mergeCell ref="AN1:AP1"/>
    <mergeCell ref="AQ1:AS1"/>
    <mergeCell ref="AT1:AV1"/>
    <mergeCell ref="R1:U1"/>
    <mergeCell ref="AH1:AK1"/>
    <mergeCell ref="V1:Y1"/>
    <mergeCell ref="AD1:AG1"/>
    <mergeCell ref="Z1:AC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054199-8B78-FA47-8936-D11308D21BE5}">
          <x14:formula1>
            <xm:f>DATA!$M$2:$M$7</xm:f>
          </x14:formula1>
          <xm:sqref>T3:T177 P3:P177 L3:L177 H3:H177 D3:D177 X3:X177 AB144:AB177 AF144:AF177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79CD-822B-41DF-8EE4-2EB2F03770F5}">
  <sheetPr codeName="Sheet5">
    <tabColor theme="9" tint="0.39997558519241921"/>
  </sheetPr>
  <dimension ref="A1:BN729"/>
  <sheetViews>
    <sheetView tabSelected="1" topLeftCell="AK1" zoomScale="59" zoomScaleNormal="59" workbookViewId="0">
      <pane ySplit="1" topLeftCell="A640" activePane="bottomLeft" state="frozen"/>
      <selection pane="bottomLeft" activeCell="R659" sqref="R659"/>
    </sheetView>
  </sheetViews>
  <sheetFormatPr baseColWidth="10" defaultColWidth="9.5" defaultRowHeight="19.5" customHeight="1"/>
  <cols>
    <col min="1" max="1" width="19.5" style="187" customWidth="1"/>
    <col min="2" max="2" width="9.5" style="180" customWidth="1"/>
    <col min="3" max="3" width="12.6640625" style="180" customWidth="1"/>
    <col min="4" max="4" width="15.1640625" style="180" customWidth="1"/>
    <col min="5" max="5" width="15.1640625" style="187" customWidth="1"/>
    <col min="6" max="6" width="9" style="167" customWidth="1"/>
    <col min="7" max="7" width="9.5" style="180" customWidth="1"/>
    <col min="8" max="8" width="30.1640625" style="180" customWidth="1"/>
    <col min="9" max="9" width="21.5" style="180" customWidth="1"/>
    <col min="10" max="10" width="19.5" style="180" bestFit="1" customWidth="1"/>
    <col min="11" max="11" width="9.5" style="180" customWidth="1"/>
    <col min="12" max="12" width="11.5" style="188" customWidth="1"/>
    <col min="13" max="13" width="12.83203125" style="173" customWidth="1"/>
    <col min="14" max="14" width="22" style="167" customWidth="1"/>
    <col min="15" max="15" width="21" style="167" customWidth="1"/>
    <col min="16" max="16" width="25.5" style="167" customWidth="1"/>
    <col min="17" max="17" width="25" style="180" bestFit="1" customWidth="1"/>
    <col min="18" max="18" width="22.33203125" style="180" bestFit="1" customWidth="1"/>
    <col min="19" max="19" width="9.5" style="180" customWidth="1"/>
    <col min="20" max="20" width="15" style="180" customWidth="1"/>
    <col min="21" max="21" width="15.33203125" style="180" customWidth="1"/>
    <col min="22" max="22" width="22" style="167" customWidth="1"/>
    <col min="23" max="23" width="11.33203125" style="167" customWidth="1"/>
    <col min="24" max="24" width="11.33203125" style="180" customWidth="1"/>
    <col min="25" max="25" width="11.5" style="180" customWidth="1"/>
    <col min="26" max="26" width="12.1640625" style="180" customWidth="1"/>
    <col min="27" max="27" width="9.5" style="180" customWidth="1"/>
    <col min="28" max="28" width="17.5" style="180" hidden="1" customWidth="1"/>
    <col min="29" max="29" width="9.5" style="180" customWidth="1"/>
    <col min="30" max="30" width="14.6640625" style="180" customWidth="1"/>
    <col min="31" max="31" width="13.1640625" style="180" customWidth="1"/>
    <col min="32" max="32" width="21.33203125" style="180" hidden="1" customWidth="1"/>
    <col min="33" max="33" width="15.1640625" style="180" customWidth="1"/>
    <col min="34" max="34" width="14" style="180" customWidth="1"/>
    <col min="35" max="35" width="15.5" style="180" customWidth="1"/>
    <col min="36" max="36" width="16.5" style="180" hidden="1" customWidth="1"/>
    <col min="37" max="37" width="11.5" style="180" customWidth="1"/>
    <col min="38" max="38" width="12.6640625" style="180" customWidth="1"/>
    <col min="39" max="39" width="12.33203125" style="180" customWidth="1"/>
    <col min="40" max="40" width="23.83203125" style="180" hidden="1" customWidth="1"/>
    <col min="41" max="41" width="12.5" style="180" customWidth="1"/>
    <col min="42" max="42" width="13.5" style="180" customWidth="1"/>
    <col min="43" max="43" width="17.6640625" style="180" customWidth="1"/>
    <col min="44" max="44" width="18.5" style="180" customWidth="1"/>
    <col min="45" max="45" width="17.33203125" style="180" customWidth="1"/>
    <col min="46" max="46" width="17.83203125" style="180" customWidth="1"/>
    <col min="47" max="47" width="21.5" style="180" customWidth="1"/>
    <col min="48" max="48" width="18.33203125" style="180" customWidth="1"/>
    <col min="49" max="49" width="18.1640625" style="180" customWidth="1"/>
    <col min="50" max="50" width="19.1640625" style="180" customWidth="1"/>
    <col min="51" max="51" width="19" style="180" hidden="1" customWidth="1"/>
    <col min="52" max="52" width="11.1640625" style="180" hidden="1" customWidth="1"/>
    <col min="53" max="53" width="19" style="543" hidden="1" customWidth="1"/>
    <col min="54" max="54" width="11.1640625" style="180" hidden="1" customWidth="1"/>
    <col min="55" max="55" width="19" style="543" hidden="1" customWidth="1"/>
    <col min="56" max="56" width="16.5" style="180" customWidth="1"/>
    <col min="57" max="57" width="19" style="543" hidden="1" customWidth="1"/>
    <col min="58" max="58" width="19" style="180" hidden="1" customWidth="1"/>
    <col min="59" max="59" width="11.1640625" style="180" hidden="1" customWidth="1"/>
    <col min="60" max="60" width="19" style="543" hidden="1" customWidth="1"/>
    <col min="61" max="61" width="11.1640625" style="180" hidden="1" customWidth="1"/>
    <col min="62" max="62" width="19" style="543" hidden="1" customWidth="1"/>
    <col min="63" max="63" width="16.33203125" style="180" customWidth="1"/>
    <col min="64" max="64" width="19" style="543" hidden="1" customWidth="1"/>
    <col min="65" max="65" width="9.5" style="180" customWidth="1"/>
    <col min="66" max="66" width="17.6640625" style="543" customWidth="1"/>
    <col min="67" max="78" width="9.5" style="180" customWidth="1"/>
    <col min="79" max="16384" width="9.5" style="180"/>
  </cols>
  <sheetData>
    <row r="1" spans="1:66" s="166" customFormat="1" ht="69.75" customHeight="1">
      <c r="A1" s="160" t="s">
        <v>115</v>
      </c>
      <c r="B1" s="161" t="s">
        <v>305</v>
      </c>
      <c r="C1" s="161" t="s">
        <v>306</v>
      </c>
      <c r="D1" s="161" t="s">
        <v>113</v>
      </c>
      <c r="E1" s="161" t="s">
        <v>307</v>
      </c>
      <c r="F1" s="161" t="s">
        <v>308</v>
      </c>
      <c r="G1" s="162" t="s">
        <v>309</v>
      </c>
      <c r="H1" s="162" t="s">
        <v>310</v>
      </c>
      <c r="I1" s="162" t="s">
        <v>311</v>
      </c>
      <c r="J1" s="162" t="s">
        <v>312</v>
      </c>
      <c r="K1" s="162" t="s">
        <v>33</v>
      </c>
      <c r="L1" s="162" t="s">
        <v>313</v>
      </c>
      <c r="M1" s="162" t="s">
        <v>314</v>
      </c>
      <c r="N1" s="162" t="s">
        <v>315</v>
      </c>
      <c r="O1" s="163" t="s">
        <v>316</v>
      </c>
      <c r="P1" s="163" t="s">
        <v>317</v>
      </c>
      <c r="Q1" s="163" t="s">
        <v>318</v>
      </c>
      <c r="R1" s="163" t="s">
        <v>319</v>
      </c>
      <c r="S1" s="163" t="s">
        <v>33</v>
      </c>
      <c r="T1" s="163" t="s">
        <v>320</v>
      </c>
      <c r="U1" s="163" t="s">
        <v>314</v>
      </c>
      <c r="V1" s="163" t="s">
        <v>321</v>
      </c>
      <c r="W1" s="164" t="s">
        <v>322</v>
      </c>
      <c r="X1" s="162" t="s">
        <v>323</v>
      </c>
      <c r="Y1" s="162" t="s">
        <v>324</v>
      </c>
      <c r="Z1" s="163" t="s">
        <v>325</v>
      </c>
      <c r="AA1" s="163" t="s">
        <v>326</v>
      </c>
      <c r="AB1" s="162" t="s">
        <v>327</v>
      </c>
      <c r="AC1" s="162" t="s">
        <v>328</v>
      </c>
      <c r="AD1" s="162" t="s">
        <v>329</v>
      </c>
      <c r="AE1" s="162" t="s">
        <v>330</v>
      </c>
      <c r="AF1" s="162" t="s">
        <v>331</v>
      </c>
      <c r="AG1" s="162" t="s">
        <v>332</v>
      </c>
      <c r="AH1" s="162" t="s">
        <v>333</v>
      </c>
      <c r="AI1" s="162" t="s">
        <v>334</v>
      </c>
      <c r="AJ1" s="163" t="s">
        <v>335</v>
      </c>
      <c r="AK1" s="163" t="s">
        <v>336</v>
      </c>
      <c r="AL1" s="163" t="s">
        <v>337</v>
      </c>
      <c r="AM1" s="163" t="s">
        <v>338</v>
      </c>
      <c r="AN1" s="163" t="s">
        <v>339</v>
      </c>
      <c r="AO1" s="163" t="s">
        <v>340</v>
      </c>
      <c r="AP1" s="163" t="s">
        <v>341</v>
      </c>
      <c r="AQ1" s="163" t="s">
        <v>342</v>
      </c>
      <c r="AR1" s="162" t="s">
        <v>343</v>
      </c>
      <c r="AS1" s="163" t="s">
        <v>344</v>
      </c>
      <c r="AT1" s="162" t="s">
        <v>345</v>
      </c>
      <c r="AU1" s="163" t="s">
        <v>346</v>
      </c>
      <c r="AV1" s="165" t="s">
        <v>347</v>
      </c>
      <c r="AW1" s="165" t="s">
        <v>348</v>
      </c>
      <c r="AX1" s="165" t="s">
        <v>349</v>
      </c>
      <c r="AY1" s="162" t="s">
        <v>350</v>
      </c>
      <c r="AZ1" s="162" t="s">
        <v>351</v>
      </c>
      <c r="BA1" s="539" t="s">
        <v>352</v>
      </c>
      <c r="BB1" s="538" t="s">
        <v>353</v>
      </c>
      <c r="BC1" s="539" t="s">
        <v>354</v>
      </c>
      <c r="BD1" s="538" t="s">
        <v>355</v>
      </c>
      <c r="BE1" s="539" t="s">
        <v>356</v>
      </c>
      <c r="BF1" s="537" t="s">
        <v>357</v>
      </c>
      <c r="BG1" s="537" t="s">
        <v>358</v>
      </c>
      <c r="BH1" s="540" t="s">
        <v>359</v>
      </c>
      <c r="BI1" s="537" t="s">
        <v>360</v>
      </c>
      <c r="BJ1" s="540" t="s">
        <v>361</v>
      </c>
      <c r="BK1" s="537" t="s">
        <v>362</v>
      </c>
      <c r="BL1" s="540" t="s">
        <v>363</v>
      </c>
      <c r="BM1" s="536" t="s">
        <v>364</v>
      </c>
      <c r="BN1" s="541" t="s">
        <v>365</v>
      </c>
    </row>
    <row r="2" spans="1:66" ht="19.5" customHeight="1">
      <c r="A2" s="167"/>
      <c r="B2" s="182"/>
      <c r="C2" s="182"/>
      <c r="D2" s="182"/>
      <c r="E2" s="184"/>
      <c r="F2" s="184"/>
      <c r="G2" s="182"/>
      <c r="H2" s="183"/>
      <c r="I2" s="170"/>
      <c r="J2" s="170"/>
      <c r="K2" s="182"/>
      <c r="L2" s="184"/>
      <c r="M2" s="182"/>
      <c r="O2" s="182"/>
      <c r="P2" s="182"/>
      <c r="Q2" s="170"/>
      <c r="R2" s="170"/>
      <c r="S2" s="182"/>
      <c r="T2" s="184"/>
      <c r="U2" s="182"/>
      <c r="X2" s="173"/>
      <c r="Y2" s="173"/>
      <c r="Z2" s="173"/>
      <c r="AA2" s="173"/>
      <c r="AB2" s="173"/>
      <c r="AC2" s="175"/>
      <c r="AD2" s="177"/>
      <c r="AE2" s="177"/>
      <c r="AF2" s="177"/>
      <c r="AG2" s="177"/>
      <c r="AH2" s="178"/>
      <c r="AI2" s="178"/>
      <c r="AJ2" s="173"/>
      <c r="AK2" s="175"/>
      <c r="AL2" s="177"/>
      <c r="AM2" s="177"/>
      <c r="AN2" s="177"/>
      <c r="AO2" s="177"/>
      <c r="AP2" s="178"/>
      <c r="AQ2" s="178"/>
      <c r="AR2" s="185"/>
      <c r="AS2" s="185"/>
      <c r="AT2" s="170"/>
      <c r="AU2" s="170"/>
      <c r="AV2" s="170"/>
      <c r="AW2" s="170"/>
      <c r="AX2" s="170"/>
      <c r="AY2" s="170"/>
      <c r="AZ2" s="170"/>
      <c r="BA2" s="542"/>
      <c r="BB2" s="170"/>
      <c r="BC2" s="542"/>
      <c r="BD2" s="170"/>
      <c r="BE2" s="542"/>
      <c r="BF2" s="170"/>
      <c r="BG2" s="170"/>
      <c r="BH2" s="542"/>
      <c r="BI2" s="170"/>
      <c r="BJ2" s="542"/>
      <c r="BK2" s="170"/>
      <c r="BL2" s="542"/>
      <c r="BM2" s="170"/>
      <c r="BN2" s="542"/>
    </row>
    <row r="3" spans="1:66" ht="19.5" customHeight="1">
      <c r="A3" s="167" t="s">
        <v>366</v>
      </c>
      <c r="B3" s="168" t="s">
        <v>39</v>
      </c>
      <c r="C3" s="168" t="s">
        <v>367</v>
      </c>
      <c r="D3" s="168" t="s">
        <v>368</v>
      </c>
      <c r="E3" s="171">
        <v>46035</v>
      </c>
      <c r="F3" s="171"/>
      <c r="G3" s="168" t="s">
        <v>39</v>
      </c>
      <c r="H3" s="181" t="s">
        <v>369</v>
      </c>
      <c r="I3" s="169">
        <v>-329079.21999999997</v>
      </c>
      <c r="J3" s="170">
        <f>IF(I3="",AR3,I3)</f>
        <v>-329079.21999999997</v>
      </c>
      <c r="K3" s="168" t="s">
        <v>5</v>
      </c>
      <c r="L3" s="168" t="s">
        <v>370</v>
      </c>
      <c r="M3" s="168" t="s">
        <v>14</v>
      </c>
      <c r="N3" s="167" t="s">
        <v>371</v>
      </c>
      <c r="O3" s="168" t="s">
        <v>39</v>
      </c>
      <c r="P3" s="168" t="s">
        <v>372</v>
      </c>
      <c r="Q3" s="169"/>
      <c r="R3" s="170">
        <f>IF(Q3="",AS3,Q3)</f>
        <v>26137680.994743951</v>
      </c>
      <c r="S3" s="168" t="s">
        <v>9</v>
      </c>
      <c r="T3" s="171" t="s">
        <v>373</v>
      </c>
      <c r="U3" s="168" t="s">
        <v>374</v>
      </c>
      <c r="V3" s="167" t="s">
        <v>371</v>
      </c>
      <c r="W3" s="172" t="s">
        <v>375</v>
      </c>
      <c r="X3" s="173">
        <f>IF(Y3="",VLOOKUP(H3,CLIENTS!$A$1:$O$649,5,FALSE),Y3)</f>
        <v>0</v>
      </c>
      <c r="Y3" s="174">
        <v>0</v>
      </c>
      <c r="Z3" s="173">
        <f>IF(AA3="",VLOOKUP(P3,CLIENTS!$A$1:$O$649,5,FALSE),AA3)</f>
        <v>6.0019316853510141E-3</v>
      </c>
      <c r="AA3" s="174">
        <v>6.0019316853510141E-3</v>
      </c>
      <c r="AB3" s="173" t="str">
        <f>IF(W3="via USD",IF(K3="EUR",K3&amp;"USD","USD"&amp;K3),IFERROR(VLOOKUP(K3&amp;S3,'FX RATES'!$H$2:$H$20,1,FALSE),S3&amp;K3))</f>
        <v>USDUSD</v>
      </c>
      <c r="AC3" s="175">
        <f>IF(LEFT(AB3,3)=RIGHT(AB3,3),0,IFERROR(INDEX(CLIENTS!$A$1:$O$649,MATCH(H3,CLIENTS!$A$1:$A$649,0),MATCH(AB3,CLIENTS!$A$1:$O$1,0)),0))</f>
        <v>0</v>
      </c>
      <c r="AD3" s="176"/>
      <c r="AE3" s="177">
        <f>IF(W3="CLIENT","",IF(AD3="",AH3+AC3,AD3+AC3))</f>
        <v>1</v>
      </c>
      <c r="AF3" s="177" t="str">
        <f>E3&amp;AB3</f>
        <v>46035USDUSD</v>
      </c>
      <c r="AG3" s="176"/>
      <c r="AH3" s="178">
        <f>IF(LEFT(AB3,3)=RIGHT(AB3,3),1,VLOOKUP(AB3,'FX RATES'!$H$1:$I$20,2,FALSE))</f>
        <v>1</v>
      </c>
      <c r="AI3" s="178">
        <f>IF(OR(AB3="USDAED",LEFT(AB3,3)=RIGHT(AB3,3)),AH3,IF(LEFT(AB3)="USD",AG3,IF(RIGHT(AB3,3)="USD",1,IFERROR(VLOOKUP(E3&amp;"USD"&amp;RIGHT(AB3,3),$AF:$AG,2,FALSE),VLOOKUP(E3&amp;"USD"&amp;RIGHT(AJ3,3),$AN:$AO,2,FALSE)))))</f>
        <v>1</v>
      </c>
      <c r="AJ3" s="173" t="str">
        <f>IF(W3="via USD",IF(S3="EUR",S3&amp;"USD","USD"&amp;S3),IFERROR(VLOOKUP(K3&amp;S3,'FX RATES'!$H$2:$H$20,1,FALSE),S3&amp;K3))</f>
        <v>USDRUB</v>
      </c>
      <c r="AK3" s="175">
        <f>IF(LEFT(AJ3,3)=RIGHT(AJ3,3),0,IFERROR(INDEX(CLIENTS!$A$1:$O$649,MATCH(P3,CLIENTS!$A$1:$A$649,0),MATCH(AJ3,CLIENTS!$A$1:$O$1,0)),0))</f>
        <v>0</v>
      </c>
      <c r="AL3" s="176">
        <v>78.95</v>
      </c>
      <c r="AM3" s="177">
        <f>IF(W3="VENDOR","",IF(AL3="",AP3+AK3,AL3+AK3))</f>
        <v>78.95</v>
      </c>
      <c r="AN3" s="177" t="str">
        <f>E3&amp;AJ3</f>
        <v>46035USDRUB</v>
      </c>
      <c r="AO3" s="176">
        <v>78.900000000000006</v>
      </c>
      <c r="AP3" s="178">
        <f ca="1">IF(LEFT(AJ3,3)=RIGHT(AJ3,3),1,VLOOKUP(AJ3,'FX RATES'!$H$1:$I$20,2,FALSE))</f>
        <v>76.720500000000001</v>
      </c>
      <c r="AQ3" s="178">
        <f>IF(OR(AJ3="USDAED",LEFT(AJ3,3)=RIGHT(AJ3,3)),AP3,IF(LEFT(AJ3)="USD",AO3,IF(RIGHT(AJ3,3)="USD",1,IFERROR(VLOOKUP(E3&amp;"USD"&amp;RIGHT(AJ3,3),$AN:$AO,2,FALSE),VLOOKUP(E3&amp;"USD"&amp;RIGHT(AB3,3),$AF:$AG,2,FALSE)))))</f>
        <v>78.900000000000006</v>
      </c>
      <c r="AR3" s="179">
        <f>-Q3*(1-Z3)/(1+X3)*IF(W3="CLIENT",IF(S3=RIGHT(AJ3,3),1/AM3,AM3),IF(W3="VENDOR",IF(S3=RIGHT(AJ3,3),1/AE3,AE3),AE3^(VLOOKUP(AB3,'FX RATES'!$H$1:$J$26,3,FALSE))/AM3^(VLOOKUP(AJ3,'FX RATES'!$H$1:$J$26,3,FALSE))))</f>
        <v>0</v>
      </c>
      <c r="AS3" s="179">
        <f>-I3*(1+X3)/(1-Z3)*IF(W3="VENDOR",IF(K3=RIGHT(AB3,3),1/AE3,AE3),IF(W3="CLIENT",IF(K3=RIGHT(AB3,3),1/AM3,AM3),AM3^(VLOOKUP(AJ3,'FX RATES'!$H$1:$J$26,3,FALSE))/AE3^(VLOOKUP(AB3,'FX RATES'!$H$1:$J$26,3,FALSE))))</f>
        <v>26137680.994743951</v>
      </c>
      <c r="AT3" s="170">
        <f>IF(AB3&lt;&gt;AJ3,J3/IF(K3=RIGHT(AB3,3),AE3,1/AE3),IF(S3="USD",J3/IF(K3=RIGHT(AB3,3),IF(W3="CLIENT",AM3,AE3),1/IF(W3="CLIENT",AM3,AE3)),J3*VLOOKUP(K3,'FX RATES'!$E$1:$F$10,2,FALSE)))</f>
        <v>-329079.21999999997</v>
      </c>
      <c r="AU3" s="170">
        <f>IF(AB3&lt;&gt;AJ3,R3/IF(S3=RIGHT(AJ3,3),AM3,1/AM3),IF(K3="USD",R3/IF(S3=RIGHT(AJ3,3),IF(W3="CLIENT",AM3,AE3),1/IF(W3="CLIENT",AM3,AE3)),R3*VLOOKUP(S3,'FX RATES'!$E$1:$F$10,2,FALSE)))</f>
        <v>331066.25705818809</v>
      </c>
      <c r="AV3" s="170">
        <f>AT3+AU3</f>
        <v>1987.0370581881143</v>
      </c>
      <c r="AW3" s="169"/>
      <c r="AX3" s="170">
        <f>IF(AND(ISERROR(SEARCH("INVOICE",T3)),ISERROR(SEARCH("SWITCH",T3)),ISERROR(SEARCH("FOREX",T3)),ISERROR(SEARCH("REFUND",A3)),ISERROR(SEARCH("CANCELLED",A3))),IF(AW3="",-AT3*X3+AU3*Z3,AW3),0)</f>
        <v>1987.0370581881029</v>
      </c>
      <c r="AY3" s="170">
        <f>IF(AZ3="USD",AT3,IF(AZ3=K3,J3,-R3))</f>
        <v>-329079.21999999997</v>
      </c>
      <c r="AZ3" s="170" t="str">
        <f>LEFT(AB3,3)</f>
        <v>USD</v>
      </c>
      <c r="BA3" s="542">
        <f>IF(OR(A3="REFUND",A3="CANCELLED"),0,IFERROR((IF(OR(AB3="USDAED",LEFT(AB3,3)=RIGHT(AB3,3)),AI3,AG3)-AE3)*-AY3*VLOOKUP(AB3,'FX RATES'!$H$1:$J$26,3,FALSE),0))</f>
        <v>0</v>
      </c>
      <c r="BB3" s="170" t="str">
        <f>RIGHT(AB3,3)</f>
        <v>USD</v>
      </c>
      <c r="BC3" s="542">
        <f>IF(BA3=0,0,IFERROR(BA3/IF(BB3&lt;&gt;"USD",AI3,1),"???"))</f>
        <v>0</v>
      </c>
      <c r="BD3" s="170">
        <f>IFERROR(-AC3/(IF(OR(AB3="USDAED",LEFT(AB3,3)=RIGHT(AB3,3)),AH3,AG3)-AE3)*BC3,0)</f>
        <v>0</v>
      </c>
      <c r="BE3" s="542">
        <f>BC3-BD3</f>
        <v>0</v>
      </c>
      <c r="BF3" s="170">
        <f>IF(BG3="USD",AU3,IF(BG3=S3,R3,-J3))</f>
        <v>331066.25705818809</v>
      </c>
      <c r="BG3" s="170" t="str">
        <f>LEFT(AJ3,3)</f>
        <v>USD</v>
      </c>
      <c r="BH3" s="542">
        <f>IF(OR(A3="REFUND",A3="CANCELLED"),0,IFERROR((IF(OR(AJ3="USDAED",LEFT(AJ3,3)=RIGHT(AJ3,3)),AQ3,AO3)-AM3)*-BF3*VLOOKUP(AJ3,'FX RATES'!$H$1:$J$26,3,FALSE),0))</f>
        <v>16553.312852908464</v>
      </c>
      <c r="BI3" s="170" t="str">
        <f>RIGHT(AJ3,3)</f>
        <v>RUB</v>
      </c>
      <c r="BJ3" s="542">
        <f>IF(BH3=0,0,IFERROR(BH3/IF(BI3&lt;&gt;"USD",AQ3,1),"???"))</f>
        <v>209.80117684294629</v>
      </c>
      <c r="BK3" s="170">
        <f>IFERROR(-AK3/(IF(OR(AJ3="USDAED",LEFT(AJ3,3)=RIGHT(AJ3,3)),AP3,AO3)-AM3)*BJ3,0)</f>
        <v>0</v>
      </c>
      <c r="BL3" s="542">
        <f>BJ3-BK3</f>
        <v>209.80117684294629</v>
      </c>
      <c r="BM3" s="170">
        <f>IF(AND(ISERROR(SEARCH("REFUND",A3)),ISERROR(SEARCH("CANCELLED",A3))),BD3+BK3,0)</f>
        <v>0</v>
      </c>
      <c r="BN3" s="542">
        <f>IF(AND(ISERROR(SEARCH("REFUND",A3)),ISERROR(SEARCH("CANCELLED",A3))),BE3+BL3,0)</f>
        <v>209.80117684294629</v>
      </c>
    </row>
    <row r="4" spans="1:66" ht="19.5" customHeight="1">
      <c r="A4" s="167" t="s">
        <v>366</v>
      </c>
      <c r="B4" s="168" t="s">
        <v>39</v>
      </c>
      <c r="C4" s="168" t="s">
        <v>367</v>
      </c>
      <c r="D4" s="168" t="s">
        <v>368</v>
      </c>
      <c r="E4" s="171">
        <v>46035</v>
      </c>
      <c r="F4" s="171"/>
      <c r="G4" s="168" t="s">
        <v>39</v>
      </c>
      <c r="H4" s="181" t="s">
        <v>376</v>
      </c>
      <c r="I4" s="169">
        <v>-6225879.3799999999</v>
      </c>
      <c r="J4" s="170">
        <f>IF(I4="",AR4,I4)</f>
        <v>-6225879.3799999999</v>
      </c>
      <c r="K4" s="168" t="s">
        <v>8</v>
      </c>
      <c r="L4" s="168" t="s">
        <v>370</v>
      </c>
      <c r="M4" s="168" t="s">
        <v>14</v>
      </c>
      <c r="N4" s="167" t="s">
        <v>371</v>
      </c>
      <c r="O4" s="168" t="s">
        <v>39</v>
      </c>
      <c r="P4" s="168" t="s">
        <v>372</v>
      </c>
      <c r="Q4" s="169"/>
      <c r="R4" s="170">
        <f>IF(Q4="",AS4,Q4)</f>
        <v>134741454.7973417</v>
      </c>
      <c r="S4" s="168" t="s">
        <v>9</v>
      </c>
      <c r="T4" s="171" t="s">
        <v>373</v>
      </c>
      <c r="U4" s="168" t="s">
        <v>374</v>
      </c>
      <c r="V4" s="167" t="s">
        <v>371</v>
      </c>
      <c r="W4" s="172" t="s">
        <v>375</v>
      </c>
      <c r="X4" s="173">
        <f>IF(Y4="",VLOOKUP(H4,CLIENTS!$A$1:$O$649,5,FALSE),Y4)</f>
        <v>0</v>
      </c>
      <c r="Y4" s="174">
        <v>0</v>
      </c>
      <c r="Z4" s="173">
        <f>IF(AA4="",VLOOKUP(P4,CLIENTS!$A$1:$O$649,5,FALSE),AA4)</f>
        <v>6.0019316853512361E-3</v>
      </c>
      <c r="AA4" s="174">
        <v>6.0019316853512361E-3</v>
      </c>
      <c r="AB4" s="173" t="str">
        <f>IF(W4="via USD",IF(K4="EUR",K4&amp;"USD","USD"&amp;K4),IFERROR(VLOOKUP(K4&amp;S4,'FX RATES'!$H$2:$H$20,1,FALSE),S4&amp;K4))</f>
        <v>USDAED</v>
      </c>
      <c r="AC4" s="175">
        <f>IF(LEFT(AB4,3)=RIGHT(AB4,3),0,IFERROR(INDEX(CLIENTS!$A$1:$O$649,MATCH(H4,CLIENTS!$A$1:$A$649,0),MATCH(AB4,CLIENTS!$A$1:$O$1,0)),0))</f>
        <v>0</v>
      </c>
      <c r="AD4" s="176">
        <v>3.67</v>
      </c>
      <c r="AE4" s="177">
        <f>IF(W4="CLIENT","",IF(AD4="",AH4+AC4,AD4+AC4))</f>
        <v>3.67</v>
      </c>
      <c r="AF4" s="177" t="str">
        <f>E4&amp;AB4</f>
        <v>46035USDAED</v>
      </c>
      <c r="AG4" s="176"/>
      <c r="AH4" s="178">
        <f>IF(LEFT(AB4,3)=RIGHT(AB4,3),1,VLOOKUP(AB4,'FX RATES'!$H$1:$I$20,2,FALSE))</f>
        <v>3.6724999999999999</v>
      </c>
      <c r="AI4" s="178">
        <f>IF(OR(AB4="USDAED",LEFT(AB4,3)=RIGHT(AB4,3)),AH4,IF(LEFT(AB4)="USD",AG4,IF(RIGHT(AB4,3)="USD",1,IFERROR(VLOOKUP(E4&amp;"USD"&amp;RIGHT(AB4,3),$AF:$AG,2,FALSE),VLOOKUP(E4&amp;"USD"&amp;RIGHT(AJ4,3),$AN:$AO,2,FALSE)))))</f>
        <v>3.6724999999999999</v>
      </c>
      <c r="AJ4" s="173" t="str">
        <f>IF(W4="via USD",IF(S4="EUR",S4&amp;"USD","USD"&amp;S4),IFERROR(VLOOKUP(K4&amp;S4,'FX RATES'!$H$2:$H$20,1,FALSE),S4&amp;K4))</f>
        <v>USDRUB</v>
      </c>
      <c r="AK4" s="175">
        <f>IF(LEFT(AJ4,3)=RIGHT(AJ4,3),0,IFERROR(INDEX(CLIENTS!$A$1:$O$649,MATCH(P4,CLIENTS!$A$1:$A$649,0),MATCH(AJ4,CLIENTS!$A$1:$O$1,0)),0))</f>
        <v>0</v>
      </c>
      <c r="AL4" s="176">
        <v>78.95</v>
      </c>
      <c r="AM4" s="177">
        <f>IF(W4="VENDOR","",IF(AL4="",AP4+AK4,AL4+AK4))</f>
        <v>78.95</v>
      </c>
      <c r="AN4" s="177" t="str">
        <f>E4&amp;AJ4</f>
        <v>46035USDRUB</v>
      </c>
      <c r="AO4" s="176">
        <v>78.900000000000006</v>
      </c>
      <c r="AP4" s="178">
        <f ca="1">IF(LEFT(AJ4,3)=RIGHT(AJ4,3),1,VLOOKUP(AJ4,'FX RATES'!$H$1:$I$20,2,FALSE))</f>
        <v>76.720500000000001</v>
      </c>
      <c r="AQ4" s="178">
        <f>IF(OR(AJ4="USDAED",LEFT(AJ4,3)=RIGHT(AJ4,3)),AP4,IF(LEFT(AJ4)="USD",AO4,IF(RIGHT(AJ4,3)="USD",1,IFERROR(VLOOKUP(E4&amp;"USD"&amp;RIGHT(AJ4,3),$AN:$AO,2,FALSE),VLOOKUP(E4&amp;"USD"&amp;RIGHT(AB4,3),$AF:$AG,2,FALSE)))))</f>
        <v>78.900000000000006</v>
      </c>
      <c r="AR4" s="179">
        <f>-Q4*(1-Z4)/(1+X4)*IF(W4="CLIENT",IF(S4=RIGHT(AJ4,3),1/AM4,AM4),IF(W4="VENDOR",IF(S4=RIGHT(AJ4,3),1/AE4,AE4),AE4^(VLOOKUP(AB4,'FX RATES'!$H$1:$J$26,3,FALSE))/AM4^(VLOOKUP(AJ4,'FX RATES'!$H$1:$J$26,3,FALSE))))</f>
        <v>0</v>
      </c>
      <c r="AS4" s="179">
        <f>-I4*(1+X4)/(1-Z4)*IF(W4="VENDOR",IF(K4=RIGHT(AB4,3),1/AE4,AE4),IF(W4="CLIENT",IF(K4=RIGHT(AB4,3),1/AM4,AM4),AM4^(VLOOKUP(AJ4,'FX RATES'!$H$1:$J$26,3,FALSE))/AE4^(VLOOKUP(AB4,'FX RATES'!$H$1:$J$26,3,FALSE))))</f>
        <v>134741454.7973417</v>
      </c>
      <c r="AT4" s="170">
        <f>IF(AB4&lt;&gt;AJ4,J4/IF(K4=RIGHT(AB4,3),AE4,1/AE4),IF(S4="USD",J4/IF(K4=RIGHT(AB4,3),IF(W4="CLIENT",AM4,AE4),1/IF(W4="CLIENT",AM4,AE4)),J4*VLOOKUP(K4,'FX RATES'!$E$1:$F$10,2,FALSE)))</f>
        <v>-1696424.8991825613</v>
      </c>
      <c r="AU4" s="170">
        <f>IF(AB4&lt;&gt;AJ4,R4/IF(S4=RIGHT(AJ4,3),AM4,1/AM4),IF(K4="USD",R4/IF(S4=RIGHT(AJ4,3),IF(W4="CLIENT",AM4,AE4),1/IF(W4="CLIENT",AM4,AE4)),R4*VLOOKUP(S4,'FX RATES'!$E$1:$F$10,2,FALSE)))</f>
        <v>1706668.2051594895</v>
      </c>
      <c r="AV4" s="170">
        <f>AT4+AU4</f>
        <v>10243.305976928212</v>
      </c>
      <c r="AW4" s="169"/>
      <c r="AX4" s="170">
        <f>IF(AND(ISERROR(SEARCH("INVOICE",T4)),ISERROR(SEARCH("SWITCH",T4)),ISERROR(SEARCH("FOREX",T4)),ISERROR(SEARCH("REFUND",A4)),ISERROR(SEARCH("CANCELLED",A4))),IF(AW4="",-AT4*X4+AU4*Z4,AW4),0)</f>
        <v>10243.305976928264</v>
      </c>
      <c r="AY4" s="170">
        <f>IF(AZ4="USD",AT4,IF(AZ4=K4,J4,-R4))</f>
        <v>-1696424.8991825613</v>
      </c>
      <c r="AZ4" s="170" t="str">
        <f>LEFT(AB4,3)</f>
        <v>USD</v>
      </c>
      <c r="BA4" s="542">
        <f>IF(OR(A4="REFUND",A4="CANCELLED"),0,IFERROR((IF(OR(AB4="USDAED",LEFT(AB4,3)=RIGHT(AB4,3)),AI4,AG4)-AE4)*-AY4*VLOOKUP(AB4,'FX RATES'!$H$1:$J$26,3,FALSE),0))</f>
        <v>4241.0622479563126</v>
      </c>
      <c r="BB4" s="170" t="str">
        <f>RIGHT(AB4,3)</f>
        <v>AED</v>
      </c>
      <c r="BC4" s="542">
        <f>IF(BA4=0,0,IFERROR(BA4/IF(BB4&lt;&gt;"USD",AI4,1),"???"))</f>
        <v>1154.816132867614</v>
      </c>
      <c r="BD4" s="170">
        <f>IFERROR(-AC4/(IF(OR(AB4="USDAED",LEFT(AB4,3)=RIGHT(AB4,3)),AH4,AG4)-AE4)*BC4,0)</f>
        <v>0</v>
      </c>
      <c r="BE4" s="542">
        <f>BC4-BD4</f>
        <v>1154.816132867614</v>
      </c>
      <c r="BF4" s="170">
        <f>IF(BG4="USD",AU4,IF(BG4=S4,R4,-J4))</f>
        <v>1706668.2051594895</v>
      </c>
      <c r="BG4" s="170" t="str">
        <f>LEFT(AJ4,3)</f>
        <v>USD</v>
      </c>
      <c r="BH4" s="542">
        <f>IF(OR(A4="REFUND",A4="CANCELLED"),0,IFERROR((IF(OR(AJ4="USDAED",LEFT(AJ4,3)=RIGHT(AJ4,3)),AQ4,AO4)-AM4)*-BF4*VLOOKUP(AJ4,'FX RATES'!$H$1:$J$26,3,FALSE),0))</f>
        <v>85333.410257969619</v>
      </c>
      <c r="BI4" s="170" t="str">
        <f>RIGHT(AJ4,3)</f>
        <v>RUB</v>
      </c>
      <c r="BJ4" s="542">
        <f>IF(BH4=0,0,IFERROR(BH4/IF(BI4&lt;&gt;"USD",AQ4,1),"???"))</f>
        <v>1081.5387865395389</v>
      </c>
      <c r="BK4" s="170">
        <f>IFERROR(-AK4/(IF(OR(AJ4="USDAED",LEFT(AJ4,3)=RIGHT(AJ4,3)),AP4,AO4)-AM4)*BJ4,0)</f>
        <v>0</v>
      </c>
      <c r="BL4" s="542">
        <f>BJ4-BK4</f>
        <v>1081.5387865395389</v>
      </c>
      <c r="BM4" s="170">
        <f>IF(AND(ISERROR(SEARCH("REFUND",A4)),ISERROR(SEARCH("CANCELLED",A4))),BD4+BK4,0)</f>
        <v>0</v>
      </c>
      <c r="BN4" s="542">
        <f>IF(AND(ISERROR(SEARCH("REFUND",A4)),ISERROR(SEARCH("CANCELLED",A4))),BE4+BL4,0)</f>
        <v>2236.3549194071529</v>
      </c>
    </row>
    <row r="5" spans="1:66" ht="19.5" customHeight="1">
      <c r="A5" s="167" t="s">
        <v>366</v>
      </c>
      <c r="B5" s="168" t="s">
        <v>39</v>
      </c>
      <c r="C5" s="168" t="s">
        <v>367</v>
      </c>
      <c r="D5" s="168" t="s">
        <v>368</v>
      </c>
      <c r="E5" s="171">
        <v>46035</v>
      </c>
      <c r="F5" s="171"/>
      <c r="G5" s="168" t="s">
        <v>39</v>
      </c>
      <c r="H5" s="181" t="s">
        <v>377</v>
      </c>
      <c r="I5" s="169">
        <v>-107000</v>
      </c>
      <c r="J5" s="170">
        <f>IF(I5="",AR5,I5)</f>
        <v>-107000</v>
      </c>
      <c r="K5" s="168" t="s">
        <v>5</v>
      </c>
      <c r="L5" s="168" t="s">
        <v>378</v>
      </c>
      <c r="M5" s="168" t="s">
        <v>14</v>
      </c>
      <c r="N5" s="167" t="s">
        <v>371</v>
      </c>
      <c r="O5" s="168" t="s">
        <v>39</v>
      </c>
      <c r="P5" s="168" t="s">
        <v>379</v>
      </c>
      <c r="Q5" s="169"/>
      <c r="R5" s="170">
        <f>IF(Q5="",AS5,Q5)</f>
        <v>8473034.2713567857</v>
      </c>
      <c r="S5" s="168" t="s">
        <v>9</v>
      </c>
      <c r="T5" s="171" t="s">
        <v>380</v>
      </c>
      <c r="U5" s="168" t="s">
        <v>374</v>
      </c>
      <c r="V5" s="167" t="s">
        <v>371</v>
      </c>
      <c r="W5" s="172" t="s">
        <v>375</v>
      </c>
      <c r="X5" s="173">
        <f>IF(Y5="",VLOOKUP(H5,CLIENTS!$A$1:$O$649,5,FALSE),Y5)</f>
        <v>0</v>
      </c>
      <c r="Y5" s="174">
        <v>0</v>
      </c>
      <c r="Z5" s="173">
        <f>IF(AA5="",VLOOKUP(P5,CLIENTS!$A$1:$O$649,5,FALSE),AA5)</f>
        <v>2.9958891400448939E-3</v>
      </c>
      <c r="AA5" s="174">
        <v>2.9958891400448939E-3</v>
      </c>
      <c r="AB5" s="173" t="str">
        <f>IF(W5="via USD",IF(K5="EUR",K5&amp;"USD","USD"&amp;K5),IFERROR(VLOOKUP(K5&amp;S5,'FX RATES'!$H$2:$H$20,1,FALSE),S5&amp;K5))</f>
        <v>USDUSD</v>
      </c>
      <c r="AC5" s="175">
        <f>IF(LEFT(AB5,3)=RIGHT(AB5,3),0,IFERROR(INDEX(CLIENTS!$A$1:$O$649,MATCH(H5,CLIENTS!$A$1:$A$649,0),MATCH(AB5,CLIENTS!$A$1:$O$1,0)),0))</f>
        <v>0</v>
      </c>
      <c r="AD5" s="176"/>
      <c r="AE5" s="177">
        <f>IF(W5="CLIENT","",IF(AD5="",AH5+AC5,AD5+AC5))</f>
        <v>1</v>
      </c>
      <c r="AF5" s="177" t="str">
        <f>E5&amp;AB5</f>
        <v>46035USDUSD</v>
      </c>
      <c r="AG5" s="176"/>
      <c r="AH5" s="178">
        <f>IF(LEFT(AB5,3)=RIGHT(AB5,3),1,VLOOKUP(AB5,'FX RATES'!$H$1:$I$20,2,FALSE))</f>
        <v>1</v>
      </c>
      <c r="AI5" s="178">
        <f>IF(OR(AB5="USDAED",LEFT(AB5,3)=RIGHT(AB5,3)),AH5,IF(LEFT(AB5)="USD",AG5,IF(RIGHT(AB5,3)="USD",1,IFERROR(VLOOKUP(E5&amp;"USD"&amp;RIGHT(AB5,3),$AF:$AG,2,FALSE),VLOOKUP(E5&amp;"USD"&amp;RIGHT(AJ5,3),$AN:$AO,2,FALSE)))))</f>
        <v>1</v>
      </c>
      <c r="AJ5" s="173" t="str">
        <f>IF(W5="via USD",IF(S5="EUR",S5&amp;"USD","USD"&amp;S5),IFERROR(VLOOKUP(K5&amp;S5,'FX RATES'!$H$2:$H$20,1,FALSE),S5&amp;K5))</f>
        <v>USDRUB</v>
      </c>
      <c r="AK5" s="175">
        <f>IF(LEFT(AJ5,3)=RIGHT(AJ5,3),0,IFERROR(INDEX(CLIENTS!$A$1:$O$649,MATCH(P5,CLIENTS!$A$1:$A$649,0),MATCH(AJ5,CLIENTS!$A$1:$O$1,0)),0))</f>
        <v>0</v>
      </c>
      <c r="AL5" s="176">
        <v>78.95</v>
      </c>
      <c r="AM5" s="177">
        <f>IF(W5="VENDOR","",IF(AL5="",AP5+AK5,AL5+AK5))</f>
        <v>78.95</v>
      </c>
      <c r="AN5" s="177" t="str">
        <f>E5&amp;AJ5</f>
        <v>46035USDRUB</v>
      </c>
      <c r="AO5" s="176">
        <v>78.900000000000006</v>
      </c>
      <c r="AP5" s="178">
        <f ca="1">IF(LEFT(AJ5,3)=RIGHT(AJ5,3),1,VLOOKUP(AJ5,'FX RATES'!$H$1:$I$20,2,FALSE))</f>
        <v>76.720500000000001</v>
      </c>
      <c r="AQ5" s="178">
        <f>IF(OR(AJ5="USDAED",LEFT(AJ5,3)=RIGHT(AJ5,3)),AP5,IF(LEFT(AJ5)="USD",AO5,IF(RIGHT(AJ5,3)="USD",1,IFERROR(VLOOKUP(E5&amp;"USD"&amp;RIGHT(AJ5,3),$AN:$AO,2,FALSE),VLOOKUP(E5&amp;"USD"&amp;RIGHT(AB5,3),$AF:$AG,2,FALSE)))))</f>
        <v>78.900000000000006</v>
      </c>
      <c r="AR5" s="179">
        <f>-Q5*(1-Z5)/(1+X5)*IF(W5="CLIENT",IF(S5=RIGHT(AJ5,3),1/AM5,AM5),IF(W5="VENDOR",IF(S5=RIGHT(AJ5,3),1/AE5,AE5),AE5^(VLOOKUP(AB5,'FX RATES'!$H$1:$J$26,3,FALSE))/AM5^(VLOOKUP(AJ5,'FX RATES'!$H$1:$J$26,3,FALSE))))</f>
        <v>0</v>
      </c>
      <c r="AS5" s="179">
        <f>-I5*(1+X5)/(1-Z5)*IF(W5="VENDOR",IF(K5=RIGHT(AB5,3),1/AE5,AE5),IF(W5="CLIENT",IF(K5=RIGHT(AB5,3),1/AM5,AM5),AM5^(VLOOKUP(AJ5,'FX RATES'!$H$1:$J$26,3,FALSE))/AE5^(VLOOKUP(AB5,'FX RATES'!$H$1:$J$26,3,FALSE))))</f>
        <v>8473034.2713567857</v>
      </c>
      <c r="AT5" s="170">
        <f>IF(AB5&lt;&gt;AJ5,J5/IF(K5=RIGHT(AB5,3),AE5,1/AE5),IF(S5="USD",J5/IF(K5=RIGHT(AB5,3),IF(W5="CLIENT",AM5,AE5),1/IF(W5="CLIENT",AM5,AE5)),J5*VLOOKUP(K5,'FX RATES'!$E$1:$F$10,2,FALSE)))</f>
        <v>-107000</v>
      </c>
      <c r="AU5" s="170">
        <f>IF(AB5&lt;&gt;AJ5,R5/IF(S5=RIGHT(AJ5,3),AM5,1/AM5),IF(K5="USD",R5/IF(S5=RIGHT(AJ5,3),IF(W5="CLIENT",AM5,AE5),1/IF(W5="CLIENT",AM5,AE5)),R5*VLOOKUP(S5,'FX RATES'!$E$1:$F$10,2,FALSE)))</f>
        <v>107321.52338640641</v>
      </c>
      <c r="AV5" s="170">
        <f>AT5+AU5</f>
        <v>321.52338640640664</v>
      </c>
      <c r="AW5" s="169"/>
      <c r="AX5" s="170">
        <f>IF(AND(ISERROR(SEARCH("INVOICE",T5)),ISERROR(SEARCH("SWITCH",T5)),ISERROR(SEARCH("FOREX",T5)),ISERROR(SEARCH("REFUND",A5)),ISERROR(SEARCH("CANCELLED",A5))),IF(AW5="",-AT5*X5+AU5*Z5,AW5),0)</f>
        <v>321.52338640640909</v>
      </c>
      <c r="AY5" s="170">
        <f>IF(AZ5="USD",AT5,IF(AZ5=K5,J5,-R5))</f>
        <v>-107000</v>
      </c>
      <c r="AZ5" s="170" t="str">
        <f>LEFT(AB5,3)</f>
        <v>USD</v>
      </c>
      <c r="BA5" s="542">
        <f>IF(OR(A5="REFUND",A5="CANCELLED"),0,IFERROR((IF(OR(AB5="USDAED",LEFT(AB5,3)=RIGHT(AB5,3)),AI5,AG5)-AE5)*-AY5*VLOOKUP(AB5,'FX RATES'!$H$1:$J$26,3,FALSE),0))</f>
        <v>0</v>
      </c>
      <c r="BB5" s="170" t="str">
        <f>RIGHT(AB5,3)</f>
        <v>USD</v>
      </c>
      <c r="BC5" s="542">
        <f>IF(BA5=0,0,IFERROR(BA5/IF(BB5&lt;&gt;"USD",AI5,1),"???"))</f>
        <v>0</v>
      </c>
      <c r="BD5" s="170">
        <f>IFERROR(-AC5/(IF(OR(AB5="USDAED",LEFT(AB5,3)=RIGHT(AB5,3)),AH5,AG5)-AE5)*BC5,0)</f>
        <v>0</v>
      </c>
      <c r="BE5" s="542">
        <f>BC5-BD5</f>
        <v>0</v>
      </c>
      <c r="BF5" s="170">
        <f>IF(BG5="USD",AU5,IF(BG5=S5,R5,-J5))</f>
        <v>107321.52338640641</v>
      </c>
      <c r="BG5" s="170" t="str">
        <f>LEFT(AJ5,3)</f>
        <v>USD</v>
      </c>
      <c r="BH5" s="542">
        <f>IF(OR(A5="REFUND",A5="CANCELLED"),0,IFERROR((IF(OR(AJ5="USDAED",LEFT(AJ5,3)=RIGHT(AJ5,3)),AQ5,AO5)-AM5)*-BF5*VLOOKUP(AJ5,'FX RATES'!$H$1:$J$26,3,FALSE),0))</f>
        <v>5366.0761693200157</v>
      </c>
      <c r="BI5" s="170" t="str">
        <f>RIGHT(AJ5,3)</f>
        <v>RUB</v>
      </c>
      <c r="BJ5" s="542">
        <f>IF(BH5=0,0,IFERROR(BH5/IF(BI5&lt;&gt;"USD",AQ5,1),"???"))</f>
        <v>68.011104807604752</v>
      </c>
      <c r="BK5" s="170">
        <f>IFERROR(-AK5/(IF(OR(AJ5="USDAED",LEFT(AJ5,3)=RIGHT(AJ5,3)),AP5,AO5)-AM5)*BJ5,0)</f>
        <v>0</v>
      </c>
      <c r="BL5" s="542">
        <f>BJ5-BK5</f>
        <v>68.011104807604752</v>
      </c>
      <c r="BM5" s="170">
        <f>IF(AND(ISERROR(SEARCH("REFUND",A5)),ISERROR(SEARCH("CANCELLED",A5))),BD5+BK5,0)</f>
        <v>0</v>
      </c>
      <c r="BN5" s="542">
        <f>IF(AND(ISERROR(SEARCH("REFUND",A5)),ISERROR(SEARCH("CANCELLED",A5))),BE5+BL5,0)</f>
        <v>68.011104807604752</v>
      </c>
    </row>
    <row r="6" spans="1:66" ht="19.5" customHeight="1">
      <c r="A6" s="167" t="s">
        <v>366</v>
      </c>
      <c r="B6" s="168" t="s">
        <v>39</v>
      </c>
      <c r="C6" s="168" t="s">
        <v>381</v>
      </c>
      <c r="D6" s="168" t="s">
        <v>128</v>
      </c>
      <c r="E6" s="171">
        <v>46035</v>
      </c>
      <c r="F6" s="171"/>
      <c r="G6" s="168" t="s">
        <v>39</v>
      </c>
      <c r="H6" s="181" t="s">
        <v>39</v>
      </c>
      <c r="I6" s="169">
        <f>-(R3+R4+R5+J7)</f>
        <v>-52170.063442438841</v>
      </c>
      <c r="J6" s="170">
        <f>IF(I6="",AR6,I6)</f>
        <v>-52170.063442438841</v>
      </c>
      <c r="K6" s="168" t="s">
        <v>9</v>
      </c>
      <c r="L6" s="168" t="s">
        <v>374</v>
      </c>
      <c r="M6" s="168" t="s">
        <v>374</v>
      </c>
      <c r="N6" s="167" t="s">
        <v>371</v>
      </c>
      <c r="O6" s="168" t="s">
        <v>39</v>
      </c>
      <c r="P6" s="168" t="s">
        <v>39</v>
      </c>
      <c r="Q6" s="169"/>
      <c r="R6" s="170">
        <f>IF(Q6="",AS6,Q6)</f>
        <v>52170.063442438841</v>
      </c>
      <c r="S6" s="168" t="s">
        <v>9</v>
      </c>
      <c r="T6" s="168" t="s">
        <v>374</v>
      </c>
      <c r="U6" s="168" t="s">
        <v>374</v>
      </c>
      <c r="V6" s="167" t="s">
        <v>371</v>
      </c>
      <c r="W6" s="172" t="s">
        <v>382</v>
      </c>
      <c r="X6" s="173">
        <f>IF(Y6="",VLOOKUP(H6,CLIENTS!$A$1:$O$649,5,FALSE),Y6)</f>
        <v>0</v>
      </c>
      <c r="Y6" s="174"/>
      <c r="Z6" s="173">
        <f>IF(AA6="",VLOOKUP(P6,CLIENTS!$A$1:$O$649,5,FALSE),AA6)</f>
        <v>0</v>
      </c>
      <c r="AA6" s="174"/>
      <c r="AB6" s="173" t="str">
        <f>IF(W6="via USD",IF(K6="EUR",K6&amp;"USD","USD"&amp;K6),IFERROR(VLOOKUP(K6&amp;S6,'FX RATES'!$H$2:$H$20,1,FALSE),S6&amp;K6))</f>
        <v>RUBRUB</v>
      </c>
      <c r="AC6" s="175">
        <f>IF(LEFT(AB6,3)=RIGHT(AB6,3),0,IFERROR(INDEX(CLIENTS!$A$1:$O$649,MATCH(H6,CLIENTS!$A$1:$A$649,0),MATCH(AB6,CLIENTS!$A$1:$O$1,0)),0))</f>
        <v>0</v>
      </c>
      <c r="AD6" s="176"/>
      <c r="AE6" s="177">
        <f>IF(W6="CLIENT","",IF(AD6="",AH6+AC6,AD6+AC6))</f>
        <v>1</v>
      </c>
      <c r="AF6" s="177" t="str">
        <f>E6&amp;AB6</f>
        <v>46035RUBRUB</v>
      </c>
      <c r="AG6" s="176"/>
      <c r="AH6" s="178">
        <f>IF(LEFT(AB6,3)=RIGHT(AB6,3),1,VLOOKUP(AB6,'FX RATES'!$H$1:$I$20,2,FALSE))</f>
        <v>1</v>
      </c>
      <c r="AI6" s="178">
        <f>IF(OR(AB6="USDAED",LEFT(AB6,3)=RIGHT(AB6,3)),AH6,IF(LEFT(AB6)="USD",AG6,IF(RIGHT(AB6,3)="USD",1,IFERROR(VLOOKUP(E6&amp;"USD"&amp;RIGHT(AB6,3),$AF:$AG,2,FALSE),VLOOKUP(E6&amp;"USD"&amp;RIGHT(AJ6,3),$AN:$AO,2,FALSE)))))</f>
        <v>1</v>
      </c>
      <c r="AJ6" s="173" t="str">
        <f>IF(W6="via USD",IF(S6="EUR",S6&amp;"USD","USD"&amp;S6),IFERROR(VLOOKUP(K6&amp;S6,'FX RATES'!$H$2:$H$20,1,FALSE),S6&amp;K6))</f>
        <v>RUBRUB</v>
      </c>
      <c r="AK6" s="175">
        <f>IF(LEFT(AJ6,3)=RIGHT(AJ6,3),0,IFERROR(INDEX(CLIENTS!$A$1:$O$649,MATCH(P6,CLIENTS!$A$1:$A$649,0),MATCH(AJ6,CLIENTS!$A$1:$O$1,0)),0))</f>
        <v>0</v>
      </c>
      <c r="AL6" s="176"/>
      <c r="AM6" s="177" t="str">
        <f>IF(W6="VENDOR","",IF(AL6="",AP6+AK6,AL6+AK6))</f>
        <v/>
      </c>
      <c r="AN6" s="177" t="str">
        <f>E6&amp;AJ6</f>
        <v>46035RUBRUB</v>
      </c>
      <c r="AO6" s="176"/>
      <c r="AP6" s="178">
        <f>IF(LEFT(AJ6,3)=RIGHT(AJ6,3),1,VLOOKUP(AJ6,'FX RATES'!$H$1:$I$20,2,FALSE))</f>
        <v>1</v>
      </c>
      <c r="AQ6" s="178">
        <f>IF(OR(AJ6="USDAED",LEFT(AJ6,3)=RIGHT(AJ6,3)),AP6,IF(LEFT(AJ6)="USD",AO6,IF(RIGHT(AJ6,3)="USD",1,IFERROR(VLOOKUP(E6&amp;"USD"&amp;RIGHT(AJ6,3),$AN:$AO,2,FALSE),VLOOKUP(E6&amp;"USD"&amp;RIGHT(AB6,3),$AF:$AG,2,FALSE)))))</f>
        <v>1</v>
      </c>
      <c r="AR6" s="179">
        <f>-Q6*(1-Z6)/(1+X6)*IF(W6="CLIENT",IF(S6=RIGHT(AJ6,3),1/AM6,AM6),IF(W6="VENDOR",IF(S6=RIGHT(AJ6,3),1/AE6,AE6),AE6^(VLOOKUP(AB6,'FX RATES'!$H$1:$J$26,3,FALSE))/AM6^(VLOOKUP(AJ6,'FX RATES'!$H$1:$J$26,3,FALSE))))</f>
        <v>0</v>
      </c>
      <c r="AS6" s="179">
        <f>-I6*(1+X6)/(1-Z6)*IF(W6="VENDOR",IF(K6=RIGHT(AB6,3),1/AE6,AE6),IF(W6="CLIENT",IF(K6=RIGHT(AB6,3),1/AM6,AM6),AM6^(VLOOKUP(AJ6,'FX RATES'!$H$1:$J$26,3,FALSE))/AE6^(VLOOKUP(AB6,'FX RATES'!$H$1:$J$26,3,FALSE))))</f>
        <v>52170.063442438841</v>
      </c>
      <c r="AT6" s="170">
        <f ca="1">IF(AB6&lt;&gt;AJ6,J6/IF(K6=RIGHT(AB6,3),AE6,1/AE6),IF(S6="USD",J6/IF(K6=RIGHT(AB6,3),IF(W6="CLIENT",AM6,AE6),1/IF(W6="CLIENT",AM6,AE6)),J6*VLOOKUP(K6,'FX RATES'!$E$1:$F$10,2,FALSE)))</f>
        <v>-680.00160898897741</v>
      </c>
      <c r="AU6" s="170">
        <f ca="1">IF(AB6&lt;&gt;AJ6,R6/IF(S6=RIGHT(AJ6,3),AM6,1/AM6),IF(K6="USD",R6/IF(S6=RIGHT(AJ6,3),IF(W6="CLIENT",AM6,AE6),1/IF(W6="CLIENT",AM6,AE6)),R6*VLOOKUP(S6,'FX RATES'!$E$1:$F$10,2,FALSE)))</f>
        <v>680.00160898897741</v>
      </c>
      <c r="AV6" s="170">
        <f ca="1">AT6+AU6</f>
        <v>0</v>
      </c>
      <c r="AW6" s="169"/>
      <c r="AX6" s="170">
        <f ca="1">IF(AND(ISERROR(SEARCH("INVOICE",T6)),ISERROR(SEARCH("SWITCH",T6)),ISERROR(SEARCH("FOREX",T6)),ISERROR(SEARCH("REFUND",A6)),ISERROR(SEARCH("CANCELLED",A6))),IF(AW6="",-AT6*X6+AU6*Z6,AW6),0)</f>
        <v>0</v>
      </c>
      <c r="AY6" s="170">
        <f>IF(AZ6="USD",AT6,IF(AZ6=K6,J6,-R6))</f>
        <v>-52170.063442438841</v>
      </c>
      <c r="AZ6" s="170" t="str">
        <f>LEFT(AB6,3)</f>
        <v>RUB</v>
      </c>
      <c r="BA6" s="542">
        <f>IF(OR(A6="REFUND",A6="CANCELLED"),0,IFERROR((IF(OR(AB6="USDAED",LEFT(AB6,3)=RIGHT(AB6,3)),AI6,AG6)-AE6)*-AY6*VLOOKUP(AB6,'FX RATES'!$H$1:$J$26,3,FALSE),0))</f>
        <v>0</v>
      </c>
      <c r="BB6" s="170" t="str">
        <f>RIGHT(AB6,3)</f>
        <v>RUB</v>
      </c>
      <c r="BC6" s="542">
        <f>IF(BA6=0,0,IFERROR(BA6/IF(BB6&lt;&gt;"USD",AI6,1),"???"))</f>
        <v>0</v>
      </c>
      <c r="BD6" s="170">
        <f>IFERROR(-AC6/(IF(OR(AB6="USDAED",LEFT(AB6,3)=RIGHT(AB6,3)),AH6,AG6)-AE6)*BC6,0)</f>
        <v>0</v>
      </c>
      <c r="BE6" s="542">
        <f>BC6-BD6</f>
        <v>0</v>
      </c>
      <c r="BF6" s="170">
        <f>IF(BG6="USD",AU6,IF(BG6=S6,R6,-J6))</f>
        <v>52170.063442438841</v>
      </c>
      <c r="BG6" s="170" t="str">
        <f>LEFT(AJ6,3)</f>
        <v>RUB</v>
      </c>
      <c r="BH6" s="542">
        <f>IF(OR(A6="REFUND",A6="CANCELLED"),0,IFERROR((IF(OR(AJ6="USDAED",LEFT(AJ6,3)=RIGHT(AJ6,3)),AQ6,AO6)-AM6)*-BF6*VLOOKUP(AJ6,'FX RATES'!$H$1:$J$26,3,FALSE),0))</f>
        <v>0</v>
      </c>
      <c r="BI6" s="170" t="str">
        <f>RIGHT(AJ6,3)</f>
        <v>RUB</v>
      </c>
      <c r="BJ6" s="542">
        <f>IF(BH6=0,0,IFERROR(BH6/IF(BI6&lt;&gt;"USD",AQ6,1),"???"))</f>
        <v>0</v>
      </c>
      <c r="BK6" s="170">
        <f>IFERROR(-AK6/(IF(OR(AJ6="USDAED",LEFT(AJ6,3)=RIGHT(AJ6,3)),AP6,AO6)-AM6)*BJ6,0)</f>
        <v>0</v>
      </c>
      <c r="BL6" s="542">
        <f>BJ6-BK6</f>
        <v>0</v>
      </c>
      <c r="BM6" s="170">
        <f>IF(AND(ISERROR(SEARCH("REFUND",A6)),ISERROR(SEARCH("CANCELLED",A6))),BD6+BK6,0)</f>
        <v>0</v>
      </c>
      <c r="BN6" s="542">
        <f>IF(AND(ISERROR(SEARCH("REFUND",A6)),ISERROR(SEARCH("CANCELLED",A6))),BE6+BL6,0)</f>
        <v>0</v>
      </c>
    </row>
    <row r="7" spans="1:66" ht="19.5" customHeight="1">
      <c r="A7" s="167" t="s">
        <v>366</v>
      </c>
      <c r="B7" s="168" t="s">
        <v>39</v>
      </c>
      <c r="C7" s="168" t="s">
        <v>383</v>
      </c>
      <c r="D7" s="168" t="s">
        <v>128</v>
      </c>
      <c r="E7" s="171">
        <v>46035</v>
      </c>
      <c r="F7" s="171"/>
      <c r="G7" s="168" t="s">
        <v>39</v>
      </c>
      <c r="H7" s="168" t="s">
        <v>384</v>
      </c>
      <c r="I7" s="169">
        <v>-169300000</v>
      </c>
      <c r="J7" s="170">
        <f>IF(I7="",AR7,I7)</f>
        <v>-169300000</v>
      </c>
      <c r="K7" s="168" t="s">
        <v>9</v>
      </c>
      <c r="L7" s="171" t="s">
        <v>374</v>
      </c>
      <c r="M7" s="168" t="s">
        <v>374</v>
      </c>
      <c r="N7" s="167" t="s">
        <v>371</v>
      </c>
      <c r="O7" s="168" t="s">
        <v>39</v>
      </c>
      <c r="P7" s="349" t="s">
        <v>384</v>
      </c>
      <c r="Q7" s="169"/>
      <c r="R7" s="170">
        <f>IF(Q7="",AS7,Q7)</f>
        <v>7878082.8292228952</v>
      </c>
      <c r="S7" s="168" t="s">
        <v>8</v>
      </c>
      <c r="T7" s="171" t="s">
        <v>385</v>
      </c>
      <c r="U7" s="168" t="s">
        <v>20</v>
      </c>
      <c r="V7" s="167" t="s">
        <v>371</v>
      </c>
      <c r="W7" s="172" t="s">
        <v>382</v>
      </c>
      <c r="X7" s="173">
        <f>IF(Y7="",VLOOKUP(H7,CLIENTS!$A$1:$O$649,5,FALSE),Y7)</f>
        <v>0</v>
      </c>
      <c r="Y7" s="174">
        <v>0</v>
      </c>
      <c r="Z7" s="173">
        <f>IF(AA7="",VLOOKUP(P7,CLIENTS!$A$1:$O$649,5,FALSE),AA7)</f>
        <v>0</v>
      </c>
      <c r="AA7" s="174">
        <v>0</v>
      </c>
      <c r="AB7" s="173" t="str">
        <f>IF(W7="via USD",IF(K7="EUR",K7&amp;"USD","USD"&amp;K7),IFERROR(VLOOKUP(K7&amp;S7,'FX RATES'!$H$2:$H$20,1,FALSE),S7&amp;K7))</f>
        <v>AEDRUB</v>
      </c>
      <c r="AC7" s="175">
        <f>IF(LEFT(AB7,3)=RIGHT(AB7,3),0,IFERROR(INDEX(CLIENTS!$A$1:$O$649,MATCH(H7,CLIENTS!$A$1:$A$649,0),MATCH(AB7,CLIENTS!$A$1:$O$1,0)),0))</f>
        <v>0</v>
      </c>
      <c r="AD7" s="176">
        <v>21.49</v>
      </c>
      <c r="AE7" s="177">
        <f>IF(W7="CLIENT","",IF(AD7="",AH7+AC7,AD7+AC7))</f>
        <v>21.49</v>
      </c>
      <c r="AF7" s="177" t="str">
        <f>E7&amp;AB7</f>
        <v>46035AEDRUB</v>
      </c>
      <c r="AG7" s="176">
        <v>21.484000000000002</v>
      </c>
      <c r="AH7" s="178">
        <f ca="1">IF(LEFT(AB7,3)=RIGHT(AB7,3),1,VLOOKUP(AB7,'FX RATES'!$H$1:$I$20,2,FALSE))</f>
        <v>20.8843</v>
      </c>
      <c r="AI7" s="178">
        <f>IF(OR(AB7="USDAED",LEFT(AB7,3)=RIGHT(AB7,3)),AH7,IF(LEFT(AB7)="USD",AG7,IF(RIGHT(AB7,3)="USD",1,IFERROR(VLOOKUP(E7&amp;"USD"&amp;RIGHT(AB7,3),$AF:$AG,2,FALSE),VLOOKUP(E7&amp;"USD"&amp;RIGHT(AJ7,3),$AN:$AO,2,FALSE)))))</f>
        <v>78.900000000000006</v>
      </c>
      <c r="AJ7" s="173" t="str">
        <f>IF(W7="via USD",IF(S7="EUR",S7&amp;"USD","USD"&amp;S7),IFERROR(VLOOKUP(K7&amp;S7,'FX RATES'!$H$2:$H$20,1,FALSE),S7&amp;K7))</f>
        <v>AEDRUB</v>
      </c>
      <c r="AK7" s="175">
        <f>IF(LEFT(AJ7,3)=RIGHT(AJ7,3),0,IFERROR(INDEX(CLIENTS!$A$1:$O$649,MATCH(P7,CLIENTS!$A$1:$A$649,0),MATCH(AJ7,CLIENTS!$A$1:$O$1,0)),0))</f>
        <v>0</v>
      </c>
      <c r="AL7" s="176"/>
      <c r="AM7" s="177" t="str">
        <f>IF(W7="VENDOR","",IF(AL7="",AP7+AK7,AL7+AK7))</f>
        <v/>
      </c>
      <c r="AN7" s="177" t="str">
        <f>E7&amp;AJ7</f>
        <v>46035AEDRUB</v>
      </c>
      <c r="AO7" s="176"/>
      <c r="AP7" s="178">
        <f ca="1">IF(LEFT(AJ7,3)=RIGHT(AJ7,3),1,VLOOKUP(AJ7,'FX RATES'!$H$1:$I$20,2,FALSE))</f>
        <v>20.8843</v>
      </c>
      <c r="AQ7" s="178">
        <f>IF(OR(AJ7="USDAED",LEFT(AJ7,3)=RIGHT(AJ7,3)),AP7,IF(LEFT(AJ7)="USD",AO7,IF(RIGHT(AJ7,3)="USD",1,IFERROR(VLOOKUP(E7&amp;"USD"&amp;RIGHT(AJ7,3),$AN:$AO,2,FALSE),VLOOKUP(E7&amp;"USD"&amp;RIGHT(AB7,3),$AF:$AG,2,FALSE)))))</f>
        <v>78.900000000000006</v>
      </c>
      <c r="AR7" s="179">
        <f>-Q7*(1-Z7)/(1+X7)*IF(W7="CLIENT",IF(S7=RIGHT(AJ7,3),1/AM7,AM7),IF(W7="VENDOR",IF(S7=RIGHT(AJ7,3),1/AE7,AE7),AE7^(VLOOKUP(AB7,'FX RATES'!$H$1:$J$26,3,FALSE))/AM7^(VLOOKUP(AJ7,'FX RATES'!$H$1:$J$26,3,FALSE))))</f>
        <v>0</v>
      </c>
      <c r="AS7" s="179">
        <f>-I7*(1+X7)/(1-Z7)*IF(W7="VENDOR",IF(K7=RIGHT(AB7,3),1/AE7,AE7),IF(W7="CLIENT",IF(K7=RIGHT(AB7,3),1/AM7,AM7),AM7^(VLOOKUP(AJ7,'FX RATES'!$H$1:$J$26,3,FALSE))/AE7^(VLOOKUP(AB7,'FX RATES'!$H$1:$J$26,3,FALSE))))</f>
        <v>7878082.8292228952</v>
      </c>
      <c r="AT7" s="170">
        <f ca="1">IF(AB7&lt;&gt;AJ7,J7/IF(K7=RIGHT(AB7,3),AE7,1/AE7),IF(S7="USD",J7/IF(K7=RIGHT(AB7,3),IF(W7="CLIENT",AM7,AE7),1/IF(W7="CLIENT",AM7,AE7)),J7*VLOOKUP(K7,'FX RATES'!$E$1:$F$10,2,FALSE)))</f>
        <v>-2206711.3744044942</v>
      </c>
      <c r="AU7" s="170">
        <f ca="1">IF(AB7&lt;&gt;AJ7,R7/IF(S7=RIGHT(AJ7,3),AM7,1/AM7),IF(K7="USD",R7/IF(S7=RIGHT(AJ7,3),IF(W7="CLIENT",AM7,AE7),1/IF(W7="CLIENT",AM7,AE7)),R7*VLOOKUP(S7,'FX RATES'!$E$1:$F$10,2,FALSE)))</f>
        <v>2145096.8875518418</v>
      </c>
      <c r="AV7" s="170">
        <f ca="1">AT7+AU7</f>
        <v>-61614.486852652393</v>
      </c>
      <c r="AW7" s="169"/>
      <c r="AX7" s="170">
        <f ca="1">IF(AND(ISERROR(SEARCH("INVOICE",T7)),ISERROR(SEARCH("SWITCH",T7)),ISERROR(SEARCH("FOREX",T7)),ISERROR(SEARCH("REFUND",A7)),ISERROR(SEARCH("CANCELLED",A7))),IF(AW7="",-AT7*X7+AU7*Z7,AW7),0)</f>
        <v>0</v>
      </c>
      <c r="AY7" s="170">
        <f>IF(AZ7="USD",AT7,IF(AZ7=K7,J7,-R7))</f>
        <v>-7878082.8292228952</v>
      </c>
      <c r="AZ7" s="170" t="str">
        <f>LEFT(AB7,3)</f>
        <v>AED</v>
      </c>
      <c r="BA7" s="542">
        <f>IF(OR(A7="REFUND",A7="CANCELLED"),0,IFERROR((IF(OR(AB7="USDAED",LEFT(AB7,3)=RIGHT(AB7,3)),AI7,AG7)-AE7)*-AY7*VLOOKUP(AB7,'FX RATES'!$H$1:$J$26,3,FALSE),0))</f>
        <v>-47268.496975311173</v>
      </c>
      <c r="BB7" s="170" t="str">
        <f>RIGHT(AB7,3)</f>
        <v>RUB</v>
      </c>
      <c r="BC7" s="542">
        <f>IF(BA7=0,0,IFERROR(BA7/IF(BB7&lt;&gt;"USD",AI7,1),"???"))</f>
        <v>-599.09375127137093</v>
      </c>
      <c r="BD7" s="170">
        <f>IFERROR(-AC7/(IF(OR(AB7="USDAED",LEFT(AB7,3)=RIGHT(AB7,3)),AH7,AG7)-AE7)*BC7,0)</f>
        <v>0</v>
      </c>
      <c r="BE7" s="542">
        <f>BC7-BD7</f>
        <v>-599.09375127137093</v>
      </c>
      <c r="BF7" s="170">
        <f>IF(BG7="USD",AU7,IF(BG7=S7,R7,-J7))</f>
        <v>7878082.8292228952</v>
      </c>
      <c r="BG7" s="170" t="str">
        <f>LEFT(AJ7,3)</f>
        <v>AED</v>
      </c>
      <c r="BH7" s="542">
        <f>IF(OR(A7="REFUND",A7="CANCELLED"),0,IFERROR((IF(OR(AJ7="USDAED",LEFT(AJ7,3)=RIGHT(AJ7,3)),AQ7,AO7)-AM7)*-BF7*VLOOKUP(AJ7,'FX RATES'!$H$1:$J$26,3,FALSE),0))</f>
        <v>0</v>
      </c>
      <c r="BI7" s="170" t="str">
        <f>RIGHT(AJ7,3)</f>
        <v>RUB</v>
      </c>
      <c r="BJ7" s="542">
        <f>IF(BH7=0,0,IFERROR(BH7/IF(BI7&lt;&gt;"USD",AQ7,1),"???"))</f>
        <v>0</v>
      </c>
      <c r="BK7" s="170">
        <f>IFERROR(-AK7/(IF(OR(AJ7="USDAED",LEFT(AJ7,3)=RIGHT(AJ7,3)),AP7,AO7)-AM7)*BJ7,0)</f>
        <v>0</v>
      </c>
      <c r="BL7" s="542">
        <f>BJ7-BK7</f>
        <v>0</v>
      </c>
      <c r="BM7" s="170">
        <f>IF(AND(ISERROR(SEARCH("REFUND",A7)),ISERROR(SEARCH("CANCELLED",A7))),BD7+BK7,0)</f>
        <v>0</v>
      </c>
      <c r="BN7" s="542">
        <f>IF(AND(ISERROR(SEARCH("REFUND",A7)),ISERROR(SEARCH("CANCELLED",A7))),BE7+BL7,0)</f>
        <v>-599.09375127137093</v>
      </c>
    </row>
    <row r="9" spans="1:66" ht="19.5" customHeight="1">
      <c r="A9" s="167" t="s">
        <v>366</v>
      </c>
      <c r="B9" s="225" t="s">
        <v>42</v>
      </c>
      <c r="C9" s="225" t="s">
        <v>367</v>
      </c>
      <c r="D9" s="225" t="s">
        <v>368</v>
      </c>
      <c r="E9" s="226">
        <v>46035</v>
      </c>
      <c r="F9" s="226"/>
      <c r="G9" s="225" t="s">
        <v>42</v>
      </c>
      <c r="H9" s="225" t="s">
        <v>386</v>
      </c>
      <c r="I9" s="227">
        <v>-12500000</v>
      </c>
      <c r="J9" s="170">
        <f>IF(I9="",AR9,I9)</f>
        <v>-12500000</v>
      </c>
      <c r="K9" s="225" t="s">
        <v>7</v>
      </c>
      <c r="L9" s="226" t="s">
        <v>387</v>
      </c>
      <c r="M9" s="225" t="s">
        <v>22</v>
      </c>
      <c r="N9" s="167" t="s">
        <v>371</v>
      </c>
      <c r="O9" s="225" t="s">
        <v>52</v>
      </c>
      <c r="P9" s="225" t="s">
        <v>388</v>
      </c>
      <c r="Q9" s="227"/>
      <c r="R9" s="170">
        <f>IF(Q9="",AS9,Q9)</f>
        <v>141250000</v>
      </c>
      <c r="S9" s="225" t="s">
        <v>9</v>
      </c>
      <c r="T9" s="226" t="s">
        <v>20</v>
      </c>
      <c r="U9" s="226" t="s">
        <v>20</v>
      </c>
      <c r="V9" s="167" t="s">
        <v>371</v>
      </c>
      <c r="W9" s="230" t="s">
        <v>389</v>
      </c>
      <c r="X9" s="173">
        <f>IF(Y9="",VLOOKUP(H9,CLIENTS!$A$1:$O$649,5,FALSE),Y9)</f>
        <v>0</v>
      </c>
      <c r="Y9" s="234">
        <v>0</v>
      </c>
      <c r="Z9" s="173">
        <f>IF(AA9="",VLOOKUP(P9,CLIENTS!$A$1:$O$649,5,FALSE),AA9)</f>
        <v>2.6548672566372167E-3</v>
      </c>
      <c r="AA9" s="234">
        <v>2.6548672566372167E-3</v>
      </c>
      <c r="AB9" s="173" t="str">
        <f>IF(W9="via USD",IF(K9="EUR",K9&amp;"USD","USD"&amp;K9),IFERROR(VLOOKUP(K9&amp;S9,'FX RATES'!$H$2:$H$20,1,FALSE),S9&amp;K9))</f>
        <v>CNYRUB</v>
      </c>
      <c r="AC9" s="175">
        <f>IF(LEFT(AB9,3)=RIGHT(AB9,3),0,IFERROR(INDEX(CLIENTS!$A$1:$O$649,MATCH(H9,CLIENTS!$A$1:$A$649,0),MATCH(AB9,CLIENTS!$A$1:$O$1,0)),0))</f>
        <v>0</v>
      </c>
      <c r="AD9" s="176"/>
      <c r="AE9" s="177" t="str">
        <f>IF(W9="CLIENT","",IF(AD9="",AH9+AC9,AD9+AC9))</f>
        <v/>
      </c>
      <c r="AF9" s="177" t="str">
        <f>E9&amp;AB9</f>
        <v>46035CNYRUB</v>
      </c>
      <c r="AG9" s="176"/>
      <c r="AH9" s="178">
        <f ca="1">IF(LEFT(AB9,3)=RIGHT(AB9,3),1,VLOOKUP(AB9,'FX RATES'!$H$1:$I$20,2,FALSE))</f>
        <v>11.103899999999999</v>
      </c>
      <c r="AI9" s="178">
        <f>IF(OR(AB9="USDAED",LEFT(AB9,3)=RIGHT(AB9,3)),AH9,IF(LEFT(AB9)="USD",AG9,IF(RIGHT(AB9,3)="USD",1,IFERROR(VLOOKUP(E9&amp;"USD"&amp;RIGHT(AB9,3),$AF:$AG,2,FALSE),VLOOKUP(E9&amp;"USD"&amp;RIGHT(AJ9,3),$AN:$AO,2,FALSE)))))</f>
        <v>78.900000000000006</v>
      </c>
      <c r="AJ9" s="173" t="str">
        <f>IF(W9="via USD",IF(S9="EUR",S9&amp;"USD","USD"&amp;S9),IFERROR(VLOOKUP(K9&amp;S9,'FX RATES'!$H$2:$H$20,1,FALSE),S9&amp;K9))</f>
        <v>CNYRUB</v>
      </c>
      <c r="AK9" s="175">
        <f>IF(LEFT(AJ9,3)=RIGHT(AJ9,3),0,IFERROR(INDEX(CLIENTS!$A$1:$O$649,MATCH(P9,CLIENTS!$A$1:$A$649,0),MATCH(AJ9,CLIENTS!$A$1:$O$1,0)),0))</f>
        <v>0</v>
      </c>
      <c r="AL9" s="176">
        <v>11.27</v>
      </c>
      <c r="AM9" s="177">
        <f>IF(W9="VENDOR","",IF(AL9="",AP9+AK9,AL9+AK9))</f>
        <v>11.27</v>
      </c>
      <c r="AN9" s="177" t="str">
        <f>E9&amp;AJ9</f>
        <v>46035CNYRUB</v>
      </c>
      <c r="AO9" s="176">
        <v>11.29</v>
      </c>
      <c r="AP9" s="178">
        <f ca="1">IF(LEFT(AJ9,3)=RIGHT(AJ9,3),1,VLOOKUP(AJ9,'FX RATES'!$H$1:$I$20,2,FALSE))</f>
        <v>11.103899999999999</v>
      </c>
      <c r="AQ9" s="178">
        <f>IF(OR(AJ9="USDAED",LEFT(AJ9,3)=RIGHT(AJ9,3)),AP9,IF(LEFT(AJ9)="USD",AO9,IF(RIGHT(AJ9,3)="USD",1,IFERROR(VLOOKUP(E9&amp;"USD"&amp;RIGHT(AJ9,3),$AN:$AO,2,FALSE),VLOOKUP(E9&amp;"USD"&amp;RIGHT(AB9,3),$AF:$AG,2,FALSE)))))</f>
        <v>78.900000000000006</v>
      </c>
      <c r="AR9" s="179">
        <f>-Q9*(1-Z9)/(1+X9)*IF(W9="CLIENT",IF(S9=RIGHT(AJ9,3),1/AM9,AM9),IF(W9="VENDOR",IF(S9=RIGHT(AJ9,3),1/AE9,AE9),AE9^(VLOOKUP(AB9,'FX RATES'!$H$1:$J$26,3,FALSE))/AM9^(VLOOKUP(AJ9,'FX RATES'!$H$1:$J$26,3,FALSE))))</f>
        <v>0</v>
      </c>
      <c r="AS9" s="179">
        <f>-I9*(1+X9)/(1-Z9)*IF(W9="VENDOR",IF(K9=RIGHT(AB9,3),1/AE9,AE9),IF(W9="CLIENT",IF(K9=RIGHT(AB9,3),1/AM9,AM9),AM9^(VLOOKUP(AJ9,'FX RATES'!$H$1:$J$26,3,FALSE))/AE9^(VLOOKUP(AB9,'FX RATES'!$H$1:$J$26,3,FALSE))))</f>
        <v>141250000</v>
      </c>
      <c r="AT9" s="170">
        <f ca="1">IF(AB9&lt;&gt;AJ9,J9/IF(K9=RIGHT(AB9,3),AE9,1/AE9),IF(S9="USD",J9/IF(K9=RIGHT(AB9,3),IF(W9="CLIENT",AM9,AE9),1/IF(W9="CLIENT",AM9,AE9)),J9*VLOOKUP(K9,'FX RATES'!$E$1:$F$10,2,FALSE)))</f>
        <v>-1809496.2362478287</v>
      </c>
      <c r="AU9" s="170">
        <f ca="1">IF(AB9&lt;&gt;AJ9,R9/IF(S9=RIGHT(AJ9,3),AM9,1/AM9),IF(K9="USD",R9/IF(S9=RIGHT(AJ9,3),IF(W9="CLIENT",AM9,AE9),1/IF(W9="CLIENT",AM9,AE9)),R9*VLOOKUP(S9,'FX RATES'!$E$1:$F$10,2,FALSE)))</f>
        <v>1841098.5329866202</v>
      </c>
      <c r="AV9" s="170">
        <f ca="1">AT9+AU9</f>
        <v>31602.296738791512</v>
      </c>
      <c r="AW9" s="227"/>
      <c r="AX9" s="170">
        <f ca="1">IF(AND(ISERROR(SEARCH("INVOICE",T9)),ISERROR(SEARCH("SWITCH",T9)),ISERROR(SEARCH("FOREX",T9)),ISERROR(SEARCH("REFUND",A9)),ISERROR(SEARCH("CANCELLED",A9))),IF(AW9="",-AT9*X9+AU9*Z9,AW9),0)</f>
        <v>4887.8722114689926</v>
      </c>
      <c r="AY9" s="170">
        <f>IF(AZ9="USD",AT9,IF(AZ9=K9,J9,-R9))</f>
        <v>-12500000</v>
      </c>
      <c r="AZ9" s="170" t="str">
        <f>LEFT(AB9,3)</f>
        <v>CNY</v>
      </c>
      <c r="BA9" s="542">
        <f>IF(OR(A9="REFUND",A9="CANCELLED"),0,IFERROR((IF(OR(AB9="USDAED",LEFT(AB9,3)=RIGHT(AB9,3)),AI9,AG9)-AE9)*-AY9*VLOOKUP(AB9,'FX RATES'!$H$1:$J$26,3,FALSE),0))</f>
        <v>0</v>
      </c>
      <c r="BB9" s="170" t="str">
        <f>RIGHT(AB9,3)</f>
        <v>RUB</v>
      </c>
      <c r="BC9" s="542">
        <f>IF(BA9=0,0,IFERROR(BA9/IF(BB9&lt;&gt;"USD",AI9,1),"???"))</f>
        <v>0</v>
      </c>
      <c r="BD9" s="170">
        <f>IFERROR(-AC9/(IF(OR(AB9="USDAED",LEFT(AB9,3)=RIGHT(AB9,3)),AH9,AG9)-AE9)*BC9,0)</f>
        <v>0</v>
      </c>
      <c r="BE9" s="542">
        <f>BC9-BD9</f>
        <v>0</v>
      </c>
      <c r="BF9" s="170">
        <f>IF(BG9="USD",AU9,IF(BG9=S9,R9,-J9))</f>
        <v>12500000</v>
      </c>
      <c r="BG9" s="170" t="str">
        <f>LEFT(AJ9,3)</f>
        <v>CNY</v>
      </c>
      <c r="BH9" s="542">
        <f>IF(OR(A9="REFUND",A9="CANCELLED"),0,IFERROR((IF(OR(AJ9="USDAED",LEFT(AJ9,3)=RIGHT(AJ9,3)),AQ9,AO9)-AM9)*-BF9*VLOOKUP(AJ9,'FX RATES'!$H$1:$J$26,3,FALSE),0))</f>
        <v>-249999.99999999467</v>
      </c>
      <c r="BI9" s="170" t="str">
        <f>RIGHT(AJ9,3)</f>
        <v>RUB</v>
      </c>
      <c r="BJ9" s="542">
        <f>IF(BH9=0,0,IFERROR(BH9/IF(BI9&lt;&gt;"USD",AQ9,1),"???"))</f>
        <v>-3168.5678073510094</v>
      </c>
      <c r="BK9" s="170">
        <f>IFERROR(-AK9/(IF(OR(AJ9="USDAED",LEFT(AJ9,3)=RIGHT(AJ9,3)),AP9,AO9)-AM9)*BJ9,0)</f>
        <v>0</v>
      </c>
      <c r="BL9" s="542">
        <f>BJ9-BK9</f>
        <v>-3168.5678073510094</v>
      </c>
      <c r="BM9" s="170">
        <f>IF(AND(ISERROR(SEARCH("REFUND",A9)),ISERROR(SEARCH("CANCELLED",A9))),BD9+BK9,0)</f>
        <v>0</v>
      </c>
      <c r="BN9" s="542">
        <f>IF(AND(ISERROR(SEARCH("REFUND",A9)),ISERROR(SEARCH("CANCELLED",A9))),BE9+BL9,0)</f>
        <v>-3168.5678073510094</v>
      </c>
    </row>
    <row r="10" spans="1:66" ht="19.5" customHeight="1">
      <c r="A10" s="167" t="s">
        <v>366</v>
      </c>
      <c r="B10" s="225" t="s">
        <v>34</v>
      </c>
      <c r="C10" s="225" t="s">
        <v>383</v>
      </c>
      <c r="D10" s="225" t="s">
        <v>368</v>
      </c>
      <c r="E10" s="226">
        <v>46035</v>
      </c>
      <c r="F10" s="226"/>
      <c r="G10" s="225" t="s">
        <v>52</v>
      </c>
      <c r="H10" s="228" t="s">
        <v>390</v>
      </c>
      <c r="I10" s="227">
        <f>-R9</f>
        <v>-141250000</v>
      </c>
      <c r="J10" s="170">
        <f>IF(I10="",AR10,I10)</f>
        <v>-141250000</v>
      </c>
      <c r="K10" s="225" t="s">
        <v>9</v>
      </c>
      <c r="L10" s="226" t="s">
        <v>391</v>
      </c>
      <c r="M10" s="225" t="s">
        <v>25</v>
      </c>
      <c r="N10" s="167" t="s">
        <v>371</v>
      </c>
      <c r="O10" s="225" t="s">
        <v>34</v>
      </c>
      <c r="P10" s="225" t="s">
        <v>392</v>
      </c>
      <c r="Q10" s="227"/>
      <c r="R10" s="170">
        <f>IF(Q10="",AS10,Q10)</f>
        <v>12544404.973357016</v>
      </c>
      <c r="S10" s="225" t="s">
        <v>7</v>
      </c>
      <c r="T10" s="226" t="s">
        <v>22</v>
      </c>
      <c r="U10" s="225" t="s">
        <v>22</v>
      </c>
      <c r="V10" s="167" t="s">
        <v>371</v>
      </c>
      <c r="W10" s="230" t="s">
        <v>382</v>
      </c>
      <c r="X10" s="173">
        <f>IF(Y10="",VLOOKUP(H10,CLIENTS!$A$1:$O$649,5,FALSE),Y10)</f>
        <v>0</v>
      </c>
      <c r="Y10" s="234"/>
      <c r="Z10" s="173">
        <f>IF(AA10="",VLOOKUP(P10,CLIENTS!$A$1:$O$649,5,FALSE),AA10)</f>
        <v>0</v>
      </c>
      <c r="AA10" s="234"/>
      <c r="AB10" s="173" t="str">
        <f>IF(W10="via USD",IF(K10="EUR",K10&amp;"USD","USD"&amp;K10),IFERROR(VLOOKUP(K10&amp;S10,'FX RATES'!$H$2:$H$20,1,FALSE),S10&amp;K10))</f>
        <v>CNYRUB</v>
      </c>
      <c r="AC10" s="175">
        <f>IF(LEFT(AB10,3)=RIGHT(AB10,3),0,IFERROR(INDEX(CLIENTS!$A$1:$O$649,MATCH(H10,CLIENTS!$A$1:$A$649,0),MATCH(AB10,CLIENTS!$A$1:$O$1,0)),0))</f>
        <v>0</v>
      </c>
      <c r="AD10" s="176">
        <v>11.26</v>
      </c>
      <c r="AE10" s="177">
        <f>IF(W10="CLIENT","",IF(AD10="",AH10+AC10,AD10+AC10))</f>
        <v>11.26</v>
      </c>
      <c r="AF10" s="177" t="str">
        <f>E10&amp;AB10</f>
        <v>46035CNYRUB</v>
      </c>
      <c r="AG10" s="176">
        <v>11.29</v>
      </c>
      <c r="AH10" s="178">
        <f ca="1">IF(LEFT(AB10,3)=RIGHT(AB10,3),1,VLOOKUP(AB10,'FX RATES'!$H$1:$I$20,2,FALSE))</f>
        <v>11.103899999999999</v>
      </c>
      <c r="AI10" s="178">
        <f>IF(OR(AB10="USDAED",LEFT(AB10,3)=RIGHT(AB10,3)),AH10,IF(LEFT(AB10)="USD",AG10,IF(RIGHT(AB10,3)="USD",1,IFERROR(VLOOKUP(E10&amp;"USD"&amp;RIGHT(AB10,3),$AF:$AG,2,FALSE),VLOOKUP(E10&amp;"USD"&amp;RIGHT(AJ10,3),$AN:$AO,2,FALSE)))))</f>
        <v>78.900000000000006</v>
      </c>
      <c r="AJ10" s="173" t="str">
        <f>IF(W10="via USD",IF(S10="EUR",S10&amp;"USD","USD"&amp;S10),IFERROR(VLOOKUP(K10&amp;S10,'FX RATES'!$H$2:$H$20,1,FALSE),S10&amp;K10))</f>
        <v>CNYRUB</v>
      </c>
      <c r="AK10" s="175">
        <f>IF(LEFT(AJ10,3)=RIGHT(AJ10,3),0,IFERROR(INDEX(CLIENTS!$A$1:$O$649,MATCH(P10,CLIENTS!$A$1:$A$649,0),MATCH(AJ10,CLIENTS!$A$1:$O$1,0)),0))</f>
        <v>0</v>
      </c>
      <c r="AL10" s="176"/>
      <c r="AM10" s="177" t="str">
        <f>IF(W10="VENDOR","",IF(AL10="",AP10+AK10,AL10+AK10))</f>
        <v/>
      </c>
      <c r="AN10" s="177" t="str">
        <f>E10&amp;AJ10</f>
        <v>46035CNYRUB</v>
      </c>
      <c r="AO10" s="176"/>
      <c r="AP10" s="178">
        <f ca="1">IF(LEFT(AJ10,3)=RIGHT(AJ10,3),1,VLOOKUP(AJ10,'FX RATES'!$H$1:$I$20,2,FALSE))</f>
        <v>11.103899999999999</v>
      </c>
      <c r="AQ10" s="178">
        <f>IF(OR(AJ10="USDAED",LEFT(AJ10,3)=RIGHT(AJ10,3)),AP10,IF(LEFT(AJ10)="USD",AO10,IF(RIGHT(AJ10,3)="USD",1,IFERROR(VLOOKUP(E10&amp;"USD"&amp;RIGHT(AJ10,3),$AN:$AO,2,FALSE),VLOOKUP(E10&amp;"USD"&amp;RIGHT(AB10,3),$AF:$AG,2,FALSE)))))</f>
        <v>78.900000000000006</v>
      </c>
      <c r="AR10" s="179">
        <f>-Q10*(1-Z10)/(1+X10)*IF(W10="CLIENT",IF(S10=RIGHT(AJ10,3),1/AM10,AM10),IF(W10="VENDOR",IF(S10=RIGHT(AJ10,3),1/AE10,AE10),AE10^(VLOOKUP(AB10,'FX RATES'!$H$1:$J$26,3,FALSE))/AM10^(VLOOKUP(AJ10,'FX RATES'!$H$1:$J$26,3,FALSE))))</f>
        <v>0</v>
      </c>
      <c r="AS10" s="179">
        <f>-I10*(1+X10)/(1-Z10)*IF(W10="VENDOR",IF(K10=RIGHT(AB10,3),1/AE10,AE10),IF(W10="CLIENT",IF(K10=RIGHT(AB10,3),1/AM10,AM10),AM10^(VLOOKUP(AJ10,'FX RATES'!$H$1:$J$26,3,FALSE))/AE10^(VLOOKUP(AB10,'FX RATES'!$H$1:$J$26,3,FALSE))))</f>
        <v>12544404.973357016</v>
      </c>
      <c r="AT10" s="170">
        <f ca="1">IF(AB10&lt;&gt;AJ10,J10/IF(K10=RIGHT(AB10,3),AE10,1/AE10),IF(S10="USD",J10/IF(K10=RIGHT(AB10,3),IF(W10="CLIENT",AM10,AE10),1/IF(W10="CLIENT",AM10,AE10)),J10*VLOOKUP(K10,'FX RATES'!$E$1:$F$10,2,FALSE)))</f>
        <v>-1841098.5329866202</v>
      </c>
      <c r="AU10" s="170">
        <f ca="1">IF(AB10&lt;&gt;AJ10,R10/IF(S10=RIGHT(AJ10,3),AM10,1/AM10),IF(K10="USD",R10/IF(S10=RIGHT(AJ10,3),IF(W10="CLIENT",AM10,AE10),1/IF(W10="CLIENT",AM10,AE10)),R10*VLOOKUP(S10,'FX RATES'!$E$1:$F$10,2,FALSE)))</f>
        <v>1815924.286820645</v>
      </c>
      <c r="AV10" s="170">
        <f ca="1">AT10+AU10</f>
        <v>-25174.24616597523</v>
      </c>
      <c r="AW10" s="227"/>
      <c r="AX10" s="170">
        <f ca="1">IF(AND(ISERROR(SEARCH("INVOICE",T10)),ISERROR(SEARCH("SWITCH",T10)),ISERROR(SEARCH("FOREX",T10)),ISERROR(SEARCH("REFUND",A10)),ISERROR(SEARCH("CANCELLED",A10))),IF(AW10="",-AT10*X10+AU10*Z10,AW10),0)</f>
        <v>0</v>
      </c>
      <c r="AY10" s="170">
        <f>IF(AZ10="USD",AT10,IF(AZ10=K10,J10,-R10))</f>
        <v>-12544404.973357016</v>
      </c>
      <c r="AZ10" s="170" t="str">
        <f>LEFT(AB10,3)</f>
        <v>CNY</v>
      </c>
      <c r="BA10" s="542">
        <f>IF(OR(A10="REFUND",A10="CANCELLED"),0,IFERROR((IF(OR(AB10="USDAED",LEFT(AB10,3)=RIGHT(AB10,3)),AI10,AG10)-AE10)*-AY10*VLOOKUP(AB10,'FX RATES'!$H$1:$J$26,3,FALSE),0))</f>
        <v>376332.14920070249</v>
      </c>
      <c r="BB10" s="170" t="str">
        <f>RIGHT(AB10,3)</f>
        <v>RUB</v>
      </c>
      <c r="BC10" s="542">
        <f>IF(BA10=0,0,IFERROR(BA10/IF(BB10&lt;&gt;"USD",AI10,1),"???"))</f>
        <v>4769.735731314353</v>
      </c>
      <c r="BD10" s="170">
        <f>IFERROR(-AC10/(IF(OR(AB10="USDAED",LEFT(AB10,3)=RIGHT(AB10,3)),AH10,AG10)-AE10)*BC10,0)</f>
        <v>0</v>
      </c>
      <c r="BE10" s="542">
        <f>BC10-BD10</f>
        <v>4769.735731314353</v>
      </c>
      <c r="BF10" s="170">
        <f>IF(BG10="USD",AU10,IF(BG10=S10,R10,-J10))</f>
        <v>12544404.973357016</v>
      </c>
      <c r="BG10" s="170" t="str">
        <f>LEFT(AJ10,3)</f>
        <v>CNY</v>
      </c>
      <c r="BH10" s="542">
        <f>IF(OR(A10="REFUND",A10="CANCELLED"),0,IFERROR((IF(OR(AJ10="USDAED",LEFT(AJ10,3)=RIGHT(AJ10,3)),AQ10,AO10)-AM10)*-BF10*VLOOKUP(AJ10,'FX RATES'!$H$1:$J$26,3,FALSE),0))</f>
        <v>0</v>
      </c>
      <c r="BI10" s="170" t="str">
        <f>RIGHT(AJ10,3)</f>
        <v>RUB</v>
      </c>
      <c r="BJ10" s="542">
        <f>IF(BH10=0,0,IFERROR(BH10/IF(BI10&lt;&gt;"USD",AQ10,1),"???"))</f>
        <v>0</v>
      </c>
      <c r="BK10" s="170">
        <f>IFERROR(-AK10/(IF(OR(AJ10="USDAED",LEFT(AJ10,3)=RIGHT(AJ10,3)),AP10,AO10)-AM10)*BJ10,0)</f>
        <v>0</v>
      </c>
      <c r="BL10" s="542">
        <f>BJ10-BK10</f>
        <v>0</v>
      </c>
      <c r="BM10" s="170">
        <f>IF(AND(ISERROR(SEARCH("REFUND",A10)),ISERROR(SEARCH("CANCELLED",A10))),BD10+BK10,0)</f>
        <v>0</v>
      </c>
      <c r="BN10" s="542">
        <f>IF(AND(ISERROR(SEARCH("REFUND",A10)),ISERROR(SEARCH("CANCELLED",A10))),BE10+BL10,0)</f>
        <v>4769.735731314353</v>
      </c>
    </row>
    <row r="12" spans="1:66" ht="19.5" customHeight="1">
      <c r="A12" s="167" t="s">
        <v>366</v>
      </c>
      <c r="B12" s="168" t="s">
        <v>27</v>
      </c>
      <c r="C12" s="168" t="s">
        <v>367</v>
      </c>
      <c r="D12" s="168" t="s">
        <v>368</v>
      </c>
      <c r="E12" s="171">
        <v>46035</v>
      </c>
      <c r="F12" s="171"/>
      <c r="G12" s="168" t="s">
        <v>27</v>
      </c>
      <c r="H12" s="168" t="s">
        <v>393</v>
      </c>
      <c r="I12" s="169"/>
      <c r="J12" s="170">
        <f>IF(I12="",AR12,I12)</f>
        <v>-65355.612262902112</v>
      </c>
      <c r="K12" s="168" t="s">
        <v>5</v>
      </c>
      <c r="L12" s="171" t="s">
        <v>378</v>
      </c>
      <c r="M12" s="168" t="s">
        <v>28</v>
      </c>
      <c r="N12" s="167" t="s">
        <v>371</v>
      </c>
      <c r="O12" s="168" t="s">
        <v>52</v>
      </c>
      <c r="P12" s="168" t="s">
        <v>394</v>
      </c>
      <c r="Q12" s="169">
        <v>5185753.93</v>
      </c>
      <c r="R12" s="170">
        <f>IF(Q12="",AS12,Q12)</f>
        <v>5185753.93</v>
      </c>
      <c r="S12" s="168" t="s">
        <v>9</v>
      </c>
      <c r="T12" s="171" t="s">
        <v>25</v>
      </c>
      <c r="U12" s="168" t="s">
        <v>25</v>
      </c>
      <c r="V12" s="167" t="s">
        <v>371</v>
      </c>
      <c r="W12" s="172" t="s">
        <v>389</v>
      </c>
      <c r="X12" s="173">
        <f>IF(Y12="",VLOOKUP(H12,CLIENTS!$A$1:$O$649,5,FALSE),Y12)</f>
        <v>0</v>
      </c>
      <c r="Y12" s="174">
        <v>0</v>
      </c>
      <c r="Z12" s="173">
        <f>IF(AA12="",VLOOKUP(P12,CLIENTS!$A$1:$O$649,5,FALSE),AA12)</f>
        <v>7.0000000000000001E-3</v>
      </c>
      <c r="AA12" s="174">
        <v>7.0000000000000001E-3</v>
      </c>
      <c r="AB12" s="173" t="str">
        <f>IF(W12="via USD",IF(K12="EUR",K12&amp;"USD","USD"&amp;K12),IFERROR(VLOOKUP(K12&amp;S12,'FX RATES'!$H$2:$H$20,1,FALSE),S12&amp;K12))</f>
        <v>USDRUB</v>
      </c>
      <c r="AC12" s="175">
        <f>IF(LEFT(AB12,3)=RIGHT(AB12,3),0,IFERROR(INDEX(CLIENTS!$A$1:$O$649,MATCH(H12,CLIENTS!$A$1:$A$649,0),MATCH(AB12,CLIENTS!$A$1:$O$1,0)),0))</f>
        <v>0</v>
      </c>
      <c r="AD12" s="176"/>
      <c r="AE12" s="177" t="str">
        <f>IF(W12="CLIENT","",IF(AD12="",AH12+AC12,AD12+AC12))</f>
        <v/>
      </c>
      <c r="AF12" s="177" t="str">
        <f>E12&amp;AB12</f>
        <v>46035USDRUB</v>
      </c>
      <c r="AG12" s="176">
        <v>78.900000000000006</v>
      </c>
      <c r="AH12" s="178">
        <f ca="1">IF(LEFT(AB12,3)=RIGHT(AB12,3),1,VLOOKUP(AB12,'FX RATES'!$H$1:$I$20,2,FALSE))</f>
        <v>76.720500000000001</v>
      </c>
      <c r="AI12" s="178">
        <f>IF(OR(AB12="USDAED",LEFT(AB12,3)=RIGHT(AB12,3)),AH12,IF(LEFT(AB12)="USD",AG12,IF(RIGHT(AB12,3)="USD",1,IFERROR(VLOOKUP(E12&amp;"USD"&amp;RIGHT(AB12,3),$AF:$AG,2,FALSE),VLOOKUP(E12&amp;"USD"&amp;RIGHT(AJ12,3),$AN:$AO,2,FALSE)))))</f>
        <v>78.900000000000006</v>
      </c>
      <c r="AJ12" s="173" t="str">
        <f>IF(W12="via USD",IF(S12="EUR",S12&amp;"USD","USD"&amp;S12),IFERROR(VLOOKUP(K12&amp;S12,'FX RATES'!$H$2:$H$20,1,FALSE),S12&amp;K12))</f>
        <v>USDRUB</v>
      </c>
      <c r="AK12" s="175">
        <f>IF(LEFT(AJ12,3)=RIGHT(AJ12,3),0,IFERROR(INDEX(CLIENTS!$A$1:$O$649,MATCH(P12,CLIENTS!$A$1:$A$649,0),MATCH(AJ12,CLIENTS!$A$1:$O$1,0)),0))</f>
        <v>0</v>
      </c>
      <c r="AL12" s="176">
        <v>78.791300000000007</v>
      </c>
      <c r="AM12" s="177">
        <f>IF(W12="VENDOR","",IF(AL12="",AP12+AK12,AL12+AK12))</f>
        <v>78.791300000000007</v>
      </c>
      <c r="AN12" s="177" t="str">
        <f>E12&amp;AJ12</f>
        <v>46035USDRUB</v>
      </c>
      <c r="AO12" s="176">
        <v>78.900000000000006</v>
      </c>
      <c r="AP12" s="178">
        <f ca="1">IF(LEFT(AJ12,3)=RIGHT(AJ12,3),1,VLOOKUP(AJ12,'FX RATES'!$H$1:$I$20,2,FALSE))</f>
        <v>76.720500000000001</v>
      </c>
      <c r="AQ12" s="178">
        <f>IF(OR(AJ12="USDAED",LEFT(AJ12,3)=RIGHT(AJ12,3)),AP12,IF(LEFT(AJ12)="USD",AO12,IF(RIGHT(AJ12,3)="USD",1,IFERROR(VLOOKUP(E12&amp;"USD"&amp;RIGHT(AJ12,3),$AN:$AO,2,FALSE),VLOOKUP(E12&amp;"USD"&amp;RIGHT(AB12,3),$AF:$AG,2,FALSE)))))</f>
        <v>78.900000000000006</v>
      </c>
      <c r="AR12" s="179">
        <f>-Q12*(1-Z12)/(1+X12)*IF(W12="CLIENT",IF(S12=RIGHT(AJ12,3),1/AM12,AM12),IF(W12="VENDOR",IF(S12=RIGHT(AJ12,3),1/AE12,AE12),AE12^(VLOOKUP(AB12,'FX RATES'!$H$1:$J$26,3,FALSE))/AM12^(VLOOKUP(AJ12,'FX RATES'!$H$1:$J$26,3,FALSE))))</f>
        <v>-65355.612262902112</v>
      </c>
      <c r="AS12" s="179">
        <f>-I12*(1+X12)/(1-Z12)*IF(W12="VENDOR",IF(K12=RIGHT(AB12,3),1/AE12,AE12),IF(W12="CLIENT",IF(K12=RIGHT(AB12,3),1/AM12,AM12),AM12^(VLOOKUP(AJ12,'FX RATES'!$H$1:$J$26,3,FALSE))/AE12^(VLOOKUP(AB12,'FX RATES'!$H$1:$J$26,3,FALSE))))</f>
        <v>0</v>
      </c>
      <c r="AT12" s="170">
        <f>IF(AB12&lt;&gt;AJ12,J12/IF(K12=RIGHT(AB12,3),AE12,1/AE12),IF(S12="USD",J12/IF(K12=RIGHT(AB12,3),IF(W12="CLIENT",AM12,AE12),1/IF(W12="CLIENT",AM12,AE12)),J12*VLOOKUP(K12,'FX RATES'!$E$1:$F$10,2,FALSE)))</f>
        <v>-65355.612262902112</v>
      </c>
      <c r="AU12" s="170">
        <f>IF(AB12&lt;&gt;AJ12,R12/IF(S12=RIGHT(AJ12,3),AM12,1/AM12),IF(K12="USD",R12/IF(S12=RIGHT(AJ12,3),IF(W12="CLIENT",AM12,AE12),1/IF(W12="CLIENT",AM12,AE12)),R12*VLOOKUP(S12,'FX RATES'!$E$1:$F$10,2,FALSE)))</f>
        <v>65816.326548743309</v>
      </c>
      <c r="AV12" s="170">
        <f>AT12+AU12</f>
        <v>460.71428584119712</v>
      </c>
      <c r="AW12" s="169"/>
      <c r="AX12" s="170">
        <f>IF(AND(ISERROR(SEARCH("INVOICE",T12)),ISERROR(SEARCH("SWITCH",T12)),ISERROR(SEARCH("FOREX",T12)),ISERROR(SEARCH("REFUND",A12)),ISERROR(SEARCH("CANCELLED",A12))),IF(AW12="",-AT12*X12+AU12*Z12,AW12),0)</f>
        <v>460.71428584120315</v>
      </c>
      <c r="AY12" s="170">
        <f>IF(AZ12="USD",AT12,IF(AZ12=K12,J12,-R12))</f>
        <v>-65355.612262902112</v>
      </c>
      <c r="AZ12" s="170" t="str">
        <f>LEFT(AB12,3)</f>
        <v>USD</v>
      </c>
      <c r="BA12" s="542">
        <f>IF(OR(A12="REFUND",A12="CANCELLED"),0,IFERROR((IF(OR(AB12="USDAED",LEFT(AB12,3)=RIGHT(AB12,3)),AI12,AG12)-AE12)*-AY12*VLOOKUP(AB12,'FX RATES'!$H$1:$J$26,3,FALSE),0))</f>
        <v>0</v>
      </c>
      <c r="BB12" s="170" t="str">
        <f>RIGHT(AB12,3)</f>
        <v>RUB</v>
      </c>
      <c r="BC12" s="542">
        <f>IF(BA12=0,0,IFERROR(BA12/IF(BB12&lt;&gt;"USD",AI12,1),"???"))</f>
        <v>0</v>
      </c>
      <c r="BD12" s="170">
        <f>IFERROR(-AC12/(IF(OR(AB12="USDAED",LEFT(AB12,3)=RIGHT(AB12,3)),AH12,AG12)-AE12)*BC12,0)</f>
        <v>0</v>
      </c>
      <c r="BE12" s="542">
        <f>BC12-BD12</f>
        <v>0</v>
      </c>
      <c r="BF12" s="170">
        <f>IF(BG12="USD",AU12,IF(BG12=S12,R12,-J12))</f>
        <v>65816.326548743309</v>
      </c>
      <c r="BG12" s="170" t="str">
        <f>LEFT(AJ12,3)</f>
        <v>USD</v>
      </c>
      <c r="BH12" s="542">
        <f>IF(OR(A12="REFUND",A12="CANCELLED"),0,IFERROR((IF(OR(AJ12="USDAED",LEFT(AJ12,3)=RIGHT(AJ12,3)),AQ12,AO12)-AM12)*-BF12*VLOOKUP(AJ12,'FX RATES'!$H$1:$J$26,3,FALSE),0))</f>
        <v>-7154.2346958483258</v>
      </c>
      <c r="BI12" s="170" t="str">
        <f>RIGHT(AJ12,3)</f>
        <v>RUB</v>
      </c>
      <c r="BJ12" s="542">
        <f>IF(BH12=0,0,IFERROR(BH12/IF(BI12&lt;&gt;"USD",AQ12,1),"???"))</f>
        <v>-90.674710973996525</v>
      </c>
      <c r="BK12" s="170">
        <f>IFERROR(-AK12/(IF(OR(AJ12="USDAED",LEFT(AJ12,3)=RIGHT(AJ12,3)),AP12,AO12)-AM12)*BJ12,0)</f>
        <v>0</v>
      </c>
      <c r="BL12" s="542">
        <f>BJ12-BK12</f>
        <v>-90.674710973996525</v>
      </c>
      <c r="BM12" s="170">
        <f>IF(AND(ISERROR(SEARCH("REFUND",A12)),ISERROR(SEARCH("CANCELLED",A12))),BD12+BK12,0)</f>
        <v>0</v>
      </c>
      <c r="BN12" s="542">
        <f>IF(AND(ISERROR(SEARCH("REFUND",A12)),ISERROR(SEARCH("CANCELLED",A12))),BE12+BL12,0)</f>
        <v>-90.674710973996525</v>
      </c>
    </row>
    <row r="13" spans="1:66" ht="19.5" customHeight="1">
      <c r="A13" s="167" t="s">
        <v>366</v>
      </c>
      <c r="B13" s="168" t="s">
        <v>39</v>
      </c>
      <c r="C13" s="168" t="s">
        <v>367</v>
      </c>
      <c r="D13" s="168" t="s">
        <v>368</v>
      </c>
      <c r="E13" s="171">
        <v>46035</v>
      </c>
      <c r="F13" s="171"/>
      <c r="G13" s="168" t="s">
        <v>39</v>
      </c>
      <c r="H13" s="168" t="s">
        <v>395</v>
      </c>
      <c r="I13" s="169">
        <v>-198629.32</v>
      </c>
      <c r="J13" s="170">
        <f>IF(I13="",AR13,I13)</f>
        <v>-198629.32</v>
      </c>
      <c r="K13" s="168" t="s">
        <v>8</v>
      </c>
      <c r="L13" s="171" t="s">
        <v>16</v>
      </c>
      <c r="M13" s="168" t="s">
        <v>14</v>
      </c>
      <c r="N13" s="167" t="s">
        <v>371</v>
      </c>
      <c r="O13" s="168" t="s">
        <v>39</v>
      </c>
      <c r="P13" s="168" t="s">
        <v>396</v>
      </c>
      <c r="Q13" s="169"/>
      <c r="R13" s="170">
        <f>IF(Q13="",AS13,Q13)</f>
        <v>4303104.6010596734</v>
      </c>
      <c r="S13" s="168" t="s">
        <v>9</v>
      </c>
      <c r="T13" s="171" t="s">
        <v>25</v>
      </c>
      <c r="U13" s="168" t="s">
        <v>25</v>
      </c>
      <c r="V13" s="167" t="s">
        <v>371</v>
      </c>
      <c r="W13" s="172" t="s">
        <v>375</v>
      </c>
      <c r="X13" s="173">
        <f>IF(Y13="",VLOOKUP(H13,CLIENTS!$A$1:$O$649,5,FALSE),Y13)</f>
        <v>0</v>
      </c>
      <c r="Y13" s="174">
        <v>0</v>
      </c>
      <c r="Z13" s="173">
        <f>IF(AA13="",VLOOKUP(P13,CLIENTS!$A$1:$O$649,5,FALSE),AA13)</f>
        <v>8.9999999999999993E-3</v>
      </c>
      <c r="AA13" s="174">
        <v>8.9999999999999993E-3</v>
      </c>
      <c r="AB13" s="173" t="str">
        <f>IF(W13="via USD",IF(K13="EUR",K13&amp;"USD","USD"&amp;K13),IFERROR(VLOOKUP(K13&amp;S13,'FX RATES'!$H$2:$H$20,1,FALSE),S13&amp;K13))</f>
        <v>USDAED</v>
      </c>
      <c r="AC13" s="175">
        <f>IF(LEFT(AB13,3)=RIGHT(AB13,3),0,IFERROR(INDEX(CLIENTS!$A$1:$O$649,MATCH(H13,CLIENTS!$A$1:$A$649,0),MATCH(AB13,CLIENTS!$A$1:$O$1,0)),0))</f>
        <v>-2.5000000000000001E-3</v>
      </c>
      <c r="AD13" s="176"/>
      <c r="AE13" s="177">
        <f>IF(W13="CLIENT","",IF(AD13="",AH13+AC13,AD13+AC13))</f>
        <v>3.67</v>
      </c>
      <c r="AF13" s="177" t="str">
        <f>E13&amp;AB13</f>
        <v>46035USDAED</v>
      </c>
      <c r="AG13" s="176"/>
      <c r="AH13" s="178">
        <f>IF(LEFT(AB13,3)=RIGHT(AB13,3),1,VLOOKUP(AB13,'FX RATES'!$H$1:$I$20,2,FALSE))</f>
        <v>3.6724999999999999</v>
      </c>
      <c r="AI13" s="178">
        <f>IF(OR(AB13="USDAED",LEFT(AB13,3)=RIGHT(AB13,3)),AH13,IF(LEFT(AB13)="USD",AG13,IF(RIGHT(AB13,3)="USD",1,IFERROR(VLOOKUP(E13&amp;"USD"&amp;RIGHT(AB13,3),$AF:$AG,2,FALSE),VLOOKUP(E13&amp;"USD"&amp;RIGHT(AJ13,3),$AN:$AO,2,FALSE)))))</f>
        <v>3.6724999999999999</v>
      </c>
      <c r="AJ13" s="173" t="str">
        <f>IF(W13="via USD",IF(S13="EUR",S13&amp;"USD","USD"&amp;S13),IFERROR(VLOOKUP(K13&amp;S13,'FX RATES'!$H$2:$H$20,1,FALSE),S13&amp;K13))</f>
        <v>USDRUB</v>
      </c>
      <c r="AK13" s="175">
        <f>IF(LEFT(AJ13,3)=RIGHT(AJ13,3),0,IFERROR(INDEX(CLIENTS!$A$1:$O$649,MATCH(P13,CLIENTS!$A$1:$A$649,0),MATCH(AJ13,CLIENTS!$A$1:$O$1,0)),0))</f>
        <v>0</v>
      </c>
      <c r="AL13" s="176">
        <v>78.791300000000007</v>
      </c>
      <c r="AM13" s="177">
        <f>IF(W13="VENDOR","",IF(AL13="",AP13+AK13,AL13+AK13))</f>
        <v>78.791300000000007</v>
      </c>
      <c r="AN13" s="177" t="str">
        <f>E13&amp;AJ13</f>
        <v>46035USDRUB</v>
      </c>
      <c r="AO13" s="176">
        <v>78.900000000000006</v>
      </c>
      <c r="AP13" s="178">
        <f ca="1">IF(LEFT(AJ13,3)=RIGHT(AJ13,3),1,VLOOKUP(AJ13,'FX RATES'!$H$1:$I$20,2,FALSE))</f>
        <v>76.720500000000001</v>
      </c>
      <c r="AQ13" s="178">
        <f>IF(OR(AJ13="USDAED",LEFT(AJ13,3)=RIGHT(AJ13,3)),AP13,IF(LEFT(AJ13)="USD",AO13,IF(RIGHT(AJ13,3)="USD",1,IFERROR(VLOOKUP(E13&amp;"USD"&amp;RIGHT(AJ13,3),$AN:$AO,2,FALSE),VLOOKUP(E13&amp;"USD"&amp;RIGHT(AB13,3),$AF:$AG,2,FALSE)))))</f>
        <v>78.900000000000006</v>
      </c>
      <c r="AR13" s="179">
        <f>-Q13*(1-Z13)/(1+X13)*IF(W13="CLIENT",IF(S13=RIGHT(AJ13,3),1/AM13,AM13),IF(W13="VENDOR",IF(S13=RIGHT(AJ13,3),1/AE13,AE13),AE13^(VLOOKUP(AB13,'FX RATES'!$H$1:$J$26,3,FALSE))/AM13^(VLOOKUP(AJ13,'FX RATES'!$H$1:$J$26,3,FALSE))))</f>
        <v>0</v>
      </c>
      <c r="AS13" s="179">
        <f>-I13*(1+X13)/(1-Z13)*IF(W13="VENDOR",IF(K13=RIGHT(AB13,3),1/AE13,AE13),IF(W13="CLIENT",IF(K13=RIGHT(AB13,3),1/AM13,AM13),AM13^(VLOOKUP(AJ13,'FX RATES'!$H$1:$J$26,3,FALSE))/AE13^(VLOOKUP(AB13,'FX RATES'!$H$1:$J$26,3,FALSE))))</f>
        <v>4303104.6010596734</v>
      </c>
      <c r="AT13" s="170">
        <f>IF(AB13&lt;&gt;AJ13,J13/IF(K13=RIGHT(AB13,3),AE13,1/AE13),IF(S13="USD",J13/IF(K13=RIGHT(AB13,3),IF(W13="CLIENT",AM13,AE13),1/IF(W13="CLIENT",AM13,AE13)),J13*VLOOKUP(K13,'FX RATES'!$E$1:$F$10,2,FALSE)))</f>
        <v>-54122.430517711175</v>
      </c>
      <c r="AU13" s="170">
        <f>IF(AB13&lt;&gt;AJ13,R13/IF(S13=RIGHT(AJ13,3),AM13,1/AM13),IF(K13="USD",R13/IF(S13=RIGHT(AJ13,3),IF(W13="CLIENT",AM13,AE13),1/IF(W13="CLIENT",AM13,AE13)),R13*VLOOKUP(S13,'FX RATES'!$E$1:$F$10,2,FALSE)))</f>
        <v>54613.956122816518</v>
      </c>
      <c r="AV13" s="170">
        <f>AT13+AU13</f>
        <v>491.52560510534386</v>
      </c>
      <c r="AW13" s="169"/>
      <c r="AX13" s="170">
        <f>IF(AND(ISERROR(SEARCH("INVOICE",T13)),ISERROR(SEARCH("SWITCH",T13)),ISERROR(SEARCH("FOREX",T13)),ISERROR(SEARCH("REFUND",A13)),ISERROR(SEARCH("CANCELLED",A13))),IF(AW13="",-AT13*X13+AU13*Z13,AW13),0)</f>
        <v>491.52560510534863</v>
      </c>
      <c r="AY13" s="170">
        <f>IF(AZ13="USD",AT13,IF(AZ13=K13,J13,-R13))</f>
        <v>-54122.430517711175</v>
      </c>
      <c r="AZ13" s="170" t="str">
        <f>LEFT(AB13,3)</f>
        <v>USD</v>
      </c>
      <c r="BA13" s="542">
        <f>IF(OR(A13="REFUND",A13="CANCELLED"),0,IFERROR((IF(OR(AB13="USDAED",LEFT(AB13,3)=RIGHT(AB13,3)),AI13,AG13)-AE13)*-AY13*VLOOKUP(AB13,'FX RATES'!$H$1:$J$26,3,FALSE),0))</f>
        <v>135.30607629427504</v>
      </c>
      <c r="BB13" s="170" t="str">
        <f>RIGHT(AB13,3)</f>
        <v>AED</v>
      </c>
      <c r="BC13" s="542">
        <f>IF(BA13=0,0,IFERROR(BA13/IF(BB13&lt;&gt;"USD",AI13,1),"???"))</f>
        <v>36.843043238740655</v>
      </c>
      <c r="BD13" s="170">
        <f>IFERROR(-AC13/(IF(OR(AB13="USDAED",LEFT(AB13,3)=RIGHT(AB13,3)),AH13,AG13)-AE13)*BC13,0)</f>
        <v>36.843043238741444</v>
      </c>
      <c r="BE13" s="542">
        <f>BC13-BD13</f>
        <v>-7.8870243669371121E-13</v>
      </c>
      <c r="BF13" s="170">
        <f>IF(BG13="USD",AU13,IF(BG13=S13,R13,-J13))</f>
        <v>54613.956122816518</v>
      </c>
      <c r="BG13" s="170" t="str">
        <f>LEFT(AJ13,3)</f>
        <v>USD</v>
      </c>
      <c r="BH13" s="542">
        <f>IF(OR(A13="REFUND",A13="CANCELLED"),0,IFERROR((IF(OR(AJ13="USDAED",LEFT(AJ13,3)=RIGHT(AJ13,3)),AQ13,AO13)-AM13)*-BF13*VLOOKUP(AJ13,'FX RATES'!$H$1:$J$26,3,FALSE),0))</f>
        <v>-5936.5370305500956</v>
      </c>
      <c r="BI13" s="170" t="str">
        <f>RIGHT(AJ13,3)</f>
        <v>RUB</v>
      </c>
      <c r="BJ13" s="542">
        <f>IF(BH13=0,0,IFERROR(BH13/IF(BI13&lt;&gt;"USD",AQ13,1),"???"))</f>
        <v>-75.241280488594356</v>
      </c>
      <c r="BK13" s="170">
        <f>IFERROR(-AK13/(IF(OR(AJ13="USDAED",LEFT(AJ13,3)=RIGHT(AJ13,3)),AP13,AO13)-AM13)*BJ13,0)</f>
        <v>0</v>
      </c>
      <c r="BL13" s="542">
        <f>BJ13-BK13</f>
        <v>-75.241280488594356</v>
      </c>
      <c r="BM13" s="170">
        <f>IF(AND(ISERROR(SEARCH("REFUND",A13)),ISERROR(SEARCH("CANCELLED",A13))),BD13+BK13,0)</f>
        <v>36.843043238741444</v>
      </c>
      <c r="BN13" s="542">
        <f>IF(AND(ISERROR(SEARCH("REFUND",A13)),ISERROR(SEARCH("CANCELLED",A13))),BE13+BL13,0)</f>
        <v>-75.241280488595152</v>
      </c>
    </row>
    <row r="14" spans="1:66" ht="19.5" customHeight="1">
      <c r="A14" s="167" t="s">
        <v>366</v>
      </c>
      <c r="B14" s="168" t="s">
        <v>52</v>
      </c>
      <c r="C14" s="168" t="s">
        <v>381</v>
      </c>
      <c r="D14" s="168" t="s">
        <v>128</v>
      </c>
      <c r="E14" s="171">
        <v>46035</v>
      </c>
      <c r="F14" s="171"/>
      <c r="G14" s="168" t="s">
        <v>52</v>
      </c>
      <c r="H14" s="181" t="s">
        <v>52</v>
      </c>
      <c r="I14" s="169">
        <f>-(R12)</f>
        <v>-5185753.93</v>
      </c>
      <c r="J14" s="170">
        <f>IF(I14="",AR14,I14)</f>
        <v>-5185753.93</v>
      </c>
      <c r="K14" s="168" t="s">
        <v>9</v>
      </c>
      <c r="L14" s="171" t="s">
        <v>25</v>
      </c>
      <c r="M14" s="168" t="s">
        <v>25</v>
      </c>
      <c r="N14" s="167" t="s">
        <v>371</v>
      </c>
      <c r="O14" s="168" t="s">
        <v>52</v>
      </c>
      <c r="P14" s="168" t="s">
        <v>52</v>
      </c>
      <c r="Q14" s="169"/>
      <c r="R14" s="170">
        <f>IF(Q14="",AS14,Q14)</f>
        <v>5185753.93</v>
      </c>
      <c r="S14" s="168" t="s">
        <v>9</v>
      </c>
      <c r="T14" s="171" t="s">
        <v>25</v>
      </c>
      <c r="U14" s="168" t="s">
        <v>25</v>
      </c>
      <c r="V14" s="167" t="s">
        <v>371</v>
      </c>
      <c r="W14" s="172" t="s">
        <v>382</v>
      </c>
      <c r="X14" s="173">
        <f>IF(Y14="",VLOOKUP(H14,CLIENTS!$A$1:$O$649,5,FALSE),Y14)</f>
        <v>0</v>
      </c>
      <c r="Y14" s="174"/>
      <c r="Z14" s="173">
        <f>IF(AA14="",VLOOKUP(P14,CLIENTS!$A$1:$O$649,5,FALSE),AA14)</f>
        <v>0</v>
      </c>
      <c r="AA14" s="174"/>
      <c r="AB14" s="173" t="str">
        <f>IF(W14="via USD",IF(K14="EUR",K14&amp;"USD","USD"&amp;K14),IFERROR(VLOOKUP(K14&amp;S14,'FX RATES'!$H$2:$H$20,1,FALSE),S14&amp;K14))</f>
        <v>RUBRUB</v>
      </c>
      <c r="AC14" s="175">
        <f>IF(LEFT(AB14,3)=RIGHT(AB14,3),0,IFERROR(INDEX(CLIENTS!$A$1:$O$649,MATCH(H14,CLIENTS!$A$1:$A$649,0),MATCH(AB14,CLIENTS!$A$1:$O$1,0)),0))</f>
        <v>0</v>
      </c>
      <c r="AD14" s="176"/>
      <c r="AE14" s="177">
        <f>IF(W14="CLIENT","",IF(AD14="",AH14+AC14,AD14+AC14))</f>
        <v>1</v>
      </c>
      <c r="AF14" s="177" t="str">
        <f>E14&amp;AB14</f>
        <v>46035RUBRUB</v>
      </c>
      <c r="AG14" s="176"/>
      <c r="AH14" s="178">
        <f>IF(LEFT(AB14,3)=RIGHT(AB14,3),1,VLOOKUP(AB14,'FX RATES'!$H$1:$I$20,2,FALSE))</f>
        <v>1</v>
      </c>
      <c r="AI14" s="178">
        <f>IF(OR(AB14="USDAED",LEFT(AB14,3)=RIGHT(AB14,3)),AH14,IF(LEFT(AB14)="USD",AG14,IF(RIGHT(AB14,3)="USD",1,IFERROR(VLOOKUP(E14&amp;"USD"&amp;RIGHT(AB14,3),$AF:$AG,2,FALSE),VLOOKUP(E14&amp;"USD"&amp;RIGHT(AJ14,3),$AN:$AO,2,FALSE)))))</f>
        <v>1</v>
      </c>
      <c r="AJ14" s="173" t="str">
        <f>IF(W14="via USD",IF(S14="EUR",S14&amp;"USD","USD"&amp;S14),IFERROR(VLOOKUP(K14&amp;S14,'FX RATES'!$H$2:$H$20,1,FALSE),S14&amp;K14))</f>
        <v>RUBRUB</v>
      </c>
      <c r="AK14" s="175">
        <f>IF(LEFT(AJ14,3)=RIGHT(AJ14,3),0,IFERROR(INDEX(CLIENTS!$A$1:$O$649,MATCH(P14,CLIENTS!$A$1:$A$649,0),MATCH(AJ14,CLIENTS!$A$1:$O$1,0)),0))</f>
        <v>0</v>
      </c>
      <c r="AL14" s="176"/>
      <c r="AM14" s="177" t="str">
        <f>IF(W14="VENDOR","",IF(AL14="",AP14+AK14,AL14+AK14))</f>
        <v/>
      </c>
      <c r="AN14" s="177" t="str">
        <f>E14&amp;AJ14</f>
        <v>46035RUBRUB</v>
      </c>
      <c r="AO14" s="176"/>
      <c r="AP14" s="178">
        <f>IF(LEFT(AJ14,3)=RIGHT(AJ14,3),1,VLOOKUP(AJ14,'FX RATES'!$H$1:$I$20,2,FALSE))</f>
        <v>1</v>
      </c>
      <c r="AQ14" s="178">
        <f>IF(OR(AJ14="USDAED",LEFT(AJ14,3)=RIGHT(AJ14,3)),AP14,IF(LEFT(AJ14)="USD",AO14,IF(RIGHT(AJ14,3)="USD",1,IFERROR(VLOOKUP(E14&amp;"USD"&amp;RIGHT(AJ14,3),$AN:$AO,2,FALSE),VLOOKUP(E14&amp;"USD"&amp;RIGHT(AB14,3),$AF:$AG,2,FALSE)))))</f>
        <v>1</v>
      </c>
      <c r="AR14" s="179">
        <f>-Q14*(1-Z14)/(1+X14)*IF(W14="CLIENT",IF(S14=RIGHT(AJ14,3),1/AM14,AM14),IF(W14="VENDOR",IF(S14=RIGHT(AJ14,3),1/AE14,AE14),AE14^(VLOOKUP(AB14,'FX RATES'!$H$1:$J$26,3,FALSE))/AM14^(VLOOKUP(AJ14,'FX RATES'!$H$1:$J$26,3,FALSE))))</f>
        <v>0</v>
      </c>
      <c r="AS14" s="179">
        <f>-I14*(1+X14)/(1-Z14)*IF(W14="VENDOR",IF(K14=RIGHT(AB14,3),1/AE14,AE14),IF(W14="CLIENT",IF(K14=RIGHT(AB14,3),1/AM14,AM14),AM14^(VLOOKUP(AJ14,'FX RATES'!$H$1:$J$26,3,FALSE))/AE14^(VLOOKUP(AB14,'FX RATES'!$H$1:$J$26,3,FALSE))))</f>
        <v>5185753.93</v>
      </c>
      <c r="AT14" s="170">
        <f ca="1">IF(AB14&lt;&gt;AJ14,J14/IF(K14=RIGHT(AB14,3),AE14,1/AE14),IF(S14="USD",J14/IF(K14=RIGHT(AB14,3),IF(W14="CLIENT",AM14,AE14),1/IF(W14="CLIENT",AM14,AE14)),J14*VLOOKUP(K14,'FX RATES'!$E$1:$F$10,2,FALSE)))</f>
        <v>-67592.806746567076</v>
      </c>
      <c r="AU14" s="170">
        <f ca="1">IF(AB14&lt;&gt;AJ14,R14/IF(S14=RIGHT(AJ14,3),AM14,1/AM14),IF(K14="USD",R14/IF(S14=RIGHT(AJ14,3),IF(W14="CLIENT",AM14,AE14),1/IF(W14="CLIENT",AM14,AE14)),R14*VLOOKUP(S14,'FX RATES'!$E$1:$F$10,2,FALSE)))</f>
        <v>67592.806746567076</v>
      </c>
      <c r="AV14" s="170">
        <f ca="1">AT14+AU14</f>
        <v>0</v>
      </c>
      <c r="AW14" s="169"/>
      <c r="AX14" s="170">
        <f ca="1">IF(AND(ISERROR(SEARCH("INVOICE",T14)),ISERROR(SEARCH("SWITCH",T14)),ISERROR(SEARCH("FOREX",T14)),ISERROR(SEARCH("REFUND",A14)),ISERROR(SEARCH("CANCELLED",A14))),IF(AW14="",-AT14*X14+AU14*Z14,AW14),0)</f>
        <v>0</v>
      </c>
      <c r="AY14" s="170">
        <f>IF(AZ14="USD",AT14,IF(AZ14=K14,J14,-R14))</f>
        <v>-5185753.93</v>
      </c>
      <c r="AZ14" s="170" t="str">
        <f>LEFT(AB14,3)</f>
        <v>RUB</v>
      </c>
      <c r="BA14" s="542">
        <f>IF(OR(A14="REFUND",A14="CANCELLED"),0,IFERROR((IF(OR(AB14="USDAED",LEFT(AB14,3)=RIGHT(AB14,3)),AI14,AG14)-AE14)*-AY14*VLOOKUP(AB14,'FX RATES'!$H$1:$J$26,3,FALSE),0))</f>
        <v>0</v>
      </c>
      <c r="BB14" s="170" t="str">
        <f>RIGHT(AB14,3)</f>
        <v>RUB</v>
      </c>
      <c r="BC14" s="542">
        <f>IF(BA14=0,0,IFERROR(BA14/IF(BB14&lt;&gt;"USD",AI14,1),"???"))</f>
        <v>0</v>
      </c>
      <c r="BD14" s="170">
        <f>IFERROR(-AC14/(IF(OR(AB14="USDAED",LEFT(AB14,3)=RIGHT(AB14,3)),AH14,AG14)-AE14)*BC14,0)</f>
        <v>0</v>
      </c>
      <c r="BE14" s="542">
        <f>BC14-BD14</f>
        <v>0</v>
      </c>
      <c r="BF14" s="170">
        <f>IF(BG14="USD",AU14,IF(BG14=S14,R14,-J14))</f>
        <v>5185753.93</v>
      </c>
      <c r="BG14" s="170" t="str">
        <f>LEFT(AJ14,3)</f>
        <v>RUB</v>
      </c>
      <c r="BH14" s="542">
        <f>IF(OR(A14="REFUND",A14="CANCELLED"),0,IFERROR((IF(OR(AJ14="USDAED",LEFT(AJ14,3)=RIGHT(AJ14,3)),AQ14,AO14)-AM14)*-BF14*VLOOKUP(AJ14,'FX RATES'!$H$1:$J$26,3,FALSE),0))</f>
        <v>0</v>
      </c>
      <c r="BI14" s="170" t="str">
        <f>RIGHT(AJ14,3)</f>
        <v>RUB</v>
      </c>
      <c r="BJ14" s="542">
        <f>IF(BH14=0,0,IFERROR(BH14/IF(BI14&lt;&gt;"USD",AQ14,1),"???"))</f>
        <v>0</v>
      </c>
      <c r="BK14" s="170">
        <f>IFERROR(-AK14/(IF(OR(AJ14="USDAED",LEFT(AJ14,3)=RIGHT(AJ14,3)),AP14,AO14)-AM14)*BJ14,0)</f>
        <v>0</v>
      </c>
      <c r="BL14" s="542">
        <f>BJ14-BK14</f>
        <v>0</v>
      </c>
      <c r="BM14" s="170">
        <f>IF(AND(ISERROR(SEARCH("REFUND",A14)),ISERROR(SEARCH("CANCELLED",A14))),BD14+BK14,0)</f>
        <v>0</v>
      </c>
      <c r="BN14" s="542">
        <f>IF(AND(ISERROR(SEARCH("REFUND",A14)),ISERROR(SEARCH("CANCELLED",A14))),BE14+BL14,0)</f>
        <v>0</v>
      </c>
    </row>
    <row r="15" spans="1:66" ht="19.5" customHeight="1">
      <c r="A15" s="167" t="s">
        <v>366</v>
      </c>
      <c r="B15" s="168" t="s">
        <v>39</v>
      </c>
      <c r="C15" s="168" t="s">
        <v>381</v>
      </c>
      <c r="D15" s="168" t="s">
        <v>128</v>
      </c>
      <c r="E15" s="171">
        <v>46035</v>
      </c>
      <c r="F15" s="171"/>
      <c r="G15" s="168" t="s">
        <v>39</v>
      </c>
      <c r="H15" s="181" t="s">
        <v>52</v>
      </c>
      <c r="I15" s="169">
        <f>-R13</f>
        <v>-4303104.6010596734</v>
      </c>
      <c r="J15" s="170">
        <f>IF(I15="",AR15,I15)</f>
        <v>-4303104.6010596734</v>
      </c>
      <c r="K15" s="168" t="s">
        <v>9</v>
      </c>
      <c r="L15" s="171" t="s">
        <v>25</v>
      </c>
      <c r="M15" s="168" t="s">
        <v>25</v>
      </c>
      <c r="N15" s="167" t="s">
        <v>371</v>
      </c>
      <c r="O15" s="168" t="s">
        <v>39</v>
      </c>
      <c r="P15" s="168" t="s">
        <v>39</v>
      </c>
      <c r="Q15" s="169"/>
      <c r="R15" s="170">
        <f>IF(Q15="",AS15,Q15)</f>
        <v>4303104.6010596734</v>
      </c>
      <c r="S15" s="168" t="s">
        <v>9</v>
      </c>
      <c r="T15" s="171" t="s">
        <v>25</v>
      </c>
      <c r="U15" s="168" t="s">
        <v>25</v>
      </c>
      <c r="V15" s="167" t="s">
        <v>371</v>
      </c>
      <c r="W15" s="172" t="s">
        <v>382</v>
      </c>
      <c r="X15" s="173">
        <f>IF(Y15="",VLOOKUP(H15,CLIENTS!$A$1:$O$649,5,FALSE),Y15)</f>
        <v>0</v>
      </c>
      <c r="Y15" s="174"/>
      <c r="Z15" s="173">
        <f>IF(AA15="",VLOOKUP(P15,CLIENTS!$A$1:$O$649,5,FALSE),AA15)</f>
        <v>0</v>
      </c>
      <c r="AA15" s="174"/>
      <c r="AB15" s="173" t="str">
        <f>IF(W15="via USD",IF(K15="EUR",K15&amp;"USD","USD"&amp;K15),IFERROR(VLOOKUP(K15&amp;S15,'FX RATES'!$H$2:$H$20,1,FALSE),S15&amp;K15))</f>
        <v>RUBRUB</v>
      </c>
      <c r="AC15" s="175">
        <f>IF(LEFT(AB15,3)=RIGHT(AB15,3),0,IFERROR(INDEX(CLIENTS!$A$1:$O$649,MATCH(H15,CLIENTS!$A$1:$A$649,0),MATCH(AB15,CLIENTS!$A$1:$O$1,0)),0))</f>
        <v>0</v>
      </c>
      <c r="AD15" s="176"/>
      <c r="AE15" s="177">
        <f>IF(W15="CLIENT","",IF(AD15="",AH15+AC15,AD15+AC15))</f>
        <v>1</v>
      </c>
      <c r="AF15" s="177" t="str">
        <f>E15&amp;AB15</f>
        <v>46035RUBRUB</v>
      </c>
      <c r="AG15" s="176"/>
      <c r="AH15" s="178">
        <f>IF(LEFT(AB15,3)=RIGHT(AB15,3),1,VLOOKUP(AB15,'FX RATES'!$H$1:$I$20,2,FALSE))</f>
        <v>1</v>
      </c>
      <c r="AI15" s="178">
        <f>IF(OR(AB15="USDAED",LEFT(AB15,3)=RIGHT(AB15,3)),AH15,IF(LEFT(AB15)="USD",AG15,IF(RIGHT(AB15,3)="USD",1,IFERROR(VLOOKUP(E15&amp;"USD"&amp;RIGHT(AB15,3),$AF:$AG,2,FALSE),VLOOKUP(E15&amp;"USD"&amp;RIGHT(AJ15,3),$AN:$AO,2,FALSE)))))</f>
        <v>1</v>
      </c>
      <c r="AJ15" s="173" t="str">
        <f>IF(W15="via USD",IF(S15="EUR",S15&amp;"USD","USD"&amp;S15),IFERROR(VLOOKUP(K15&amp;S15,'FX RATES'!$H$2:$H$20,1,FALSE),S15&amp;K15))</f>
        <v>RUBRUB</v>
      </c>
      <c r="AK15" s="175">
        <f>IF(LEFT(AJ15,3)=RIGHT(AJ15,3),0,IFERROR(INDEX(CLIENTS!$A$1:$O$649,MATCH(P15,CLIENTS!$A$1:$A$649,0),MATCH(AJ15,CLIENTS!$A$1:$O$1,0)),0))</f>
        <v>0</v>
      </c>
      <c r="AL15" s="176"/>
      <c r="AM15" s="177" t="str">
        <f>IF(W15="VENDOR","",IF(AL15="",AP15+AK15,AL15+AK15))</f>
        <v/>
      </c>
      <c r="AN15" s="177" t="str">
        <f>E15&amp;AJ15</f>
        <v>46035RUBRUB</v>
      </c>
      <c r="AO15" s="176"/>
      <c r="AP15" s="178">
        <f>IF(LEFT(AJ15,3)=RIGHT(AJ15,3),1,VLOOKUP(AJ15,'FX RATES'!$H$1:$I$20,2,FALSE))</f>
        <v>1</v>
      </c>
      <c r="AQ15" s="178">
        <f>IF(OR(AJ15="USDAED",LEFT(AJ15,3)=RIGHT(AJ15,3)),AP15,IF(LEFT(AJ15)="USD",AO15,IF(RIGHT(AJ15,3)="USD",1,IFERROR(VLOOKUP(E15&amp;"USD"&amp;RIGHT(AJ15,3),$AN:$AO,2,FALSE),VLOOKUP(E15&amp;"USD"&amp;RIGHT(AB15,3),$AF:$AG,2,FALSE)))))</f>
        <v>1</v>
      </c>
      <c r="AR15" s="179">
        <f>-Q15*(1-Z15)/(1+X15)*IF(W15="CLIENT",IF(S15=RIGHT(AJ15,3),1/AM15,AM15),IF(W15="VENDOR",IF(S15=RIGHT(AJ15,3),1/AE15,AE15),AE15^(VLOOKUP(AB15,'FX RATES'!$H$1:$J$26,3,FALSE))/AM15^(VLOOKUP(AJ15,'FX RATES'!$H$1:$J$26,3,FALSE))))</f>
        <v>0</v>
      </c>
      <c r="AS15" s="179">
        <f>-I15*(1+X15)/(1-Z15)*IF(W15="VENDOR",IF(K15=RIGHT(AB15,3),1/AE15,AE15),IF(W15="CLIENT",IF(K15=RIGHT(AB15,3),1/AM15,AM15),AM15^(VLOOKUP(AJ15,'FX RATES'!$H$1:$J$26,3,FALSE))/AE15^(VLOOKUP(AB15,'FX RATES'!$H$1:$J$26,3,FALSE))))</f>
        <v>4303104.6010596734</v>
      </c>
      <c r="AT15" s="170">
        <f ca="1">IF(AB15&lt;&gt;AJ15,J15/IF(K15=RIGHT(AB15,3),AE15,1/AE15),IF(S15="USD",J15/IF(K15=RIGHT(AB15,3),IF(W15="CLIENT",AM15,AE15),1/IF(W15="CLIENT",AM15,AE15)),J15*VLOOKUP(K15,'FX RATES'!$E$1:$F$10,2,FALSE)))</f>
        <v>-56088.067740169492</v>
      </c>
      <c r="AU15" s="170">
        <f ca="1">IF(AB15&lt;&gt;AJ15,R15/IF(S15=RIGHT(AJ15,3),AM15,1/AM15),IF(K15="USD",R15/IF(S15=RIGHT(AJ15,3),IF(W15="CLIENT",AM15,AE15),1/IF(W15="CLIENT",AM15,AE15)),R15*VLOOKUP(S15,'FX RATES'!$E$1:$F$10,2,FALSE)))</f>
        <v>56088.067740169492</v>
      </c>
      <c r="AV15" s="170">
        <f ca="1">AT15+AU15</f>
        <v>0</v>
      </c>
      <c r="AW15" s="169"/>
      <c r="AX15" s="170">
        <f ca="1">IF(AND(ISERROR(SEARCH("INVOICE",T15)),ISERROR(SEARCH("SWITCH",T15)),ISERROR(SEARCH("FOREX",T15)),ISERROR(SEARCH("REFUND",A15)),ISERROR(SEARCH("CANCELLED",A15))),IF(AW15="",-AT15*X15+AU15*Z15,AW15),0)</f>
        <v>0</v>
      </c>
      <c r="AY15" s="170">
        <f>IF(AZ15="USD",AT15,IF(AZ15=K15,J15,-R15))</f>
        <v>-4303104.6010596734</v>
      </c>
      <c r="AZ15" s="170" t="str">
        <f>LEFT(AB15,3)</f>
        <v>RUB</v>
      </c>
      <c r="BA15" s="542">
        <f>IF(OR(A15="REFUND",A15="CANCELLED"),0,IFERROR((IF(OR(AB15="USDAED",LEFT(AB15,3)=RIGHT(AB15,3)),AI15,AG15)-AE15)*-AY15*VLOOKUP(AB15,'FX RATES'!$H$1:$J$26,3,FALSE),0))</f>
        <v>0</v>
      </c>
      <c r="BB15" s="170" t="str">
        <f>RIGHT(AB15,3)</f>
        <v>RUB</v>
      </c>
      <c r="BC15" s="542">
        <f>IF(BA15=0,0,IFERROR(BA15/IF(BB15&lt;&gt;"USD",AI15,1),"???"))</f>
        <v>0</v>
      </c>
      <c r="BD15" s="170">
        <f>IFERROR(-AC15/(IF(OR(AB15="USDAED",LEFT(AB15,3)=RIGHT(AB15,3)),AH15,AG15)-AE15)*BC15,0)</f>
        <v>0</v>
      </c>
      <c r="BE15" s="542">
        <f>BC15-BD15</f>
        <v>0</v>
      </c>
      <c r="BF15" s="170">
        <f>IF(BG15="USD",AU15,IF(BG15=S15,R15,-J15))</f>
        <v>4303104.6010596734</v>
      </c>
      <c r="BG15" s="170" t="str">
        <f>LEFT(AJ15,3)</f>
        <v>RUB</v>
      </c>
      <c r="BH15" s="542">
        <f>IF(OR(A15="REFUND",A15="CANCELLED"),0,IFERROR((IF(OR(AJ15="USDAED",LEFT(AJ15,3)=RIGHT(AJ15,3)),AQ15,AO15)-AM15)*-BF15*VLOOKUP(AJ15,'FX RATES'!$H$1:$J$26,3,FALSE),0))</f>
        <v>0</v>
      </c>
      <c r="BI15" s="170" t="str">
        <f>RIGHT(AJ15,3)</f>
        <v>RUB</v>
      </c>
      <c r="BJ15" s="542">
        <f>IF(BH15=0,0,IFERROR(BH15/IF(BI15&lt;&gt;"USD",AQ15,1),"???"))</f>
        <v>0</v>
      </c>
      <c r="BK15" s="170">
        <f>IFERROR(-AK15/(IF(OR(AJ15="USDAED",LEFT(AJ15,3)=RIGHT(AJ15,3)),AP15,AO15)-AM15)*BJ15,0)</f>
        <v>0</v>
      </c>
      <c r="BL15" s="542">
        <f>BJ15-BK15</f>
        <v>0</v>
      </c>
      <c r="BM15" s="170">
        <f>IF(AND(ISERROR(SEARCH("REFUND",A15)),ISERROR(SEARCH("CANCELLED",A15))),BD15+BK15,0)</f>
        <v>0</v>
      </c>
      <c r="BN15" s="542">
        <f>IF(AND(ISERROR(SEARCH("REFUND",A15)),ISERROR(SEARCH("CANCELLED",A15))),BE15+BL15,0)</f>
        <v>0</v>
      </c>
    </row>
    <row r="16" spans="1:66" ht="19.5" customHeight="1">
      <c r="A16" s="167"/>
      <c r="B16" s="182"/>
      <c r="C16" s="182"/>
      <c r="D16" s="182"/>
      <c r="E16" s="184"/>
      <c r="F16" s="184"/>
      <c r="G16" s="182"/>
      <c r="H16" s="182"/>
      <c r="I16" s="170"/>
      <c r="J16" s="170"/>
      <c r="K16" s="182"/>
      <c r="L16" s="184"/>
      <c r="M16" s="182"/>
      <c r="O16" s="182"/>
      <c r="P16" s="182"/>
      <c r="Q16" s="170"/>
      <c r="R16" s="170"/>
      <c r="S16" s="182"/>
      <c r="T16" s="184"/>
      <c r="U16" s="182"/>
      <c r="X16" s="173"/>
      <c r="Y16" s="173"/>
      <c r="Z16" s="173"/>
      <c r="AA16" s="173"/>
      <c r="AB16" s="173"/>
      <c r="AC16" s="175"/>
      <c r="AD16" s="177"/>
      <c r="AE16" s="177"/>
      <c r="AF16" s="177"/>
      <c r="AG16" s="177"/>
      <c r="AH16" s="178"/>
      <c r="AI16" s="178"/>
      <c r="AJ16" s="173"/>
      <c r="AK16" s="175"/>
      <c r="AL16" s="177"/>
      <c r="AM16" s="177"/>
      <c r="AN16" s="177"/>
      <c r="AO16" s="177"/>
      <c r="AP16" s="178"/>
      <c r="AQ16" s="178"/>
      <c r="AR16" s="185"/>
      <c r="AS16" s="185"/>
      <c r="AT16" s="170"/>
      <c r="AU16" s="170"/>
      <c r="AV16" s="170"/>
      <c r="AW16" s="170"/>
      <c r="AX16" s="170"/>
      <c r="AY16" s="170"/>
      <c r="AZ16" s="170"/>
      <c r="BA16" s="542"/>
      <c r="BB16" s="170"/>
      <c r="BC16" s="542"/>
      <c r="BD16" s="170"/>
      <c r="BE16" s="542"/>
      <c r="BF16" s="170"/>
      <c r="BG16" s="170"/>
      <c r="BH16" s="542"/>
      <c r="BI16" s="170"/>
      <c r="BJ16" s="542"/>
      <c r="BK16" s="170"/>
      <c r="BL16" s="542"/>
      <c r="BM16" s="170"/>
      <c r="BN16" s="542"/>
    </row>
    <row r="17" spans="1:66" ht="19.5" customHeight="1">
      <c r="A17" s="167" t="s">
        <v>366</v>
      </c>
      <c r="B17" s="168" t="s">
        <v>39</v>
      </c>
      <c r="C17" s="168" t="s">
        <v>367</v>
      </c>
      <c r="D17" s="181" t="s">
        <v>368</v>
      </c>
      <c r="E17" s="171">
        <v>46035</v>
      </c>
      <c r="F17" s="171"/>
      <c r="G17" s="168" t="s">
        <v>39</v>
      </c>
      <c r="H17" s="181" t="s">
        <v>397</v>
      </c>
      <c r="I17" s="169">
        <v>-680082.75</v>
      </c>
      <c r="J17" s="170">
        <f t="shared" ref="J17:J23" si="0">IF(I17="",AR17,I17)</f>
        <v>-680082.75</v>
      </c>
      <c r="K17" s="168" t="s">
        <v>5</v>
      </c>
      <c r="L17" s="168" t="s">
        <v>398</v>
      </c>
      <c r="M17" s="168" t="s">
        <v>14</v>
      </c>
      <c r="N17" s="167" t="s">
        <v>371</v>
      </c>
      <c r="O17" s="168" t="s">
        <v>39</v>
      </c>
      <c r="P17" s="168" t="s">
        <v>379</v>
      </c>
      <c r="Q17" s="169"/>
      <c r="R17" s="170">
        <f t="shared" ref="R17:R23" si="1">IF(Q17="",AS17,Q17)</f>
        <v>53853873.346809044</v>
      </c>
      <c r="S17" s="168" t="s">
        <v>9</v>
      </c>
      <c r="T17" s="171" t="s">
        <v>380</v>
      </c>
      <c r="U17" s="171" t="s">
        <v>25</v>
      </c>
      <c r="V17" s="167" t="s">
        <v>371</v>
      </c>
      <c r="W17" s="172" t="s">
        <v>375</v>
      </c>
      <c r="X17" s="173">
        <f>IF(Y17="",VLOOKUP(H17,CLIENTS!$A$1:$O$649,5,FALSE),Y17)</f>
        <v>0</v>
      </c>
      <c r="Y17" s="174">
        <v>0</v>
      </c>
      <c r="Z17" s="173">
        <f>IF(AA17="",VLOOKUP(P17,CLIENTS!$A$1:$O$649,5,FALSE),AA17)</f>
        <v>2.9958891400446719E-3</v>
      </c>
      <c r="AA17" s="174">
        <v>2.9958891400446719E-3</v>
      </c>
      <c r="AB17" s="173" t="str">
        <f>IF(W17="via USD",IF(K17="EUR",K17&amp;"USD","USD"&amp;K17),IFERROR(VLOOKUP(K17&amp;S17,'FX RATES'!$H$2:$H$20,1,FALSE),S17&amp;K17))</f>
        <v>USDUSD</v>
      </c>
      <c r="AC17" s="175">
        <f>IF(LEFT(AB17,3)=RIGHT(AB17,3),0,IFERROR(INDEX(CLIENTS!$A$1:$O$649,MATCH(H17,CLIENTS!$A$1:$A$649,0),MATCH(AB17,CLIENTS!$A$1:$O$1,0)),0))</f>
        <v>0</v>
      </c>
      <c r="AD17" s="176"/>
      <c r="AE17" s="177">
        <f t="shared" ref="AE17:AE23" si="2">IF(W17="CLIENT","",IF(AD17="",AH17+AC17,AD17+AC17))</f>
        <v>1</v>
      </c>
      <c r="AF17" s="177" t="str">
        <f t="shared" ref="AF17:AF23" si="3">E17&amp;AB17</f>
        <v>46035USDUSD</v>
      </c>
      <c r="AG17" s="176"/>
      <c r="AH17" s="178">
        <f>IF(LEFT(AB17,3)=RIGHT(AB17,3),1,VLOOKUP(AB17,'FX RATES'!$H$1:$I$20,2,FALSE))</f>
        <v>1</v>
      </c>
      <c r="AI17" s="178">
        <f t="shared" ref="AI17:AI23" si="4">IF(OR(AB17="USDAED",LEFT(AB17,3)=RIGHT(AB17,3)),AH17,IF(LEFT(AB17)="USD",AG17,IF(RIGHT(AB17,3)="USD",1,IFERROR(VLOOKUP(E17&amp;"USD"&amp;RIGHT(AB17,3),$AF:$AG,2,FALSE),VLOOKUP(E17&amp;"USD"&amp;RIGHT(AJ17,3),$AN:$AO,2,FALSE)))))</f>
        <v>1</v>
      </c>
      <c r="AJ17" s="173" t="str">
        <f>IF(W17="via USD",IF(S17="EUR",S17&amp;"USD","USD"&amp;S17),IFERROR(VLOOKUP(K17&amp;S17,'FX RATES'!$H$2:$H$20,1,FALSE),S17&amp;K17))</f>
        <v>USDRUB</v>
      </c>
      <c r="AK17" s="175">
        <f>IF(LEFT(AJ17,3)=RIGHT(AJ17,3),0,IFERROR(INDEX(CLIENTS!$A$1:$O$649,MATCH(P17,CLIENTS!$A$1:$A$649,0),MATCH(AJ17,CLIENTS!$A$1:$O$1,0)),0))</f>
        <v>0</v>
      </c>
      <c r="AL17" s="176">
        <v>78.95</v>
      </c>
      <c r="AM17" s="177">
        <f t="shared" ref="AM17:AM23" si="5">IF(W17="VENDOR","",IF(AL17="",AP17+AK17,AL17+AK17))</f>
        <v>78.95</v>
      </c>
      <c r="AN17" s="177" t="str">
        <f t="shared" ref="AN17:AN23" si="6">E17&amp;AJ17</f>
        <v>46035USDRUB</v>
      </c>
      <c r="AO17" s="176">
        <v>78.900000000000006</v>
      </c>
      <c r="AP17" s="178">
        <f ca="1">IF(LEFT(AJ17,3)=RIGHT(AJ17,3),1,VLOOKUP(AJ17,'FX RATES'!$H$1:$I$20,2,FALSE))</f>
        <v>76.720500000000001</v>
      </c>
      <c r="AQ17" s="178">
        <f t="shared" ref="AQ17:AQ23" si="7">IF(OR(AJ17="USDAED",LEFT(AJ17,3)=RIGHT(AJ17,3)),AP17,IF(LEFT(AJ17)="USD",AO17,IF(RIGHT(AJ17,3)="USD",1,IFERROR(VLOOKUP(E17&amp;"USD"&amp;RIGHT(AJ17,3),$AN:$AO,2,FALSE),VLOOKUP(E17&amp;"USD"&amp;RIGHT(AB17,3),$AF:$AG,2,FALSE)))))</f>
        <v>78.900000000000006</v>
      </c>
      <c r="AR17" s="179">
        <f>-Q17*(1-Z17)/(1+X17)*IF(W17="CLIENT",IF(S17=RIGHT(AJ17,3),1/AM17,AM17),IF(W17="VENDOR",IF(S17=RIGHT(AJ17,3),1/AE17,AE17),AE17^(VLOOKUP(AB17,'FX RATES'!$H$1:$J$26,3,FALSE))/AM17^(VLOOKUP(AJ17,'FX RATES'!$H$1:$J$26,3,FALSE))))</f>
        <v>0</v>
      </c>
      <c r="AS17" s="179">
        <f>-I17*(1+X17)/(1-Z17)*IF(W17="VENDOR",IF(K17=RIGHT(AB17,3),1/AE17,AE17),IF(W17="CLIENT",IF(K17=RIGHT(AB17,3),1/AM17,AM17),AM17^(VLOOKUP(AJ17,'FX RATES'!$H$1:$J$26,3,FALSE))/AE17^(VLOOKUP(AB17,'FX RATES'!$H$1:$J$26,3,FALSE))))</f>
        <v>53853873.346809044</v>
      </c>
      <c r="AT17" s="170">
        <f>IF(AB17&lt;&gt;AJ17,J17/IF(K17=RIGHT(AB17,3),AE17,1/AE17),IF(S17="USD",J17/IF(K17=RIGHT(AB17,3),IF(W17="CLIENT",AM17,AE17),1/IF(W17="CLIENT",AM17,AE17)),J17*VLOOKUP(K17,'FX RATES'!$E$1:$F$10,2,FALSE)))</f>
        <v>-680082.75</v>
      </c>
      <c r="AU17" s="170">
        <f>IF(AB17&lt;&gt;AJ17,R17/IF(S17=RIGHT(AJ17,3),AM17,1/AM17),IF(K17="USD",R17/IF(S17=RIGHT(AJ17,3),IF(W17="CLIENT",AM17,AE17),1/IF(W17="CLIENT",AM17,AE17)),R17*VLOOKUP(S17,'FX RATES'!$E$1:$F$10,2,FALSE)))</f>
        <v>682126.32484875293</v>
      </c>
      <c r="AV17" s="170">
        <f t="shared" ref="AV17:AV23" si="8">AT17+AU17</f>
        <v>2043.5748487529345</v>
      </c>
      <c r="AW17" s="169"/>
      <c r="AX17" s="170">
        <f t="shared" ref="AX17:AX23" si="9">IF(AND(ISERROR(SEARCH("INVOICE",T17)),ISERROR(SEARCH("SWITCH",T17)),ISERROR(SEARCH("FOREX",T17)),ISERROR(SEARCH("REFUND",A17)),ISERROR(SEARCH("CANCELLED",A17))),IF(AW17="",-AT17*X17+AU17*Z17,AW17),0)</f>
        <v>2043.5748487529629</v>
      </c>
      <c r="AY17" s="170">
        <f t="shared" ref="AY17:AY23" si="10">IF(AZ17="USD",AT17,IF(AZ17=K17,J17,-R17))</f>
        <v>-680082.75</v>
      </c>
      <c r="AZ17" s="170" t="str">
        <f t="shared" ref="AZ17:AZ23" si="11">LEFT(AB17,3)</f>
        <v>USD</v>
      </c>
      <c r="BA17" s="542">
        <f>IF(OR(A17="REFUND",A17="CANCELLED"),0,IFERROR((IF(OR(AB17="USDAED",LEFT(AB17,3)=RIGHT(AB17,3)),AI17,AG17)-AE17)*-AY17*VLOOKUP(AB17,'FX RATES'!$H$1:$J$26,3,FALSE),0))</f>
        <v>0</v>
      </c>
      <c r="BB17" s="170" t="str">
        <f t="shared" ref="BB17:BB23" si="12">RIGHT(AB17,3)</f>
        <v>USD</v>
      </c>
      <c r="BC17" s="542">
        <f t="shared" ref="BC17:BC23" si="13">IF(BA17=0,0,IFERROR(BA17/IF(BB17&lt;&gt;"USD",AI17,1),"???"))</f>
        <v>0</v>
      </c>
      <c r="BD17" s="170">
        <f t="shared" ref="BD17:BD23" si="14">IFERROR(-AC17/(IF(OR(AB17="USDAED",LEFT(AB17,3)=RIGHT(AB17,3)),AH17,AG17)-AE17)*BC17,0)</f>
        <v>0</v>
      </c>
      <c r="BE17" s="542">
        <f t="shared" ref="BE17:BE23" si="15">BC17-BD17</f>
        <v>0</v>
      </c>
      <c r="BF17" s="170">
        <f t="shared" ref="BF17:BF23" si="16">IF(BG17="USD",AU17,IF(BG17=S17,R17,-J17))</f>
        <v>682126.32484875293</v>
      </c>
      <c r="BG17" s="170" t="str">
        <f t="shared" ref="BG17:BG23" si="17">LEFT(AJ17,3)</f>
        <v>USD</v>
      </c>
      <c r="BH17" s="542">
        <f>IF(OR(A17="REFUND",A17="CANCELLED"),0,IFERROR((IF(OR(AJ17="USDAED",LEFT(AJ17,3)=RIGHT(AJ17,3)),AQ17,AO17)-AM17)*-BF17*VLOOKUP(AJ17,'FX RATES'!$H$1:$J$26,3,FALSE),0))</f>
        <v>34106.316242435707</v>
      </c>
      <c r="BI17" s="170" t="str">
        <f t="shared" ref="BI17:BI23" si="18">RIGHT(AJ17,3)</f>
        <v>RUB</v>
      </c>
      <c r="BJ17" s="542">
        <f t="shared" ref="BJ17:BJ23" si="19">IF(BH17=0,0,IFERROR(BH17/IF(BI17&lt;&gt;"USD",AQ17,1),"???"))</f>
        <v>432.27270269246776</v>
      </c>
      <c r="BK17" s="170">
        <f t="shared" ref="BK17:BK23" si="20">IFERROR(-AK17/(IF(OR(AJ17="USDAED",LEFT(AJ17,3)=RIGHT(AJ17,3)),AP17,AO17)-AM17)*BJ17,0)</f>
        <v>0</v>
      </c>
      <c r="BL17" s="542">
        <f t="shared" ref="BL17:BL23" si="21">BJ17-BK17</f>
        <v>432.27270269246776</v>
      </c>
      <c r="BM17" s="170">
        <f t="shared" ref="BM17:BM23" si="22">IF(AND(ISERROR(SEARCH("REFUND",A17)),ISERROR(SEARCH("CANCELLED",A17))),BD17+BK17,0)</f>
        <v>0</v>
      </c>
      <c r="BN17" s="542">
        <f t="shared" ref="BN17:BN23" si="23">IF(AND(ISERROR(SEARCH("REFUND",A17)),ISERROR(SEARCH("CANCELLED",A17))),BE17+BL17,0)</f>
        <v>432.27270269246776</v>
      </c>
    </row>
    <row r="18" spans="1:66" ht="19.5" customHeight="1">
      <c r="A18" s="167" t="s">
        <v>366</v>
      </c>
      <c r="B18" s="168" t="s">
        <v>39</v>
      </c>
      <c r="C18" s="168" t="s">
        <v>367</v>
      </c>
      <c r="D18" s="181" t="s">
        <v>368</v>
      </c>
      <c r="E18" s="171">
        <v>46035</v>
      </c>
      <c r="F18" s="171"/>
      <c r="G18" s="168" t="s">
        <v>39</v>
      </c>
      <c r="H18" s="181" t="s">
        <v>399</v>
      </c>
      <c r="I18" s="169">
        <v>-600000</v>
      </c>
      <c r="J18" s="170">
        <f t="shared" si="0"/>
        <v>-600000</v>
      </c>
      <c r="K18" s="168" t="s">
        <v>5</v>
      </c>
      <c r="L18" s="168" t="s">
        <v>400</v>
      </c>
      <c r="M18" s="168" t="s">
        <v>14</v>
      </c>
      <c r="N18" s="167" t="s">
        <v>371</v>
      </c>
      <c r="O18" s="168" t="s">
        <v>39</v>
      </c>
      <c r="P18" s="168" t="s">
        <v>379</v>
      </c>
      <c r="Q18" s="169"/>
      <c r="R18" s="170">
        <f t="shared" si="1"/>
        <v>47512341.708542719</v>
      </c>
      <c r="S18" s="168" t="s">
        <v>9</v>
      </c>
      <c r="T18" s="171" t="s">
        <v>380</v>
      </c>
      <c r="U18" s="171" t="s">
        <v>25</v>
      </c>
      <c r="V18" s="167" t="s">
        <v>371</v>
      </c>
      <c r="W18" s="172" t="s">
        <v>375</v>
      </c>
      <c r="X18" s="173">
        <f>IF(Y18="",VLOOKUP(H18,CLIENTS!$A$1:$O$649,5,FALSE),Y18)</f>
        <v>0</v>
      </c>
      <c r="Y18" s="174">
        <v>0</v>
      </c>
      <c r="Z18" s="173">
        <f>IF(AA18="",VLOOKUP(P18,CLIENTS!$A$1:$O$649,5,FALSE),AA18)</f>
        <v>2.9958891400447829E-3</v>
      </c>
      <c r="AA18" s="174">
        <v>2.9958891400447829E-3</v>
      </c>
      <c r="AB18" s="173" t="str">
        <f>IF(W18="via USD",IF(K18="EUR",K18&amp;"USD","USD"&amp;K18),IFERROR(VLOOKUP(K18&amp;S18,'FX RATES'!$H$2:$H$20,1,FALSE),S18&amp;K18))</f>
        <v>USDUSD</v>
      </c>
      <c r="AC18" s="175">
        <f>IF(LEFT(AB18,3)=RIGHT(AB18,3),0,IFERROR(INDEX(CLIENTS!$A$1:$O$649,MATCH(H18,CLIENTS!$A$1:$A$649,0),MATCH(AB18,CLIENTS!$A$1:$O$1,0)),0))</f>
        <v>0</v>
      </c>
      <c r="AD18" s="176"/>
      <c r="AE18" s="177">
        <f t="shared" si="2"/>
        <v>1</v>
      </c>
      <c r="AF18" s="177" t="str">
        <f t="shared" si="3"/>
        <v>46035USDUSD</v>
      </c>
      <c r="AG18" s="176"/>
      <c r="AH18" s="178">
        <f>IF(LEFT(AB18,3)=RIGHT(AB18,3),1,VLOOKUP(AB18,'FX RATES'!$H$1:$I$20,2,FALSE))</f>
        <v>1</v>
      </c>
      <c r="AI18" s="178">
        <f t="shared" si="4"/>
        <v>1</v>
      </c>
      <c r="AJ18" s="173" t="str">
        <f>IF(W18="via USD",IF(S18="EUR",S18&amp;"USD","USD"&amp;S18),IFERROR(VLOOKUP(K18&amp;S18,'FX RATES'!$H$2:$H$20,1,FALSE),S18&amp;K18))</f>
        <v>USDRUB</v>
      </c>
      <c r="AK18" s="175">
        <f>IF(LEFT(AJ18,3)=RIGHT(AJ18,3),0,IFERROR(INDEX(CLIENTS!$A$1:$O$649,MATCH(P18,CLIENTS!$A$1:$A$649,0),MATCH(AJ18,CLIENTS!$A$1:$O$1,0)),0))</f>
        <v>0</v>
      </c>
      <c r="AL18" s="176">
        <v>78.95</v>
      </c>
      <c r="AM18" s="177">
        <f t="shared" si="5"/>
        <v>78.95</v>
      </c>
      <c r="AN18" s="177" t="str">
        <f t="shared" si="6"/>
        <v>46035USDRUB</v>
      </c>
      <c r="AO18" s="176">
        <v>78.900000000000006</v>
      </c>
      <c r="AP18" s="178">
        <f ca="1">IF(LEFT(AJ18,3)=RIGHT(AJ18,3),1,VLOOKUP(AJ18,'FX RATES'!$H$1:$I$20,2,FALSE))</f>
        <v>76.720500000000001</v>
      </c>
      <c r="AQ18" s="178">
        <f t="shared" si="7"/>
        <v>78.900000000000006</v>
      </c>
      <c r="AR18" s="179">
        <f>-Q18*(1-Z18)/(1+X18)*IF(W18="CLIENT",IF(S18=RIGHT(AJ18,3),1/AM18,AM18),IF(W18="VENDOR",IF(S18=RIGHT(AJ18,3),1/AE18,AE18),AE18^(VLOOKUP(AB18,'FX RATES'!$H$1:$J$26,3,FALSE))/AM18^(VLOOKUP(AJ18,'FX RATES'!$H$1:$J$26,3,FALSE))))</f>
        <v>0</v>
      </c>
      <c r="AS18" s="179">
        <f>-I18*(1+X18)/(1-Z18)*IF(W18="VENDOR",IF(K18=RIGHT(AB18,3),1/AE18,AE18),IF(W18="CLIENT",IF(K18=RIGHT(AB18,3),1/AM18,AM18),AM18^(VLOOKUP(AJ18,'FX RATES'!$H$1:$J$26,3,FALSE))/AE18^(VLOOKUP(AB18,'FX RATES'!$H$1:$J$26,3,FALSE))))</f>
        <v>47512341.708542719</v>
      </c>
      <c r="AT18" s="170">
        <f>IF(AB18&lt;&gt;AJ18,J18/IF(K18=RIGHT(AB18,3),AE18,1/AE18),IF(S18="USD",J18/IF(K18=RIGHT(AB18,3),IF(W18="CLIENT",AM18,AE18),1/IF(W18="CLIENT",AM18,AE18)),J18*VLOOKUP(K18,'FX RATES'!$E$1:$F$10,2,FALSE)))</f>
        <v>-600000</v>
      </c>
      <c r="AU18" s="170">
        <f>IF(AB18&lt;&gt;AJ18,R18/IF(S18=RIGHT(AJ18,3),AM18,1/AM18),IF(K18="USD",R18/IF(S18=RIGHT(AJ18,3),IF(W18="CLIENT",AM18,AE18),1/IF(W18="CLIENT",AM18,AE18)),R18*VLOOKUP(S18,'FX RATES'!$E$1:$F$10,2,FALSE)))</f>
        <v>601802.93487704522</v>
      </c>
      <c r="AV18" s="170">
        <f t="shared" si="8"/>
        <v>1802.9348770452198</v>
      </c>
      <c r="AW18" s="169"/>
      <c r="AX18" s="170">
        <f t="shared" si="9"/>
        <v>1802.9348770452175</v>
      </c>
      <c r="AY18" s="170">
        <f t="shared" si="10"/>
        <v>-600000</v>
      </c>
      <c r="AZ18" s="170" t="str">
        <f t="shared" si="11"/>
        <v>USD</v>
      </c>
      <c r="BA18" s="542">
        <f>IF(OR(A18="REFUND",A18="CANCELLED"),0,IFERROR((IF(OR(AB18="USDAED",LEFT(AB18,3)=RIGHT(AB18,3)),AI18,AG18)-AE18)*-AY18*VLOOKUP(AB18,'FX RATES'!$H$1:$J$26,3,FALSE),0))</f>
        <v>0</v>
      </c>
      <c r="BB18" s="170" t="str">
        <f t="shared" si="12"/>
        <v>USD</v>
      </c>
      <c r="BC18" s="542">
        <f t="shared" si="13"/>
        <v>0</v>
      </c>
      <c r="BD18" s="170">
        <f t="shared" si="14"/>
        <v>0</v>
      </c>
      <c r="BE18" s="542">
        <f t="shared" si="15"/>
        <v>0</v>
      </c>
      <c r="BF18" s="170">
        <f t="shared" si="16"/>
        <v>601802.93487704522</v>
      </c>
      <c r="BG18" s="170" t="str">
        <f t="shared" si="17"/>
        <v>USD</v>
      </c>
      <c r="BH18" s="542">
        <f>IF(OR(A18="REFUND",A18="CANCELLED"),0,IFERROR((IF(OR(AJ18="USDAED",LEFT(AJ18,3)=RIGHT(AJ18,3)),AQ18,AO18)-AM18)*-BF18*VLOOKUP(AJ18,'FX RATES'!$H$1:$J$26,3,FALSE),0))</f>
        <v>30090.14674385055</v>
      </c>
      <c r="BI18" s="170" t="str">
        <f t="shared" si="18"/>
        <v>RUB</v>
      </c>
      <c r="BJ18" s="542">
        <f t="shared" si="19"/>
        <v>381.37068116413877</v>
      </c>
      <c r="BK18" s="170">
        <f t="shared" si="20"/>
        <v>0</v>
      </c>
      <c r="BL18" s="542">
        <f t="shared" si="21"/>
        <v>381.37068116413877</v>
      </c>
      <c r="BM18" s="170">
        <f t="shared" si="22"/>
        <v>0</v>
      </c>
      <c r="BN18" s="542">
        <f t="shared" si="23"/>
        <v>381.37068116413877</v>
      </c>
    </row>
    <row r="19" spans="1:66" ht="19.5" customHeight="1">
      <c r="A19" s="167" t="s">
        <v>366</v>
      </c>
      <c r="B19" s="168" t="s">
        <v>39</v>
      </c>
      <c r="C19" s="168" t="s">
        <v>367</v>
      </c>
      <c r="D19" s="181" t="s">
        <v>368</v>
      </c>
      <c r="E19" s="171">
        <v>46035</v>
      </c>
      <c r="F19" s="171"/>
      <c r="G19" s="168" t="s">
        <v>39</v>
      </c>
      <c r="H19" s="181" t="s">
        <v>401</v>
      </c>
      <c r="I19" s="169">
        <v>-54000</v>
      </c>
      <c r="J19" s="170">
        <f>IF(I19="",AR19,I19)</f>
        <v>-54000</v>
      </c>
      <c r="K19" s="168" t="s">
        <v>5</v>
      </c>
      <c r="L19" s="168" t="s">
        <v>402</v>
      </c>
      <c r="M19" s="168" t="s">
        <v>14</v>
      </c>
      <c r="N19" s="167" t="s">
        <v>371</v>
      </c>
      <c r="O19" s="168" t="s">
        <v>39</v>
      </c>
      <c r="P19" s="168" t="s">
        <v>379</v>
      </c>
      <c r="Q19" s="169"/>
      <c r="R19" s="170">
        <f>IF(Q19="",AS19,Q19)</f>
        <v>4276110.7537688455</v>
      </c>
      <c r="S19" s="168" t="s">
        <v>9</v>
      </c>
      <c r="T19" s="171" t="s">
        <v>380</v>
      </c>
      <c r="U19" s="171" t="s">
        <v>25</v>
      </c>
      <c r="V19" s="167" t="s">
        <v>371</v>
      </c>
      <c r="W19" s="172" t="s">
        <v>375</v>
      </c>
      <c r="X19" s="173">
        <f>IF(Y19="",VLOOKUP(H19,CLIENTS!$A$1:$O$649,5,FALSE),Y19)</f>
        <v>0</v>
      </c>
      <c r="Y19" s="174">
        <v>0</v>
      </c>
      <c r="Z19" s="173">
        <f>IF(AA19="",VLOOKUP(P19,CLIENTS!$A$1:$O$649,5,FALSE),AA19)</f>
        <v>2.9958891400447829E-3</v>
      </c>
      <c r="AA19" s="174">
        <v>2.9958891400447829E-3</v>
      </c>
      <c r="AB19" s="173" t="str">
        <f>IF(W19="via USD",IF(K19="EUR",K19&amp;"USD","USD"&amp;K19),IFERROR(VLOOKUP(K19&amp;S19,'FX RATES'!$H$2:$H$20,1,FALSE),S19&amp;K19))</f>
        <v>USDUSD</v>
      </c>
      <c r="AC19" s="175">
        <f>IF(LEFT(AB19,3)=RIGHT(AB19,3),0,IFERROR(INDEX(CLIENTS!$A$1:$O$649,MATCH(H19,CLIENTS!$A$1:$A$649,0),MATCH(AB19,CLIENTS!$A$1:$O$1,0)),0))</f>
        <v>0</v>
      </c>
      <c r="AD19" s="176"/>
      <c r="AE19" s="177">
        <f>IF(W19="CLIENT","",IF(AD19="",AH19+AC19,AD19+AC19))</f>
        <v>1</v>
      </c>
      <c r="AF19" s="177" t="str">
        <f>E19&amp;AB19</f>
        <v>46035USDUSD</v>
      </c>
      <c r="AG19" s="176"/>
      <c r="AH19" s="178">
        <f>IF(LEFT(AB19,3)=RIGHT(AB19,3),1,VLOOKUP(AB19,'FX RATES'!$H$1:$I$20,2,FALSE))</f>
        <v>1</v>
      </c>
      <c r="AI19" s="178">
        <f t="shared" si="4"/>
        <v>1</v>
      </c>
      <c r="AJ19" s="173" t="str">
        <f>IF(W19="via USD",IF(S19="EUR",S19&amp;"USD","USD"&amp;S19),IFERROR(VLOOKUP(K19&amp;S19,'FX RATES'!$H$2:$H$20,1,FALSE),S19&amp;K19))</f>
        <v>USDRUB</v>
      </c>
      <c r="AK19" s="175">
        <f>IF(LEFT(AJ19,3)=RIGHT(AJ19,3),0,IFERROR(INDEX(CLIENTS!$A$1:$O$649,MATCH(P19,CLIENTS!$A$1:$A$649,0),MATCH(AJ19,CLIENTS!$A$1:$O$1,0)),0))</f>
        <v>0</v>
      </c>
      <c r="AL19" s="176">
        <v>78.95</v>
      </c>
      <c r="AM19" s="177">
        <f>IF(W19="VENDOR","",IF(AL19="",AP19+AK19,AL19+AK19))</f>
        <v>78.95</v>
      </c>
      <c r="AN19" s="177" t="str">
        <f>E19&amp;AJ19</f>
        <v>46035USDRUB</v>
      </c>
      <c r="AO19" s="176">
        <v>78.900000000000006</v>
      </c>
      <c r="AP19" s="178">
        <f ca="1">IF(LEFT(AJ19,3)=RIGHT(AJ19,3),1,VLOOKUP(AJ19,'FX RATES'!$H$1:$I$20,2,FALSE))</f>
        <v>76.720500000000001</v>
      </c>
      <c r="AQ19" s="178">
        <f t="shared" si="7"/>
        <v>78.900000000000006</v>
      </c>
      <c r="AR19" s="179">
        <f>-Q19*(1-Z19)/(1+X19)*IF(W19="CLIENT",IF(S19=RIGHT(AJ19,3),1/AM19,AM19),IF(W19="VENDOR",IF(S19=RIGHT(AJ19,3),1/AE19,AE19),AE19^(VLOOKUP(AB19,'FX RATES'!$H$1:$J$26,3,FALSE))/AM19^(VLOOKUP(AJ19,'FX RATES'!$H$1:$J$26,3,FALSE))))</f>
        <v>0</v>
      </c>
      <c r="AS19" s="179">
        <f>-I19*(1+X19)/(1-Z19)*IF(W19="VENDOR",IF(K19=RIGHT(AB19,3),1/AE19,AE19),IF(W19="CLIENT",IF(K19=RIGHT(AB19,3),1/AM19,AM19),AM19^(VLOOKUP(AJ19,'FX RATES'!$H$1:$J$26,3,FALSE))/AE19^(VLOOKUP(AB19,'FX RATES'!$H$1:$J$26,3,FALSE))))</f>
        <v>4276110.7537688455</v>
      </c>
      <c r="AT19" s="170">
        <f>IF(AB19&lt;&gt;AJ19,J19/IF(K19=RIGHT(AB19,3),AE19,1/AE19),IF(S19="USD",J19/IF(K19=RIGHT(AB19,3),IF(W19="CLIENT",AM19,AE19),1/IF(W19="CLIENT",AM19,AE19)),J19*VLOOKUP(K19,'FX RATES'!$E$1:$F$10,2,FALSE)))</f>
        <v>-54000</v>
      </c>
      <c r="AU19" s="170">
        <f>IF(AB19&lt;&gt;AJ19,R19/IF(S19=RIGHT(AJ19,3),AM19,1/AM19),IF(K19="USD",R19/IF(S19=RIGHT(AJ19,3),IF(W19="CLIENT",AM19,AE19),1/IF(W19="CLIENT",AM19,AE19)),R19*VLOOKUP(S19,'FX RATES'!$E$1:$F$10,2,FALSE)))</f>
        <v>54162.264138934079</v>
      </c>
      <c r="AV19" s="170">
        <f>AT19+AU19</f>
        <v>162.2641389340788</v>
      </c>
      <c r="AW19" s="169"/>
      <c r="AX19" s="170">
        <f>IF(AND(ISERROR(SEARCH("INVOICE",T19)),ISERROR(SEARCH("SWITCH",T19)),ISERROR(SEARCH("FOREX",T19)),ISERROR(SEARCH("REFUND",A19)),ISERROR(SEARCH("CANCELLED",A19))),IF(AW19="",-AT19*X19+AU19*Z19,AW19),0)</f>
        <v>162.26413893406959</v>
      </c>
      <c r="AY19" s="170">
        <f>IF(AZ19="USD",AT19,IF(AZ19=K19,J19,-R19))</f>
        <v>-54000</v>
      </c>
      <c r="AZ19" s="170" t="str">
        <f>LEFT(AB19,3)</f>
        <v>USD</v>
      </c>
      <c r="BA19" s="542">
        <f>IF(OR(A19="REFUND",A19="CANCELLED"),0,IFERROR((IF(OR(AB19="USDAED",LEFT(AB19,3)=RIGHT(AB19,3)),AI19,AG19)-AE19)*-AY19*VLOOKUP(AB19,'FX RATES'!$H$1:$J$26,3,FALSE),0))</f>
        <v>0</v>
      </c>
      <c r="BB19" s="170" t="str">
        <f>RIGHT(AB19,3)</f>
        <v>USD</v>
      </c>
      <c r="BC19" s="542">
        <f>IF(BA19=0,0,IFERROR(BA19/IF(BB19&lt;&gt;"USD",AI19,1),"???"))</f>
        <v>0</v>
      </c>
      <c r="BD19" s="170">
        <f>IFERROR(-AC19/(IF(OR(AB19="USDAED",LEFT(AB19,3)=RIGHT(AB19,3)),AH19,AG19)-AE19)*BC19,0)</f>
        <v>0</v>
      </c>
      <c r="BE19" s="542">
        <f>BC19-BD19</f>
        <v>0</v>
      </c>
      <c r="BF19" s="170">
        <f>IF(BG19="USD",AU19,IF(BG19=S19,R19,-J19))</f>
        <v>54162.264138934079</v>
      </c>
      <c r="BG19" s="170" t="str">
        <f>LEFT(AJ19,3)</f>
        <v>USD</v>
      </c>
      <c r="BH19" s="542">
        <f>IF(OR(A19="REFUND",A19="CANCELLED"),0,IFERROR((IF(OR(AJ19="USDAED",LEFT(AJ19,3)=RIGHT(AJ19,3)),AQ19,AO19)-AM19)*-BF19*VLOOKUP(AJ19,'FX RATES'!$H$1:$J$26,3,FALSE),0))</f>
        <v>2708.1132069465498</v>
      </c>
      <c r="BI19" s="170" t="str">
        <f>RIGHT(AJ19,3)</f>
        <v>RUB</v>
      </c>
      <c r="BJ19" s="542">
        <f>IF(BH19=0,0,IFERROR(BH19/IF(BI19&lt;&gt;"USD",AQ19,1),"???"))</f>
        <v>34.32336130477249</v>
      </c>
      <c r="BK19" s="170">
        <f>IFERROR(-AK19/(IF(OR(AJ19="USDAED",LEFT(AJ19,3)=RIGHT(AJ19,3)),AP19,AO19)-AM19)*BJ19,0)</f>
        <v>0</v>
      </c>
      <c r="BL19" s="542">
        <f>BJ19-BK19</f>
        <v>34.32336130477249</v>
      </c>
      <c r="BM19" s="170">
        <f>IF(AND(ISERROR(SEARCH("REFUND",A19)),ISERROR(SEARCH("CANCELLED",A19))),BD19+BK19,0)</f>
        <v>0</v>
      </c>
      <c r="BN19" s="542">
        <f>IF(AND(ISERROR(SEARCH("REFUND",A19)),ISERROR(SEARCH("CANCELLED",A19))),BE19+BL19,0)</f>
        <v>34.32336130477249</v>
      </c>
    </row>
    <row r="20" spans="1:66" ht="19.5" customHeight="1">
      <c r="A20" s="167" t="s">
        <v>366</v>
      </c>
      <c r="B20" s="168" t="s">
        <v>39</v>
      </c>
      <c r="C20" s="168" t="s">
        <v>367</v>
      </c>
      <c r="D20" s="181" t="s">
        <v>368</v>
      </c>
      <c r="E20" s="171">
        <v>46035</v>
      </c>
      <c r="F20" s="171"/>
      <c r="G20" s="168" t="s">
        <v>39</v>
      </c>
      <c r="H20" s="181" t="s">
        <v>403</v>
      </c>
      <c r="I20" s="169">
        <v>-74369.27</v>
      </c>
      <c r="J20" s="170">
        <f t="shared" si="0"/>
        <v>-74369.27</v>
      </c>
      <c r="K20" s="168" t="s">
        <v>5</v>
      </c>
      <c r="L20" s="168" t="s">
        <v>404</v>
      </c>
      <c r="M20" s="168" t="s">
        <v>20</v>
      </c>
      <c r="N20" s="167" t="s">
        <v>371</v>
      </c>
      <c r="O20" s="168" t="s">
        <v>39</v>
      </c>
      <c r="P20" s="168" t="s">
        <v>379</v>
      </c>
      <c r="Q20" s="169"/>
      <c r="R20" s="170">
        <f t="shared" si="1"/>
        <v>5889096.9480914585</v>
      </c>
      <c r="S20" s="168" t="s">
        <v>9</v>
      </c>
      <c r="T20" s="171" t="s">
        <v>380</v>
      </c>
      <c r="U20" s="171" t="s">
        <v>25</v>
      </c>
      <c r="V20" s="167" t="s">
        <v>371</v>
      </c>
      <c r="W20" s="172" t="s">
        <v>375</v>
      </c>
      <c r="X20" s="173">
        <f>IF(Y20="",VLOOKUP(H20,CLIENTS!$A$1:$O$649,5,FALSE),Y20)</f>
        <v>0</v>
      </c>
      <c r="Y20" s="174">
        <v>0</v>
      </c>
      <c r="Z20" s="173">
        <f>IF(AA20="",VLOOKUP(P20,CLIENTS!$A$1:$O$649,5,FALSE),AA20)</f>
        <v>2.9958891400446719E-3</v>
      </c>
      <c r="AA20" s="174">
        <v>2.9958891400446719E-3</v>
      </c>
      <c r="AB20" s="173" t="str">
        <f>IF(W20="via USD",IF(K20="EUR",K20&amp;"USD","USD"&amp;K20),IFERROR(VLOOKUP(K20&amp;S20,'FX RATES'!$H$2:$H$20,1,FALSE),S20&amp;K20))</f>
        <v>USDUSD</v>
      </c>
      <c r="AC20" s="175">
        <f>IF(LEFT(AB20,3)=RIGHT(AB20,3),0,IFERROR(INDEX(CLIENTS!$A$1:$O$649,MATCH(H20,CLIENTS!$A$1:$A$649,0),MATCH(AB20,CLIENTS!$A$1:$O$1,0)),0))</f>
        <v>0</v>
      </c>
      <c r="AD20" s="176"/>
      <c r="AE20" s="177">
        <f t="shared" si="2"/>
        <v>1</v>
      </c>
      <c r="AF20" s="177" t="str">
        <f t="shared" si="3"/>
        <v>46035USDUSD</v>
      </c>
      <c r="AG20" s="176"/>
      <c r="AH20" s="178">
        <f>IF(LEFT(AB20,3)=RIGHT(AB20,3),1,VLOOKUP(AB20,'FX RATES'!$H$1:$I$20,2,FALSE))</f>
        <v>1</v>
      </c>
      <c r="AI20" s="178">
        <f t="shared" si="4"/>
        <v>1</v>
      </c>
      <c r="AJ20" s="173" t="str">
        <f>IF(W20="via USD",IF(S20="EUR",S20&amp;"USD","USD"&amp;S20),IFERROR(VLOOKUP(K20&amp;S20,'FX RATES'!$H$2:$H$20,1,FALSE),S20&amp;K20))</f>
        <v>USDRUB</v>
      </c>
      <c r="AK20" s="175">
        <f>IF(LEFT(AJ20,3)=RIGHT(AJ20,3),0,IFERROR(INDEX(CLIENTS!$A$1:$O$649,MATCH(P20,CLIENTS!$A$1:$A$649,0),MATCH(AJ20,CLIENTS!$A$1:$O$1,0)),0))</f>
        <v>0</v>
      </c>
      <c r="AL20" s="176">
        <v>78.95</v>
      </c>
      <c r="AM20" s="177">
        <f t="shared" si="5"/>
        <v>78.95</v>
      </c>
      <c r="AN20" s="177" t="str">
        <f t="shared" si="6"/>
        <v>46035USDRUB</v>
      </c>
      <c r="AO20" s="176">
        <v>78.900000000000006</v>
      </c>
      <c r="AP20" s="178">
        <f ca="1">IF(LEFT(AJ20,3)=RIGHT(AJ20,3),1,VLOOKUP(AJ20,'FX RATES'!$H$1:$I$20,2,FALSE))</f>
        <v>76.720500000000001</v>
      </c>
      <c r="AQ20" s="178">
        <f t="shared" si="7"/>
        <v>78.900000000000006</v>
      </c>
      <c r="AR20" s="179">
        <f>-Q20*(1-Z20)/(1+X20)*IF(W20="CLIENT",IF(S20=RIGHT(AJ20,3),1/AM20,AM20),IF(W20="VENDOR",IF(S20=RIGHT(AJ20,3),1/AE20,AE20),AE20^(VLOOKUP(AB20,'FX RATES'!$H$1:$J$26,3,FALSE))/AM20^(VLOOKUP(AJ20,'FX RATES'!$H$1:$J$26,3,FALSE))))</f>
        <v>0</v>
      </c>
      <c r="AS20" s="179">
        <f>-I20*(1+X20)/(1-Z20)*IF(W20="VENDOR",IF(K20=RIGHT(AB20,3),1/AE20,AE20),IF(W20="CLIENT",IF(K20=RIGHT(AB20,3),1/AM20,AM20),AM20^(VLOOKUP(AJ20,'FX RATES'!$H$1:$J$26,3,FALSE))/AE20^(VLOOKUP(AB20,'FX RATES'!$H$1:$J$26,3,FALSE))))</f>
        <v>5889096.9480914585</v>
      </c>
      <c r="AT20" s="170">
        <f>IF(AB20&lt;&gt;AJ20,J20/IF(K20=RIGHT(AB20,3),AE20,1/AE20),IF(S20="USD",J20/IF(K20=RIGHT(AB20,3),IF(W20="CLIENT",AM20,AE20),1/IF(W20="CLIENT",AM20,AE20)),J20*VLOOKUP(K20,'FX RATES'!$E$1:$F$10,2,FALSE)))</f>
        <v>-74369.27</v>
      </c>
      <c r="AU20" s="170">
        <f>IF(AB20&lt;&gt;AJ20,R20/IF(S20=RIGHT(AJ20,3),AM20,1/AM20),IF(K20="USD",R20/IF(S20=RIGHT(AJ20,3),IF(W20="CLIENT",AM20,AE20),1/IF(W20="CLIENT",AM20,AE20)),R20*VLOOKUP(S20,'FX RATES'!$E$1:$F$10,2,FALSE)))</f>
        <v>74592.741584438991</v>
      </c>
      <c r="AV20" s="170">
        <f t="shared" si="8"/>
        <v>223.47158443898661</v>
      </c>
      <c r="AW20" s="169"/>
      <c r="AX20" s="170">
        <f t="shared" si="9"/>
        <v>223.47158443897936</v>
      </c>
      <c r="AY20" s="170">
        <f t="shared" si="10"/>
        <v>-74369.27</v>
      </c>
      <c r="AZ20" s="170" t="str">
        <f t="shared" si="11"/>
        <v>USD</v>
      </c>
      <c r="BA20" s="542">
        <f>IF(OR(A20="REFUND",A20="CANCELLED"),0,IFERROR((IF(OR(AB20="USDAED",LEFT(AB20,3)=RIGHT(AB20,3)),AI20,AG20)-AE20)*-AY20*VLOOKUP(AB20,'FX RATES'!$H$1:$J$26,3,FALSE),0))</f>
        <v>0</v>
      </c>
      <c r="BB20" s="170" t="str">
        <f t="shared" si="12"/>
        <v>USD</v>
      </c>
      <c r="BC20" s="542">
        <f t="shared" si="13"/>
        <v>0</v>
      </c>
      <c r="BD20" s="170">
        <f t="shared" si="14"/>
        <v>0</v>
      </c>
      <c r="BE20" s="542">
        <f t="shared" si="15"/>
        <v>0</v>
      </c>
      <c r="BF20" s="170">
        <f t="shared" si="16"/>
        <v>74592.741584438991</v>
      </c>
      <c r="BG20" s="170" t="str">
        <f t="shared" si="17"/>
        <v>USD</v>
      </c>
      <c r="BH20" s="542">
        <f>IF(OR(A20="REFUND",A20="CANCELLED"),0,IFERROR((IF(OR(AJ20="USDAED",LEFT(AJ20,3)=RIGHT(AJ20,3)),AQ20,AO20)-AM20)*-BF20*VLOOKUP(AJ20,'FX RATES'!$H$1:$J$26,3,FALSE),0))</f>
        <v>3729.6370792217376</v>
      </c>
      <c r="BI20" s="170" t="str">
        <f t="shared" si="18"/>
        <v>RUB</v>
      </c>
      <c r="BJ20" s="542">
        <f t="shared" si="19"/>
        <v>47.270431929299583</v>
      </c>
      <c r="BK20" s="170">
        <f t="shared" si="20"/>
        <v>0</v>
      </c>
      <c r="BL20" s="542">
        <f t="shared" si="21"/>
        <v>47.270431929299583</v>
      </c>
      <c r="BM20" s="170">
        <f t="shared" si="22"/>
        <v>0</v>
      </c>
      <c r="BN20" s="542">
        <f t="shared" si="23"/>
        <v>47.270431929299583</v>
      </c>
    </row>
    <row r="21" spans="1:66" ht="19.5" customHeight="1">
      <c r="A21" s="167" t="s">
        <v>366</v>
      </c>
      <c r="B21" s="168" t="s">
        <v>39</v>
      </c>
      <c r="C21" s="168" t="s">
        <v>367</v>
      </c>
      <c r="D21" s="168" t="s">
        <v>368</v>
      </c>
      <c r="E21" s="171">
        <v>46035</v>
      </c>
      <c r="F21" s="171"/>
      <c r="G21" s="168" t="s">
        <v>39</v>
      </c>
      <c r="H21" s="168" t="s">
        <v>405</v>
      </c>
      <c r="I21" s="169">
        <v>-1320445</v>
      </c>
      <c r="J21" s="170">
        <f t="shared" si="0"/>
        <v>-1320445</v>
      </c>
      <c r="K21" s="168" t="s">
        <v>8</v>
      </c>
      <c r="L21" s="168" t="s">
        <v>16</v>
      </c>
      <c r="M21" s="168" t="s">
        <v>17</v>
      </c>
      <c r="N21" s="167" t="s">
        <v>371</v>
      </c>
      <c r="O21" s="168" t="s">
        <v>39</v>
      </c>
      <c r="P21" s="168" t="s">
        <v>406</v>
      </c>
      <c r="Q21" s="169"/>
      <c r="R21" s="170">
        <f t="shared" si="1"/>
        <v>28548511</v>
      </c>
      <c r="S21" s="168" t="s">
        <v>9</v>
      </c>
      <c r="T21" s="171" t="s">
        <v>391</v>
      </c>
      <c r="U21" s="168" t="s">
        <v>25</v>
      </c>
      <c r="V21" s="167" t="s">
        <v>371</v>
      </c>
      <c r="W21" s="172" t="s">
        <v>375</v>
      </c>
      <c r="X21" s="173">
        <f>IF(Y21="",VLOOKUP(H21,CLIENTS!$A$1:$O$649,5,FALSE),Y21)</f>
        <v>0</v>
      </c>
      <c r="Y21" s="174">
        <v>0</v>
      </c>
      <c r="Z21" s="173">
        <f>IF(AA21="",VLOOKUP(P21,CLIENTS!$A$1:$O$649,5,FALSE),AA21)</f>
        <v>5.0003573739164642E-3</v>
      </c>
      <c r="AA21" s="174">
        <v>5.0003573739164642E-3</v>
      </c>
      <c r="AB21" s="173" t="str">
        <f>IF(W21="via USD",IF(K21="EUR",K21&amp;"USD","USD"&amp;K21),IFERROR(VLOOKUP(K21&amp;S21,'FX RATES'!$H$2:$H$20,1,FALSE),S21&amp;K21))</f>
        <v>USDAED</v>
      </c>
      <c r="AC21" s="175">
        <f>IF(LEFT(AB21,3)=RIGHT(AB21,3),0,IFERROR(INDEX(CLIENTS!$A$1:$O$649,MATCH(H21,CLIENTS!$A$1:$A$649,0),MATCH(AB21,CLIENTS!$A$1:$O$1,0)),0))+0.0075</f>
        <v>0</v>
      </c>
      <c r="AD21" s="176">
        <v>3.67</v>
      </c>
      <c r="AE21" s="177">
        <f t="shared" si="2"/>
        <v>3.67</v>
      </c>
      <c r="AF21" s="177" t="str">
        <f t="shared" si="3"/>
        <v>46035USDAED</v>
      </c>
      <c r="AG21" s="176"/>
      <c r="AH21" s="178">
        <f>IF(LEFT(AB21,3)=RIGHT(AB21,3),1,VLOOKUP(AB21,'FX RATES'!$H$1:$I$20,2,FALSE))</f>
        <v>3.6724999999999999</v>
      </c>
      <c r="AI21" s="178">
        <f t="shared" si="4"/>
        <v>3.6724999999999999</v>
      </c>
      <c r="AJ21" s="173" t="str">
        <f>IF(W21="via USD",IF(S21="EUR",S21&amp;"USD","USD"&amp;S21),IFERROR(VLOOKUP(K21&amp;S21,'FX RATES'!$H$2:$H$20,1,FALSE),S21&amp;K21))</f>
        <v>USDRUB</v>
      </c>
      <c r="AK21" s="175">
        <f>IF(LEFT(AJ21,3)=RIGHT(AJ21,3),0,IFERROR(INDEX(CLIENTS!$A$1:$O$649,MATCH(P21,CLIENTS!$A$1:$A$649,0),MATCH(AJ21,CLIENTS!$A$1:$O$1,0)),0))-0.15</f>
        <v>0</v>
      </c>
      <c r="AL21" s="176">
        <v>78.95</v>
      </c>
      <c r="AM21" s="177">
        <f t="shared" si="5"/>
        <v>78.95</v>
      </c>
      <c r="AN21" s="177" t="str">
        <f t="shared" si="6"/>
        <v>46035USDRUB</v>
      </c>
      <c r="AO21" s="176">
        <v>78.900000000000006</v>
      </c>
      <c r="AP21" s="178">
        <f ca="1">IF(LEFT(AJ21,3)=RIGHT(AJ21,3),1,VLOOKUP(AJ21,'FX RATES'!$H$1:$I$20,2,FALSE))</f>
        <v>76.720500000000001</v>
      </c>
      <c r="AQ21" s="178">
        <f t="shared" si="7"/>
        <v>78.900000000000006</v>
      </c>
      <c r="AR21" s="179">
        <f>-Q21*(1-Z21)/(1+X21)*IF(W21="CLIENT",IF(S21=RIGHT(AJ21,3),1/AM21,AM21),IF(W21="VENDOR",IF(S21=RIGHT(AJ21,3),1/AE21,AE21),AE21^(VLOOKUP(AB21,'FX RATES'!$H$1:$J$26,3,FALSE))/AM21^(VLOOKUP(AJ21,'FX RATES'!$H$1:$J$26,3,FALSE))))</f>
        <v>0</v>
      </c>
      <c r="AS21" s="179">
        <f>-I21*(1+X21)/(1-Z21)*IF(W21="VENDOR",IF(K21=RIGHT(AB21,3),1/AE21,AE21),IF(W21="CLIENT",IF(K21=RIGHT(AB21,3),1/AM21,AM21),AM21^(VLOOKUP(AJ21,'FX RATES'!$H$1:$J$26,3,FALSE))/AE21^(VLOOKUP(AB21,'FX RATES'!$H$1:$J$26,3,FALSE))))</f>
        <v>28548511</v>
      </c>
      <c r="AT21" s="170">
        <f>IF(AB21&lt;&gt;AJ21,J21/IF(K21=RIGHT(AB21,3),AE21,1/AE21),IF(S21="USD",J21/IF(K21=RIGHT(AB21,3),IF(W21="CLIENT",AM21,AE21),1/IF(W21="CLIENT",AM21,AE21)),J21*VLOOKUP(K21,'FX RATES'!$E$1:$F$10,2,FALSE)))</f>
        <v>-359794.27792915533</v>
      </c>
      <c r="AU21" s="170">
        <f>IF(AB21&lt;&gt;AJ21,R21/IF(S21=RIGHT(AJ21,3),AM21,1/AM21),IF(K21="USD",R21/IF(S21=RIGHT(AJ21,3),IF(W21="CLIENT",AM21,AE21),1/IF(W21="CLIENT",AM21,AE21)),R21*VLOOKUP(S21,'FX RATES'!$E$1:$F$10,2,FALSE)))</f>
        <v>361602.41925269156</v>
      </c>
      <c r="AV21" s="170">
        <f t="shared" si="8"/>
        <v>1808.141323536227</v>
      </c>
      <c r="AW21" s="169"/>
      <c r="AX21" s="170">
        <f t="shared" si="9"/>
        <v>1808.141323536229</v>
      </c>
      <c r="AY21" s="170">
        <f t="shared" si="10"/>
        <v>-359794.27792915533</v>
      </c>
      <c r="AZ21" s="170" t="str">
        <f t="shared" si="11"/>
        <v>USD</v>
      </c>
      <c r="BA21" s="542">
        <f>IF(OR(A21="REFUND",A21="CANCELLED"),0,IFERROR((IF(OR(AB21="USDAED",LEFT(AB21,3)=RIGHT(AB21,3)),AI21,AG21)-AE21)*-AY21*VLOOKUP(AB21,'FX RATES'!$H$1:$J$26,3,FALSE),0))</f>
        <v>899.48569482286916</v>
      </c>
      <c r="BB21" s="170" t="str">
        <f t="shared" si="12"/>
        <v>AED</v>
      </c>
      <c r="BC21" s="542">
        <f t="shared" si="13"/>
        <v>244.92462758961722</v>
      </c>
      <c r="BD21" s="170">
        <f t="shared" si="14"/>
        <v>0</v>
      </c>
      <c r="BE21" s="542">
        <f t="shared" si="15"/>
        <v>244.92462758961722</v>
      </c>
      <c r="BF21" s="170">
        <f t="shared" si="16"/>
        <v>361602.41925269156</v>
      </c>
      <c r="BG21" s="170" t="str">
        <f t="shared" si="17"/>
        <v>USD</v>
      </c>
      <c r="BH21" s="542">
        <f>IF(OR(A21="REFUND",A21="CANCELLED"),0,IFERROR((IF(OR(AJ21="USDAED",LEFT(AJ21,3)=RIGHT(AJ21,3)),AQ21,AO21)-AM21)*-BF21*VLOOKUP(AJ21,'FX RATES'!$H$1:$J$26,3,FALSE),0))</f>
        <v>18080.120962633551</v>
      </c>
      <c r="BI21" s="170" t="str">
        <f t="shared" si="18"/>
        <v>RUB</v>
      </c>
      <c r="BJ21" s="542">
        <f t="shared" si="19"/>
        <v>229.15235694085615</v>
      </c>
      <c r="BK21" s="170">
        <f t="shared" si="20"/>
        <v>0</v>
      </c>
      <c r="BL21" s="542">
        <f t="shared" si="21"/>
        <v>229.15235694085615</v>
      </c>
      <c r="BM21" s="170">
        <f t="shared" si="22"/>
        <v>0</v>
      </c>
      <c r="BN21" s="542">
        <f t="shared" si="23"/>
        <v>474.0769845304734</v>
      </c>
    </row>
    <row r="22" spans="1:66" ht="19.5" customHeight="1">
      <c r="A22" s="167" t="s">
        <v>366</v>
      </c>
      <c r="B22" s="168" t="s">
        <v>43</v>
      </c>
      <c r="C22" s="168" t="s">
        <v>367</v>
      </c>
      <c r="D22" s="168" t="s">
        <v>368</v>
      </c>
      <c r="E22" s="171">
        <v>46035</v>
      </c>
      <c r="F22" s="171"/>
      <c r="G22" s="168" t="s">
        <v>43</v>
      </c>
      <c r="H22" s="181" t="s">
        <v>407</v>
      </c>
      <c r="I22" s="169">
        <v>-6000000</v>
      </c>
      <c r="J22" s="170">
        <f t="shared" si="0"/>
        <v>-6000000</v>
      </c>
      <c r="K22" s="168" t="s">
        <v>8</v>
      </c>
      <c r="L22" s="171" t="s">
        <v>17</v>
      </c>
      <c r="M22" s="168" t="s">
        <v>17</v>
      </c>
      <c r="N22" s="167" t="s">
        <v>371</v>
      </c>
      <c r="O22" s="168" t="s">
        <v>39</v>
      </c>
      <c r="P22" s="168" t="s">
        <v>408</v>
      </c>
      <c r="Q22" s="169"/>
      <c r="R22" s="170">
        <v>129130186.11</v>
      </c>
      <c r="S22" s="168" t="s">
        <v>9</v>
      </c>
      <c r="T22" s="171" t="s">
        <v>409</v>
      </c>
      <c r="U22" s="168" t="s">
        <v>25</v>
      </c>
      <c r="V22" s="167" t="s">
        <v>371</v>
      </c>
      <c r="W22" s="172" t="s">
        <v>375</v>
      </c>
      <c r="X22" s="173">
        <f>IF(Y22="",VLOOKUP(H22,CLIENTS!$A$1:$O$649,5,FALSE),Y22)</f>
        <v>9.8383660544665297E-4</v>
      </c>
      <c r="Y22" s="174">
        <v>9.8383660544665297E-4</v>
      </c>
      <c r="Z22" s="173">
        <f>IF(AA22="",VLOOKUP(P22,CLIENTS!$A$1:$O$649,5,FALSE),AA22)</f>
        <v>0</v>
      </c>
      <c r="AA22" s="174">
        <v>0</v>
      </c>
      <c r="AB22" s="173" t="str">
        <f>IF(W22="via USD",IF(K22="EUR",K22&amp;"USD","USD"&amp;K22),IFERROR(VLOOKUP(K22&amp;S22,'FX RATES'!$H$2:$H$20,1,FALSE),S22&amp;K22))</f>
        <v>USDAED</v>
      </c>
      <c r="AC22" s="175">
        <f>IF(LEFT(AB22,3)=RIGHT(AB22,3),0,IFERROR(INDEX(CLIENTS!$A$1:$O$649,MATCH(H22,CLIENTS!$A$1:$A$649,0),MATCH(AB22,CLIENTS!$A$1:$O$1,0)),0))</f>
        <v>-5.0000000000000001E-4</v>
      </c>
      <c r="AD22" s="176"/>
      <c r="AE22" s="177">
        <f t="shared" si="2"/>
        <v>3.6719999999999997</v>
      </c>
      <c r="AF22" s="177" t="str">
        <f t="shared" si="3"/>
        <v>46035USDAED</v>
      </c>
      <c r="AG22" s="176"/>
      <c r="AH22" s="178">
        <f>IF(LEFT(AB22,3)=RIGHT(AB22,3),1,VLOOKUP(AB22,'FX RATES'!$H$1:$I$20,2,FALSE))</f>
        <v>3.6724999999999999</v>
      </c>
      <c r="AI22" s="178">
        <f t="shared" si="4"/>
        <v>3.6724999999999999</v>
      </c>
      <c r="AJ22" s="173" t="str">
        <f>IF(W22="via USD",IF(S22="EUR",S22&amp;"USD","USD"&amp;S22),IFERROR(VLOOKUP(K22&amp;S22,'FX RATES'!$H$2:$H$20,1,FALSE),S22&amp;K22))</f>
        <v>USDRUB</v>
      </c>
      <c r="AK22" s="175">
        <f>IF(LEFT(AJ22,3)=RIGHT(AJ22,3),0,IFERROR(INDEX(CLIENTS!$A$1:$O$649,MATCH(P22,CLIENTS!$A$1:$A$649,0),MATCH(AJ22,CLIENTS!$A$1:$O$1,0)),0))</f>
        <v>0</v>
      </c>
      <c r="AL22" s="176">
        <v>78.95</v>
      </c>
      <c r="AM22" s="177">
        <f t="shared" si="5"/>
        <v>78.95</v>
      </c>
      <c r="AN22" s="177" t="str">
        <f t="shared" si="6"/>
        <v>46035USDRUB</v>
      </c>
      <c r="AO22" s="176">
        <v>78.900000000000006</v>
      </c>
      <c r="AP22" s="178">
        <f ca="1">IF(LEFT(AJ22,3)=RIGHT(AJ22,3),1,VLOOKUP(AJ22,'FX RATES'!$H$1:$I$20,2,FALSE))</f>
        <v>76.720500000000001</v>
      </c>
      <c r="AQ22" s="178">
        <f t="shared" si="7"/>
        <v>78.900000000000006</v>
      </c>
      <c r="AR22" s="179">
        <f>-Q22*(1-Z22)/(1+X22)*IF(W22="CLIENT",IF(S22=RIGHT(AJ22,3),1/AM22,AM22),IF(W22="VENDOR",IF(S22=RIGHT(AJ22,3),1/AE22,AE22),AE22^(VLOOKUP(AB22,'FX RATES'!$H$1:$J$26,3,FALSE))/AM22^(VLOOKUP(AJ22,'FX RATES'!$H$1:$J$26,3,FALSE))))</f>
        <v>0</v>
      </c>
      <c r="AS22" s="179">
        <f>-I22*(1+X22)/(1-Z22)*IF(W22="VENDOR",IF(K22=RIGHT(AB22,3),1/AE22,AE22),IF(W22="CLIENT",IF(K22=RIGHT(AB22,3),1/AM22,AM22),AM22^(VLOOKUP(AJ22,'FX RATES'!$H$1:$J$26,3,FALSE))/AE22^(VLOOKUP(AB22,'FX RATES'!$H$1:$J$26,3,FALSE))))</f>
        <v>129130186.11111115</v>
      </c>
      <c r="AT22" s="170">
        <f>IF(AB22&lt;&gt;AJ22,J22/IF(K22=RIGHT(AB22,3),AE22,1/AE22),IF(S22="USD",J22/IF(K22=RIGHT(AB22,3),IF(W22="CLIENT",AM22,AE22),1/IF(W22="CLIENT",AM22,AE22)),J22*VLOOKUP(K22,'FX RATES'!$E$1:$F$10,2,FALSE)))</f>
        <v>-1633986.9281045753</v>
      </c>
      <c r="AU22" s="170">
        <f>IF(AB22&lt;&gt;AJ22,R22/IF(S22=RIGHT(AJ22,3),AM22,1/AM22),IF(K22="USD",R22/IF(S22=RIGHT(AJ22,3),IF(W22="CLIENT",AM22,AE22),1/IF(W22="CLIENT",AM22,AE22)),R22*VLOOKUP(S22,'FX RATES'!$E$1:$F$10,2,FALSE)))</f>
        <v>1635594.5042431918</v>
      </c>
      <c r="AV22" s="170">
        <f t="shared" si="8"/>
        <v>1607.5761386165395</v>
      </c>
      <c r="AW22" s="169"/>
      <c r="AX22" s="170">
        <f t="shared" si="9"/>
        <v>1607.5761526906094</v>
      </c>
      <c r="AY22" s="170">
        <f t="shared" si="10"/>
        <v>-1633986.9281045753</v>
      </c>
      <c r="AZ22" s="170" t="str">
        <f t="shared" si="11"/>
        <v>USD</v>
      </c>
      <c r="BA22" s="542">
        <f>IF(OR(A22="REFUND",A22="CANCELLED"),0,IFERROR((IF(OR(AB22="USDAED",LEFT(AB22,3)=RIGHT(AB22,3)),AI22,AG22)-AE22)*-AY22*VLOOKUP(AB22,'FX RATES'!$H$1:$J$26,3,FALSE),0))</f>
        <v>816.99346405256051</v>
      </c>
      <c r="BB22" s="170" t="str">
        <f t="shared" si="12"/>
        <v>AED</v>
      </c>
      <c r="BC22" s="542">
        <f t="shared" si="13"/>
        <v>222.4624817025352</v>
      </c>
      <c r="BD22" s="170">
        <f t="shared" si="14"/>
        <v>222.46248170246091</v>
      </c>
      <c r="BE22" s="542">
        <f t="shared" si="15"/>
        <v>7.4294348451076075E-11</v>
      </c>
      <c r="BF22" s="170">
        <f t="shared" si="16"/>
        <v>1635594.5042431918</v>
      </c>
      <c r="BG22" s="170" t="str">
        <f t="shared" si="17"/>
        <v>USD</v>
      </c>
      <c r="BH22" s="542">
        <f>IF(OR(A22="REFUND",A22="CANCELLED"),0,IFERROR((IF(OR(AJ22="USDAED",LEFT(AJ22,3)=RIGHT(AJ22,3)),AQ22,AO22)-AM22)*-BF22*VLOOKUP(AJ22,'FX RATES'!$H$1:$J$26,3,FALSE),0))</f>
        <v>81779.725212154939</v>
      </c>
      <c r="BI22" s="170" t="str">
        <f t="shared" si="18"/>
        <v>RUB</v>
      </c>
      <c r="BJ22" s="542">
        <f t="shared" si="19"/>
        <v>1036.4984184050054</v>
      </c>
      <c r="BK22" s="170">
        <f t="shared" si="20"/>
        <v>0</v>
      </c>
      <c r="BL22" s="542">
        <f t="shared" si="21"/>
        <v>1036.4984184050054</v>
      </c>
      <c r="BM22" s="170">
        <f t="shared" si="22"/>
        <v>222.46248170246091</v>
      </c>
      <c r="BN22" s="542">
        <f t="shared" si="23"/>
        <v>1036.4984184050797</v>
      </c>
    </row>
    <row r="23" spans="1:66" ht="19.5" customHeight="1">
      <c r="A23" s="167" t="s">
        <v>366</v>
      </c>
      <c r="B23" s="168" t="s">
        <v>39</v>
      </c>
      <c r="C23" s="168" t="s">
        <v>383</v>
      </c>
      <c r="D23" s="168" t="s">
        <v>128</v>
      </c>
      <c r="E23" s="171">
        <v>46035</v>
      </c>
      <c r="F23" s="171"/>
      <c r="G23" s="168" t="s">
        <v>39</v>
      </c>
      <c r="H23" s="168" t="s">
        <v>410</v>
      </c>
      <c r="I23" s="169">
        <v>-269200000</v>
      </c>
      <c r="J23" s="170">
        <f t="shared" si="0"/>
        <v>-269200000</v>
      </c>
      <c r="K23" s="168" t="s">
        <v>9</v>
      </c>
      <c r="L23" s="171" t="s">
        <v>411</v>
      </c>
      <c r="M23" s="168" t="s">
        <v>25</v>
      </c>
      <c r="N23" s="167" t="s">
        <v>371</v>
      </c>
      <c r="O23" s="168" t="s">
        <v>39</v>
      </c>
      <c r="P23" s="349" t="s">
        <v>410</v>
      </c>
      <c r="Q23" s="169"/>
      <c r="R23" s="170">
        <f t="shared" si="1"/>
        <v>12520930.232558139</v>
      </c>
      <c r="S23" s="168" t="s">
        <v>8</v>
      </c>
      <c r="T23" s="171" t="s">
        <v>385</v>
      </c>
      <c r="U23" s="168" t="s">
        <v>20</v>
      </c>
      <c r="V23" s="167" t="s">
        <v>371</v>
      </c>
      <c r="W23" s="172" t="s">
        <v>382</v>
      </c>
      <c r="X23" s="173">
        <f>IF(Y23="",VLOOKUP(H23,CLIENTS!$A$1:$O$649,5,FALSE),Y23)</f>
        <v>0</v>
      </c>
      <c r="Y23" s="174">
        <v>0</v>
      </c>
      <c r="Z23" s="173">
        <f>IF(AA23="",VLOOKUP(P23,CLIENTS!$A$1:$O$649,5,FALSE),AA23)</f>
        <v>0</v>
      </c>
      <c r="AA23" s="174">
        <v>0</v>
      </c>
      <c r="AB23" s="173" t="str">
        <f>IF(W23="via USD",IF(K23="EUR",K23&amp;"USD","USD"&amp;K23),IFERROR(VLOOKUP(K23&amp;S23,'FX RATES'!$H$2:$H$20,1,FALSE),S23&amp;K23))</f>
        <v>AEDRUB</v>
      </c>
      <c r="AC23" s="175">
        <f>IF(LEFT(AB23,3)=RIGHT(AB23,3),0,IFERROR(INDEX(CLIENTS!$A$1:$O$649,MATCH(H23,CLIENTS!$A$1:$A$649,0),MATCH(AB23,CLIENTS!$A$1:$O$1,0)),0))</f>
        <v>0</v>
      </c>
      <c r="AD23" s="176">
        <v>21.5</v>
      </c>
      <c r="AE23" s="177">
        <f t="shared" si="2"/>
        <v>21.5</v>
      </c>
      <c r="AF23" s="177" t="str">
        <f t="shared" si="3"/>
        <v>46035AEDRUB</v>
      </c>
      <c r="AG23" s="176">
        <v>21.484000000000002</v>
      </c>
      <c r="AH23" s="178">
        <f ca="1">IF(LEFT(AB23,3)=RIGHT(AB23,3),1,VLOOKUP(AB23,'FX RATES'!$H$1:$I$20,2,FALSE))</f>
        <v>20.8843</v>
      </c>
      <c r="AI23" s="178">
        <f t="shared" si="4"/>
        <v>78.900000000000006</v>
      </c>
      <c r="AJ23" s="173" t="str">
        <f>IF(W23="via USD",IF(S23="EUR",S23&amp;"USD","USD"&amp;S23),IFERROR(VLOOKUP(K23&amp;S23,'FX RATES'!$H$2:$H$20,1,FALSE),S23&amp;K23))</f>
        <v>AEDRUB</v>
      </c>
      <c r="AK23" s="175">
        <f>IF(LEFT(AJ23,3)=RIGHT(AJ23,3),0,IFERROR(INDEX(CLIENTS!$A$1:$O$649,MATCH(P23,CLIENTS!$A$1:$A$649,0),MATCH(AJ23,CLIENTS!$A$1:$O$1,0)),0))</f>
        <v>0</v>
      </c>
      <c r="AL23" s="176"/>
      <c r="AM23" s="177" t="str">
        <f t="shared" si="5"/>
        <v/>
      </c>
      <c r="AN23" s="177" t="str">
        <f t="shared" si="6"/>
        <v>46035AEDRUB</v>
      </c>
      <c r="AO23" s="176"/>
      <c r="AP23" s="178">
        <f ca="1">IF(LEFT(AJ23,3)=RIGHT(AJ23,3),1,VLOOKUP(AJ23,'FX RATES'!$H$1:$I$20,2,FALSE))</f>
        <v>20.8843</v>
      </c>
      <c r="AQ23" s="178">
        <f t="shared" si="7"/>
        <v>78.900000000000006</v>
      </c>
      <c r="AR23" s="179">
        <f>-Q23*(1-Z23)/(1+X23)*IF(W23="CLIENT",IF(S23=RIGHT(AJ23,3),1/AM23,AM23),IF(W23="VENDOR",IF(S23=RIGHT(AJ23,3),1/AE23,AE23),AE23^(VLOOKUP(AB23,'FX RATES'!$H$1:$J$26,3,FALSE))/AM23^(VLOOKUP(AJ23,'FX RATES'!$H$1:$J$26,3,FALSE))))</f>
        <v>0</v>
      </c>
      <c r="AS23" s="179">
        <f>-I23*(1+X23)/(1-Z23)*IF(W23="VENDOR",IF(K23=RIGHT(AB23,3),1/AE23,AE23),IF(W23="CLIENT",IF(K23=RIGHT(AB23,3),1/AM23,AM23),AM23^(VLOOKUP(AJ23,'FX RATES'!$H$1:$J$26,3,FALSE))/AE23^(VLOOKUP(AB23,'FX RATES'!$H$1:$J$26,3,FALSE))))</f>
        <v>12520930.232558139</v>
      </c>
      <c r="AT23" s="170">
        <f ca="1">IF(AB23&lt;&gt;AJ23,J23/IF(K23=RIGHT(AB23,3),AE23,1/AE23),IF(S23="USD",J23/IF(K23=RIGHT(AB23,3),IF(W23="CLIENT",AM23,AE23),1/IF(W23="CLIENT",AM23,AE23)),J23*VLOOKUP(K23,'FX RATES'!$E$1:$F$10,2,FALSE)))</f>
        <v>-3508840.5315398099</v>
      </c>
      <c r="AU23" s="170">
        <f ca="1">IF(AB23&lt;&gt;AJ23,R23/IF(S23=RIGHT(AJ23,3),AM23,1/AM23),IF(K23="USD",R23/IF(S23=RIGHT(AJ23,3),IF(W23="CLIENT",AM23,AE23),1/IF(W23="CLIENT",AM23,AE23)),R23*VLOOKUP(S23,'FX RATES'!$E$1:$F$10,2,FALSE)))</f>
        <v>3409282.3156777592</v>
      </c>
      <c r="AV23" s="170">
        <f t="shared" ca="1" si="8"/>
        <v>-99558.215862050653</v>
      </c>
      <c r="AW23" s="169"/>
      <c r="AX23" s="170">
        <f t="shared" ca="1" si="9"/>
        <v>0</v>
      </c>
      <c r="AY23" s="170">
        <f t="shared" si="10"/>
        <v>-12520930.232558139</v>
      </c>
      <c r="AZ23" s="170" t="str">
        <f t="shared" si="11"/>
        <v>AED</v>
      </c>
      <c r="BA23" s="542">
        <f>IF(OR(A23="REFUND",A23="CANCELLED"),0,IFERROR((IF(OR(AB23="USDAED",LEFT(AB23,3)=RIGHT(AB23,3)),AI23,AG23)-AE23)*-AY23*VLOOKUP(AB23,'FX RATES'!$H$1:$J$26,3,FALSE),0))</f>
        <v>-200334.88372090817</v>
      </c>
      <c r="BB23" s="170" t="str">
        <f t="shared" si="12"/>
        <v>RUB</v>
      </c>
      <c r="BC23" s="542">
        <f t="shared" si="13"/>
        <v>-2539.0986529899637</v>
      </c>
      <c r="BD23" s="170">
        <f t="shared" si="14"/>
        <v>0</v>
      </c>
      <c r="BE23" s="542">
        <f t="shared" si="15"/>
        <v>-2539.0986529899637</v>
      </c>
      <c r="BF23" s="170">
        <f t="shared" si="16"/>
        <v>12520930.232558139</v>
      </c>
      <c r="BG23" s="170" t="str">
        <f t="shared" si="17"/>
        <v>AED</v>
      </c>
      <c r="BH23" s="542">
        <f>IF(OR(A23="REFUND",A23="CANCELLED"),0,IFERROR((IF(OR(AJ23="USDAED",LEFT(AJ23,3)=RIGHT(AJ23,3)),AQ23,AO23)-AM23)*-BF23*VLOOKUP(AJ23,'FX RATES'!$H$1:$J$26,3,FALSE),0))</f>
        <v>0</v>
      </c>
      <c r="BI23" s="170" t="str">
        <f t="shared" si="18"/>
        <v>RUB</v>
      </c>
      <c r="BJ23" s="542">
        <f t="shared" si="19"/>
        <v>0</v>
      </c>
      <c r="BK23" s="170">
        <f t="shared" si="20"/>
        <v>0</v>
      </c>
      <c r="BL23" s="542">
        <f t="shared" si="21"/>
        <v>0</v>
      </c>
      <c r="BM23" s="170">
        <f t="shared" si="22"/>
        <v>0</v>
      </c>
      <c r="BN23" s="542">
        <f t="shared" si="23"/>
        <v>-2539.0986529899637</v>
      </c>
    </row>
    <row r="25" spans="1:66" ht="19.5" customHeight="1">
      <c r="A25" s="167" t="s">
        <v>366</v>
      </c>
      <c r="B25" s="225" t="s">
        <v>42</v>
      </c>
      <c r="C25" s="225" t="s">
        <v>367</v>
      </c>
      <c r="D25" s="225" t="s">
        <v>368</v>
      </c>
      <c r="E25" s="226">
        <v>46035</v>
      </c>
      <c r="F25" s="226"/>
      <c r="G25" s="225" t="s">
        <v>42</v>
      </c>
      <c r="H25" s="225" t="s">
        <v>412</v>
      </c>
      <c r="I25" s="227"/>
      <c r="J25" s="170">
        <f>IF(I25="",AR25,I25)</f>
        <v>-1941649.007389948</v>
      </c>
      <c r="K25" s="225" t="s">
        <v>7</v>
      </c>
      <c r="L25" s="226" t="s">
        <v>22</v>
      </c>
      <c r="M25" s="225" t="s">
        <v>22</v>
      </c>
      <c r="N25" s="167" t="s">
        <v>371</v>
      </c>
      <c r="O25" s="225" t="s">
        <v>52</v>
      </c>
      <c r="P25" s="225" t="s">
        <v>413</v>
      </c>
      <c r="Q25" s="227">
        <v>22044943.699999999</v>
      </c>
      <c r="R25" s="170">
        <f>IF(Q25="",AS25,Q25)</f>
        <v>22044943.699999999</v>
      </c>
      <c r="S25" s="225" t="s">
        <v>9</v>
      </c>
      <c r="T25" s="226" t="s">
        <v>414</v>
      </c>
      <c r="U25" s="225" t="s">
        <v>25</v>
      </c>
      <c r="V25" s="167" t="s">
        <v>371</v>
      </c>
      <c r="W25" s="230" t="s">
        <v>389</v>
      </c>
      <c r="X25" s="173">
        <f>IF(Y25="",VLOOKUP(H25,CLIENTS!$A$1:$O$649,5,FALSE),Y25)</f>
        <v>0</v>
      </c>
      <c r="Y25" s="234">
        <v>0</v>
      </c>
      <c r="Z25" s="173">
        <f>IF(AA25="",VLOOKUP(P25,CLIENTS!$A$1:$O$649,5,FALSE),AA25)</f>
        <v>6.0000000000000001E-3</v>
      </c>
      <c r="AA25" s="234">
        <v>6.0000000000000001E-3</v>
      </c>
      <c r="AB25" s="173" t="str">
        <f>IF(W25="via USD",IF(K25="EUR",K25&amp;"USD","USD"&amp;K25),IFERROR(VLOOKUP(K25&amp;S25,'FX RATES'!$H$2:$H$20,1,FALSE),S25&amp;K25))</f>
        <v>CNYRUB</v>
      </c>
      <c r="AC25" s="175">
        <f>IF(LEFT(AB25,3)=RIGHT(AB25,3),0,IFERROR(INDEX(CLIENTS!$A$1:$O$649,MATCH(H25,CLIENTS!$A$1:$A$649,0),MATCH(AB25,CLIENTS!$A$1:$O$1,0)),0))</f>
        <v>0</v>
      </c>
      <c r="AD25" s="176"/>
      <c r="AE25" s="177" t="str">
        <f>IF(W25="CLIENT","",IF(AD25="",AH25+AC25,AD25+AC25))</f>
        <v/>
      </c>
      <c r="AF25" s="177" t="str">
        <f>E25&amp;AB25</f>
        <v>46035CNYRUB</v>
      </c>
      <c r="AG25" s="176"/>
      <c r="AH25" s="178">
        <f ca="1">IF(LEFT(AB25,3)=RIGHT(AB25,3),1,VLOOKUP(AB25,'FX RATES'!$H$1:$I$20,2,FALSE))</f>
        <v>11.103899999999999</v>
      </c>
      <c r="AI25" s="178">
        <f>IF(OR(AB25="USDAED",LEFT(AB25,3)=RIGHT(AB25,3)),AH25,IF(LEFT(AB25)="USD",AG25,IF(RIGHT(AB25,3)="USD",1,IFERROR(VLOOKUP(E25&amp;"USD"&amp;RIGHT(AB25,3),$AF:$AG,2,FALSE),VLOOKUP(E25&amp;"USD"&amp;RIGHT(AJ25,3),$AN:$AO,2,FALSE)))))</f>
        <v>78.900000000000006</v>
      </c>
      <c r="AJ25" s="173" t="str">
        <f>IF(W25="via USD",IF(S25="EUR",S25&amp;"USD","USD"&amp;S25),IFERROR(VLOOKUP(K25&amp;S25,'FX RATES'!$H$2:$H$20,1,FALSE),S25&amp;K25))</f>
        <v>CNYRUB</v>
      </c>
      <c r="AK25" s="175">
        <f>IF(LEFT(AJ25,3)=RIGHT(AJ25,3),0,IFERROR(INDEX(CLIENTS!$A$1:$O$649,MATCH(P25,CLIENTS!$A$1:$A$649,0),MATCH(AJ25,CLIENTS!$A$1:$O$1,0)),0))</f>
        <v>0</v>
      </c>
      <c r="AL25" s="176">
        <v>11.285600000000001</v>
      </c>
      <c r="AM25" s="177">
        <f>IF(W25="VENDOR","",IF(AL25="",AP25+AK25,AL25+AK25))</f>
        <v>11.285600000000001</v>
      </c>
      <c r="AN25" s="177" t="str">
        <f>E25&amp;AJ25</f>
        <v>46035CNYRUB</v>
      </c>
      <c r="AO25" s="176">
        <v>11.29</v>
      </c>
      <c r="AP25" s="178">
        <f ca="1">IF(LEFT(AJ25,3)=RIGHT(AJ25,3),1,VLOOKUP(AJ25,'FX RATES'!$H$1:$I$20,2,FALSE))</f>
        <v>11.103899999999999</v>
      </c>
      <c r="AQ25" s="178">
        <f>IF(OR(AJ25="USDAED",LEFT(AJ25,3)=RIGHT(AJ25,3)),AP25,IF(LEFT(AJ25)="USD",AO25,IF(RIGHT(AJ25,3)="USD",1,IFERROR(VLOOKUP(E25&amp;"USD"&amp;RIGHT(AJ25,3),$AN:$AO,2,FALSE),VLOOKUP(E25&amp;"USD"&amp;RIGHT(AB25,3),$AF:$AG,2,FALSE)))))</f>
        <v>78.900000000000006</v>
      </c>
      <c r="AR25" s="179">
        <f>-Q25*(1-Z25)/(1+X25)*IF(W25="CLIENT",IF(S25=RIGHT(AJ25,3),1/AM25,AM25),IF(W25="VENDOR",IF(S25=RIGHT(AJ25,3),1/AE25,AE25),AE25^(VLOOKUP(AB25,'FX RATES'!$H$1:$J$26,3,FALSE))/AM25^(VLOOKUP(AJ25,'FX RATES'!$H$1:$J$26,3,FALSE))))</f>
        <v>-1941649.007389948</v>
      </c>
      <c r="AS25" s="179">
        <f>-I25*(1+X25)/(1-Z25)*IF(W25="VENDOR",IF(K25=RIGHT(AB25,3),1/AE25,AE25),IF(W25="CLIENT",IF(K25=RIGHT(AB25,3),1/AM25,AM25),AM25^(VLOOKUP(AJ25,'FX RATES'!$H$1:$J$26,3,FALSE))/AE25^(VLOOKUP(AB25,'FX RATES'!$H$1:$J$26,3,FALSE))))</f>
        <v>0</v>
      </c>
      <c r="AT25" s="170">
        <f ca="1">IF(AB25&lt;&gt;AJ25,J25/IF(K25=RIGHT(AB25,3),AE25,1/AE25),IF(S25="USD",J25/IF(K25=RIGHT(AB25,3),IF(W25="CLIENT",AM25,AE25),1/IF(W25="CLIENT",AM25,AE25)),J25*VLOOKUP(K25,'FX RATES'!$E$1:$F$10,2,FALSE)))</f>
        <v>-281072.52567891544</v>
      </c>
      <c r="AU25" s="170">
        <f ca="1">IF(AB25&lt;&gt;AJ25,R25/IF(S25=RIGHT(AJ25,3),AM25,1/AM25),IF(K25="USD",R25/IF(S25=RIGHT(AJ25,3),IF(W25="CLIENT",AM25,AE25),1/IF(W25="CLIENT",AM25,AE25)),R25*VLOOKUP(S25,'FX RATES'!$E$1:$F$10,2,FALSE)))</f>
        <v>287340.98057233723</v>
      </c>
      <c r="AV25" s="170">
        <f ca="1">AT25+AU25</f>
        <v>6268.4548934217892</v>
      </c>
      <c r="AW25" s="227"/>
      <c r="AX25" s="170">
        <f ca="1">IF(AND(ISERROR(SEARCH("INVOICE",T25)),ISERROR(SEARCH("SWITCH",T25)),ISERROR(SEARCH("FOREX",T25)),ISERROR(SEARCH("REFUND",A25)),ISERROR(SEARCH("CANCELLED",A25))),IF(AW25="",-AT25*X25+AU25*Z25,AW25),0)</f>
        <v>1724.0458834340234</v>
      </c>
      <c r="AY25" s="170">
        <f>IF(AZ25="USD",AT25,IF(AZ25=K25,J25,-R25))</f>
        <v>-1941649.007389948</v>
      </c>
      <c r="AZ25" s="170" t="str">
        <f>LEFT(AB25,3)</f>
        <v>CNY</v>
      </c>
      <c r="BA25" s="542">
        <f>IF(OR(A25="REFUND",A25="CANCELLED"),0,IFERROR((IF(OR(AB25="USDAED",LEFT(AB25,3)=RIGHT(AB25,3)),AI25,AG25)-AE25)*-AY25*VLOOKUP(AB25,'FX RATES'!$H$1:$J$26,3,FALSE),0))</f>
        <v>0</v>
      </c>
      <c r="BB25" s="170" t="str">
        <f>RIGHT(AB25,3)</f>
        <v>RUB</v>
      </c>
      <c r="BC25" s="542">
        <f>IF(BA25=0,0,IFERROR(BA25/IF(BB25&lt;&gt;"USD",AI25,1),"???"))</f>
        <v>0</v>
      </c>
      <c r="BD25" s="170">
        <f>IFERROR(-AC25/(IF(OR(AB25="USDAED",LEFT(AB25,3)=RIGHT(AB25,3)),AH25,AG25)-AE25)*BC25,0)</f>
        <v>0</v>
      </c>
      <c r="BE25" s="542">
        <f>BC25-BD25</f>
        <v>0</v>
      </c>
      <c r="BF25" s="170">
        <f>IF(BG25="USD",AU25,IF(BG25=S25,R25,-J25))</f>
        <v>1941649.007389948</v>
      </c>
      <c r="BG25" s="170" t="str">
        <f>LEFT(AJ25,3)</f>
        <v>CNY</v>
      </c>
      <c r="BH25" s="542">
        <f>IF(OR(A25="REFUND",A25="CANCELLED"),0,IFERROR((IF(OR(AJ25="USDAED",LEFT(AJ25,3)=RIGHT(AJ25,3)),AQ25,AO25)-AM25)*-BF25*VLOOKUP(AJ25,'FX RATES'!$H$1:$J$26,3,FALSE),0))</f>
        <v>-8543.2556325131063</v>
      </c>
      <c r="BI25" s="170" t="str">
        <f>RIGHT(AJ25,3)</f>
        <v>RUB</v>
      </c>
      <c r="BJ25" s="542">
        <f>IF(BH25=0,0,IFERROR(BH25/IF(BI25&lt;&gt;"USD",AQ25,1),"???"))</f>
        <v>-108.27953906860716</v>
      </c>
      <c r="BK25" s="170">
        <f>IFERROR(-AK25/(IF(OR(AJ25="USDAED",LEFT(AJ25,3)=RIGHT(AJ25,3)),AP25,AO25)-AM25)*BJ25,0)</f>
        <v>0</v>
      </c>
      <c r="BL25" s="542">
        <f>BJ25-BK25</f>
        <v>-108.27953906860716</v>
      </c>
      <c r="BM25" s="170">
        <f>IF(AND(ISERROR(SEARCH("REFUND",A25)),ISERROR(SEARCH("CANCELLED",A25))),BD25+BK25,0)</f>
        <v>0</v>
      </c>
      <c r="BN25" s="542">
        <f>IF(AND(ISERROR(SEARCH("REFUND",A25)),ISERROR(SEARCH("CANCELLED",A25))),BE25+BL25,0)</f>
        <v>-108.27953906860716</v>
      </c>
    </row>
    <row r="26" spans="1:66" ht="19.5" customHeight="1">
      <c r="A26" s="167" t="s">
        <v>366</v>
      </c>
      <c r="B26" s="225" t="s">
        <v>34</v>
      </c>
      <c r="C26" s="225" t="s">
        <v>383</v>
      </c>
      <c r="D26" s="225" t="s">
        <v>368</v>
      </c>
      <c r="E26" s="226">
        <v>46035</v>
      </c>
      <c r="F26" s="226"/>
      <c r="G26" s="225" t="s">
        <v>52</v>
      </c>
      <c r="H26" s="228" t="s">
        <v>390</v>
      </c>
      <c r="I26" s="227">
        <f>-R25</f>
        <v>-22044943.699999999</v>
      </c>
      <c r="J26" s="170">
        <f>IF(I26="",AR26,I26)</f>
        <v>-22044943.699999999</v>
      </c>
      <c r="K26" s="225" t="s">
        <v>9</v>
      </c>
      <c r="L26" s="226" t="s">
        <v>391</v>
      </c>
      <c r="M26" s="225" t="s">
        <v>25</v>
      </c>
      <c r="N26" s="167" t="s">
        <v>371</v>
      </c>
      <c r="O26" s="225" t="s">
        <v>34</v>
      </c>
      <c r="P26" s="225" t="s">
        <v>392</v>
      </c>
      <c r="Q26" s="227"/>
      <c r="R26" s="170">
        <f>IF(Q26="",AS26,Q26)</f>
        <v>1954338.9804964538</v>
      </c>
      <c r="S26" s="225" t="s">
        <v>7</v>
      </c>
      <c r="T26" s="226" t="s">
        <v>22</v>
      </c>
      <c r="U26" s="225" t="s">
        <v>22</v>
      </c>
      <c r="V26" s="167" t="s">
        <v>371</v>
      </c>
      <c r="W26" s="230" t="s">
        <v>382</v>
      </c>
      <c r="X26" s="173">
        <f>IF(Y26="",VLOOKUP(H26,CLIENTS!$A$1:$O$649,5,FALSE),Y26)</f>
        <v>0</v>
      </c>
      <c r="Y26" s="234"/>
      <c r="Z26" s="173">
        <f>IF(AA26="",VLOOKUP(P26,CLIENTS!$A$1:$O$649,5,FALSE),AA26)</f>
        <v>0</v>
      </c>
      <c r="AA26" s="234"/>
      <c r="AB26" s="173" t="str">
        <f>IF(W26="via USD",IF(K26="EUR",K26&amp;"USD","USD"&amp;K26),IFERROR(VLOOKUP(K26&amp;S26,'FX RATES'!$H$2:$H$20,1,FALSE),S26&amp;K26))</f>
        <v>CNYRUB</v>
      </c>
      <c r="AC26" s="175">
        <f>IF(LEFT(AB26,3)=RIGHT(AB26,3),0,IFERROR(INDEX(CLIENTS!$A$1:$O$649,MATCH(H26,CLIENTS!$A$1:$A$649,0),MATCH(AB26,CLIENTS!$A$1:$O$1,0)),0))</f>
        <v>0</v>
      </c>
      <c r="AD26" s="176">
        <v>11.28</v>
      </c>
      <c r="AE26" s="177">
        <f>IF(W26="CLIENT","",IF(AD26="",AH26+AC26,AD26+AC26))</f>
        <v>11.28</v>
      </c>
      <c r="AF26" s="177" t="str">
        <f>E26&amp;AB26</f>
        <v>46035CNYRUB</v>
      </c>
      <c r="AG26" s="176">
        <v>11.29</v>
      </c>
      <c r="AH26" s="178">
        <f ca="1">IF(LEFT(AB26,3)=RIGHT(AB26,3),1,VLOOKUP(AB26,'FX RATES'!$H$1:$I$20,2,FALSE))</f>
        <v>11.103899999999999</v>
      </c>
      <c r="AI26" s="178">
        <f>IF(OR(AB26="USDAED",LEFT(AB26,3)=RIGHT(AB26,3)),AH26,IF(LEFT(AB26)="USD",AG26,IF(RIGHT(AB26,3)="USD",1,IFERROR(VLOOKUP(E26&amp;"USD"&amp;RIGHT(AB26,3),$AF:$AG,2,FALSE),VLOOKUP(E26&amp;"USD"&amp;RIGHT(AJ26,3),$AN:$AO,2,FALSE)))))</f>
        <v>78.900000000000006</v>
      </c>
      <c r="AJ26" s="173" t="str">
        <f>IF(W26="via USD",IF(S26="EUR",S26&amp;"USD","USD"&amp;S26),IFERROR(VLOOKUP(K26&amp;S26,'FX RATES'!$H$2:$H$20,1,FALSE),S26&amp;K26))</f>
        <v>CNYRUB</v>
      </c>
      <c r="AK26" s="175">
        <f>IF(LEFT(AJ26,3)=RIGHT(AJ26,3),0,IFERROR(INDEX(CLIENTS!$A$1:$O$649,MATCH(P26,CLIENTS!$A$1:$A$649,0),MATCH(AJ26,CLIENTS!$A$1:$O$1,0)),0))</f>
        <v>0</v>
      </c>
      <c r="AL26" s="176"/>
      <c r="AM26" s="177" t="str">
        <f>IF(W26="VENDOR","",IF(AL26="",AP26+AK26,AL26+AK26))</f>
        <v/>
      </c>
      <c r="AN26" s="177" t="str">
        <f>E26&amp;AJ26</f>
        <v>46035CNYRUB</v>
      </c>
      <c r="AO26" s="176"/>
      <c r="AP26" s="178">
        <f ca="1">IF(LEFT(AJ26,3)=RIGHT(AJ26,3),1,VLOOKUP(AJ26,'FX RATES'!$H$1:$I$20,2,FALSE))</f>
        <v>11.103899999999999</v>
      </c>
      <c r="AQ26" s="178">
        <f>IF(OR(AJ26="USDAED",LEFT(AJ26,3)=RIGHT(AJ26,3)),AP26,IF(LEFT(AJ26)="USD",AO26,IF(RIGHT(AJ26,3)="USD",1,IFERROR(VLOOKUP(E26&amp;"USD"&amp;RIGHT(AJ26,3),$AN:$AO,2,FALSE),VLOOKUP(E26&amp;"USD"&amp;RIGHT(AB26,3),$AF:$AG,2,FALSE)))))</f>
        <v>78.900000000000006</v>
      </c>
      <c r="AR26" s="179">
        <f>-Q26*(1-Z26)/(1+X26)*IF(W26="CLIENT",IF(S26=RIGHT(AJ26,3),1/AM26,AM26),IF(W26="VENDOR",IF(S26=RIGHT(AJ26,3),1/AE26,AE26),AE26^(VLOOKUP(AB26,'FX RATES'!$H$1:$J$26,3,FALSE))/AM26^(VLOOKUP(AJ26,'FX RATES'!$H$1:$J$26,3,FALSE))))</f>
        <v>0</v>
      </c>
      <c r="AS26" s="179">
        <f>-I26*(1+X26)/(1-Z26)*IF(W26="VENDOR",IF(K26=RIGHT(AB26,3),1/AE26,AE26),IF(W26="CLIENT",IF(K26=RIGHT(AB26,3),1/AM26,AM26),AM26^(VLOOKUP(AJ26,'FX RATES'!$H$1:$J$26,3,FALSE))/AE26^(VLOOKUP(AB26,'FX RATES'!$H$1:$J$26,3,FALSE))))</f>
        <v>1954338.9804964538</v>
      </c>
      <c r="AT26" s="170">
        <f ca="1">IF(AB26&lt;&gt;AJ26,J26/IF(K26=RIGHT(AB26,3),AE26,1/AE26),IF(S26="USD",J26/IF(K26=RIGHT(AB26,3),IF(W26="CLIENT",AM26,AE26),1/IF(W26="CLIENT",AM26,AE26)),J26*VLOOKUP(K26,'FX RATES'!$E$1:$F$10,2,FALSE)))</f>
        <v>-287340.98057233723</v>
      </c>
      <c r="AU26" s="170">
        <f ca="1">IF(AB26&lt;&gt;AJ26,R26/IF(S26=RIGHT(AJ26,3),AM26,1/AM26),IF(K26="USD",R26/IF(S26=RIGHT(AJ26,3),IF(W26="CLIENT",AM26,AE26),1/IF(W26="CLIENT",AM26,AE26)),R26*VLOOKUP(S26,'FX RATES'!$E$1:$F$10,2,FALSE)))</f>
        <v>282909.52236486011</v>
      </c>
      <c r="AV26" s="170">
        <f ca="1">AT26+AU26</f>
        <v>-4431.458207477117</v>
      </c>
      <c r="AW26" s="227"/>
      <c r="AX26" s="170">
        <f ca="1">IF(AND(ISERROR(SEARCH("INVOICE",T26)),ISERROR(SEARCH("SWITCH",T26)),ISERROR(SEARCH("FOREX",T26)),ISERROR(SEARCH("REFUND",A26)),ISERROR(SEARCH("CANCELLED",A26))),IF(AW26="",-AT26*X26+AU26*Z26,AW26),0)</f>
        <v>0</v>
      </c>
      <c r="AY26" s="170">
        <f>IF(AZ26="USD",AT26,IF(AZ26=K26,J26,-R26))</f>
        <v>-1954338.9804964538</v>
      </c>
      <c r="AZ26" s="170" t="str">
        <f>LEFT(AB26,3)</f>
        <v>CNY</v>
      </c>
      <c r="BA26" s="542">
        <f>IF(OR(A26="REFUND",A26="CANCELLED"),0,IFERROR((IF(OR(AB26="USDAED",LEFT(AB26,3)=RIGHT(AB26,3)),AI26,AG26)-AE26)*-AY26*VLOOKUP(AB26,'FX RATES'!$H$1:$J$26,3,FALSE),0))</f>
        <v>19543.389804964121</v>
      </c>
      <c r="BB26" s="170" t="str">
        <f>RIGHT(AB26,3)</f>
        <v>RUB</v>
      </c>
      <c r="BC26" s="542">
        <f>IF(BA26=0,0,IFERROR(BA26/IF(BB26&lt;&gt;"USD",AI26,1),"???"))</f>
        <v>247.69822313009024</v>
      </c>
      <c r="BD26" s="170">
        <f>IFERROR(-AC26/(IF(OR(AB26="USDAED",LEFT(AB26,3)=RIGHT(AB26,3)),AH26,AG26)-AE26)*BC26,0)</f>
        <v>0</v>
      </c>
      <c r="BE26" s="542">
        <f>BC26-BD26</f>
        <v>247.69822313009024</v>
      </c>
      <c r="BF26" s="170">
        <f>IF(BG26="USD",AU26,IF(BG26=S26,R26,-J26))</f>
        <v>1954338.9804964538</v>
      </c>
      <c r="BG26" s="170" t="str">
        <f>LEFT(AJ26,3)</f>
        <v>CNY</v>
      </c>
      <c r="BH26" s="542">
        <f>IF(OR(A26="REFUND",A26="CANCELLED"),0,IFERROR((IF(OR(AJ26="USDAED",LEFT(AJ26,3)=RIGHT(AJ26,3)),AQ26,AO26)-AM26)*-BF26*VLOOKUP(AJ26,'FX RATES'!$H$1:$J$26,3,FALSE),0))</f>
        <v>0</v>
      </c>
      <c r="BI26" s="170" t="str">
        <f>RIGHT(AJ26,3)</f>
        <v>RUB</v>
      </c>
      <c r="BJ26" s="542">
        <f>IF(BH26=0,0,IFERROR(BH26/IF(BI26&lt;&gt;"USD",AQ26,1),"???"))</f>
        <v>0</v>
      </c>
      <c r="BK26" s="170">
        <f>IFERROR(-AK26/(IF(OR(AJ26="USDAED",LEFT(AJ26,3)=RIGHT(AJ26,3)),AP26,AO26)-AM26)*BJ26,0)</f>
        <v>0</v>
      </c>
      <c r="BL26" s="542">
        <f>BJ26-BK26</f>
        <v>0</v>
      </c>
      <c r="BM26" s="170">
        <f>IF(AND(ISERROR(SEARCH("REFUND",A26)),ISERROR(SEARCH("CANCELLED",A26))),BD26+BK26,0)</f>
        <v>0</v>
      </c>
      <c r="BN26" s="542">
        <f>IF(AND(ISERROR(SEARCH("REFUND",A26)),ISERROR(SEARCH("CANCELLED",A26))),BE26+BL26,0)</f>
        <v>247.69822313009024</v>
      </c>
    </row>
    <row r="28" spans="1:66" ht="19.5" customHeight="1">
      <c r="A28" s="167" t="s">
        <v>366</v>
      </c>
      <c r="B28" s="225" t="s">
        <v>42</v>
      </c>
      <c r="C28" s="225" t="s">
        <v>367</v>
      </c>
      <c r="D28" s="225" t="s">
        <v>368</v>
      </c>
      <c r="E28" s="226">
        <v>46035</v>
      </c>
      <c r="F28" s="226"/>
      <c r="G28" s="225" t="s">
        <v>42</v>
      </c>
      <c r="H28" s="225" t="s">
        <v>415</v>
      </c>
      <c r="I28" s="227">
        <v>-16500000</v>
      </c>
      <c r="J28" s="170">
        <f>IF(I28="",AR28,I28)</f>
        <v>-16500000</v>
      </c>
      <c r="K28" s="225" t="s">
        <v>7</v>
      </c>
      <c r="L28" s="226" t="s">
        <v>22</v>
      </c>
      <c r="M28" s="225" t="s">
        <v>22</v>
      </c>
      <c r="N28" s="167" t="s">
        <v>371</v>
      </c>
      <c r="O28" s="225" t="s">
        <v>52</v>
      </c>
      <c r="P28" s="225" t="s">
        <v>416</v>
      </c>
      <c r="Q28" s="227"/>
      <c r="R28" s="170">
        <f>IF(Q28="",AS28,Q28)</f>
        <v>186845536.60982946</v>
      </c>
      <c r="S28" s="225" t="s">
        <v>9</v>
      </c>
      <c r="T28" s="226" t="s">
        <v>414</v>
      </c>
      <c r="U28" s="225" t="s">
        <v>25</v>
      </c>
      <c r="V28" s="167" t="s">
        <v>371</v>
      </c>
      <c r="W28" s="230" t="s">
        <v>389</v>
      </c>
      <c r="X28" s="173">
        <f>IF(Y28="",VLOOKUP(H28,CLIENTS!$A$1:$O$649,5,FALSE),Y28)</f>
        <v>0</v>
      </c>
      <c r="Y28" s="234">
        <v>0</v>
      </c>
      <c r="Z28" s="173">
        <f>IF(AA28="",VLOOKUP(P28,CLIENTS!$A$1:$O$649,5,FALSE),AA28)</f>
        <v>3.0000000000000001E-3</v>
      </c>
      <c r="AA28" s="234">
        <v>3.0000000000000001E-3</v>
      </c>
      <c r="AB28" s="173" t="str">
        <f>IF(W28="via USD",IF(K28="EUR",K28&amp;"USD","USD"&amp;K28),IFERROR(VLOOKUP(K28&amp;S28,'FX RATES'!$H$2:$H$20,1,FALSE),S28&amp;K28))</f>
        <v>CNYRUB</v>
      </c>
      <c r="AC28" s="175">
        <f>IF(LEFT(AB28,3)=RIGHT(AB28,3),0,IFERROR(INDEX(CLIENTS!$A$1:$O$649,MATCH(H28,CLIENTS!$A$1:$A$649,0),MATCH(AB28,CLIENTS!$A$1:$O$1,0)),0))</f>
        <v>0</v>
      </c>
      <c r="AD28" s="176"/>
      <c r="AE28" s="177" t="str">
        <f>IF(W28="CLIENT","",IF(AD28="",AH28+AC28,AD28+AC28))</f>
        <v/>
      </c>
      <c r="AF28" s="177" t="str">
        <f>E28&amp;AB28</f>
        <v>46035CNYRUB</v>
      </c>
      <c r="AG28" s="176"/>
      <c r="AH28" s="178">
        <f ca="1">IF(LEFT(AB28,3)=RIGHT(AB28,3),1,VLOOKUP(AB28,'FX RATES'!$H$1:$I$20,2,FALSE))</f>
        <v>11.103899999999999</v>
      </c>
      <c r="AI28" s="178">
        <f>IF(OR(AB28="USDAED",LEFT(AB28,3)=RIGHT(AB28,3)),AH28,IF(LEFT(AB28)="USD",AG28,IF(RIGHT(AB28,3)="USD",1,IFERROR(VLOOKUP(E28&amp;"USD"&amp;RIGHT(AB28,3),$AF:$AG,2,FALSE),VLOOKUP(E28&amp;"USD"&amp;RIGHT(AJ28,3),$AN:$AO,2,FALSE)))))</f>
        <v>78.900000000000006</v>
      </c>
      <c r="AJ28" s="173" t="str">
        <f>IF(W28="via USD",IF(S28="EUR",S28&amp;"USD","USD"&amp;S28),IFERROR(VLOOKUP(K28&amp;S28,'FX RATES'!$H$2:$H$20,1,FALSE),S28&amp;K28))</f>
        <v>CNYRUB</v>
      </c>
      <c r="AK28" s="175">
        <f>IF(LEFT(AJ28,3)=RIGHT(AJ28,3),0,IFERROR(INDEX(CLIENTS!$A$1:$O$649,MATCH(P28,CLIENTS!$A$1:$A$649,0),MATCH(AJ28,CLIENTS!$A$1:$O$1,0)),0))</f>
        <v>0</v>
      </c>
      <c r="AL28" s="176">
        <v>11.29</v>
      </c>
      <c r="AM28" s="177">
        <f>IF(W28="VENDOR","",IF(AL28="",AP28+AK28,AL28+AK28))</f>
        <v>11.29</v>
      </c>
      <c r="AN28" s="177" t="str">
        <f>E28&amp;AJ28</f>
        <v>46035CNYRUB</v>
      </c>
      <c r="AO28" s="176">
        <v>11.29</v>
      </c>
      <c r="AP28" s="178">
        <f ca="1">IF(LEFT(AJ28,3)=RIGHT(AJ28,3),1,VLOOKUP(AJ28,'FX RATES'!$H$1:$I$20,2,FALSE))</f>
        <v>11.103899999999999</v>
      </c>
      <c r="AQ28" s="178">
        <f>IF(OR(AJ28="USDAED",LEFT(AJ28,3)=RIGHT(AJ28,3)),AP28,IF(LEFT(AJ28)="USD",AO28,IF(RIGHT(AJ28,3)="USD",1,IFERROR(VLOOKUP(E28&amp;"USD"&amp;RIGHT(AJ28,3),$AN:$AO,2,FALSE),VLOOKUP(E28&amp;"USD"&amp;RIGHT(AB28,3),$AF:$AG,2,FALSE)))))</f>
        <v>78.900000000000006</v>
      </c>
      <c r="AR28" s="179">
        <f>-Q28*(1-Z28)/(1+X28)*IF(W28="CLIENT",IF(S28=RIGHT(AJ28,3),1/AM28,AM28),IF(W28="VENDOR",IF(S28=RIGHT(AJ28,3),1/AE28,AE28),AE28^(VLOOKUP(AB28,'FX RATES'!$H$1:$J$26,3,FALSE))/AM28^(VLOOKUP(AJ28,'FX RATES'!$H$1:$J$26,3,FALSE))))</f>
        <v>0</v>
      </c>
      <c r="AS28" s="179">
        <f>-I28*(1+X28)/(1-Z28)*IF(W28="VENDOR",IF(K28=RIGHT(AB28,3),1/AE28,AE28),IF(W28="CLIENT",IF(K28=RIGHT(AB28,3),1/AM28,AM28),AM28^(VLOOKUP(AJ28,'FX RATES'!$H$1:$J$26,3,FALSE))/AE28^(VLOOKUP(AB28,'FX RATES'!$H$1:$J$26,3,FALSE))))</f>
        <v>186845536.60982946</v>
      </c>
      <c r="AT28" s="170">
        <f ca="1">IF(AB28&lt;&gt;AJ28,J28/IF(K28=RIGHT(AB28,3),AE28,1/AE28),IF(S28="USD",J28/IF(K28=RIGHT(AB28,3),IF(W28="CLIENT",AM28,AE28),1/IF(W28="CLIENT",AM28,AE28)),J28*VLOOKUP(K28,'FX RATES'!$E$1:$F$10,2,FALSE)))</f>
        <v>-2388535.0318471338</v>
      </c>
      <c r="AU28" s="170">
        <f ca="1">IF(AB28&lt;&gt;AJ28,R28/IF(S28=RIGHT(AJ28,3),AM28,1/AM28),IF(K28="USD",R28/IF(S28=RIGHT(AJ28,3),IF(W28="CLIENT",AM28,AE28),1/IF(W28="CLIENT",AM28,AE28)),R28*VLOOKUP(S28,'FX RATES'!$E$1:$F$10,2,FALSE)))</f>
        <v>2435405.6166191492</v>
      </c>
      <c r="AV28" s="170">
        <f ca="1">AT28+AU28</f>
        <v>46870.584772015456</v>
      </c>
      <c r="AW28" s="227"/>
      <c r="AX28" s="170">
        <f ca="1">IF(AND(ISERROR(SEARCH("INVOICE",T28)),ISERROR(SEARCH("SWITCH",T28)),ISERROR(SEARCH("FOREX",T28)),ISERROR(SEARCH("REFUND",A28)),ISERROR(SEARCH("CANCELLED",A28))),IF(AW28="",-AT28*X28+AU28*Z28,AW28),0)</f>
        <v>7306.2168498574474</v>
      </c>
      <c r="AY28" s="170">
        <f>IF(AZ28="USD",AT28,IF(AZ28=K28,J28,-R28))</f>
        <v>-16500000</v>
      </c>
      <c r="AZ28" s="170" t="str">
        <f>LEFT(AB28,3)</f>
        <v>CNY</v>
      </c>
      <c r="BA28" s="542">
        <f>IF(OR(A28="REFUND",A28="CANCELLED"),0,IFERROR((IF(OR(AB28="USDAED",LEFT(AB28,3)=RIGHT(AB28,3)),AI28,AG28)-AE28)*-AY28*VLOOKUP(AB28,'FX RATES'!$H$1:$J$26,3,FALSE),0))</f>
        <v>0</v>
      </c>
      <c r="BB28" s="170" t="str">
        <f>RIGHT(AB28,3)</f>
        <v>RUB</v>
      </c>
      <c r="BC28" s="542">
        <f>IF(BA28=0,0,IFERROR(BA28/IF(BB28&lt;&gt;"USD",AI28,1),"???"))</f>
        <v>0</v>
      </c>
      <c r="BD28" s="170">
        <f>IFERROR(-AC28/(IF(OR(AB28="USDAED",LEFT(AB28,3)=RIGHT(AB28,3)),AH28,AG28)-AE28)*BC28,0)</f>
        <v>0</v>
      </c>
      <c r="BE28" s="542">
        <f>BC28-BD28</f>
        <v>0</v>
      </c>
      <c r="BF28" s="170">
        <f>IF(BG28="USD",AU28,IF(BG28=S28,R28,-J28))</f>
        <v>16500000</v>
      </c>
      <c r="BG28" s="170" t="str">
        <f>LEFT(AJ28,3)</f>
        <v>CNY</v>
      </c>
      <c r="BH28" s="542">
        <f>IF(OR(A28="REFUND",A28="CANCELLED"),0,IFERROR((IF(OR(AJ28="USDAED",LEFT(AJ28,3)=RIGHT(AJ28,3)),AQ28,AO28)-AM28)*-BF28*VLOOKUP(AJ28,'FX RATES'!$H$1:$J$26,3,FALSE),0))</f>
        <v>0</v>
      </c>
      <c r="BI28" s="170" t="str">
        <f>RIGHT(AJ28,3)</f>
        <v>RUB</v>
      </c>
      <c r="BJ28" s="542">
        <f>IF(BH28=0,0,IFERROR(BH28/IF(BI28&lt;&gt;"USD",AQ28,1),"???"))</f>
        <v>0</v>
      </c>
      <c r="BK28" s="170">
        <f>IFERROR(-AK28/(IF(OR(AJ28="USDAED",LEFT(AJ28,3)=RIGHT(AJ28,3)),AP28,AO28)-AM28)*BJ28,0)</f>
        <v>0</v>
      </c>
      <c r="BL28" s="542">
        <f>BJ28-BK28</f>
        <v>0</v>
      </c>
      <c r="BM28" s="170">
        <f>IF(AND(ISERROR(SEARCH("REFUND",A28)),ISERROR(SEARCH("CANCELLED",A28))),BD28+BK28,0)</f>
        <v>0</v>
      </c>
      <c r="BN28" s="542">
        <f>IF(AND(ISERROR(SEARCH("REFUND",A28)),ISERROR(SEARCH("CANCELLED",A28))),BE28+BL28,0)</f>
        <v>0</v>
      </c>
    </row>
    <row r="29" spans="1:66" ht="19.5" customHeight="1">
      <c r="A29" s="167" t="s">
        <v>366</v>
      </c>
      <c r="B29" s="225" t="s">
        <v>34</v>
      </c>
      <c r="C29" s="225" t="s">
        <v>383</v>
      </c>
      <c r="D29" s="225" t="s">
        <v>368</v>
      </c>
      <c r="E29" s="226">
        <v>46035</v>
      </c>
      <c r="F29" s="226"/>
      <c r="G29" s="225" t="s">
        <v>52</v>
      </c>
      <c r="H29" s="228" t="s">
        <v>390</v>
      </c>
      <c r="I29" s="227">
        <f>-R28</f>
        <v>-186845536.60982946</v>
      </c>
      <c r="J29" s="170">
        <f>IF(I29="",AR29,I29)</f>
        <v>-186845536.60982946</v>
      </c>
      <c r="K29" s="225" t="s">
        <v>9</v>
      </c>
      <c r="L29" s="226" t="s">
        <v>391</v>
      </c>
      <c r="M29" s="225" t="s">
        <v>25</v>
      </c>
      <c r="N29" s="167" t="s">
        <v>371</v>
      </c>
      <c r="O29" s="225" t="s">
        <v>34</v>
      </c>
      <c r="P29" s="225" t="s">
        <v>392</v>
      </c>
      <c r="Q29" s="227"/>
      <c r="R29" s="170">
        <f>IF(Q29="",AS29,Q29)</f>
        <v>16579018.332726659</v>
      </c>
      <c r="S29" s="225" t="s">
        <v>7</v>
      </c>
      <c r="T29" s="226" t="s">
        <v>22</v>
      </c>
      <c r="U29" s="225" t="s">
        <v>22</v>
      </c>
      <c r="V29" s="167" t="s">
        <v>371</v>
      </c>
      <c r="W29" s="230" t="s">
        <v>382</v>
      </c>
      <c r="X29" s="173">
        <f>IF(Y29="",VLOOKUP(H29,CLIENTS!$A$1:$O$649,5,FALSE),Y29)</f>
        <v>0</v>
      </c>
      <c r="Y29" s="234"/>
      <c r="Z29" s="173">
        <f>IF(AA29="",VLOOKUP(P29,CLIENTS!$A$1:$O$649,5,FALSE),AA29)</f>
        <v>0</v>
      </c>
      <c r="AA29" s="234"/>
      <c r="AB29" s="173" t="str">
        <f>IF(W29="via USD",IF(K29="EUR",K29&amp;"USD","USD"&amp;K29),IFERROR(VLOOKUP(K29&amp;S29,'FX RATES'!$H$2:$H$20,1,FALSE),S29&amp;K29))</f>
        <v>CNYRUB</v>
      </c>
      <c r="AC29" s="175">
        <f>IF(LEFT(AB29,3)=RIGHT(AB29,3),0,IFERROR(INDEX(CLIENTS!$A$1:$O$649,MATCH(H29,CLIENTS!$A$1:$A$649,0),MATCH(AB29,CLIENTS!$A$1:$O$1,0)),0))</f>
        <v>0</v>
      </c>
      <c r="AD29" s="176">
        <v>11.27</v>
      </c>
      <c r="AE29" s="177">
        <f>IF(W29="CLIENT","",IF(AD29="",AH29+AC29,AD29+AC29))</f>
        <v>11.27</v>
      </c>
      <c r="AF29" s="177" t="str">
        <f>E29&amp;AB29</f>
        <v>46035CNYRUB</v>
      </c>
      <c r="AG29" s="176">
        <v>11.29</v>
      </c>
      <c r="AH29" s="178">
        <f ca="1">IF(LEFT(AB29,3)=RIGHT(AB29,3),1,VLOOKUP(AB29,'FX RATES'!$H$1:$I$20,2,FALSE))</f>
        <v>11.103899999999999</v>
      </c>
      <c r="AI29" s="178">
        <f>IF(OR(AB29="USDAED",LEFT(AB29,3)=RIGHT(AB29,3)),AH29,IF(LEFT(AB29)="USD",AG29,IF(RIGHT(AB29,3)="USD",1,IFERROR(VLOOKUP(E29&amp;"USD"&amp;RIGHT(AB29,3),$AF:$AG,2,FALSE),VLOOKUP(E29&amp;"USD"&amp;RIGHT(AJ29,3),$AN:$AO,2,FALSE)))))</f>
        <v>78.900000000000006</v>
      </c>
      <c r="AJ29" s="173" t="str">
        <f>IF(W29="via USD",IF(S29="EUR",S29&amp;"USD","USD"&amp;S29),IFERROR(VLOOKUP(K29&amp;S29,'FX RATES'!$H$2:$H$20,1,FALSE),S29&amp;K29))</f>
        <v>CNYRUB</v>
      </c>
      <c r="AK29" s="175">
        <f>IF(LEFT(AJ29,3)=RIGHT(AJ29,3),0,IFERROR(INDEX(CLIENTS!$A$1:$O$649,MATCH(P29,CLIENTS!$A$1:$A$649,0),MATCH(AJ29,CLIENTS!$A$1:$O$1,0)),0))</f>
        <v>0</v>
      </c>
      <c r="AL29" s="176"/>
      <c r="AM29" s="177" t="str">
        <f>IF(W29="VENDOR","",IF(AL29="",AP29+AK29,AL29+AK29))</f>
        <v/>
      </c>
      <c r="AN29" s="177" t="str">
        <f>E29&amp;AJ29</f>
        <v>46035CNYRUB</v>
      </c>
      <c r="AO29" s="176"/>
      <c r="AP29" s="178">
        <f ca="1">IF(LEFT(AJ29,3)=RIGHT(AJ29,3),1,VLOOKUP(AJ29,'FX RATES'!$H$1:$I$20,2,FALSE))</f>
        <v>11.103899999999999</v>
      </c>
      <c r="AQ29" s="178">
        <f>IF(OR(AJ29="USDAED",LEFT(AJ29,3)=RIGHT(AJ29,3)),AP29,IF(LEFT(AJ29)="USD",AO29,IF(RIGHT(AJ29,3)="USD",1,IFERROR(VLOOKUP(E29&amp;"USD"&amp;RIGHT(AJ29,3),$AN:$AO,2,FALSE),VLOOKUP(E29&amp;"USD"&amp;RIGHT(AB29,3),$AF:$AG,2,FALSE)))))</f>
        <v>78.900000000000006</v>
      </c>
      <c r="AR29" s="179">
        <f>-Q29*(1-Z29)/(1+X29)*IF(W29="CLIENT",IF(S29=RIGHT(AJ29,3),1/AM29,AM29),IF(W29="VENDOR",IF(S29=RIGHT(AJ29,3),1/AE29,AE29),AE29^(VLOOKUP(AB29,'FX RATES'!$H$1:$J$26,3,FALSE))/AM29^(VLOOKUP(AJ29,'FX RATES'!$H$1:$J$26,3,FALSE))))</f>
        <v>0</v>
      </c>
      <c r="AS29" s="179">
        <f>-I29*(1+X29)/(1-Z29)*IF(W29="VENDOR",IF(K29=RIGHT(AB29,3),1/AE29,AE29),IF(W29="CLIENT",IF(K29=RIGHT(AB29,3),1/AM29,AM29),AM29^(VLOOKUP(AJ29,'FX RATES'!$H$1:$J$26,3,FALSE))/AE29^(VLOOKUP(AB29,'FX RATES'!$H$1:$J$26,3,FALSE))))</f>
        <v>16579018.332726659</v>
      </c>
      <c r="AT29" s="170">
        <f ca="1">IF(AB29&lt;&gt;AJ29,J29/IF(K29=RIGHT(AB29,3),AE29,1/AE29),IF(S29="USD",J29/IF(K29=RIGHT(AB29,3),IF(W29="CLIENT",AM29,AE29),1/IF(W29="CLIENT",AM29,AE29)),J29*VLOOKUP(K29,'FX RATES'!$E$1:$F$10,2,FALSE)))</f>
        <v>-2435405.6166191492</v>
      </c>
      <c r="AU29" s="170">
        <f ca="1">IF(AB29&lt;&gt;AJ29,R29/IF(S29=RIGHT(AJ29,3),AM29,1/AM29),IF(K29="USD",R29/IF(S29=RIGHT(AJ29,3),IF(W29="CLIENT",AM29,AE29),1/IF(W29="CLIENT",AM29,AE29)),R29*VLOOKUP(S29,'FX RATES'!$E$1:$F$10,2,FALSE)))</f>
        <v>2399973.7019002112</v>
      </c>
      <c r="AV29" s="170">
        <f ca="1">AT29+AU29</f>
        <v>-35431.91471893806</v>
      </c>
      <c r="AW29" s="227"/>
      <c r="AX29" s="170">
        <f ca="1">IF(AND(ISERROR(SEARCH("INVOICE",T29)),ISERROR(SEARCH("SWITCH",T29)),ISERROR(SEARCH("FOREX",T29)),ISERROR(SEARCH("REFUND",A29)),ISERROR(SEARCH("CANCELLED",A29))),IF(AW29="",-AT29*X29+AU29*Z29,AW29),0)</f>
        <v>0</v>
      </c>
      <c r="AY29" s="170">
        <f>IF(AZ29="USD",AT29,IF(AZ29=K29,J29,-R29))</f>
        <v>-16579018.332726659</v>
      </c>
      <c r="AZ29" s="170" t="str">
        <f>LEFT(AB29,3)</f>
        <v>CNY</v>
      </c>
      <c r="BA29" s="542">
        <f>IF(OR(A29="REFUND",A29="CANCELLED"),0,IFERROR((IF(OR(AB29="USDAED",LEFT(AB29,3)=RIGHT(AB29,3)),AI29,AG29)-AE29)*-AY29*VLOOKUP(AB29,'FX RATES'!$H$1:$J$26,3,FALSE),0))</f>
        <v>331580.36665452609</v>
      </c>
      <c r="BB29" s="170" t="str">
        <f>RIGHT(AB29,3)</f>
        <v>RUB</v>
      </c>
      <c r="BC29" s="542">
        <f>IF(BA29=0,0,IFERROR(BA29/IF(BB29&lt;&gt;"USD",AI29,1),"???"))</f>
        <v>4202.5395013247917</v>
      </c>
      <c r="BD29" s="170">
        <f>IFERROR(-AC29/(IF(OR(AB29="USDAED",LEFT(AB29,3)=RIGHT(AB29,3)),AH29,AG29)-AE29)*BC29,0)</f>
        <v>0</v>
      </c>
      <c r="BE29" s="542">
        <f>BC29-BD29</f>
        <v>4202.5395013247917</v>
      </c>
      <c r="BF29" s="170">
        <f>IF(BG29="USD",AU29,IF(BG29=S29,R29,-J29))</f>
        <v>16579018.332726659</v>
      </c>
      <c r="BG29" s="170" t="str">
        <f>LEFT(AJ29,3)</f>
        <v>CNY</v>
      </c>
      <c r="BH29" s="542">
        <f>IF(OR(A29="REFUND",A29="CANCELLED"),0,IFERROR((IF(OR(AJ29="USDAED",LEFT(AJ29,3)=RIGHT(AJ29,3)),AQ29,AO29)-AM29)*-BF29*VLOOKUP(AJ29,'FX RATES'!$H$1:$J$26,3,FALSE),0))</f>
        <v>0</v>
      </c>
      <c r="BI29" s="170" t="str">
        <f>RIGHT(AJ29,3)</f>
        <v>RUB</v>
      </c>
      <c r="BJ29" s="542">
        <f>IF(BH29=0,0,IFERROR(BH29/IF(BI29&lt;&gt;"USD",AQ29,1),"???"))</f>
        <v>0</v>
      </c>
      <c r="BK29" s="170">
        <f>IFERROR(-AK29/(IF(OR(AJ29="USDAED",LEFT(AJ29,3)=RIGHT(AJ29,3)),AP29,AO29)-AM29)*BJ29,0)</f>
        <v>0</v>
      </c>
      <c r="BL29" s="542">
        <f>BJ29-BK29</f>
        <v>0</v>
      </c>
      <c r="BM29" s="170">
        <f>IF(AND(ISERROR(SEARCH("REFUND",A29)),ISERROR(SEARCH("CANCELLED",A29))),BD29+BK29,0)</f>
        <v>0</v>
      </c>
      <c r="BN29" s="542">
        <f>IF(AND(ISERROR(SEARCH("REFUND",A29)),ISERROR(SEARCH("CANCELLED",A29))),BE29+BL29,0)</f>
        <v>4202.5395013247917</v>
      </c>
    </row>
    <row r="30" spans="1:66" ht="19.5" customHeight="1">
      <c r="A30" s="180"/>
      <c r="E30" s="180"/>
      <c r="F30" s="182"/>
      <c r="L30" s="180"/>
      <c r="M30" s="180"/>
      <c r="N30" s="182"/>
      <c r="O30" s="180"/>
      <c r="P30" s="180"/>
      <c r="V30" s="180"/>
      <c r="W30" s="180"/>
    </row>
    <row r="31" spans="1:66" ht="19.5" customHeight="1">
      <c r="A31" s="167" t="s">
        <v>366</v>
      </c>
      <c r="B31" s="168" t="s">
        <v>39</v>
      </c>
      <c r="C31" s="168" t="s">
        <v>367</v>
      </c>
      <c r="D31" s="168" t="s">
        <v>368</v>
      </c>
      <c r="E31" s="171">
        <v>46035</v>
      </c>
      <c r="F31" s="171"/>
      <c r="G31" s="168" t="s">
        <v>39</v>
      </c>
      <c r="H31" s="168" t="s">
        <v>417</v>
      </c>
      <c r="I31" s="169"/>
      <c r="J31" s="170">
        <f>IF(I31="",AR31,I31)</f>
        <v>-1449576.9996409898</v>
      </c>
      <c r="K31" s="168" t="s">
        <v>8</v>
      </c>
      <c r="L31" s="171" t="s">
        <v>16</v>
      </c>
      <c r="M31" s="168" t="s">
        <v>14</v>
      </c>
      <c r="N31" s="167" t="s">
        <v>371</v>
      </c>
      <c r="O31" s="168" t="s">
        <v>39</v>
      </c>
      <c r="P31" s="168" t="s">
        <v>413</v>
      </c>
      <c r="Q31" s="169">
        <v>31308849.350000001</v>
      </c>
      <c r="R31" s="170">
        <f>IF(Q31="",AS31,Q31)</f>
        <v>31308849.350000001</v>
      </c>
      <c r="S31" s="168" t="s">
        <v>9</v>
      </c>
      <c r="T31" s="171" t="s">
        <v>414</v>
      </c>
      <c r="U31" s="168" t="s">
        <v>374</v>
      </c>
      <c r="V31" s="167" t="s">
        <v>371</v>
      </c>
      <c r="W31" s="172" t="s">
        <v>375</v>
      </c>
      <c r="X31" s="441">
        <f>IF(Y31="",VLOOKUP(H31,CLIENTS!$A$1:$O$649,5,FALSE),Y31)</f>
        <v>0</v>
      </c>
      <c r="Y31" s="442">
        <v>0</v>
      </c>
      <c r="Z31" s="441">
        <f>IF(AA31="",VLOOKUP(P31,CLIENTS!$A$1:$O$649,5,FALSE),AA31)</f>
        <v>5.6379321067162591E-3</v>
      </c>
      <c r="AA31" s="442">
        <v>5.6379321067162591E-3</v>
      </c>
      <c r="AB31" s="441" t="str">
        <f>IF(W31="via USD",IF(K31="EUR",K31&amp;"USD","USD"&amp;K31),IFERROR(VLOOKUP(K31&amp;S31,'FX RATES'!$H$2:$H$20,1,FALSE),S31&amp;K31))</f>
        <v>USDAED</v>
      </c>
      <c r="AC31" s="175">
        <f>IF(LEFT(AB31,3)=RIGHT(AB31,3),0,IFERROR(INDEX(CLIENTS!$A$1:$O$649,MATCH(H31,CLIENTS!$A$1:$A$649,0),MATCH(AB31,CLIENTS!$A$1:$O$1,0)),0))</f>
        <v>0</v>
      </c>
      <c r="AD31" s="176">
        <v>3.67</v>
      </c>
      <c r="AE31" s="177">
        <f>IF(W31="CLIENT","",IF(AD31="",AH31+AC31,AD31+AC31))</f>
        <v>3.67</v>
      </c>
      <c r="AF31" s="177" t="str">
        <f>E31&amp;AB31</f>
        <v>46035USDAED</v>
      </c>
      <c r="AG31" s="176"/>
      <c r="AH31" s="178">
        <f>IF(LEFT(AB31,3)=RIGHT(AB31,3),1,VLOOKUP(AB31,'FX RATES'!$H$1:$I$20,2,FALSE))</f>
        <v>3.6724999999999999</v>
      </c>
      <c r="AI31" s="178">
        <f>IF(OR(AB31="USDAED",LEFT(AB31,3)=RIGHT(AB31,3)),AH31,IF(LEFT(AB31)="USD",AG31,IF(RIGHT(AB31,3)="USD",1,IFERROR(VLOOKUP(E31&amp;"USD"&amp;RIGHT(AB31,3),$AF:$AG,2,FALSE),VLOOKUP(E31&amp;"USD"&amp;RIGHT(AJ31,3),$AN:$AO,2,FALSE)))))</f>
        <v>3.6724999999999999</v>
      </c>
      <c r="AJ31" s="441" t="str">
        <f>IF(W31="via USD",IF(S31="EUR",S31&amp;"USD","USD"&amp;S31),IFERROR(VLOOKUP(K31&amp;S31,'FX RATES'!$H$2:$H$20,1,FALSE),S31&amp;K31))</f>
        <v>USDRUB</v>
      </c>
      <c r="AK31" s="175">
        <f>IF(LEFT(AJ31,3)=RIGHT(AJ31,3),0,IFERROR(INDEX(CLIENTS!$A$1:$O$649,MATCH(P31,CLIENTS!$A$1:$A$649,0),MATCH(AJ31,CLIENTS!$A$1:$O$1,0)),0))</f>
        <v>0</v>
      </c>
      <c r="AL31" s="176">
        <v>78.819999999999993</v>
      </c>
      <c r="AM31" s="177">
        <f>IF(W31="VENDOR","",IF(AL31="",AP31+AK31,AL31+AK31))</f>
        <v>78.819999999999993</v>
      </c>
      <c r="AN31" s="177" t="str">
        <f>E31&amp;AJ31</f>
        <v>46035USDRUB</v>
      </c>
      <c r="AO31" s="176">
        <v>78.900000000000006</v>
      </c>
      <c r="AP31" s="178">
        <f ca="1">IF(LEFT(AJ31,3)=RIGHT(AJ31,3),1,VLOOKUP(AJ31,'FX RATES'!$H$1:$I$20,2,FALSE))</f>
        <v>76.720500000000001</v>
      </c>
      <c r="AQ31" s="178">
        <f>IF(OR(AJ31="USDAED",LEFT(AJ31,3)=RIGHT(AJ31,3)),AP31,IF(LEFT(AJ31)="USD",AO31,IF(RIGHT(AJ31,3)="USD",1,IFERROR(VLOOKUP(E31&amp;"USD"&amp;RIGHT(AJ31,3),$AN:$AO,2,FALSE),VLOOKUP(E31&amp;"USD"&amp;RIGHT(AB31,3),$AF:$AG,2,FALSE)))))</f>
        <v>78.900000000000006</v>
      </c>
      <c r="AR31" s="179">
        <f>-Q31*(1-Z31)/(1+X31)*IF(W31="CLIENT",IF(S31=RIGHT(AJ31,3),1/AM31,AM31),IF(W31="VENDOR",IF(S31=RIGHT(AJ31,3),1/AE31,AE31),AE31^(VLOOKUP(AB31,'FX RATES'!$H$1:$J$26,3,FALSE))/AM31^(VLOOKUP(AJ31,'FX RATES'!$H$1:$J$26,3,FALSE))))</f>
        <v>-1449576.9996409898</v>
      </c>
      <c r="AS31" s="179">
        <f>-I31*(1+X31)/(1-Z31)*IF(W31="VENDOR",IF(K31=RIGHT(AB31,3),1/AE31,AE31),IF(W31="CLIENT",IF(K31=RIGHT(AB31,3),1/AM31,AM31),AM31^(VLOOKUP(AJ31,'FX RATES'!$H$1:$J$26,3,FALSE))/AE31^(VLOOKUP(AB31,'FX RATES'!$H$1:$J$26,3,FALSE))))</f>
        <v>0</v>
      </c>
      <c r="AT31" s="170">
        <f>IF(AB31&lt;&gt;AJ31,J31/IF(K31=RIGHT(AB31,3),AE31,1/AE31),IF(S31="USD",J31/IF(K31=RIGHT(AB31,3),IF(W31="CLIENT",AM31,AE31),1/IF(W31="CLIENT",AM31,AE31)),J31*VLOOKUP(K31,'FX RATES'!$E$1:$F$10,2,FALSE)))</f>
        <v>-394980.10889400268</v>
      </c>
      <c r="AU31" s="170">
        <f>IF(AB31&lt;&gt;AJ31,R31/IF(S31=RIGHT(AJ31,3),AM31,1/AM31),IF(K31="USD",R31/IF(S31=RIGHT(AJ31,3),IF(W31="CLIENT",AM31,AE31),1/IF(W31="CLIENT",AM31,AE31)),R31*VLOOKUP(S31,'FX RATES'!$E$1:$F$10,2,FALSE)))</f>
        <v>397219.60606445069</v>
      </c>
      <c r="AV31" s="170">
        <f>AT31+AU31</f>
        <v>2239.4971704480122</v>
      </c>
      <c r="AW31" s="169"/>
      <c r="AX31" s="170">
        <f>IF(AND(ISERROR(SEARCH("INVOICE",T31)),ISERROR(SEARCH("SWITCH",T31)),ISERROR(SEARCH("FOREX",T31)),ISERROR(SEARCH("REFUND",A31)),ISERROR(SEARCH("CANCELLED",A31))),IF(AW31="",-AT31*X31+AU31*Z31,AW31),0)</f>
        <v>2239.4971704479512</v>
      </c>
      <c r="AY31" s="170">
        <f>IF(AZ31="USD",AT31,IF(AZ31=K31,J31,-R31))</f>
        <v>-394980.10889400268</v>
      </c>
      <c r="AZ31" s="170" t="str">
        <f>LEFT(AB31,3)</f>
        <v>USD</v>
      </c>
      <c r="BA31" s="542">
        <f>IF(OR(A31="REFUND",A31="CANCELLED"),0,IFERROR((IF(OR(AB31="USDAED",LEFT(AB31,3)=RIGHT(AB31,3)),AI31,AG31)-AE31)*-AY31*VLOOKUP(AB31,'FX RATES'!$H$1:$J$26,3,FALSE),0))</f>
        <v>987.45027223498562</v>
      </c>
      <c r="BB31" s="170" t="str">
        <f>RIGHT(AB31,3)</f>
        <v>AED</v>
      </c>
      <c r="BC31" s="542">
        <f>IF(BA31=0,0,IFERROR(BA31/IF(BB31&lt;&gt;"USD",AI31,1),"???"))</f>
        <v>268.8768610578586</v>
      </c>
      <c r="BD31" s="170">
        <f>IFERROR(-AC31/(IF(OR(AB31="USDAED",LEFT(AB31,3)=RIGHT(AB31,3)),AH31,AG31)-AE31)*BC31,0)</f>
        <v>0</v>
      </c>
      <c r="BE31" s="542">
        <f>BC31-BD31</f>
        <v>268.8768610578586</v>
      </c>
      <c r="BF31" s="170">
        <f>IF(BG31="USD",AU31,IF(BG31=S31,R31,-J31))</f>
        <v>397219.60606445069</v>
      </c>
      <c r="BG31" s="170" t="str">
        <f>LEFT(AJ31,3)</f>
        <v>USD</v>
      </c>
      <c r="BH31" s="542">
        <f>IF(OR(A31="REFUND",A31="CANCELLED"),0,IFERROR((IF(OR(AJ31="USDAED",LEFT(AJ31,3)=RIGHT(AJ31,3)),AQ31,AO31)-AM31)*-BF31*VLOOKUP(AJ31,'FX RATES'!$H$1:$J$26,3,FALSE),0))</f>
        <v>-31777.568485161024</v>
      </c>
      <c r="BI31" s="170" t="str">
        <f>RIGHT(AJ31,3)</f>
        <v>RUB</v>
      </c>
      <c r="BJ31" s="542">
        <f>IF(BH31=0,0,IFERROR(BH31/IF(BI31&lt;&gt;"USD",AQ31,1),"???"))</f>
        <v>-402.7575219919014</v>
      </c>
      <c r="BK31" s="170">
        <f>IFERROR(-AK31/(IF(OR(AJ31="USDAED",LEFT(AJ31,3)=RIGHT(AJ31,3)),AP31,AO31)-AM31)*BJ31,0)</f>
        <v>0</v>
      </c>
      <c r="BL31" s="542">
        <f>BJ31-BK31</f>
        <v>-402.7575219919014</v>
      </c>
      <c r="BM31" s="170">
        <f>IF(AND(ISERROR(SEARCH("REFUND",A31)),ISERROR(SEARCH("CANCELLED",A31))),BD31+BK31,0)</f>
        <v>0</v>
      </c>
      <c r="BN31" s="542">
        <f>IF(AND(ISERROR(SEARCH("REFUND",A31)),ISERROR(SEARCH("CANCELLED",A31))),BE31+BL31,0)</f>
        <v>-133.88066093404279</v>
      </c>
    </row>
    <row r="32" spans="1:66" ht="19.5" customHeight="1">
      <c r="A32" s="167" t="s">
        <v>366</v>
      </c>
      <c r="B32" s="168" t="s">
        <v>39</v>
      </c>
      <c r="C32" s="168" t="s">
        <v>383</v>
      </c>
      <c r="D32" s="168" t="s">
        <v>128</v>
      </c>
      <c r="E32" s="171">
        <v>46035</v>
      </c>
      <c r="F32" s="171"/>
      <c r="G32" s="168" t="s">
        <v>39</v>
      </c>
      <c r="H32" s="168" t="s">
        <v>384</v>
      </c>
      <c r="I32" s="169">
        <v>-31300000</v>
      </c>
      <c r="J32" s="170">
        <f>IF(I32="",AR32,I32)</f>
        <v>-31300000</v>
      </c>
      <c r="K32" s="168" t="s">
        <v>9</v>
      </c>
      <c r="L32" s="171" t="s">
        <v>374</v>
      </c>
      <c r="M32" s="168" t="s">
        <v>374</v>
      </c>
      <c r="N32" s="167" t="s">
        <v>371</v>
      </c>
      <c r="O32" s="168" t="s">
        <v>39</v>
      </c>
      <c r="P32" s="349" t="s">
        <v>384</v>
      </c>
      <c r="Q32" s="169"/>
      <c r="R32" s="170">
        <f>IF(Q32="",AS32,Q32)</f>
        <v>1458527.4930102516</v>
      </c>
      <c r="S32" s="168" t="s">
        <v>8</v>
      </c>
      <c r="T32" s="171" t="s">
        <v>385</v>
      </c>
      <c r="U32" s="168" t="s">
        <v>20</v>
      </c>
      <c r="V32" s="167" t="s">
        <v>371</v>
      </c>
      <c r="W32" s="172" t="s">
        <v>382</v>
      </c>
      <c r="X32" s="173">
        <f>IF(Y32="",VLOOKUP(H32,CLIENTS!$A$1:$O$649,5,FALSE),Y32)</f>
        <v>0</v>
      </c>
      <c r="Y32" s="174">
        <v>0</v>
      </c>
      <c r="Z32" s="173">
        <f>IF(AA32="",VLOOKUP(P32,CLIENTS!$A$1:$O$649,5,FALSE),AA32)</f>
        <v>0</v>
      </c>
      <c r="AA32" s="174">
        <v>0</v>
      </c>
      <c r="AB32" s="173" t="str">
        <f>IF(W32="via USD",IF(K32="EUR",K32&amp;"USD","USD"&amp;K32),IFERROR(VLOOKUP(K32&amp;S32,'FX RATES'!$H$2:$H$20,1,FALSE),S32&amp;K32))</f>
        <v>AEDRUB</v>
      </c>
      <c r="AC32" s="175">
        <f>IF(LEFT(AB32,3)=RIGHT(AB32,3),0,IFERROR(INDEX(CLIENTS!$A$1:$O$649,MATCH(H32,CLIENTS!$A$1:$A$649,0),MATCH(AB32,CLIENTS!$A$1:$O$1,0)),0))</f>
        <v>0</v>
      </c>
      <c r="AD32" s="176">
        <v>21.46</v>
      </c>
      <c r="AE32" s="177">
        <f>IF(W32="CLIENT","",IF(AD32="",AH32+AC32,AD32+AC32))</f>
        <v>21.46</v>
      </c>
      <c r="AF32" s="177" t="str">
        <f>E32&amp;AB32</f>
        <v>46035AEDRUB</v>
      </c>
      <c r="AG32" s="176">
        <v>21.484000000000002</v>
      </c>
      <c r="AH32" s="178">
        <f ca="1">IF(LEFT(AB32,3)=RIGHT(AB32,3),1,VLOOKUP(AB32,'FX RATES'!$H$1:$I$20,2,FALSE))</f>
        <v>20.8843</v>
      </c>
      <c r="AI32" s="178">
        <f>IF(OR(AB32="USDAED",LEFT(AB32,3)=RIGHT(AB32,3)),AH32,IF(LEFT(AB32)="USD",AG32,IF(RIGHT(AB32,3)="USD",1,IFERROR(VLOOKUP(E32&amp;"USD"&amp;RIGHT(AB32,3),$AF:$AG,2,FALSE),VLOOKUP(E32&amp;"USD"&amp;RIGHT(AJ32,3),$AN:$AO,2,FALSE)))))</f>
        <v>78.900000000000006</v>
      </c>
      <c r="AJ32" s="173" t="str">
        <f>IF(W32="via USD",IF(S32="EUR",S32&amp;"USD","USD"&amp;S32),IFERROR(VLOOKUP(K32&amp;S32,'FX RATES'!$H$2:$H$20,1,FALSE),S32&amp;K32))</f>
        <v>AEDRUB</v>
      </c>
      <c r="AK32" s="175">
        <f>IF(LEFT(AJ32,3)=RIGHT(AJ32,3),0,IFERROR(INDEX(CLIENTS!$A$1:$O$649,MATCH(P32,CLIENTS!$A$1:$A$649,0),MATCH(AJ32,CLIENTS!$A$1:$O$1,0)),0))</f>
        <v>0</v>
      </c>
      <c r="AL32" s="176"/>
      <c r="AM32" s="177" t="str">
        <f>IF(W32="VENDOR","",IF(AL32="",AP32+AK32,AL32+AK32))</f>
        <v/>
      </c>
      <c r="AN32" s="177" t="str">
        <f>E32&amp;AJ32</f>
        <v>46035AEDRUB</v>
      </c>
      <c r="AO32" s="176"/>
      <c r="AP32" s="178">
        <f ca="1">IF(LEFT(AJ32,3)=RIGHT(AJ32,3),1,VLOOKUP(AJ32,'FX RATES'!$H$1:$I$20,2,FALSE))</f>
        <v>20.8843</v>
      </c>
      <c r="AQ32" s="178">
        <f>IF(OR(AJ32="USDAED",LEFT(AJ32,3)=RIGHT(AJ32,3)),AP32,IF(LEFT(AJ32)="USD",AO32,IF(RIGHT(AJ32,3)="USD",1,IFERROR(VLOOKUP(E32&amp;"USD"&amp;RIGHT(AJ32,3),$AN:$AO,2,FALSE),VLOOKUP(E32&amp;"USD"&amp;RIGHT(AB32,3),$AF:$AG,2,FALSE)))))</f>
        <v>78.900000000000006</v>
      </c>
      <c r="AR32" s="179">
        <f>-Q32*(1-Z32)/(1+X32)*IF(W32="CLIENT",IF(S32=RIGHT(AJ32,3),1/AM32,AM32),IF(W32="VENDOR",IF(S32=RIGHT(AJ32,3),1/AE32,AE32),AE32^(VLOOKUP(AB32,'FX RATES'!$H$1:$J$26,3,FALSE))/AM32^(VLOOKUP(AJ32,'FX RATES'!$H$1:$J$26,3,FALSE))))</f>
        <v>0</v>
      </c>
      <c r="AS32" s="179">
        <f>-I32*(1+X32)/(1-Z32)*IF(W32="VENDOR",IF(K32=RIGHT(AB32,3),1/AE32,AE32),IF(W32="CLIENT",IF(K32=RIGHT(AB32,3),1/AM32,AM32),AM32^(VLOOKUP(AJ32,'FX RATES'!$H$1:$J$26,3,FALSE))/AE32^(VLOOKUP(AB32,'FX RATES'!$H$1:$J$26,3,FALSE))))</f>
        <v>1458527.4930102516</v>
      </c>
      <c r="AT32" s="170">
        <f ca="1">IF(AB32&lt;&gt;AJ32,J32/IF(K32=RIGHT(AB32,3),AE32,1/AE32),IF(S32="USD",J32/IF(K32=RIGHT(AB32,3),IF(W32="CLIENT",AM32,AE32),1/IF(W32="CLIENT",AM32,AE32)),J32*VLOOKUP(K32,'FX RATES'!$E$1:$F$10,2,FALSE)))</f>
        <v>-407974.40058393782</v>
      </c>
      <c r="AU32" s="170">
        <f ca="1">IF(AB32&lt;&gt;AJ32,R32/IF(S32=RIGHT(AJ32,3),AM32,1/AM32),IF(K32="USD",R32/IF(S32=RIGHT(AJ32,3),IF(W32="CLIENT",AM32,AE32),1/IF(W32="CLIENT",AM32,AE32)),R32*VLOOKUP(S32,'FX RATES'!$E$1:$F$10,2,FALSE)))</f>
        <v>397137.5845478003</v>
      </c>
      <c r="AV32" s="170">
        <f ca="1">AT32+AU32</f>
        <v>-10836.816036137519</v>
      </c>
      <c r="AW32" s="169"/>
      <c r="AX32" s="170">
        <f ca="1">IF(AND(ISERROR(SEARCH("INVOICE",T32)),ISERROR(SEARCH("SWITCH",T32)),ISERROR(SEARCH("FOREX",T32)),ISERROR(SEARCH("REFUND",A32)),ISERROR(SEARCH("CANCELLED",A32))),IF(AW32="",-AT32*X32+AU32*Z32,AW32),0)</f>
        <v>0</v>
      </c>
      <c r="AY32" s="170">
        <f>IF(AZ32="USD",AT32,IF(AZ32=K32,J32,-R32))</f>
        <v>-1458527.4930102516</v>
      </c>
      <c r="AZ32" s="170" t="str">
        <f>LEFT(AB32,3)</f>
        <v>AED</v>
      </c>
      <c r="BA32" s="542">
        <f>IF(OR(A32="REFUND",A32="CANCELLED"),0,IFERROR((IF(OR(AB32="USDAED",LEFT(AB32,3)=RIGHT(AB32,3)),AI32,AG32)-AE32)*-AY32*VLOOKUP(AB32,'FX RATES'!$H$1:$J$26,3,FALSE),0))</f>
        <v>35004.659832247366</v>
      </c>
      <c r="BB32" s="170" t="str">
        <f>RIGHT(AB32,3)</f>
        <v>RUB</v>
      </c>
      <c r="BC32" s="542">
        <f>IF(BA32=0,0,IFERROR(BA32/IF(BB32&lt;&gt;"USD",AI32,1),"???"))</f>
        <v>443.65855300693744</v>
      </c>
      <c r="BD32" s="170">
        <f>IFERROR(-AC32/(IF(OR(AB32="USDAED",LEFT(AB32,3)=RIGHT(AB32,3)),AH32,AG32)-AE32)*BC32,0)</f>
        <v>0</v>
      </c>
      <c r="BE32" s="542">
        <f>BC32-BD32</f>
        <v>443.65855300693744</v>
      </c>
      <c r="BF32" s="170">
        <f>IF(BG32="USD",AU32,IF(BG32=S32,R32,-J32))</f>
        <v>1458527.4930102516</v>
      </c>
      <c r="BG32" s="170" t="str">
        <f>LEFT(AJ32,3)</f>
        <v>AED</v>
      </c>
      <c r="BH32" s="542">
        <f>IF(OR(A32="REFUND",A32="CANCELLED"),0,IFERROR((IF(OR(AJ32="USDAED",LEFT(AJ32,3)=RIGHT(AJ32,3)),AQ32,AO32)-AM32)*-BF32*VLOOKUP(AJ32,'FX RATES'!$H$1:$J$26,3,FALSE),0))</f>
        <v>0</v>
      </c>
      <c r="BI32" s="170" t="str">
        <f>RIGHT(AJ32,3)</f>
        <v>RUB</v>
      </c>
      <c r="BJ32" s="542">
        <f>IF(BH32=0,0,IFERROR(BH32/IF(BI32&lt;&gt;"USD",AQ32,1),"???"))</f>
        <v>0</v>
      </c>
      <c r="BK32" s="170">
        <f>IFERROR(-AK32/(IF(OR(AJ32="USDAED",LEFT(AJ32,3)=RIGHT(AJ32,3)),AP32,AO32)-AM32)*BJ32,0)</f>
        <v>0</v>
      </c>
      <c r="BL32" s="542">
        <f>BJ32-BK32</f>
        <v>0</v>
      </c>
      <c r="BM32" s="170">
        <f>IF(AND(ISERROR(SEARCH("REFUND",A32)),ISERROR(SEARCH("CANCELLED",A32))),BD32+BK32,0)</f>
        <v>0</v>
      </c>
      <c r="BN32" s="542">
        <f>IF(AND(ISERROR(SEARCH("REFUND",A32)),ISERROR(SEARCH("CANCELLED",A32))),BE32+BL32,0)</f>
        <v>443.65855300693744</v>
      </c>
    </row>
    <row r="34" spans="1:66" ht="19.5" customHeight="1">
      <c r="A34" s="167" t="s">
        <v>366</v>
      </c>
      <c r="B34" s="168" t="s">
        <v>102</v>
      </c>
      <c r="C34" s="181" t="s">
        <v>367</v>
      </c>
      <c r="D34" s="181" t="s">
        <v>418</v>
      </c>
      <c r="E34" s="171">
        <v>46036</v>
      </c>
      <c r="F34" s="171"/>
      <c r="G34" s="168" t="s">
        <v>102</v>
      </c>
      <c r="H34" s="168" t="s">
        <v>419</v>
      </c>
      <c r="I34" s="169">
        <v>-400000</v>
      </c>
      <c r="J34" s="170">
        <f>IF(I34="",AR34,I34)</f>
        <v>-400000</v>
      </c>
      <c r="K34" s="168" t="s">
        <v>5</v>
      </c>
      <c r="L34" s="168" t="s">
        <v>420</v>
      </c>
      <c r="M34" s="168" t="s">
        <v>420</v>
      </c>
      <c r="N34" s="167" t="s">
        <v>371</v>
      </c>
      <c r="O34" s="168" t="s">
        <v>52</v>
      </c>
      <c r="P34" s="168" t="s">
        <v>421</v>
      </c>
      <c r="Q34" s="169"/>
      <c r="R34" s="170">
        <f>IF(Q34="",AS34,Q34)</f>
        <v>402010.05025125627</v>
      </c>
      <c r="S34" s="168" t="s">
        <v>53</v>
      </c>
      <c r="T34" s="168" t="s">
        <v>420</v>
      </c>
      <c r="U34" s="168" t="s">
        <v>54</v>
      </c>
      <c r="V34" s="167" t="s">
        <v>371</v>
      </c>
      <c r="W34" s="172" t="s">
        <v>375</v>
      </c>
      <c r="X34" s="173">
        <f>IF(Y34="",VLOOKUP(H34,CLIENTS!$A$1:$O$649,5,FALSE),Y34)</f>
        <v>0</v>
      </c>
      <c r="Y34" s="174">
        <v>0</v>
      </c>
      <c r="Z34" s="173">
        <f>IF(AA34="",VLOOKUP(P34,CLIENTS!$A$1:$O$649,5,FALSE),AA34)</f>
        <v>5.0000000000000001E-3</v>
      </c>
      <c r="AA34" s="174">
        <v>5.0000000000000001E-3</v>
      </c>
      <c r="AB34" s="173" t="str">
        <f>IF(W34="via USD",IF(K34="EUR",K34&amp;"USD","USD"&amp;K34),IFERROR(VLOOKUP(K34&amp;S34,'FX RATES'!$H$2:$H$20,1,FALSE),S34&amp;K34))</f>
        <v>USDUSD</v>
      </c>
      <c r="AC34" s="175">
        <f>IF(LEFT(AB34,3)=RIGHT(AB34,3),0,IFERROR(INDEX(CLIENTS!$A$1:$O$649,MATCH(H34,CLIENTS!$A$1:$A$649,0),MATCH(AB34,CLIENTS!$A$1:$O$1,0)),0))</f>
        <v>0</v>
      </c>
      <c r="AD34" s="176"/>
      <c r="AE34" s="177">
        <f>IF(W34="CLIENT","",IF(AD34="",AH34+AC34,AD34+AC34))</f>
        <v>1</v>
      </c>
      <c r="AF34" s="177" t="str">
        <f>E34&amp;AB34</f>
        <v>46036USDUSD</v>
      </c>
      <c r="AG34" s="176"/>
      <c r="AH34" s="178">
        <f>IF(LEFT(AB34,3)=RIGHT(AB34,3),1,VLOOKUP(AB34,'FX RATES'!$H$1:$I$20,2,FALSE))</f>
        <v>1</v>
      </c>
      <c r="AI34" s="178">
        <f>IF(OR(AB34="USDAED",LEFT(AB34,3)=RIGHT(AB34,3)),AH34,IF(LEFT(AB34)="USD",AG34,IF(RIGHT(AB34,3)="USD",1,IFERROR(VLOOKUP(E34&amp;"USD"&amp;RIGHT(AB34,3),$AF:$AG,2,FALSE),VLOOKUP(E34&amp;"USD"&amp;RIGHT(AJ34,3),$AN:$AO,2,FALSE)))))</f>
        <v>1</v>
      </c>
      <c r="AJ34" s="173" t="str">
        <f>IF(W34="via USD",IF(S34="EUR",S34&amp;"USD","USD"&amp;S34),IFERROR(VLOOKUP(K34&amp;S34,'FX RATES'!$H$2:$H$20,1,FALSE),S34&amp;K34))</f>
        <v>USDUSDT</v>
      </c>
      <c r="AK34" s="175">
        <f>IF(LEFT(AJ34,3)=RIGHT(AJ34,3),0,IFERROR(INDEX(CLIENTS!$A$1:$O$649,MATCH(P34,CLIENTS!$A$1:$A$649,0),MATCH(AJ34,CLIENTS!$A$1:$O$1,0)),0))</f>
        <v>0</v>
      </c>
      <c r="AL34" s="176"/>
      <c r="AM34" s="177">
        <f>IF(W34="VENDOR","",IF(AL34="",AP34+AK34,AL34+AK34))</f>
        <v>1</v>
      </c>
      <c r="AN34" s="177" t="str">
        <f>E34&amp;AJ34</f>
        <v>46036USDUSDT</v>
      </c>
      <c r="AO34" s="176"/>
      <c r="AP34" s="178">
        <f>IF(LEFT(AJ34,3)=RIGHT(AJ34,3),1,VLOOKUP(AJ34,'FX RATES'!$H$1:$I$50,2,FALSE))</f>
        <v>1</v>
      </c>
      <c r="AQ34" s="178">
        <f>IF(OR(AJ34="USDAED",LEFT(AJ34,3)=RIGHT(AJ34,3),AJ34="USDUSDT",AJ34="USDTUSD"),AP34,IF(LEFT(AJ34)="USD",AO34,IF(RIGHT(AJ34,3)="USD",1,IFERROR(VLOOKUP(E34&amp;"USD"&amp;RIGHT(AJ34,3),$AN:$AO,2,FALSE),VLOOKUP(E34&amp;"USD"&amp;RIGHT(AB34,3),$AF:$AG,2,FALSE)))))</f>
        <v>1</v>
      </c>
      <c r="AR34" s="179">
        <f>-Q34*(1-Z34)/(1+X34)*IF(W34="CLIENT",IF(S34=RIGHT(AJ34,3),1/AM34,AM34),IF(W34="VENDOR",IF(S34=RIGHT(AJ34,3),1/AE34,AE34),AE34^(VLOOKUP(AB34,'FX RATES'!$H$1:$J$26,3,FALSE))/AM34^(VLOOKUP(AJ34,'FX RATES'!$H$1:$J$26,3,FALSE))))</f>
        <v>0</v>
      </c>
      <c r="AS34" s="179">
        <f>-I34*(1+X34)/(1-Z34)*IF(W34="VENDOR",IF(K34=RIGHT(AB34,3),1/AE34,AE34),IF(W34="CLIENT",IF(K34=RIGHT(AB34,3),1/AM34,AM34),AM34^(VLOOKUP(AJ34,'FX RATES'!$H$1:$J$26,3,FALSE))/AE34^(VLOOKUP(AB34,'FX RATES'!$H$1:$J$26,3,FALSE))))</f>
        <v>402010.05025125627</v>
      </c>
      <c r="AT34" s="170">
        <f>IF(AB34&lt;&gt;AJ34,J34/IF(K34=RIGHT(AB34,3),AE34,1/AE34),IF(S34="USD",J34/IF(K34=RIGHT(AB34,3),IF(W34="CLIENT",AM34,AE34),1/IF(W34="CLIENT",AM34,AE34)),J34*VLOOKUP(K34,'FX RATES'!$E$1:$F$10,2,FALSE)))</f>
        <v>-400000</v>
      </c>
      <c r="AU34" s="170">
        <f>IF(AB34&lt;&gt;AJ34,R34/IF(S34=RIGHT(AJ34,3),AM34,1/AM34),IF(K34="USD",R34/IF(S34=RIGHT(AJ34,3),IF(W34="CLIENT",AM34,AE34),1/IF(W34="CLIENT",AM34,AE34)),R34*VLOOKUP(S34,'FX RATES'!$E$1:$F$10,2,FALSE)))</f>
        <v>402010.05025125627</v>
      </c>
      <c r="AV34" s="170">
        <f>AT34+AU34</f>
        <v>2010.0502512562671</v>
      </c>
      <c r="AW34" s="169"/>
      <c r="AX34" s="170">
        <f>IF(AND(ISERROR(SEARCH("INVOICE",T34)),ISERROR(SEARCH("SWITCH",T34)),ISERROR(SEARCH("FOREX",T34)),ISERROR(SEARCH("REFUND",A34)),ISERROR(SEARCH("CANCELLED",A34))),IF(AW34="",-AT34*X34+AU34*Z34,AW34),0)</f>
        <v>2010.0502512562814</v>
      </c>
      <c r="AY34" s="170">
        <f>IF(AZ34="USD",AT34,IF(AZ34=K34,J34,-R34))</f>
        <v>-400000</v>
      </c>
      <c r="AZ34" s="170" t="str">
        <f>LEFT(AB34,3)</f>
        <v>USD</v>
      </c>
      <c r="BA34" s="542">
        <f>IF(OR(A34="REFUND",A34="CANCELLED"),0,IFERROR((IF(OR(AB34="USDAED",LEFT(AB34,3)=RIGHT(AB34,3)),AI34,AG34)-AE34)*-AY34*VLOOKUP(AB34,'FX RATES'!$H$1:$J$26,3,FALSE),0))</f>
        <v>0</v>
      </c>
      <c r="BB34" s="170" t="str">
        <f>RIGHT(AB34,3)</f>
        <v>USD</v>
      </c>
      <c r="BC34" s="542">
        <f>IF(BA34=0,0,IFERROR(BA34/IF(BB34&lt;&gt;"USD",AI34,1),"???"))</f>
        <v>0</v>
      </c>
      <c r="BD34" s="170">
        <f>IFERROR(-AC34/(IF(OR(AB34="USDAED",LEFT(AB34,3)=RIGHT(AB34,3)),AH34,AG34)-AE34)*BC34,0)</f>
        <v>0</v>
      </c>
      <c r="BE34" s="542">
        <f>BC34-BD34</f>
        <v>0</v>
      </c>
      <c r="BF34" s="170">
        <f>IF(BG34="USD",AU34,IF(BG34=S34,R34,-J34))</f>
        <v>402010.05025125627</v>
      </c>
      <c r="BG34" s="170" t="str">
        <f>LEFT(AJ34,3)</f>
        <v>USD</v>
      </c>
      <c r="BH34" s="542">
        <f>IF(OR(A34="REFUND",A34="CANCELLED"),0,IFERROR((IF(OR(AJ34="USDAED",LEFT(AJ34,3)=RIGHT(AJ34,3),AJ34="USDUSDT",AJ34="USDTUSD"),AQ34,AO34)-AM34)*-BF34*VLOOKUP(AJ34,'FX RATES'!$H$1:$J$26,3,FALSE),0))</f>
        <v>0</v>
      </c>
      <c r="BI34" s="170" t="str">
        <f>RIGHT(AJ34,4)</f>
        <v>USDT</v>
      </c>
      <c r="BJ34" s="542">
        <f>IF(BH34=0,0,IFERROR(BH34/IF(BI34&lt;&gt;"USD",AQ34,1),"???"))</f>
        <v>0</v>
      </c>
      <c r="BK34" s="170">
        <f>IFERROR(-AK34/(IF(OR(AJ34="USDAED",LEFT(AJ34,3)=RIGHT(AJ34,3)),AP34,AO34)-AM34)*BJ34,0)</f>
        <v>0</v>
      </c>
      <c r="BL34" s="542">
        <f>BJ34-BK34</f>
        <v>0</v>
      </c>
      <c r="BM34" s="170">
        <f>IF(AND(ISERROR(SEARCH("REFUND",A34)),ISERROR(SEARCH("CANCELLED",A34))),BD34+BK34,0)</f>
        <v>0</v>
      </c>
      <c r="BN34" s="542">
        <f>IF(AND(ISERROR(SEARCH("REFUND",A34)),ISERROR(SEARCH("CANCELLED",A34))),BE34+BL34,0)</f>
        <v>0</v>
      </c>
    </row>
    <row r="35" spans="1:66" ht="19.5" customHeight="1">
      <c r="A35" s="167" t="s">
        <v>366</v>
      </c>
      <c r="B35" s="172" t="s">
        <v>102</v>
      </c>
      <c r="C35" s="172" t="s">
        <v>102</v>
      </c>
      <c r="D35" s="181" t="s">
        <v>368</v>
      </c>
      <c r="E35" s="171">
        <v>46036</v>
      </c>
      <c r="F35" s="171"/>
      <c r="G35" s="172" t="s">
        <v>102</v>
      </c>
      <c r="H35" s="172" t="s">
        <v>104</v>
      </c>
      <c r="I35" s="169"/>
      <c r="J35" s="170">
        <f>IF(I35="",AR35,I35)</f>
        <v>-401600</v>
      </c>
      <c r="K35" s="172" t="s">
        <v>53</v>
      </c>
      <c r="L35" s="172" t="s">
        <v>420</v>
      </c>
      <c r="M35" s="172" t="s">
        <v>54</v>
      </c>
      <c r="N35" s="167" t="s">
        <v>371</v>
      </c>
      <c r="O35" s="172" t="s">
        <v>102</v>
      </c>
      <c r="P35" s="172" t="s">
        <v>104</v>
      </c>
      <c r="Q35" s="169">
        <f>-J34</f>
        <v>400000</v>
      </c>
      <c r="R35" s="170">
        <f>IF(Q35="",AS35,Q35)</f>
        <v>400000</v>
      </c>
      <c r="S35" s="172" t="s">
        <v>5</v>
      </c>
      <c r="T35" s="171" t="s">
        <v>420</v>
      </c>
      <c r="U35" s="172" t="s">
        <v>54</v>
      </c>
      <c r="V35" s="167" t="s">
        <v>371</v>
      </c>
      <c r="W35" s="172" t="s">
        <v>375</v>
      </c>
      <c r="X35" s="173">
        <f>IF(Y35="",VLOOKUP(H35,CLIENTS!$A$1:$O$649,5,FALSE),Y35)</f>
        <v>0</v>
      </c>
      <c r="Y35" s="174">
        <v>0</v>
      </c>
      <c r="Z35" s="173">
        <f>IF(AA35="",VLOOKUP(P35,CLIENTS!$A$1:$O$649,5,FALSE),AA35)</f>
        <v>-4.0000000000000001E-3</v>
      </c>
      <c r="AA35" s="174">
        <v>-4.0000000000000001E-3</v>
      </c>
      <c r="AB35" s="173" t="str">
        <f>IF(W35="via USD",IF(K35="EUR",K35&amp;"USD","USD"&amp;K35),IFERROR(VLOOKUP(K35&amp;S35,'FX RATES'!$H$2:$H$55,1,FALSE),S35&amp;K35))</f>
        <v>USDUSDT</v>
      </c>
      <c r="AC35" s="175">
        <f>IF(LEFT(AB35,3)=RIGHT(AB35,3),0,IFERROR(INDEX(CLIENTS!$A$1:$O$649,MATCH(H35,CLIENTS!$A$1:$A$649,0),MATCH(AB35,CLIENTS!$A$1:$O$1,0)),0))</f>
        <v>0</v>
      </c>
      <c r="AD35" s="176"/>
      <c r="AE35" s="177">
        <f>IF(W35="CLIENT","",IF(AD35="",AH35+AC35,AD35+AC35))</f>
        <v>1</v>
      </c>
      <c r="AF35" s="177" t="str">
        <f>E35&amp;AB35</f>
        <v>46036USDUSDT</v>
      </c>
      <c r="AG35" s="176">
        <v>1</v>
      </c>
      <c r="AH35" s="178">
        <f>IF(OR(LEFT(AB35,3)=RIGHT(AB35,3),OR(AB35="USDUSDT",AB35="USDTUSD")),1,VLOOKUP(AB35,'FX RATES'!$H$1:$I$20,2,FALSE))</f>
        <v>1</v>
      </c>
      <c r="AI35" s="178">
        <f>IF(OR(AB35="USDAED",LEFT(AB35,3)=RIGHT(AB35,3)),AH35,IF(LEFT(AB35)="USD",AG35,IF(OR(RIGHT(AB35,3)="USD",RIGHT(AB35,4)="USDT"),1,IFERROR(VLOOKUP(E35&amp;"USD"&amp;RIGHT(AB35,3),$AF:$AG,2,FALSE),VLOOKUP(E35&amp;"USD"&amp;RIGHT(AJ35,3),$AN:$AO,2,FALSE)))))</f>
        <v>1</v>
      </c>
      <c r="AJ35" s="173" t="str">
        <f>IF(W35="via USD",IF(S35="EUR",S35&amp;"USD","USD"&amp;S35),IFERROR(VLOOKUP(K35&amp;S35,'FX RATES'!$H$2:$H$20,1,FALSE),S35&amp;K35))</f>
        <v>USDUSD</v>
      </c>
      <c r="AK35" s="175">
        <f>IF(LEFT(AJ35,3)=RIGHT(AJ35,3),0,IFERROR(INDEX(CLIENTS!$A$1:$O$649,MATCH(P35,CLIENTS!$A$1:$A$649,0),MATCH(AJ35,CLIENTS!$A$1:$O$1,0)),0))</f>
        <v>0</v>
      </c>
      <c r="AL35" s="176"/>
      <c r="AM35" s="177">
        <f>IF(W35="VENDOR","",IF(AL35="",AP35+AK35,AL35+AK35))</f>
        <v>1</v>
      </c>
      <c r="AN35" s="177" t="str">
        <f>E35&amp;AJ35</f>
        <v>46036USDUSD</v>
      </c>
      <c r="AO35" s="176"/>
      <c r="AP35" s="178">
        <f>IF(OR(LEFT(AJ35,3)=RIGHT(AJ35,3),AND(OR(AB35="USDUSDT",AB35="USDTUSD"),OR(AJ35="USDUSDT",AJ35="USDTUSD"))),1,VLOOKUP(AJ35,'FX RATES'!$H$1:$I$20,2,FALSE))</f>
        <v>1</v>
      </c>
      <c r="AQ35" s="178">
        <f>IF(OR(AJ35="USDAED",LEFT(AJ35,3)=RIGHT(AJ35,3)),AP35,IF(LEFT(AJ35)="USD",AO35,IF(OR(RIGHT(AB35,3)="USD",RIGHT(AB35,4)="USDT"),1,IFERROR(VLOOKUP(E35&amp;"USD"&amp;RIGHT(AJ35,3),$AN:$AO,2,FALSE),VLOOKUP(E35&amp;"USD"&amp;RIGHT(AB35,3),$AF:$AG,2,FALSE)))))</f>
        <v>1</v>
      </c>
      <c r="AR35" s="179">
        <f>-Q35*(1-Z35)/(1+X35)*IF(W35="CLIENT",IF(S35=RIGHT(AJ35,3),1/AM35,AM35),IF(W35="VENDOR",IF(S35=RIGHT(AJ35,3),1/AE35,AE35),AE35^(VLOOKUP(AB35,'FX RATES'!$H$1:$J$26,3,FALSE))/AM35^(VLOOKUP(AJ35,'FX RATES'!$H$1:$J$26,3,FALSE))))</f>
        <v>-401600</v>
      </c>
      <c r="AS35" s="179">
        <f>-I35*(1+X35)/(1-Z35)*IF(W35="VENDOR",IF(K35=RIGHT(AB35,3),1/AE35,AE35),IF(W35="CLIENT",IF(K35=RIGHT(AB35,3),1/AM35,AM35),AM35^(VLOOKUP(AJ35,'FX RATES'!$H$1:$J$26,3,FALSE))/AE35^(VLOOKUP(AB35,'FX RATES'!$H$1:$J$26,3,FALSE))))</f>
        <v>0</v>
      </c>
      <c r="AT35" s="170">
        <f>IF(AB35&lt;&gt;AJ35,J35/IF(K35=RIGHT(AB35,3),AE35,1/AE35),IF(S35="USD",J35/IF(K35=RIGHT(AB35,3),IF(W35="CLIENT",AM35,AE35),1/IF(W35="CLIENT",AM35,AE35)),J35*VLOOKUP(K35,'FX RATES'!$E$1:$F$10,2,FALSE)))</f>
        <v>-401600</v>
      </c>
      <c r="AU35" s="170">
        <f>IF(AB35&lt;&gt;AJ35,R35/IF(S35=RIGHT(AJ35,3),AM35,1/AM35),IF(K35="USD",R35/IF(S35=RIGHT(AJ35,3),IF(W35="CLIENT",AM35,AE35),1/IF(W35="CLIENT",AM35,AE35)),R35*VLOOKUP(S35,'FX RATES'!$E$1:$F$10,2,FALSE)))</f>
        <v>400000</v>
      </c>
      <c r="AV35" s="170">
        <f>AT35+AU35</f>
        <v>-1600</v>
      </c>
      <c r="AW35" s="169"/>
      <c r="AX35" s="170">
        <f>IF(AND(ISERROR(SEARCH("INVOICE",T35)),ISERROR(SEARCH("SWITCH",T35)),ISERROR(SEARCH("FOREX",T35)),ISERROR(SEARCH("REFUND",A35)),ISERROR(SEARCH("CANCELLED",A35))),IF(AW35="",-AT35*X35+AU35*Z35,AW35),0)</f>
        <v>-1600</v>
      </c>
      <c r="AY35" s="170">
        <f>IF(AZ35="USD",AT35,IF(AZ35=K35,J35,-R35))</f>
        <v>-401600</v>
      </c>
      <c r="AZ35" s="170" t="str">
        <f>LEFT(AB35,3)</f>
        <v>USD</v>
      </c>
      <c r="BA35" s="542">
        <f>IF(OR(A35="REFUND",A35="CANCELLED"),0,IFERROR((IF(OR(AB35="USDAED",LEFT(AB35,3)=RIGHT(AB35,3)),AI35,AG35)-AE35)*-AY35*VLOOKUP(AB35,'FX RATES'!$H$1:$J$26,3,FALSE),0))</f>
        <v>0</v>
      </c>
      <c r="BB35" s="170" t="str">
        <f>RIGHT(AB35,4)</f>
        <v>USDT</v>
      </c>
      <c r="BC35" s="542">
        <f>IF(BA35=0,0,IFERROR(BA35/IF(BB35&lt;&gt;"USD",AI35,1),"???"))</f>
        <v>0</v>
      </c>
      <c r="BD35" s="170">
        <f>IFERROR(-AC35/(IF(OR(AB35="USDAED",LEFT(AB35,3)=RIGHT(AB35,3)),AH35,AG35)-AE35)*BC35,0)</f>
        <v>0</v>
      </c>
      <c r="BE35" s="542">
        <f>BC35-BD35</f>
        <v>0</v>
      </c>
      <c r="BF35" s="170">
        <f>IF(BG35="USD",AU35,IF(BG35=S35,R35,-J35))</f>
        <v>400000</v>
      </c>
      <c r="BG35" s="170" t="str">
        <f>LEFT(AJ35,3)</f>
        <v>USD</v>
      </c>
      <c r="BH35" s="542">
        <f>IF(OR(A35="REFUND",A35="CANCELLED"),0,IFERROR((IF(OR(AJ35="USDAED",LEFT(AJ35,3)=RIGHT(AJ35,3)),AQ35,AO35)-AM35)*-BF35*VLOOKUP(AJ35,'FX RATES'!$H$1:$J$26,3,FALSE),0))</f>
        <v>0</v>
      </c>
      <c r="BI35" s="170" t="str">
        <f>RIGHT(AJ35,3)</f>
        <v>USD</v>
      </c>
      <c r="BJ35" s="542">
        <f>IF(BH35=0,0,IFERROR(BH35/IF(BI35&lt;&gt;"USD",AQ35,1),"???"))</f>
        <v>0</v>
      </c>
      <c r="BK35" s="170">
        <f>IFERROR(-AK35/(IF(OR(AJ35="USDAED",LEFT(AJ35,3)=RIGHT(AJ35,3)),AP35,AO35)-AM35)*BJ35,0)</f>
        <v>0</v>
      </c>
      <c r="BL35" s="542">
        <f>BJ35-BK35</f>
        <v>0</v>
      </c>
      <c r="BM35" s="170">
        <f>IF(AND(ISERROR(SEARCH("REFUND",A35)),ISERROR(SEARCH("CANCELLED",A35))),BD35+BK35,0)</f>
        <v>0</v>
      </c>
      <c r="BN35" s="542">
        <f>IF(AND(ISERROR(SEARCH("REFUND",A35)),ISERROR(SEARCH("CANCELLED",A35))),BE35+BL35,0)</f>
        <v>0</v>
      </c>
    </row>
    <row r="37" spans="1:66" ht="19.5" customHeight="1">
      <c r="A37" s="167" t="s">
        <v>366</v>
      </c>
      <c r="B37" s="225" t="s">
        <v>42</v>
      </c>
      <c r="C37" s="225" t="s">
        <v>367</v>
      </c>
      <c r="D37" s="225" t="s">
        <v>368</v>
      </c>
      <c r="E37" s="226">
        <v>46036</v>
      </c>
      <c r="F37" s="226"/>
      <c r="G37" s="225" t="s">
        <v>42</v>
      </c>
      <c r="H37" s="225" t="s">
        <v>393</v>
      </c>
      <c r="I37" s="227"/>
      <c r="J37" s="170">
        <f>IF(I37="",AR37,I37)</f>
        <v>-1015468.5714285714</v>
      </c>
      <c r="K37" s="225" t="s">
        <v>7</v>
      </c>
      <c r="L37" s="226" t="s">
        <v>422</v>
      </c>
      <c r="M37" s="225" t="s">
        <v>22</v>
      </c>
      <c r="N37" s="167" t="s">
        <v>371</v>
      </c>
      <c r="O37" s="225" t="s">
        <v>52</v>
      </c>
      <c r="P37" s="225" t="s">
        <v>423</v>
      </c>
      <c r="Q37" s="227">
        <v>11508269.6</v>
      </c>
      <c r="R37" s="170">
        <f>IF(Q37="",AS37,Q37)</f>
        <v>11508269.6</v>
      </c>
      <c r="S37" s="225" t="s">
        <v>9</v>
      </c>
      <c r="T37" s="226" t="s">
        <v>25</v>
      </c>
      <c r="U37" s="225" t="s">
        <v>25</v>
      </c>
      <c r="V37" s="167" t="s">
        <v>371</v>
      </c>
      <c r="W37" s="230" t="s">
        <v>389</v>
      </c>
      <c r="X37" s="173">
        <f>IF(Y37="",VLOOKUP(H37,CLIENTS!$A$1:$O$649,5,FALSE),Y37)</f>
        <v>0</v>
      </c>
      <c r="Y37" s="234">
        <v>0</v>
      </c>
      <c r="Z37" s="173">
        <f>IF(AA37="",VLOOKUP(P37,CLIENTS!$A$1:$O$649,5,FALSE),AA37)</f>
        <v>5.0000000000000001E-3</v>
      </c>
      <c r="AA37" s="234">
        <v>5.0000000000000001E-3</v>
      </c>
      <c r="AB37" s="173" t="str">
        <f>IF(W37="via USD",IF(K37="EUR",K37&amp;"USD","USD"&amp;K37),IFERROR(VLOOKUP(K37&amp;S37,'FX RATES'!$H$2:$H$20,1,FALSE),S37&amp;K37))</f>
        <v>CNYRUB</v>
      </c>
      <c r="AC37" s="175">
        <f>IF(LEFT(AB37,3)=RIGHT(AB37,3),0,IFERROR(INDEX(CLIENTS!$A$1:$O$649,MATCH(H37,CLIENTS!$A$1:$A$649,0),MATCH(AB37,CLIENTS!$A$1:$O$1,0)),0))</f>
        <v>0</v>
      </c>
      <c r="AD37" s="176"/>
      <c r="AE37" s="177" t="str">
        <f>IF(W37="CLIENT","",IF(AD37="",AH37+AC37,AD37+AC37))</f>
        <v/>
      </c>
      <c r="AF37" s="177" t="str">
        <f>E37&amp;AB37</f>
        <v>46036CNYRUB</v>
      </c>
      <c r="AG37" s="176"/>
      <c r="AH37" s="178">
        <f ca="1">IF(LEFT(AB37,3)=RIGHT(AB37,3),1,VLOOKUP(AB37,'FX RATES'!$H$1:$I$20,2,FALSE))</f>
        <v>11.103899999999999</v>
      </c>
      <c r="AI37" s="178">
        <f>IF(OR(AB37="USDAED",LEFT(AB37,3)=RIGHT(AB37,3)),AH37,IF(LEFT(AB37)="USD",AG37,IF(RIGHT(AB37,3)="USD",1,IFERROR(VLOOKUP(E37&amp;"USD"&amp;RIGHT(AB37,3),$AF:$AG,2,FALSE),VLOOKUP(E37&amp;"USD"&amp;RIGHT(AJ37,3),$AN:$AO,2,FALSE)))))</f>
        <v>78.5</v>
      </c>
      <c r="AJ37" s="173" t="str">
        <f>IF(W37="via USD",IF(S37="EUR",S37&amp;"USD","USD"&amp;S37),IFERROR(VLOOKUP(K37&amp;S37,'FX RATES'!$H$2:$H$20,1,FALSE),S37&amp;K37))</f>
        <v>CNYRUB</v>
      </c>
      <c r="AK37" s="175">
        <f>IF(LEFT(AJ37,3)=RIGHT(AJ37,3),0,IFERROR(INDEX(CLIENTS!$A$1:$O$649,MATCH(P37,CLIENTS!$A$1:$A$649,0),MATCH(AJ37,CLIENTS!$A$1:$O$1,0)),0))</f>
        <v>0</v>
      </c>
      <c r="AL37" s="176">
        <v>11.276300000000001</v>
      </c>
      <c r="AM37" s="177">
        <f>IF(W37="VENDOR","",IF(AL37="",AP37+AK37,AL37+AK37))</f>
        <v>11.276300000000001</v>
      </c>
      <c r="AN37" s="177" t="str">
        <f>E37&amp;AJ37</f>
        <v>46036CNYRUB</v>
      </c>
      <c r="AO37" s="176">
        <v>11.26</v>
      </c>
      <c r="AP37" s="178">
        <f ca="1">IF(LEFT(AJ37,3)=RIGHT(AJ37,3),1,VLOOKUP(AJ37,'FX RATES'!$H$1:$I$20,2,FALSE))</f>
        <v>11.103899999999999</v>
      </c>
      <c r="AQ37" s="178">
        <f>IF(OR(AJ37="USDAED",LEFT(AJ37,3)=RIGHT(AJ37,3)),AP37,IF(LEFT(AJ37)="USD",AO37,IF(RIGHT(AJ37,3)="USD",1,IFERROR(VLOOKUP(E37&amp;"USD"&amp;RIGHT(AJ37,3),$AN:$AO,2,FALSE),VLOOKUP(E37&amp;"USD"&amp;RIGHT(AB37,3),$AF:$AG,2,FALSE)))))</f>
        <v>78.5</v>
      </c>
      <c r="AR37" s="179">
        <f>-Q37*(1-Z37)/(1+X37)*IF(W37="CLIENT",IF(S37=RIGHT(AJ37,3),1/AM37,AM37),IF(W37="VENDOR",IF(S37=RIGHT(AJ37,3),1/AE37,AE37),AE37^(VLOOKUP(AB37,'FX RATES'!$H$1:$J$26,3,FALSE))/AM37^(VLOOKUP(AJ37,'FX RATES'!$H$1:$J$26,3,FALSE))))</f>
        <v>-1015468.5714285714</v>
      </c>
      <c r="AS37" s="179">
        <f>-I37*(1+X37)/(1-Z37)*IF(W37="VENDOR",IF(K37=RIGHT(AB37,3),1/AE37,AE37),IF(W37="CLIENT",IF(K37=RIGHT(AB37,3),1/AM37,AM37),AM37^(VLOOKUP(AJ37,'FX RATES'!$H$1:$J$26,3,FALSE))/AE37^(VLOOKUP(AB37,'FX RATES'!$H$1:$J$26,3,FALSE))))</f>
        <v>0</v>
      </c>
      <c r="AT37" s="170">
        <f ca="1">IF(AB37&lt;&gt;AJ37,J37/IF(K37=RIGHT(AB37,3),AE37,1/AE37),IF(S37="USD",J37/IF(K37=RIGHT(AB37,3),IF(W37="CLIENT",AM37,AE37),1/IF(W37="CLIENT",AM37,AE37)),J37*VLOOKUP(K37,'FX RATES'!$E$1:$F$10,2,FALSE)))</f>
        <v>-146998.92464223673</v>
      </c>
      <c r="AU37" s="170">
        <f ca="1">IF(AB37&lt;&gt;AJ37,R37/IF(S37=RIGHT(AJ37,3),AM37,1/AM37),IF(K37="USD",R37/IF(S37=RIGHT(AJ37,3),IF(W37="CLIENT",AM37,AE37),1/IF(W37="CLIENT",AM37,AE37)),R37*VLOOKUP(S37,'FX RATES'!$E$1:$F$10,2,FALSE)))</f>
        <v>150002.5364798196</v>
      </c>
      <c r="AV37" s="170">
        <f ca="1">AT37+AU37</f>
        <v>3003.6118375828664</v>
      </c>
      <c r="AW37" s="227"/>
      <c r="AX37" s="170">
        <f ca="1">IF(AND(ISERROR(SEARCH("INVOICE",T37)),ISERROR(SEARCH("SWITCH",T37)),ISERROR(SEARCH("FOREX",T37)),ISERROR(SEARCH("REFUND",A37)),ISERROR(SEARCH("CANCELLED",A37))),IF(AW37="",-AT37*X37+AU37*Z37,AW37),0)</f>
        <v>750.01268239909803</v>
      </c>
      <c r="AY37" s="170">
        <f>IF(AZ37="USD",AT37,IF(AZ37=K37,J37,-R37))</f>
        <v>-1015468.5714285714</v>
      </c>
      <c r="AZ37" s="170" t="str">
        <f>LEFT(AB37,3)</f>
        <v>CNY</v>
      </c>
      <c r="BA37" s="542">
        <f>IF(OR(A37="REFUND",A37="CANCELLED"),0,IFERROR((IF(OR(AB37="USDAED",LEFT(AB37,3)=RIGHT(AB37,3)),AI37,AG37)-AE37)*-AY37*VLOOKUP(AB37,'FX RATES'!$H$1:$J$26,3,FALSE),0))</f>
        <v>0</v>
      </c>
      <c r="BB37" s="170" t="str">
        <f>RIGHT(AB37,3)</f>
        <v>RUB</v>
      </c>
      <c r="BC37" s="542">
        <f>IF(BA37=0,0,IFERROR(BA37/IF(BB37&lt;&gt;"USD",AI37,1),"???"))</f>
        <v>0</v>
      </c>
      <c r="BD37" s="170">
        <f>IFERROR(-AC37/(IF(OR(AB37="USDAED",LEFT(AB37,3)=RIGHT(AB37,3)),AH37,AG37)-AE37)*BC37,0)</f>
        <v>0</v>
      </c>
      <c r="BE37" s="542">
        <f>BC37-BD37</f>
        <v>0</v>
      </c>
      <c r="BF37" s="170">
        <f>IF(BG37="USD",AU37,IF(BG37=S37,R37,-J37))</f>
        <v>1015468.5714285714</v>
      </c>
      <c r="BG37" s="170" t="str">
        <f>LEFT(AJ37,3)</f>
        <v>CNY</v>
      </c>
      <c r="BH37" s="542">
        <f>IF(OR(A37="REFUND",A37="CANCELLED"),0,IFERROR((IF(OR(AJ37="USDAED",LEFT(AJ37,3)=RIGHT(AJ37,3)),AQ37,AO37)-AM37)*-BF37*VLOOKUP(AJ37,'FX RATES'!$H$1:$J$26,3,FALSE),0))</f>
        <v>16552.137714286822</v>
      </c>
      <c r="BI37" s="170" t="str">
        <f>RIGHT(AJ37,3)</f>
        <v>RUB</v>
      </c>
      <c r="BJ37" s="542">
        <f>IF(BH37=0,0,IFERROR(BH37/IF(BI37&lt;&gt;"USD",AQ37,1),"???"))</f>
        <v>210.85525750683851</v>
      </c>
      <c r="BK37" s="170">
        <f>IFERROR(-AK37/(IF(OR(AJ37="USDAED",LEFT(AJ37,3)=RIGHT(AJ37,3)),AP37,AO37)-AM37)*BJ37,0)</f>
        <v>0</v>
      </c>
      <c r="BL37" s="542">
        <f>BJ37-BK37</f>
        <v>210.85525750683851</v>
      </c>
      <c r="BM37" s="170">
        <f>IF(AND(ISERROR(SEARCH("REFUND",A37)),ISERROR(SEARCH("CANCELLED",A37))),BD37+BK37,0)</f>
        <v>0</v>
      </c>
      <c r="BN37" s="542">
        <f>IF(AND(ISERROR(SEARCH("REFUND",A37)),ISERROR(SEARCH("CANCELLED",A37))),BE37+BL37,0)</f>
        <v>210.85525750683851</v>
      </c>
    </row>
    <row r="38" spans="1:66" ht="19.5" customHeight="1">
      <c r="A38" s="167" t="s">
        <v>366</v>
      </c>
      <c r="B38" s="225" t="s">
        <v>34</v>
      </c>
      <c r="C38" s="225" t="s">
        <v>383</v>
      </c>
      <c r="D38" s="225" t="s">
        <v>368</v>
      </c>
      <c r="E38" s="226">
        <v>46036</v>
      </c>
      <c r="F38" s="226"/>
      <c r="G38" s="225" t="s">
        <v>52</v>
      </c>
      <c r="H38" s="228" t="s">
        <v>390</v>
      </c>
      <c r="I38" s="227">
        <f>-R37</f>
        <v>-11508269.6</v>
      </c>
      <c r="J38" s="170">
        <f>IF(I38="",AR38,I38)</f>
        <v>-11508269.6</v>
      </c>
      <c r="K38" s="225" t="s">
        <v>9</v>
      </c>
      <c r="L38" s="226" t="s">
        <v>391</v>
      </c>
      <c r="M38" s="225" t="s">
        <v>25</v>
      </c>
      <c r="N38" s="167" t="s">
        <v>371</v>
      </c>
      <c r="O38" s="225" t="s">
        <v>34</v>
      </c>
      <c r="P38" s="225" t="s">
        <v>392</v>
      </c>
      <c r="Q38" s="227"/>
      <c r="R38" s="170">
        <f>IF(Q38="",AS38,Q38)</f>
        <v>1022048.809946714</v>
      </c>
      <c r="S38" s="225" t="s">
        <v>7</v>
      </c>
      <c r="T38" s="226" t="s">
        <v>22</v>
      </c>
      <c r="U38" s="225" t="s">
        <v>22</v>
      </c>
      <c r="V38" s="167" t="s">
        <v>371</v>
      </c>
      <c r="W38" s="230" t="s">
        <v>382</v>
      </c>
      <c r="X38" s="173">
        <f>IF(Y38="",VLOOKUP(H38,CLIENTS!$A$1:$O$649,5,FALSE),Y38)</f>
        <v>0</v>
      </c>
      <c r="Y38" s="234"/>
      <c r="Z38" s="173">
        <f>IF(AA38="",VLOOKUP(P38,CLIENTS!$A$1:$O$649,5,FALSE),AA38)</f>
        <v>0</v>
      </c>
      <c r="AA38" s="234"/>
      <c r="AB38" s="173" t="str">
        <f>IF(W38="via USD",IF(K38="EUR",K38&amp;"USD","USD"&amp;K38),IFERROR(VLOOKUP(K38&amp;S38,'FX RATES'!$H$2:$H$20,1,FALSE),S38&amp;K38))</f>
        <v>CNYRUB</v>
      </c>
      <c r="AC38" s="175">
        <f>IF(LEFT(AB38,3)=RIGHT(AB38,3),0,IFERROR(INDEX(CLIENTS!$A$1:$O$649,MATCH(H38,CLIENTS!$A$1:$A$649,0),MATCH(AB38,CLIENTS!$A$1:$O$1,0)),0))</f>
        <v>0</v>
      </c>
      <c r="AD38" s="176">
        <v>11.26</v>
      </c>
      <c r="AE38" s="177">
        <f>IF(W38="CLIENT","",IF(AD38="",AH38+AC38,AD38+AC38))</f>
        <v>11.26</v>
      </c>
      <c r="AF38" s="177" t="str">
        <f>E38&amp;AB38</f>
        <v>46036CNYRUB</v>
      </c>
      <c r="AG38" s="176">
        <v>11.26</v>
      </c>
      <c r="AH38" s="178">
        <f ca="1">IF(LEFT(AB38,3)=RIGHT(AB38,3),1,VLOOKUP(AB38,'FX RATES'!$H$1:$I$20,2,FALSE))</f>
        <v>11.103899999999999</v>
      </c>
      <c r="AI38" s="178">
        <f>IF(OR(AB38="USDAED",LEFT(AB38,3)=RIGHT(AB38,3)),AH38,IF(LEFT(AB38)="USD",AG38,IF(RIGHT(AB38,3)="USD",1,IFERROR(VLOOKUP(E38&amp;"USD"&amp;RIGHT(AB38,3),$AF:$AG,2,FALSE),VLOOKUP(E38&amp;"USD"&amp;RIGHT(AJ38,3),$AN:$AO,2,FALSE)))))</f>
        <v>78.5</v>
      </c>
      <c r="AJ38" s="173" t="str">
        <f>IF(W38="via USD",IF(S38="EUR",S38&amp;"USD","USD"&amp;S38),IFERROR(VLOOKUP(K38&amp;S38,'FX RATES'!$H$2:$H$20,1,FALSE),S38&amp;K38))</f>
        <v>CNYRUB</v>
      </c>
      <c r="AK38" s="175">
        <f>IF(LEFT(AJ38,3)=RIGHT(AJ38,3),0,IFERROR(INDEX(CLIENTS!$A$1:$O$649,MATCH(P38,CLIENTS!$A$1:$A$649,0),MATCH(AJ38,CLIENTS!$A$1:$O$1,0)),0))</f>
        <v>0</v>
      </c>
      <c r="AL38" s="176"/>
      <c r="AM38" s="177" t="str">
        <f>IF(W38="VENDOR","",IF(AL38="",AP38+AK38,AL38+AK38))</f>
        <v/>
      </c>
      <c r="AN38" s="177" t="str">
        <f>E38&amp;AJ38</f>
        <v>46036CNYRUB</v>
      </c>
      <c r="AO38" s="176"/>
      <c r="AP38" s="178">
        <f ca="1">IF(LEFT(AJ38,3)=RIGHT(AJ38,3),1,VLOOKUP(AJ38,'FX RATES'!$H$1:$I$20,2,FALSE))</f>
        <v>11.103899999999999</v>
      </c>
      <c r="AQ38" s="178">
        <f>IF(OR(AJ38="USDAED",LEFT(AJ38,3)=RIGHT(AJ38,3)),AP38,IF(LEFT(AJ38)="USD",AO38,IF(RIGHT(AJ38,3)="USD",1,IFERROR(VLOOKUP(E38&amp;"USD"&amp;RIGHT(AJ38,3),$AN:$AO,2,FALSE),VLOOKUP(E38&amp;"USD"&amp;RIGHT(AB38,3),$AF:$AG,2,FALSE)))))</f>
        <v>78.5</v>
      </c>
      <c r="AR38" s="179">
        <f>-Q38*(1-Z38)/(1+X38)*IF(W38="CLIENT",IF(S38=RIGHT(AJ38,3),1/AM38,AM38),IF(W38="VENDOR",IF(S38=RIGHT(AJ38,3),1/AE38,AE38),AE38^(VLOOKUP(AB38,'FX RATES'!$H$1:$J$26,3,FALSE))/AM38^(VLOOKUP(AJ38,'FX RATES'!$H$1:$J$26,3,FALSE))))</f>
        <v>0</v>
      </c>
      <c r="AS38" s="179">
        <f>-I38*(1+X38)/(1-Z38)*IF(W38="VENDOR",IF(K38=RIGHT(AB38,3),1/AE38,AE38),IF(W38="CLIENT",IF(K38=RIGHT(AB38,3),1/AM38,AM38),AM38^(VLOOKUP(AJ38,'FX RATES'!$H$1:$J$26,3,FALSE))/AE38^(VLOOKUP(AB38,'FX RATES'!$H$1:$J$26,3,FALSE))))</f>
        <v>1022048.809946714</v>
      </c>
      <c r="AT38" s="170">
        <f ca="1">IF(AB38&lt;&gt;AJ38,J38/IF(K38=RIGHT(AB38,3),AE38,1/AE38),IF(S38="USD",J38/IF(K38=RIGHT(AB38,3),IF(W38="CLIENT",AM38,AE38),1/IF(W38="CLIENT",AM38,AE38)),J38*VLOOKUP(K38,'FX RATES'!$E$1:$F$10,2,FALSE)))</f>
        <v>-150002.5364798196</v>
      </c>
      <c r="AU38" s="170">
        <f ca="1">IF(AB38&lt;&gt;AJ38,R38/IF(S38=RIGHT(AJ38,3),AM38,1/AM38),IF(K38="USD",R38/IF(S38=RIGHT(AJ38,3),IF(W38="CLIENT",AM38,AE38),1/IF(W38="CLIENT",AM38,AE38)),R38*VLOOKUP(S38,'FX RATES'!$E$1:$F$10,2,FALSE)))</f>
        <v>147951.47798881211</v>
      </c>
      <c r="AV38" s="170">
        <f ca="1">AT38+AU38</f>
        <v>-2051.0584910074831</v>
      </c>
      <c r="AW38" s="227"/>
      <c r="AX38" s="170">
        <f ca="1">IF(AND(ISERROR(SEARCH("INVOICE",T38)),ISERROR(SEARCH("SWITCH",T38)),ISERROR(SEARCH("FOREX",T38)),ISERROR(SEARCH("REFUND",A38)),ISERROR(SEARCH("CANCELLED",A38))),IF(AW38="",-AT38*X38+AU38*Z38,AW38),0)</f>
        <v>0</v>
      </c>
      <c r="AY38" s="170">
        <f>IF(AZ38="USD",AT38,IF(AZ38=K38,J38,-R38))</f>
        <v>-1022048.809946714</v>
      </c>
      <c r="AZ38" s="170" t="str">
        <f>LEFT(AB38,3)</f>
        <v>CNY</v>
      </c>
      <c r="BA38" s="542">
        <f>IF(OR(A38="REFUND",A38="CANCELLED"),0,IFERROR((IF(OR(AB38="USDAED",LEFT(AB38,3)=RIGHT(AB38,3)),AI38,AG38)-AE38)*-AY38*VLOOKUP(AB38,'FX RATES'!$H$1:$J$26,3,FALSE),0))</f>
        <v>0</v>
      </c>
      <c r="BB38" s="170" t="str">
        <f>RIGHT(AB38,3)</f>
        <v>RUB</v>
      </c>
      <c r="BC38" s="542">
        <f>IF(BA38=0,0,IFERROR(BA38/IF(BB38&lt;&gt;"USD",AI38,1),"???"))</f>
        <v>0</v>
      </c>
      <c r="BD38" s="170">
        <f>IFERROR(-AC38/(IF(OR(AB38="USDAED",LEFT(AB38,3)=RIGHT(AB38,3)),AH38,AG38)-AE38)*BC38,0)</f>
        <v>0</v>
      </c>
      <c r="BE38" s="542">
        <f>BC38-BD38</f>
        <v>0</v>
      </c>
      <c r="BF38" s="170">
        <f>IF(BG38="USD",AU38,IF(BG38=S38,R38,-J38))</f>
        <v>1022048.809946714</v>
      </c>
      <c r="BG38" s="170" t="str">
        <f>LEFT(AJ38,3)</f>
        <v>CNY</v>
      </c>
      <c r="BH38" s="542">
        <f>IF(OR(A38="REFUND",A38="CANCELLED"),0,IFERROR((IF(OR(AJ38="USDAED",LEFT(AJ38,3)=RIGHT(AJ38,3)),AQ38,AO38)-AM38)*-BF38*VLOOKUP(AJ38,'FX RATES'!$H$1:$J$26,3,FALSE),0))</f>
        <v>0</v>
      </c>
      <c r="BI38" s="170" t="str">
        <f>RIGHT(AJ38,3)</f>
        <v>RUB</v>
      </c>
      <c r="BJ38" s="542">
        <f>IF(BH38=0,0,IFERROR(BH38/IF(BI38&lt;&gt;"USD",AQ38,1),"???"))</f>
        <v>0</v>
      </c>
      <c r="BK38" s="170">
        <f>IFERROR(-AK38/(IF(OR(AJ38="USDAED",LEFT(AJ38,3)=RIGHT(AJ38,3)),AP38,AO38)-AM38)*BJ38,0)</f>
        <v>0</v>
      </c>
      <c r="BL38" s="542">
        <f>BJ38-BK38</f>
        <v>0</v>
      </c>
      <c r="BM38" s="170">
        <f>IF(AND(ISERROR(SEARCH("REFUND",A38)),ISERROR(SEARCH("CANCELLED",A38))),BD38+BK38,0)</f>
        <v>0</v>
      </c>
      <c r="BN38" s="542">
        <f>IF(AND(ISERROR(SEARCH("REFUND",A38)),ISERROR(SEARCH("CANCELLED",A38))),BE38+BL38,0)</f>
        <v>0</v>
      </c>
    </row>
    <row r="40" spans="1:66" ht="19.5" customHeight="1">
      <c r="A40" s="167" t="s">
        <v>366</v>
      </c>
      <c r="B40" s="168" t="s">
        <v>39</v>
      </c>
      <c r="C40" s="168" t="s">
        <v>367</v>
      </c>
      <c r="D40" s="168" t="s">
        <v>368</v>
      </c>
      <c r="E40" s="171">
        <v>46036</v>
      </c>
      <c r="F40" s="171"/>
      <c r="G40" s="168" t="s">
        <v>39</v>
      </c>
      <c r="H40" s="181" t="s">
        <v>376</v>
      </c>
      <c r="I40" s="169">
        <v>-4241.0600000000004</v>
      </c>
      <c r="J40" s="170">
        <f>IF(I40="",AR40,I40)</f>
        <v>-4241.0600000000004</v>
      </c>
      <c r="K40" s="168" t="s">
        <v>8</v>
      </c>
      <c r="L40" s="168" t="s">
        <v>370</v>
      </c>
      <c r="M40" s="168" t="s">
        <v>20</v>
      </c>
      <c r="N40" s="167" t="s">
        <v>371</v>
      </c>
      <c r="O40" s="168" t="s">
        <v>39</v>
      </c>
      <c r="P40" s="168" t="s">
        <v>372</v>
      </c>
      <c r="Q40" s="169"/>
      <c r="R40" s="170">
        <f>IF(Q40="",AS40,Q40)</f>
        <v>91857.209683462264</v>
      </c>
      <c r="S40" s="168" t="s">
        <v>9</v>
      </c>
      <c r="T40" s="171" t="s">
        <v>373</v>
      </c>
      <c r="U40" s="171" t="s">
        <v>374</v>
      </c>
      <c r="V40" s="167" t="s">
        <v>371</v>
      </c>
      <c r="W40" s="172" t="s">
        <v>375</v>
      </c>
      <c r="X40" s="173">
        <f>IF(Y40="",VLOOKUP(H40,CLIENTS!$A$1:$O$649,5,FALSE),Y40)</f>
        <v>0</v>
      </c>
      <c r="Y40" s="174">
        <v>0</v>
      </c>
      <c r="Z40" s="173">
        <f>IF(AA40="",VLOOKUP(P40,CLIENTS!$A$1:$O$649,5,FALSE),AA40)</f>
        <v>8.0000000000000002E-3</v>
      </c>
      <c r="AA40" s="174">
        <v>8.0000000000000002E-3</v>
      </c>
      <c r="AB40" s="173" t="str">
        <f>IF(W40="via USD",IF(K40="EUR",K40&amp;"USD","USD"&amp;K40),IFERROR(VLOOKUP(K40&amp;S40,'FX RATES'!$H$2:$H$20,1,FALSE),S40&amp;K40))</f>
        <v>USDAED</v>
      </c>
      <c r="AC40" s="175">
        <f>IF(LEFT(AB40,3)=RIGHT(AB40,3),0,IFERROR(INDEX(CLIENTS!$A$1:$O$649,MATCH(H40,CLIENTS!$A$1:$A$649,0),MATCH(AB40,CLIENTS!$A$1:$O$1,0)),0))</f>
        <v>0</v>
      </c>
      <c r="AD40" s="176">
        <v>3.67</v>
      </c>
      <c r="AE40" s="177">
        <f>IF(W40="CLIENT","",IF(AD40="",AH40+AC40,AD40+AC40))</f>
        <v>3.67</v>
      </c>
      <c r="AF40" s="177" t="str">
        <f>E40&amp;AB40</f>
        <v>46036USDAED</v>
      </c>
      <c r="AG40" s="176"/>
      <c r="AH40" s="178">
        <f>IF(LEFT(AB40,3)=RIGHT(AB40,3),1,VLOOKUP(AB40,'FX RATES'!$H$1:$I$20,2,FALSE))</f>
        <v>3.6724999999999999</v>
      </c>
      <c r="AI40" s="178">
        <f>IF(OR(AB40="USDAED",LEFT(AB40,3)=RIGHT(AB40,3)),AH40,IF(LEFT(AB40)="USD",AG40,IF(RIGHT(AB40,3)="USD",1,IFERROR(VLOOKUP(E40&amp;"USD"&amp;RIGHT(AB40,3),$AF:$AG,2,FALSE),VLOOKUP(E40&amp;"USD"&amp;RIGHT(AJ40,3),$AN:$AO,2,FALSE)))))</f>
        <v>3.6724999999999999</v>
      </c>
      <c r="AJ40" s="173" t="str">
        <f>IF(W40="via USD",IF(S40="EUR",S40&amp;"USD","USD"&amp;S40),IFERROR(VLOOKUP(K40&amp;S40,'FX RATES'!$H$2:$H$20,1,FALSE),S40&amp;K40))</f>
        <v>USDRUB</v>
      </c>
      <c r="AK40" s="175">
        <f>IF(LEFT(AJ40,3)=RIGHT(AJ40,3),0,IFERROR(INDEX(CLIENTS!$A$1:$O$649,MATCH(P40,CLIENTS!$A$1:$A$649,0),MATCH(AJ40,CLIENTS!$A$1:$O$1,0)),0))</f>
        <v>0</v>
      </c>
      <c r="AL40" s="176">
        <v>78.852699999999999</v>
      </c>
      <c r="AM40" s="177">
        <f>IF(W40="VENDOR","",IF(AL40="",AP40+AK40,AL40+AK40))</f>
        <v>78.852699999999999</v>
      </c>
      <c r="AN40" s="177" t="str">
        <f>E40&amp;AJ40</f>
        <v>46036USDRUB</v>
      </c>
      <c r="AO40" s="176">
        <v>78.5</v>
      </c>
      <c r="AP40" s="178">
        <f ca="1">IF(LEFT(AJ40,3)=RIGHT(AJ40,3),1,VLOOKUP(AJ40,'FX RATES'!$H$1:$I$20,2,FALSE))</f>
        <v>76.720500000000001</v>
      </c>
      <c r="AQ40" s="178">
        <f>IF(OR(AJ40="USDAED",LEFT(AJ40,3)=RIGHT(AJ40,3)),AP40,IF(LEFT(AJ40)="USD",AO40,IF(RIGHT(AJ40,3)="USD",1,IFERROR(VLOOKUP(E40&amp;"USD"&amp;RIGHT(AJ40,3),$AN:$AO,2,FALSE),VLOOKUP(E40&amp;"USD"&amp;RIGHT(AB40,3),$AF:$AG,2,FALSE)))))</f>
        <v>78.5</v>
      </c>
      <c r="AR40" s="179">
        <f>-Q40*(1-Z40)/(1+X40)*IF(W40="CLIENT",IF(S40=RIGHT(AJ40,3),1/AM40,AM40),IF(W40="VENDOR",IF(S40=RIGHT(AJ40,3),1/AE40,AE40),AE40^(VLOOKUP(AB40,'FX RATES'!$H$1:$J$26,3,FALSE))/AM40^(VLOOKUP(AJ40,'FX RATES'!$H$1:$J$26,3,FALSE))))</f>
        <v>0</v>
      </c>
      <c r="AS40" s="179">
        <f>-I40*(1+X40)/(1-Z40)*IF(W40="VENDOR",IF(K40=RIGHT(AB40,3),1/AE40,AE40),IF(W40="CLIENT",IF(K40=RIGHT(AB40,3),1/AM40,AM40),AM40^(VLOOKUP(AJ40,'FX RATES'!$H$1:$J$26,3,FALSE))/AE40^(VLOOKUP(AB40,'FX RATES'!$H$1:$J$26,3,FALSE))))</f>
        <v>91857.209683462264</v>
      </c>
      <c r="AT40" s="170">
        <f>IF(AB40&lt;&gt;AJ40,J40/IF(K40=RIGHT(AB40,3),AE40,1/AE40),IF(S40="USD",J40/IF(K40=RIGHT(AB40,3),IF(W40="CLIENT",AM40,AE40),1/IF(W40="CLIENT",AM40,AE40)),J40*VLOOKUP(K40,'FX RATES'!$E$1:$F$10,2,FALSE)))</f>
        <v>-1155.6021798365125</v>
      </c>
      <c r="AU40" s="170">
        <f>IF(AB40&lt;&gt;AJ40,R40/IF(S40=RIGHT(AJ40,3),AM40,1/AM40),IF(K40="USD",R40/IF(S40=RIGHT(AJ40,3),IF(W40="CLIENT",AM40,AE40),1/IF(W40="CLIENT",AM40,AE40)),R40*VLOOKUP(S40,'FX RATES'!$E$1:$F$10,2,FALSE)))</f>
        <v>1164.9215522545489</v>
      </c>
      <c r="AV40" s="170">
        <f>AT40+AU40</f>
        <v>9.319372418036437</v>
      </c>
      <c r="AW40" s="169"/>
      <c r="AX40" s="170">
        <f>IF(AND(ISERROR(SEARCH("INVOICE",T40)),ISERROR(SEARCH("SWITCH",T40)),ISERROR(SEARCH("FOREX",T40)),ISERROR(SEARCH("REFUND",A40)),ISERROR(SEARCH("CANCELLED",A40))),IF(AW40="",-AT40*X40+AU40*Z40,AW40),0)</f>
        <v>9.3193724180363926</v>
      </c>
      <c r="AY40" s="170">
        <f>IF(AZ40="USD",AT40,IF(AZ40=K40,J40,-R40))</f>
        <v>-1155.6021798365125</v>
      </c>
      <c r="AZ40" s="170" t="str">
        <f>LEFT(AB40,3)</f>
        <v>USD</v>
      </c>
      <c r="BA40" s="542">
        <f>IF(OR(A40="REFUND",A40="CANCELLED"),0,IFERROR((IF(OR(AB40="USDAED",LEFT(AB40,3)=RIGHT(AB40,3)),AI40,AG40)-AE40)*-AY40*VLOOKUP(AB40,'FX RATES'!$H$1:$J$26,3,FALSE),0))</f>
        <v>2.8890054495912199</v>
      </c>
      <c r="BB40" s="170" t="str">
        <f>RIGHT(AB40,3)</f>
        <v>AED</v>
      </c>
      <c r="BC40" s="542">
        <f>IF(BA40=0,0,IFERROR(BA40/IF(BB40&lt;&gt;"USD",AI40,1),"???"))</f>
        <v>0.78665907408882774</v>
      </c>
      <c r="BD40" s="170">
        <f>IFERROR(-AC40/(IF(OR(AB40="USDAED",LEFT(AB40,3)=RIGHT(AB40,3)),AH40,AG40)-AE40)*BC40,0)</f>
        <v>0</v>
      </c>
      <c r="BE40" s="542">
        <f>BC40-BD40</f>
        <v>0.78665907408882774</v>
      </c>
      <c r="BF40" s="170">
        <f>IF(BG40="USD",AU40,IF(BG40=S40,R40,-J40))</f>
        <v>1164.9215522545489</v>
      </c>
      <c r="BG40" s="170" t="str">
        <f>LEFT(AJ40,3)</f>
        <v>USD</v>
      </c>
      <c r="BH40" s="542">
        <f>IF(OR(A40="REFUND",A40="CANCELLED"),0,IFERROR((IF(OR(AJ40="USDAED",LEFT(AJ40,3)=RIGHT(AJ40,3)),AQ40,AO40)-AM40)*-BF40*VLOOKUP(AJ40,'FX RATES'!$H$1:$J$26,3,FALSE),0))</f>
        <v>410.86783148017787</v>
      </c>
      <c r="BI40" s="170" t="str">
        <f>RIGHT(AJ40,3)</f>
        <v>RUB</v>
      </c>
      <c r="BJ40" s="542">
        <f>IF(BH40=0,0,IFERROR(BH40/IF(BI40&lt;&gt;"USD",AQ40,1),"???"))</f>
        <v>5.2339851143971705</v>
      </c>
      <c r="BK40" s="170">
        <f>IFERROR(-AK40/(IF(OR(AJ40="USDAED",LEFT(AJ40,3)=RIGHT(AJ40,3)),AP40,AO40)-AM40)*BJ40,0)</f>
        <v>0</v>
      </c>
      <c r="BL40" s="542">
        <f>BJ40-BK40</f>
        <v>5.2339851143971705</v>
      </c>
      <c r="BM40" s="170">
        <f>IF(AND(ISERROR(SEARCH("REFUND",A40)),ISERROR(SEARCH("CANCELLED",A40))),BD40+BK40,0)</f>
        <v>0</v>
      </c>
      <c r="BN40" s="542">
        <f>IF(AND(ISERROR(SEARCH("REFUND",A40)),ISERROR(SEARCH("CANCELLED",A40))),BE40+BL40,0)</f>
        <v>6.0206441884859982</v>
      </c>
    </row>
    <row r="41" spans="1:66" ht="19.5" customHeight="1">
      <c r="A41" s="180"/>
      <c r="E41" s="180"/>
      <c r="F41" s="182"/>
      <c r="L41" s="180"/>
      <c r="M41" s="180"/>
      <c r="N41" s="182"/>
      <c r="O41" s="180"/>
      <c r="P41" s="180"/>
      <c r="V41" s="180"/>
      <c r="W41" s="180"/>
    </row>
    <row r="42" spans="1:66" ht="19.5" customHeight="1">
      <c r="A42" s="167" t="s">
        <v>366</v>
      </c>
      <c r="B42" s="168" t="s">
        <v>39</v>
      </c>
      <c r="C42" s="168" t="s">
        <v>367</v>
      </c>
      <c r="D42" s="181" t="s">
        <v>368</v>
      </c>
      <c r="E42" s="171">
        <v>46036</v>
      </c>
      <c r="F42" s="171"/>
      <c r="G42" s="168" t="s">
        <v>39</v>
      </c>
      <c r="H42" s="181" t="s">
        <v>397</v>
      </c>
      <c r="I42" s="169"/>
      <c r="J42" s="170">
        <f t="shared" ref="J42:J53" si="24">IF(I42="",AR42,I42)</f>
        <v>-5160.9520029117584</v>
      </c>
      <c r="K42" s="168" t="s">
        <v>5</v>
      </c>
      <c r="L42" s="168" t="s">
        <v>398</v>
      </c>
      <c r="M42" s="168" t="s">
        <v>20</v>
      </c>
      <c r="N42" s="167" t="s">
        <v>371</v>
      </c>
      <c r="O42" s="168" t="s">
        <v>39</v>
      </c>
      <c r="P42" s="168" t="s">
        <v>379</v>
      </c>
      <c r="Q42" s="169">
        <v>409000</v>
      </c>
      <c r="R42" s="170">
        <f t="shared" ref="R42:R53" si="25">IF(Q42="",AS42,Q42)</f>
        <v>409000</v>
      </c>
      <c r="S42" s="168" t="s">
        <v>9</v>
      </c>
      <c r="T42" s="171" t="s">
        <v>380</v>
      </c>
      <c r="U42" s="171" t="s">
        <v>374</v>
      </c>
      <c r="V42" s="167" t="s">
        <v>371</v>
      </c>
      <c r="W42" s="172" t="s">
        <v>375</v>
      </c>
      <c r="X42" s="173">
        <f>IF(Y42="",VLOOKUP(H42,CLIENTS!$A$1:$O$649,5,FALSE),Y42)</f>
        <v>0</v>
      </c>
      <c r="Y42" s="174">
        <v>0</v>
      </c>
      <c r="Z42" s="173">
        <f>IF(AA42="",VLOOKUP(P42,CLIENTS!$A$1:$O$649,5,FALSE),AA42)</f>
        <v>5.0000000000000001E-3</v>
      </c>
      <c r="AA42" s="174">
        <v>5.0000000000000001E-3</v>
      </c>
      <c r="AB42" s="173" t="str">
        <f>IF(W42="via USD",IF(K42="EUR",K42&amp;"USD","USD"&amp;K42),IFERROR(VLOOKUP(K42&amp;S42,'FX RATES'!$H$2:$H$20,1,FALSE),S42&amp;K42))</f>
        <v>USDUSD</v>
      </c>
      <c r="AC42" s="175">
        <f>IF(LEFT(AB42,3)=RIGHT(AB42,3),0,IFERROR(INDEX(CLIENTS!$A$1:$O$649,MATCH(H42,CLIENTS!$A$1:$A$649,0),MATCH(AB42,CLIENTS!$A$1:$O$1,0)),0))</f>
        <v>0</v>
      </c>
      <c r="AD42" s="176"/>
      <c r="AE42" s="177">
        <f t="shared" ref="AE42:AE53" si="26">IF(W42="CLIENT","",IF(AD42="",AH42+AC42,AD42+AC42))</f>
        <v>1</v>
      </c>
      <c r="AF42" s="177" t="str">
        <f t="shared" ref="AF42:AF53" si="27">E42&amp;AB42</f>
        <v>46036USDUSD</v>
      </c>
      <c r="AG42" s="176"/>
      <c r="AH42" s="178">
        <f>IF(LEFT(AB42,3)=RIGHT(AB42,3),1,VLOOKUP(AB42,'FX RATES'!$H$1:$I$20,2,FALSE))</f>
        <v>1</v>
      </c>
      <c r="AI42" s="178">
        <f t="shared" ref="AI42:AI53" si="28">IF(OR(AB42="USDAED",LEFT(AB42,3)=RIGHT(AB42,3)),AH42,IF(LEFT(AB42)="USD",AG42,IF(RIGHT(AB42,3)="USD",1,IFERROR(VLOOKUP(E42&amp;"USD"&amp;RIGHT(AB42,3),$AF:$AG,2,FALSE),VLOOKUP(E42&amp;"USD"&amp;RIGHT(AJ42,3),$AN:$AO,2,FALSE)))))</f>
        <v>1</v>
      </c>
      <c r="AJ42" s="173" t="str">
        <f>IF(W42="via USD",IF(S42="EUR",S42&amp;"USD","USD"&amp;S42),IFERROR(VLOOKUP(K42&amp;S42,'FX RATES'!$H$2:$H$20,1,FALSE),S42&amp;K42))</f>
        <v>USDRUB</v>
      </c>
      <c r="AK42" s="175">
        <f>IF(LEFT(AJ42,3)=RIGHT(AJ42,3),0,IFERROR(INDEX(CLIENTS!$A$1:$O$649,MATCH(P42,CLIENTS!$A$1:$A$649,0),MATCH(AJ42,CLIENTS!$A$1:$O$1,0)),0))</f>
        <v>0</v>
      </c>
      <c r="AL42" s="176">
        <v>78.852699999999999</v>
      </c>
      <c r="AM42" s="177">
        <f t="shared" ref="AM42:AM53" si="29">IF(W42="VENDOR","",IF(AL42="",AP42+AK42,AL42+AK42))</f>
        <v>78.852699999999999</v>
      </c>
      <c r="AN42" s="177" t="str">
        <f t="shared" ref="AN42:AN53" si="30">E42&amp;AJ42</f>
        <v>46036USDRUB</v>
      </c>
      <c r="AO42" s="176">
        <v>78.5</v>
      </c>
      <c r="AP42" s="178">
        <f ca="1">IF(LEFT(AJ42,3)=RIGHT(AJ42,3),1,VLOOKUP(AJ42,'FX RATES'!$H$1:$I$20,2,FALSE))</f>
        <v>76.720500000000001</v>
      </c>
      <c r="AQ42" s="178">
        <f t="shared" ref="AQ42:AQ47" si="31">IF(OR(AJ42="USDAED",LEFT(AJ42,3)=RIGHT(AJ42,3)),AP42,IF(LEFT(AJ42)="USD",AO42,IF(RIGHT(AJ42,3)="USD",1,IFERROR(VLOOKUP(E42&amp;"USD"&amp;RIGHT(AJ42,3),$AN:$AO,2,FALSE),VLOOKUP(E42&amp;"USD"&amp;RIGHT(AB42,3),$AF:$AG,2,FALSE)))))</f>
        <v>78.5</v>
      </c>
      <c r="AR42" s="179">
        <f>-Q42*(1-Z42)/(1+X42)*IF(W42="CLIENT",IF(S42=RIGHT(AJ42,3),1/AM42,AM42),IF(W42="VENDOR",IF(S42=RIGHT(AJ42,3),1/AE42,AE42),AE42^(VLOOKUP(AB42,'FX RATES'!$H$1:$J$26,3,FALSE))/AM42^(VLOOKUP(AJ42,'FX RATES'!$H$1:$J$26,3,FALSE))))</f>
        <v>-5160.9520029117584</v>
      </c>
      <c r="AS42" s="179">
        <f>-I42*(1+X42)/(1-Z42)*IF(W42="VENDOR",IF(K42=RIGHT(AB42,3),1/AE42,AE42),IF(W42="CLIENT",IF(K42=RIGHT(AB42,3),1/AM42,AM42),AM42^(VLOOKUP(AJ42,'FX RATES'!$H$1:$J$26,3,FALSE))/AE42^(VLOOKUP(AB42,'FX RATES'!$H$1:$J$26,3,FALSE))))</f>
        <v>0</v>
      </c>
      <c r="AT42" s="170">
        <f>IF(AB42&lt;&gt;AJ42,J42/IF(K42=RIGHT(AB42,3),AE42,1/AE42),IF(S42="USD",J42/IF(K42=RIGHT(AB42,3),IF(W42="CLIENT",AM42,AE42),1/IF(W42="CLIENT",AM42,AE42)),J42*VLOOKUP(K42,'FX RATES'!$E$1:$F$10,2,FALSE)))</f>
        <v>-5160.9520029117584</v>
      </c>
      <c r="AU42" s="170">
        <f>IF(AB42&lt;&gt;AJ42,R42/IF(S42=RIGHT(AJ42,3),AM42,1/AM42),IF(K42="USD",R42/IF(S42=RIGHT(AJ42,3),IF(W42="CLIENT",AM42,AE42),1/IF(W42="CLIENT",AM42,AE42)),R42*VLOOKUP(S42,'FX RATES'!$E$1:$F$10,2,FALSE)))</f>
        <v>5186.8864350871945</v>
      </c>
      <c r="AV42" s="170">
        <f t="shared" ref="AV42:AV53" si="32">AT42+AU42</f>
        <v>25.934432175436086</v>
      </c>
      <c r="AW42" s="169"/>
      <c r="AX42" s="170">
        <f t="shared" ref="AX42:AX53" si="33">IF(AND(ISERROR(SEARCH("INVOICE",T42)),ISERROR(SEARCH("SWITCH",T42)),ISERROR(SEARCH("FOREX",T42)),ISERROR(SEARCH("REFUND",A42)),ISERROR(SEARCH("CANCELLED",A42))),IF(AW42="",-AT42*X42+AU42*Z42,AW42),0)</f>
        <v>25.934432175435973</v>
      </c>
      <c r="AY42" s="170">
        <f t="shared" ref="AY42:AY53" si="34">IF(AZ42="USD",AT42,IF(AZ42=K42,J42,-R42))</f>
        <v>-5160.9520029117584</v>
      </c>
      <c r="AZ42" s="170" t="str">
        <f t="shared" ref="AZ42:AZ53" si="35">LEFT(AB42,3)</f>
        <v>USD</v>
      </c>
      <c r="BA42" s="542">
        <f>IF(OR(A42="REFUND",A42="CANCELLED"),0,IFERROR((IF(OR(AB42="USDAED",LEFT(AB42,3)=RIGHT(AB42,3)),AI42,AG42)-AE42)*-AY42*VLOOKUP(AB42,'FX RATES'!$H$1:$J$26,3,FALSE),0))</f>
        <v>0</v>
      </c>
      <c r="BB42" s="170" t="str">
        <f t="shared" ref="BB42:BB53" si="36">RIGHT(AB42,3)</f>
        <v>USD</v>
      </c>
      <c r="BC42" s="542">
        <f t="shared" ref="BC42:BC53" si="37">IF(BA42=0,0,IFERROR(BA42/IF(BB42&lt;&gt;"USD",AI42,1),"???"))</f>
        <v>0</v>
      </c>
      <c r="BD42" s="170">
        <f t="shared" ref="BD42:BD53" si="38">IFERROR(-AC42/(IF(OR(AB42="USDAED",LEFT(AB42,3)=RIGHT(AB42,3)),AH42,AG42)-AE42)*BC42,0)</f>
        <v>0</v>
      </c>
      <c r="BE42" s="542">
        <f t="shared" ref="BE42:BE53" si="39">BC42-BD42</f>
        <v>0</v>
      </c>
      <c r="BF42" s="170">
        <f t="shared" ref="BF42:BF53" si="40">IF(BG42="USD",AU42,IF(BG42=S42,R42,-J42))</f>
        <v>5186.8864350871945</v>
      </c>
      <c r="BG42" s="170" t="str">
        <f t="shared" ref="BG42:BG53" si="41">LEFT(AJ42,3)</f>
        <v>USD</v>
      </c>
      <c r="BH42" s="542">
        <f>IF(OR(A42="REFUND",A42="CANCELLED"),0,IFERROR((IF(OR(AJ42="USDAED",LEFT(AJ42,3)=RIGHT(AJ42,3)),AQ42,AO42)-AM42)*-BF42*VLOOKUP(AJ42,'FX RATES'!$H$1:$J$26,3,FALSE),0))</f>
        <v>1829.4148456552466</v>
      </c>
      <c r="BI42" s="170" t="str">
        <f t="shared" ref="BI42:BI53" si="42">RIGHT(AJ42,3)</f>
        <v>RUB</v>
      </c>
      <c r="BJ42" s="542">
        <f t="shared" ref="BJ42:BJ53" si="43">IF(BH42=0,0,IFERROR(BH42/IF(BI42&lt;&gt;"USD",AQ42,1),"???"))</f>
        <v>23.304647715353461</v>
      </c>
      <c r="BK42" s="170">
        <f t="shared" ref="BK42:BK53" si="44">IFERROR(-AK42/(IF(OR(AJ42="USDAED",LEFT(AJ42,3)=RIGHT(AJ42,3)),AP42,AO42)-AM42)*BJ42,0)</f>
        <v>0</v>
      </c>
      <c r="BL42" s="542">
        <f t="shared" ref="BL42:BL53" si="45">BJ42-BK42</f>
        <v>23.304647715353461</v>
      </c>
      <c r="BM42" s="170">
        <f t="shared" ref="BM42:BM53" si="46">IF(AND(ISERROR(SEARCH("REFUND",A42)),ISERROR(SEARCH("CANCELLED",A42))),BD42+BK42,0)</f>
        <v>0</v>
      </c>
      <c r="BN42" s="542">
        <f t="shared" ref="BN42:BN53" si="47">IF(AND(ISERROR(SEARCH("REFUND",A42)),ISERROR(SEARCH("CANCELLED",A42))),BE42+BL42,0)</f>
        <v>23.304647715353461</v>
      </c>
    </row>
    <row r="43" spans="1:66" ht="19.5" customHeight="1">
      <c r="A43" s="167" t="s">
        <v>366</v>
      </c>
      <c r="B43" s="168" t="s">
        <v>39</v>
      </c>
      <c r="C43" s="168" t="s">
        <v>381</v>
      </c>
      <c r="D43" s="168" t="s">
        <v>128</v>
      </c>
      <c r="E43" s="171">
        <v>46036</v>
      </c>
      <c r="F43" s="171"/>
      <c r="G43" s="168" t="s">
        <v>39</v>
      </c>
      <c r="H43" s="181" t="s">
        <v>39</v>
      </c>
      <c r="I43" s="169">
        <f>-(R40+R42)</f>
        <v>-500857.20968346228</v>
      </c>
      <c r="J43" s="170">
        <f t="shared" si="24"/>
        <v>-500857.20968346228</v>
      </c>
      <c r="K43" s="168" t="s">
        <v>9</v>
      </c>
      <c r="L43" s="168" t="s">
        <v>374</v>
      </c>
      <c r="M43" s="168" t="s">
        <v>374</v>
      </c>
      <c r="N43" s="167" t="s">
        <v>371</v>
      </c>
      <c r="O43" s="168" t="s">
        <v>39</v>
      </c>
      <c r="P43" s="168" t="s">
        <v>39</v>
      </c>
      <c r="Q43" s="169"/>
      <c r="R43" s="170">
        <f t="shared" si="25"/>
        <v>500857.20968346228</v>
      </c>
      <c r="S43" s="168" t="s">
        <v>9</v>
      </c>
      <c r="T43" s="168" t="s">
        <v>374</v>
      </c>
      <c r="U43" s="168" t="s">
        <v>374</v>
      </c>
      <c r="V43" s="167" t="s">
        <v>371</v>
      </c>
      <c r="W43" s="172" t="s">
        <v>382</v>
      </c>
      <c r="X43" s="173">
        <f>IF(Y43="",VLOOKUP(H43,CLIENTS!$A$1:$O$649,5,FALSE),Y43)</f>
        <v>0</v>
      </c>
      <c r="Y43" s="174"/>
      <c r="Z43" s="173">
        <f>IF(AA43="",VLOOKUP(P43,CLIENTS!$A$1:$O$649,5,FALSE),AA43)</f>
        <v>0</v>
      </c>
      <c r="AA43" s="174"/>
      <c r="AB43" s="173" t="str">
        <f>IF(W43="via USD",IF(K43="EUR",K43&amp;"USD","USD"&amp;K43),IFERROR(VLOOKUP(K43&amp;S43,'FX RATES'!$H$2:$H$20,1,FALSE),S43&amp;K43))</f>
        <v>RUBRUB</v>
      </c>
      <c r="AC43" s="175">
        <f>IF(LEFT(AB43,3)=RIGHT(AB43,3),0,IFERROR(INDEX(CLIENTS!$A$1:$O$649,MATCH(H43,CLIENTS!$A$1:$A$649,0),MATCH(AB43,CLIENTS!$A$1:$O$1,0)),0))</f>
        <v>0</v>
      </c>
      <c r="AD43" s="176"/>
      <c r="AE43" s="177">
        <f t="shared" si="26"/>
        <v>1</v>
      </c>
      <c r="AF43" s="177" t="str">
        <f t="shared" si="27"/>
        <v>46036RUBRUB</v>
      </c>
      <c r="AG43" s="176"/>
      <c r="AH43" s="178">
        <f>IF(LEFT(AB43,3)=RIGHT(AB43,3),1,VLOOKUP(AB43,'FX RATES'!$H$1:$I$20,2,FALSE))</f>
        <v>1</v>
      </c>
      <c r="AI43" s="178">
        <f t="shared" si="28"/>
        <v>1</v>
      </c>
      <c r="AJ43" s="173" t="str">
        <f>IF(W43="via USD",IF(S43="EUR",S43&amp;"USD","USD"&amp;S43),IFERROR(VLOOKUP(K43&amp;S43,'FX RATES'!$H$2:$H$20,1,FALSE),S43&amp;K43))</f>
        <v>RUBRUB</v>
      </c>
      <c r="AK43" s="175">
        <f>IF(LEFT(AJ43,3)=RIGHT(AJ43,3),0,IFERROR(INDEX(CLIENTS!$A$1:$O$649,MATCH(P43,CLIENTS!$A$1:$A$649,0),MATCH(AJ43,CLIENTS!$A$1:$O$1,0)),0))</f>
        <v>0</v>
      </c>
      <c r="AL43" s="176"/>
      <c r="AM43" s="177" t="str">
        <f t="shared" si="29"/>
        <v/>
      </c>
      <c r="AN43" s="177" t="str">
        <f t="shared" si="30"/>
        <v>46036RUBRUB</v>
      </c>
      <c r="AO43" s="176"/>
      <c r="AP43" s="178">
        <f>IF(LEFT(AJ43,3)=RIGHT(AJ43,3),1,VLOOKUP(AJ43,'FX RATES'!$H$1:$I$20,2,FALSE))</f>
        <v>1</v>
      </c>
      <c r="AQ43" s="178">
        <f t="shared" si="31"/>
        <v>1</v>
      </c>
      <c r="AR43" s="179">
        <f>-Q43*(1-Z43)/(1+X43)*IF(W43="CLIENT",IF(S43=RIGHT(AJ43,3),1/AM43,AM43),IF(W43="VENDOR",IF(S43=RIGHT(AJ43,3),1/AE43,AE43),AE43^(VLOOKUP(AB43,'FX RATES'!$H$1:$J$26,3,FALSE))/AM43^(VLOOKUP(AJ43,'FX RATES'!$H$1:$J$26,3,FALSE))))</f>
        <v>0</v>
      </c>
      <c r="AS43" s="179">
        <f>-I43*(1+X43)/(1-Z43)*IF(W43="VENDOR",IF(K43=RIGHT(AB43,3),1/AE43,AE43),IF(W43="CLIENT",IF(K43=RIGHT(AB43,3),1/AM43,AM43),AM43^(VLOOKUP(AJ43,'FX RATES'!$H$1:$J$26,3,FALSE))/AE43^(VLOOKUP(AB43,'FX RATES'!$H$1:$J$26,3,FALSE))))</f>
        <v>500857.20968346228</v>
      </c>
      <c r="AT43" s="170">
        <f ca="1">IF(AB43&lt;&gt;AJ43,J43/IF(K43=RIGHT(AB43,3),AE43,1/AE43),IF(S43="USD",J43/IF(K43=RIGHT(AB43,3),IF(W43="CLIENT",AM43,AE43),1/IF(W43="CLIENT",AM43,AE43)),J43*VLOOKUP(K43,'FX RATES'!$E$1:$F$10,2,FALSE)))</f>
        <v>-6528.3360990017309</v>
      </c>
      <c r="AU43" s="170">
        <f ca="1">IF(AB43&lt;&gt;AJ43,R43/IF(S43=RIGHT(AJ43,3),AM43,1/AM43),IF(K43="USD",R43/IF(S43=RIGHT(AJ43,3),IF(W43="CLIENT",AM43,AE43),1/IF(W43="CLIENT",AM43,AE43)),R43*VLOOKUP(S43,'FX RATES'!$E$1:$F$10,2,FALSE)))</f>
        <v>6528.3360990017309</v>
      </c>
      <c r="AV43" s="170">
        <f t="shared" ca="1" si="32"/>
        <v>0</v>
      </c>
      <c r="AW43" s="169"/>
      <c r="AX43" s="170">
        <f t="shared" ca="1" si="33"/>
        <v>0</v>
      </c>
      <c r="AY43" s="170">
        <f t="shared" si="34"/>
        <v>-500857.20968346228</v>
      </c>
      <c r="AZ43" s="170" t="str">
        <f t="shared" si="35"/>
        <v>RUB</v>
      </c>
      <c r="BA43" s="542">
        <f>IF(OR(A43="REFUND",A43="CANCELLED"),0,IFERROR((IF(OR(AB43="USDAED",LEFT(AB43,3)=RIGHT(AB43,3)),AI43,AG43)-AE43)*-AY43*VLOOKUP(AB43,'FX RATES'!$H$1:$J$26,3,FALSE),0))</f>
        <v>0</v>
      </c>
      <c r="BB43" s="170" t="str">
        <f t="shared" si="36"/>
        <v>RUB</v>
      </c>
      <c r="BC43" s="542">
        <f t="shared" si="37"/>
        <v>0</v>
      </c>
      <c r="BD43" s="170">
        <f t="shared" si="38"/>
        <v>0</v>
      </c>
      <c r="BE43" s="542">
        <f t="shared" si="39"/>
        <v>0</v>
      </c>
      <c r="BF43" s="170">
        <f t="shared" si="40"/>
        <v>500857.20968346228</v>
      </c>
      <c r="BG43" s="170" t="str">
        <f t="shared" si="41"/>
        <v>RUB</v>
      </c>
      <c r="BH43" s="542">
        <f>IF(OR(A43="REFUND",A43="CANCELLED"),0,IFERROR((IF(OR(AJ43="USDAED",LEFT(AJ43,3)=RIGHT(AJ43,3)),AQ43,AO43)-AM43)*-BF43*VLOOKUP(AJ43,'FX RATES'!$H$1:$J$26,3,FALSE),0))</f>
        <v>0</v>
      </c>
      <c r="BI43" s="170" t="str">
        <f t="shared" si="42"/>
        <v>RUB</v>
      </c>
      <c r="BJ43" s="542">
        <f t="shared" si="43"/>
        <v>0</v>
      </c>
      <c r="BK43" s="170">
        <f t="shared" si="44"/>
        <v>0</v>
      </c>
      <c r="BL43" s="542">
        <f t="shared" si="45"/>
        <v>0</v>
      </c>
      <c r="BM43" s="170">
        <f t="shared" si="46"/>
        <v>0</v>
      </c>
      <c r="BN43" s="542">
        <f t="shared" si="47"/>
        <v>0</v>
      </c>
    </row>
    <row r="44" spans="1:66" ht="19.5" customHeight="1">
      <c r="A44" s="167" t="s">
        <v>366</v>
      </c>
      <c r="B44" s="168" t="s">
        <v>39</v>
      </c>
      <c r="C44" s="168" t="s">
        <v>367</v>
      </c>
      <c r="D44" s="181" t="s">
        <v>368</v>
      </c>
      <c r="E44" s="171">
        <v>46036</v>
      </c>
      <c r="F44" s="171"/>
      <c r="G44" s="168" t="s">
        <v>39</v>
      </c>
      <c r="H44" s="181" t="s">
        <v>424</v>
      </c>
      <c r="I44" s="169">
        <v>-498357.3</v>
      </c>
      <c r="J44" s="170">
        <f t="shared" si="24"/>
        <v>-498357.3</v>
      </c>
      <c r="K44" s="168" t="s">
        <v>5</v>
      </c>
      <c r="L44" s="168" t="s">
        <v>402</v>
      </c>
      <c r="M44" s="168" t="s">
        <v>20</v>
      </c>
      <c r="N44" s="167" t="s">
        <v>371</v>
      </c>
      <c r="O44" s="168" t="s">
        <v>39</v>
      </c>
      <c r="P44" s="168" t="s">
        <v>379</v>
      </c>
      <c r="Q44" s="169"/>
      <c r="R44" s="170">
        <f t="shared" si="25"/>
        <v>39494290.120311558</v>
      </c>
      <c r="S44" s="168" t="s">
        <v>9</v>
      </c>
      <c r="T44" s="171" t="s">
        <v>380</v>
      </c>
      <c r="U44" s="171" t="s">
        <v>25</v>
      </c>
      <c r="V44" s="167" t="s">
        <v>371</v>
      </c>
      <c r="W44" s="172" t="s">
        <v>375</v>
      </c>
      <c r="X44" s="173">
        <f>IF(Y44="",VLOOKUP(H44,CLIENTS!$A$1:$O$649,5,FALSE),Y44)</f>
        <v>0</v>
      </c>
      <c r="Y44" s="174">
        <v>0</v>
      </c>
      <c r="Z44" s="173">
        <f>IF(AA44="",VLOOKUP(P44,CLIENTS!$A$1:$O$649,5,FALSE),AA44)</f>
        <v>5.0000000000000001E-3</v>
      </c>
      <c r="AA44" s="174">
        <v>5.0000000000000001E-3</v>
      </c>
      <c r="AB44" s="173" t="str">
        <f>IF(W44="via USD",IF(K44="EUR",K44&amp;"USD","USD"&amp;K44),IFERROR(VLOOKUP(K44&amp;S44,'FX RATES'!$H$2:$H$20,1,FALSE),S44&amp;K44))</f>
        <v>USDUSD</v>
      </c>
      <c r="AC44" s="175">
        <f>IF(LEFT(AB44,3)=RIGHT(AB44,3),0,IFERROR(INDEX(CLIENTS!$A$1:$O$649,MATCH(H44,CLIENTS!$A$1:$A$649,0),MATCH(AB44,CLIENTS!$A$1:$O$1,0)),0))</f>
        <v>0</v>
      </c>
      <c r="AD44" s="176"/>
      <c r="AE44" s="177">
        <f t="shared" si="26"/>
        <v>1</v>
      </c>
      <c r="AF44" s="177" t="str">
        <f t="shared" si="27"/>
        <v>46036USDUSD</v>
      </c>
      <c r="AG44" s="176"/>
      <c r="AH44" s="178">
        <f>IF(LEFT(AB44,3)=RIGHT(AB44,3),1,VLOOKUP(AB44,'FX RATES'!$H$1:$I$20,2,FALSE))</f>
        <v>1</v>
      </c>
      <c r="AI44" s="178">
        <f t="shared" si="28"/>
        <v>1</v>
      </c>
      <c r="AJ44" s="173" t="str">
        <f>IF(W44="via USD",IF(S44="EUR",S44&amp;"USD","USD"&amp;S44),IFERROR(VLOOKUP(K44&amp;S44,'FX RATES'!$H$2:$H$20,1,FALSE),S44&amp;K44))</f>
        <v>USDRUB</v>
      </c>
      <c r="AK44" s="175">
        <f>IF(LEFT(AJ44,3)=RIGHT(AJ44,3),0,IFERROR(INDEX(CLIENTS!$A$1:$O$649,MATCH(P44,CLIENTS!$A$1:$A$649,0),MATCH(AJ44,CLIENTS!$A$1:$O$1,0)),0))</f>
        <v>0</v>
      </c>
      <c r="AL44" s="176">
        <v>78.852699999999999</v>
      </c>
      <c r="AM44" s="177">
        <f t="shared" si="29"/>
        <v>78.852699999999999</v>
      </c>
      <c r="AN44" s="177" t="str">
        <f t="shared" si="30"/>
        <v>46036USDRUB</v>
      </c>
      <c r="AO44" s="176">
        <v>78.5</v>
      </c>
      <c r="AP44" s="178">
        <f ca="1">IF(LEFT(AJ44,3)=RIGHT(AJ44,3),1,VLOOKUP(AJ44,'FX RATES'!$H$1:$I$20,2,FALSE))</f>
        <v>76.720500000000001</v>
      </c>
      <c r="AQ44" s="178">
        <f t="shared" si="31"/>
        <v>78.5</v>
      </c>
      <c r="AR44" s="179">
        <f>-Q44*(1-Z44)/(1+X44)*IF(W44="CLIENT",IF(S44=RIGHT(AJ44,3),1/AM44,AM44),IF(W44="VENDOR",IF(S44=RIGHT(AJ44,3),1/AE44,AE44),AE44^(VLOOKUP(AB44,'FX RATES'!$H$1:$J$26,3,FALSE))/AM44^(VLOOKUP(AJ44,'FX RATES'!$H$1:$J$26,3,FALSE))))</f>
        <v>0</v>
      </c>
      <c r="AS44" s="179">
        <f>-I44*(1+X44)/(1-Z44)*IF(W44="VENDOR",IF(K44=RIGHT(AB44,3),1/AE44,AE44),IF(W44="CLIENT",IF(K44=RIGHT(AB44,3),1/AM44,AM44),AM44^(VLOOKUP(AJ44,'FX RATES'!$H$1:$J$26,3,FALSE))/AE44^(VLOOKUP(AB44,'FX RATES'!$H$1:$J$26,3,FALSE))))</f>
        <v>39494290.120311558</v>
      </c>
      <c r="AT44" s="170">
        <f>IF(AB44&lt;&gt;AJ44,J44/IF(K44=RIGHT(AB44,3),AE44,1/AE44),IF(S44="USD",J44/IF(K44=RIGHT(AB44,3),IF(W44="CLIENT",AM44,AE44),1/IF(W44="CLIENT",AM44,AE44)),J44*VLOOKUP(K44,'FX RATES'!$E$1:$F$10,2,FALSE)))</f>
        <v>-498357.3</v>
      </c>
      <c r="AU44" s="170">
        <f>IF(AB44&lt;&gt;AJ44,R44/IF(S44=RIGHT(AJ44,3),AM44,1/AM44),IF(K44="USD",R44/IF(S44=RIGHT(AJ44,3),IF(W44="CLIENT",AM44,AE44),1/IF(W44="CLIENT",AM44,AE44)),R44*VLOOKUP(S44,'FX RATES'!$E$1:$F$10,2,FALSE)))</f>
        <v>500861.60804020101</v>
      </c>
      <c r="AV44" s="170">
        <f t="shared" si="32"/>
        <v>2504.3080402010237</v>
      </c>
      <c r="AW44" s="169"/>
      <c r="AX44" s="170">
        <f t="shared" si="33"/>
        <v>2504.308040201005</v>
      </c>
      <c r="AY44" s="170">
        <f t="shared" si="34"/>
        <v>-498357.3</v>
      </c>
      <c r="AZ44" s="170" t="str">
        <f t="shared" si="35"/>
        <v>USD</v>
      </c>
      <c r="BA44" s="542">
        <f>IF(OR(A44="REFUND",A44="CANCELLED"),0,IFERROR((IF(OR(AB44="USDAED",LEFT(AB44,3)=RIGHT(AB44,3)),AI44,AG44)-AE44)*-AY44*VLOOKUP(AB44,'FX RATES'!$H$1:$J$26,3,FALSE),0))</f>
        <v>0</v>
      </c>
      <c r="BB44" s="170" t="str">
        <f t="shared" si="36"/>
        <v>USD</v>
      </c>
      <c r="BC44" s="542">
        <f t="shared" si="37"/>
        <v>0</v>
      </c>
      <c r="BD44" s="170">
        <f t="shared" si="38"/>
        <v>0</v>
      </c>
      <c r="BE44" s="542">
        <f t="shared" si="39"/>
        <v>0</v>
      </c>
      <c r="BF44" s="170">
        <f t="shared" si="40"/>
        <v>500861.60804020101</v>
      </c>
      <c r="BG44" s="170" t="str">
        <f t="shared" si="41"/>
        <v>USD</v>
      </c>
      <c r="BH44" s="542">
        <f>IF(OR(A44="REFUND",A44="CANCELLED"),0,IFERROR((IF(OR(AJ44="USDAED",LEFT(AJ44,3)=RIGHT(AJ44,3)),AQ44,AO44)-AM44)*-BF44*VLOOKUP(AJ44,'FX RATES'!$H$1:$J$26,3,FALSE),0))</f>
        <v>176653.88915577825</v>
      </c>
      <c r="BI44" s="170" t="str">
        <f t="shared" si="42"/>
        <v>RUB</v>
      </c>
      <c r="BJ44" s="542">
        <f t="shared" si="43"/>
        <v>2250.3680147232899</v>
      </c>
      <c r="BK44" s="170">
        <f t="shared" si="44"/>
        <v>0</v>
      </c>
      <c r="BL44" s="542">
        <f t="shared" si="45"/>
        <v>2250.3680147232899</v>
      </c>
      <c r="BM44" s="170">
        <f t="shared" si="46"/>
        <v>0</v>
      </c>
      <c r="BN44" s="542">
        <f t="shared" si="47"/>
        <v>2250.3680147232899</v>
      </c>
    </row>
    <row r="45" spans="1:66" ht="19.5" customHeight="1">
      <c r="A45" s="167" t="s">
        <v>366</v>
      </c>
      <c r="B45" s="168" t="s">
        <v>39</v>
      </c>
      <c r="C45" s="168" t="s">
        <v>367</v>
      </c>
      <c r="D45" s="181" t="s">
        <v>368</v>
      </c>
      <c r="E45" s="171">
        <v>46036</v>
      </c>
      <c r="F45" s="171"/>
      <c r="G45" s="168" t="s">
        <v>39</v>
      </c>
      <c r="H45" s="181" t="s">
        <v>397</v>
      </c>
      <c r="I45" s="169">
        <v>-483908.55</v>
      </c>
      <c r="J45" s="170">
        <f t="shared" si="24"/>
        <v>-483908.55</v>
      </c>
      <c r="K45" s="168" t="s">
        <v>5</v>
      </c>
      <c r="L45" s="168" t="s">
        <v>398</v>
      </c>
      <c r="M45" s="168" t="s">
        <v>20</v>
      </c>
      <c r="N45" s="167" t="s">
        <v>371</v>
      </c>
      <c r="O45" s="168" t="s">
        <v>39</v>
      </c>
      <c r="P45" s="168" t="s">
        <v>379</v>
      </c>
      <c r="Q45" s="169">
        <v>38349241.770000003</v>
      </c>
      <c r="R45" s="170">
        <f t="shared" si="25"/>
        <v>38349241.770000003</v>
      </c>
      <c r="S45" s="168" t="s">
        <v>9</v>
      </c>
      <c r="T45" s="171" t="s">
        <v>380</v>
      </c>
      <c r="U45" s="171" t="s">
        <v>25</v>
      </c>
      <c r="V45" s="167" t="s">
        <v>371</v>
      </c>
      <c r="W45" s="172" t="s">
        <v>375</v>
      </c>
      <c r="X45" s="173">
        <f>IF(Y45="",VLOOKUP(H45,CLIENTS!$A$1:$O$649,5,FALSE),Y45)</f>
        <v>0</v>
      </c>
      <c r="Y45" s="174">
        <v>0</v>
      </c>
      <c r="Z45" s="173">
        <f>IF(AA45="",VLOOKUP(P45,CLIENTS!$A$1:$O$649,5,FALSE),AA45)</f>
        <v>5.0000000000000001E-3</v>
      </c>
      <c r="AA45" s="174">
        <v>5.0000000000000001E-3</v>
      </c>
      <c r="AB45" s="173" t="str">
        <f>IF(W45="via USD",IF(K45="EUR",K45&amp;"USD","USD"&amp;K45),IFERROR(VLOOKUP(K45&amp;S45,'FX RATES'!$H$2:$H$20,1,FALSE),S45&amp;K45))</f>
        <v>USDUSD</v>
      </c>
      <c r="AC45" s="175">
        <f>IF(LEFT(AB45,3)=RIGHT(AB45,3),0,IFERROR(INDEX(CLIENTS!$A$1:$O$649,MATCH(H45,CLIENTS!$A$1:$A$649,0),MATCH(AB45,CLIENTS!$A$1:$O$1,0)),0))</f>
        <v>0</v>
      </c>
      <c r="AD45" s="176"/>
      <c r="AE45" s="177">
        <f t="shared" si="26"/>
        <v>1</v>
      </c>
      <c r="AF45" s="177" t="str">
        <f t="shared" si="27"/>
        <v>46036USDUSD</v>
      </c>
      <c r="AG45" s="176"/>
      <c r="AH45" s="178">
        <f>IF(LEFT(AB45,3)=RIGHT(AB45,3),1,VLOOKUP(AB45,'FX RATES'!$H$1:$I$20,2,FALSE))</f>
        <v>1</v>
      </c>
      <c r="AI45" s="178">
        <f t="shared" si="28"/>
        <v>1</v>
      </c>
      <c r="AJ45" s="173" t="str">
        <f>IF(W45="via USD",IF(S45="EUR",S45&amp;"USD","USD"&amp;S45),IFERROR(VLOOKUP(K45&amp;S45,'FX RATES'!$H$2:$H$20,1,FALSE),S45&amp;K45))</f>
        <v>USDRUB</v>
      </c>
      <c r="AK45" s="175">
        <f>IF(LEFT(AJ45,3)=RIGHT(AJ45,3),0,IFERROR(INDEX(CLIENTS!$A$1:$O$649,MATCH(P45,CLIENTS!$A$1:$A$649,0),MATCH(AJ45,CLIENTS!$A$1:$O$1,0)),0))</f>
        <v>0</v>
      </c>
      <c r="AL45" s="176">
        <v>78.852699999999999</v>
      </c>
      <c r="AM45" s="177">
        <f t="shared" si="29"/>
        <v>78.852699999999999</v>
      </c>
      <c r="AN45" s="177" t="str">
        <f t="shared" si="30"/>
        <v>46036USDRUB</v>
      </c>
      <c r="AO45" s="176">
        <v>78.5</v>
      </c>
      <c r="AP45" s="178">
        <f ca="1">IF(LEFT(AJ45,3)=RIGHT(AJ45,3),1,VLOOKUP(AJ45,'FX RATES'!$H$1:$I$20,2,FALSE))</f>
        <v>76.720500000000001</v>
      </c>
      <c r="AQ45" s="178">
        <f t="shared" si="31"/>
        <v>78.5</v>
      </c>
      <c r="AR45" s="179">
        <f>-Q45*(1-Z45)/(1+X45)*IF(W45="CLIENT",IF(S45=RIGHT(AJ45,3),1/AM45,AM45),IF(W45="VENDOR",IF(S45=RIGHT(AJ45,3),1/AE45,AE45),AE45^(VLOOKUP(AB45,'FX RATES'!$H$1:$J$26,3,FALSE))/AM45^(VLOOKUP(AJ45,'FX RATES'!$H$1:$J$26,3,FALSE))))</f>
        <v>-483908.54797806544</v>
      </c>
      <c r="AS45" s="179">
        <f>-I45*(1+X45)/(1-Z45)*IF(W45="VENDOR",IF(K45=RIGHT(AB45,3),1/AE45,AE45),IF(W45="CLIENT",IF(K45=RIGHT(AB45,3),1/AM45,AM45),AM45^(VLOOKUP(AJ45,'FX RATES'!$H$1:$J$26,3,FALSE))/AE45^(VLOOKUP(AB45,'FX RATES'!$H$1:$J$26,3,FALSE))))</f>
        <v>38349241.930236176</v>
      </c>
      <c r="AT45" s="170">
        <f>IF(AB45&lt;&gt;AJ45,J45/IF(K45=RIGHT(AB45,3),AE45,1/AE45),IF(S45="USD",J45/IF(K45=RIGHT(AB45,3),IF(W45="CLIENT",AM45,AE45),1/IF(W45="CLIENT",AM45,AE45)),J45*VLOOKUP(K45,'FX RATES'!$E$1:$F$10,2,FALSE)))</f>
        <v>-483908.55</v>
      </c>
      <c r="AU45" s="170">
        <f>IF(AB45&lt;&gt;AJ45,R45/IF(S45=RIGHT(AJ45,3),AM45,1/AM45),IF(K45="USD",R45/IF(S45=RIGHT(AJ45,3),IF(W45="CLIENT",AM45,AE45),1/IF(W45="CLIENT",AM45,AE45)),R45*VLOOKUP(S45,'FX RATES'!$E$1:$F$10,2,FALSE)))</f>
        <v>486340.24922418641</v>
      </c>
      <c r="AV45" s="170">
        <f t="shared" si="32"/>
        <v>2431.6992241864209</v>
      </c>
      <c r="AW45" s="169"/>
      <c r="AX45" s="170">
        <f t="shared" si="33"/>
        <v>2431.701246120932</v>
      </c>
      <c r="AY45" s="170">
        <f t="shared" si="34"/>
        <v>-483908.55</v>
      </c>
      <c r="AZ45" s="170" t="str">
        <f t="shared" si="35"/>
        <v>USD</v>
      </c>
      <c r="BA45" s="542">
        <f>IF(OR(A45="REFUND",A45="CANCELLED"),0,IFERROR((IF(OR(AB45="USDAED",LEFT(AB45,3)=RIGHT(AB45,3)),AI45,AG45)-AE45)*-AY45*VLOOKUP(AB45,'FX RATES'!$H$1:$J$26,3,FALSE),0))</f>
        <v>0</v>
      </c>
      <c r="BB45" s="170" t="str">
        <f t="shared" si="36"/>
        <v>USD</v>
      </c>
      <c r="BC45" s="542">
        <f t="shared" si="37"/>
        <v>0</v>
      </c>
      <c r="BD45" s="170">
        <f t="shared" si="38"/>
        <v>0</v>
      </c>
      <c r="BE45" s="542">
        <f t="shared" si="39"/>
        <v>0</v>
      </c>
      <c r="BF45" s="170">
        <f t="shared" si="40"/>
        <v>486340.24922418641</v>
      </c>
      <c r="BG45" s="170" t="str">
        <f t="shared" si="41"/>
        <v>USD</v>
      </c>
      <c r="BH45" s="542">
        <f>IF(OR(A45="REFUND",A45="CANCELLED"),0,IFERROR((IF(OR(AJ45="USDAED",LEFT(AJ45,3)=RIGHT(AJ45,3)),AQ45,AO45)-AM45)*-BF45*VLOOKUP(AJ45,'FX RATES'!$H$1:$J$26,3,FALSE),0))</f>
        <v>171532.20590136992</v>
      </c>
      <c r="BI45" s="170" t="str">
        <f t="shared" si="42"/>
        <v>RUB</v>
      </c>
      <c r="BJ45" s="542">
        <f t="shared" si="43"/>
        <v>2185.1236420556679</v>
      </c>
      <c r="BK45" s="170">
        <f t="shared" si="44"/>
        <v>0</v>
      </c>
      <c r="BL45" s="542">
        <f t="shared" si="45"/>
        <v>2185.1236420556679</v>
      </c>
      <c r="BM45" s="170">
        <f t="shared" si="46"/>
        <v>0</v>
      </c>
      <c r="BN45" s="542">
        <f t="shared" si="47"/>
        <v>2185.1236420556679</v>
      </c>
    </row>
    <row r="46" spans="1:66" ht="19.5" customHeight="1">
      <c r="A46" s="167" t="s">
        <v>366</v>
      </c>
      <c r="B46" s="168" t="s">
        <v>39</v>
      </c>
      <c r="C46" s="168" t="s">
        <v>367</v>
      </c>
      <c r="D46" s="181" t="s">
        <v>368</v>
      </c>
      <c r="E46" s="171">
        <v>46036</v>
      </c>
      <c r="F46" s="171"/>
      <c r="G46" s="168" t="s">
        <v>39</v>
      </c>
      <c r="H46" s="181" t="s">
        <v>425</v>
      </c>
      <c r="I46" s="169">
        <v>-409378.91</v>
      </c>
      <c r="J46" s="170">
        <f t="shared" si="24"/>
        <v>-409378.91</v>
      </c>
      <c r="K46" s="168" t="s">
        <v>5</v>
      </c>
      <c r="L46" s="168" t="s">
        <v>426</v>
      </c>
      <c r="M46" s="168" t="s">
        <v>20</v>
      </c>
      <c r="N46" s="167" t="s">
        <v>371</v>
      </c>
      <c r="O46" s="168" t="s">
        <v>39</v>
      </c>
      <c r="P46" s="168" t="s">
        <v>379</v>
      </c>
      <c r="Q46" s="169"/>
      <c r="R46" s="170">
        <f t="shared" si="25"/>
        <v>32442846.609605022</v>
      </c>
      <c r="S46" s="168" t="s">
        <v>9</v>
      </c>
      <c r="T46" s="171" t="s">
        <v>380</v>
      </c>
      <c r="U46" s="171" t="s">
        <v>25</v>
      </c>
      <c r="V46" s="167" t="s">
        <v>371</v>
      </c>
      <c r="W46" s="172" t="s">
        <v>375</v>
      </c>
      <c r="X46" s="173">
        <f>IF(Y46="",VLOOKUP(H46,CLIENTS!$A$1:$O$649,5,FALSE),Y46)</f>
        <v>0</v>
      </c>
      <c r="Y46" s="174">
        <v>0</v>
      </c>
      <c r="Z46" s="173">
        <f>IF(AA46="",VLOOKUP(P46,CLIENTS!$A$1:$O$649,5,FALSE),AA46)</f>
        <v>5.0000000000000001E-3</v>
      </c>
      <c r="AA46" s="174">
        <v>5.0000000000000001E-3</v>
      </c>
      <c r="AB46" s="173" t="str">
        <f>IF(W46="via USD",IF(K46="EUR",K46&amp;"USD","USD"&amp;K46),IFERROR(VLOOKUP(K46&amp;S46,'FX RATES'!$H$2:$H$20,1,FALSE),S46&amp;K46))</f>
        <v>USDUSD</v>
      </c>
      <c r="AC46" s="175">
        <f>IF(LEFT(AB46,3)=RIGHT(AB46,3),0,IFERROR(INDEX(CLIENTS!$A$1:$O$649,MATCH(H46,CLIENTS!$A$1:$A$649,0),MATCH(AB46,CLIENTS!$A$1:$O$1,0)),0))</f>
        <v>0</v>
      </c>
      <c r="AD46" s="176"/>
      <c r="AE46" s="177">
        <f t="shared" si="26"/>
        <v>1</v>
      </c>
      <c r="AF46" s="177" t="str">
        <f t="shared" si="27"/>
        <v>46036USDUSD</v>
      </c>
      <c r="AG46" s="176"/>
      <c r="AH46" s="178">
        <f>IF(LEFT(AB46,3)=RIGHT(AB46,3),1,VLOOKUP(AB46,'FX RATES'!$H$1:$I$20,2,FALSE))</f>
        <v>1</v>
      </c>
      <c r="AI46" s="178">
        <f t="shared" si="28"/>
        <v>1</v>
      </c>
      <c r="AJ46" s="173" t="str">
        <f>IF(W46="via USD",IF(S46="EUR",S46&amp;"USD","USD"&amp;S46),IFERROR(VLOOKUP(K46&amp;S46,'FX RATES'!$H$2:$H$20,1,FALSE),S46&amp;K46))</f>
        <v>USDRUB</v>
      </c>
      <c r="AK46" s="175">
        <f>IF(LEFT(AJ46,3)=RIGHT(AJ46,3),0,IFERROR(INDEX(CLIENTS!$A$1:$O$649,MATCH(P46,CLIENTS!$A$1:$A$649,0),MATCH(AJ46,CLIENTS!$A$1:$O$1,0)),0))</f>
        <v>0</v>
      </c>
      <c r="AL46" s="176">
        <v>78.852699999999999</v>
      </c>
      <c r="AM46" s="177">
        <f t="shared" si="29"/>
        <v>78.852699999999999</v>
      </c>
      <c r="AN46" s="177" t="str">
        <f t="shared" si="30"/>
        <v>46036USDRUB</v>
      </c>
      <c r="AO46" s="176">
        <v>78.5</v>
      </c>
      <c r="AP46" s="178">
        <f ca="1">IF(LEFT(AJ46,3)=RIGHT(AJ46,3),1,VLOOKUP(AJ46,'FX RATES'!$H$1:$I$20,2,FALSE))</f>
        <v>76.720500000000001</v>
      </c>
      <c r="AQ46" s="178">
        <f t="shared" si="31"/>
        <v>78.5</v>
      </c>
      <c r="AR46" s="179">
        <f>-Q46*(1-Z46)/(1+X46)*IF(W46="CLIENT",IF(S46=RIGHT(AJ46,3),1/AM46,AM46),IF(W46="VENDOR",IF(S46=RIGHT(AJ46,3),1/AE46,AE46),AE46^(VLOOKUP(AB46,'FX RATES'!$H$1:$J$26,3,FALSE))/AM46^(VLOOKUP(AJ46,'FX RATES'!$H$1:$J$26,3,FALSE))))</f>
        <v>0</v>
      </c>
      <c r="AS46" s="179">
        <f>-I46*(1+X46)/(1-Z46)*IF(W46="VENDOR",IF(K46=RIGHT(AB46,3),1/AE46,AE46),IF(W46="CLIENT",IF(K46=RIGHT(AB46,3),1/AM46,AM46),AM46^(VLOOKUP(AJ46,'FX RATES'!$H$1:$J$26,3,FALSE))/AE46^(VLOOKUP(AB46,'FX RATES'!$H$1:$J$26,3,FALSE))))</f>
        <v>32442846.609605022</v>
      </c>
      <c r="AT46" s="170">
        <f>IF(AB46&lt;&gt;AJ46,J46/IF(K46=RIGHT(AB46,3),AE46,1/AE46),IF(S46="USD",J46/IF(K46=RIGHT(AB46,3),IF(W46="CLIENT",AM46,AE46),1/IF(W46="CLIENT",AM46,AE46)),J46*VLOOKUP(K46,'FX RATES'!$E$1:$F$10,2,FALSE)))</f>
        <v>-409378.91</v>
      </c>
      <c r="AU46" s="170">
        <f>IF(AB46&lt;&gt;AJ46,R46/IF(S46=RIGHT(AJ46,3),AM46,1/AM46),IF(K46="USD",R46/IF(S46=RIGHT(AJ46,3),IF(W46="CLIENT",AM46,AE46),1/IF(W46="CLIENT",AM46,AE46)),R46*VLOOKUP(S46,'FX RATES'!$E$1:$F$10,2,FALSE)))</f>
        <v>411436.09045226127</v>
      </c>
      <c r="AV46" s="170">
        <f t="shared" si="32"/>
        <v>2057.1804522612947</v>
      </c>
      <c r="AW46" s="169"/>
      <c r="AX46" s="170">
        <f t="shared" si="33"/>
        <v>2057.1804522613065</v>
      </c>
      <c r="AY46" s="170">
        <f t="shared" si="34"/>
        <v>-409378.91</v>
      </c>
      <c r="AZ46" s="170" t="str">
        <f t="shared" si="35"/>
        <v>USD</v>
      </c>
      <c r="BA46" s="542">
        <f>IF(OR(A46="REFUND",A46="CANCELLED"),0,IFERROR((IF(OR(AB46="USDAED",LEFT(AB46,3)=RIGHT(AB46,3)),AI46,AG46)-AE46)*-AY46*VLOOKUP(AB46,'FX RATES'!$H$1:$J$26,3,FALSE),0))</f>
        <v>0</v>
      </c>
      <c r="BB46" s="170" t="str">
        <f t="shared" si="36"/>
        <v>USD</v>
      </c>
      <c r="BC46" s="542">
        <f t="shared" si="37"/>
        <v>0</v>
      </c>
      <c r="BD46" s="170">
        <f t="shared" si="38"/>
        <v>0</v>
      </c>
      <c r="BE46" s="542">
        <f t="shared" si="39"/>
        <v>0</v>
      </c>
      <c r="BF46" s="170">
        <f t="shared" si="40"/>
        <v>411436.09045226127</v>
      </c>
      <c r="BG46" s="170" t="str">
        <f t="shared" si="41"/>
        <v>USD</v>
      </c>
      <c r="BH46" s="542">
        <f>IF(OR(A46="REFUND",A46="CANCELLED"),0,IFERROR((IF(OR(AJ46="USDAED",LEFT(AJ46,3)=RIGHT(AJ46,3)),AQ46,AO46)-AM46)*-BF46*VLOOKUP(AJ46,'FX RATES'!$H$1:$J$26,3,FALSE),0))</f>
        <v>145113.50910251201</v>
      </c>
      <c r="BI46" s="170" t="str">
        <f t="shared" si="42"/>
        <v>RUB</v>
      </c>
      <c r="BJ46" s="542">
        <f t="shared" si="43"/>
        <v>1848.5797337899619</v>
      </c>
      <c r="BK46" s="170">
        <f t="shared" si="44"/>
        <v>0</v>
      </c>
      <c r="BL46" s="542">
        <f t="shared" si="45"/>
        <v>1848.5797337899619</v>
      </c>
      <c r="BM46" s="170">
        <f t="shared" si="46"/>
        <v>0</v>
      </c>
      <c r="BN46" s="542">
        <f t="shared" si="47"/>
        <v>1848.5797337899619</v>
      </c>
    </row>
    <row r="47" spans="1:66" ht="19.5" customHeight="1">
      <c r="A47" s="167" t="s">
        <v>366</v>
      </c>
      <c r="B47" s="168" t="s">
        <v>39</v>
      </c>
      <c r="C47" s="168" t="s">
        <v>367</v>
      </c>
      <c r="D47" s="168" t="s">
        <v>368</v>
      </c>
      <c r="E47" s="171">
        <v>46036</v>
      </c>
      <c r="F47" s="171"/>
      <c r="G47" s="168" t="s">
        <v>39</v>
      </c>
      <c r="H47" s="168" t="s">
        <v>393</v>
      </c>
      <c r="I47" s="169"/>
      <c r="J47" s="170">
        <f t="shared" si="24"/>
        <v>-13111.653089494715</v>
      </c>
      <c r="K47" s="168" t="s">
        <v>5</v>
      </c>
      <c r="L47" s="171" t="s">
        <v>378</v>
      </c>
      <c r="M47" s="168" t="s">
        <v>20</v>
      </c>
      <c r="N47" s="167" t="s">
        <v>371</v>
      </c>
      <c r="O47" s="443" t="s">
        <v>52</v>
      </c>
      <c r="P47" s="168" t="s">
        <v>427</v>
      </c>
      <c r="Q47" s="169">
        <v>1041177.49</v>
      </c>
      <c r="R47" s="170">
        <f t="shared" si="25"/>
        <v>1041177.49</v>
      </c>
      <c r="S47" s="168" t="s">
        <v>9</v>
      </c>
      <c r="T47" s="171" t="s">
        <v>25</v>
      </c>
      <c r="U47" s="168" t="s">
        <v>25</v>
      </c>
      <c r="V47" s="167" t="s">
        <v>371</v>
      </c>
      <c r="W47" s="172" t="s">
        <v>389</v>
      </c>
      <c r="X47" s="173">
        <f>IF(Y47="",VLOOKUP(H47,CLIENTS!$A$1:$O$649,5,FALSE),Y47)</f>
        <v>0</v>
      </c>
      <c r="Y47" s="174">
        <v>0</v>
      </c>
      <c r="Z47" s="173">
        <f>IF(AA47="",VLOOKUP(P47,CLIENTS!$A$1:$O$649,5,FALSE),AA47)</f>
        <v>7.0000000000000001E-3</v>
      </c>
      <c r="AA47" s="174">
        <v>7.0000000000000001E-3</v>
      </c>
      <c r="AB47" s="173" t="str">
        <f>IF(W47="via USD",IF(K47="EUR",K47&amp;"USD","USD"&amp;K47),IFERROR(VLOOKUP(K47&amp;S47,'FX RATES'!$H$2:$H$20,1,FALSE),S47&amp;K47))</f>
        <v>USDRUB</v>
      </c>
      <c r="AC47" s="175">
        <f>IF(LEFT(AB47,3)=RIGHT(AB47,3),0,IFERROR(INDEX(CLIENTS!$A$1:$O$649,MATCH(H47,CLIENTS!$A$1:$A$649,0),MATCH(AB47,CLIENTS!$A$1:$O$1,0)),0))</f>
        <v>0</v>
      </c>
      <c r="AD47" s="176"/>
      <c r="AE47" s="177" t="str">
        <f t="shared" si="26"/>
        <v/>
      </c>
      <c r="AF47" s="177" t="str">
        <f t="shared" si="27"/>
        <v>46036USDRUB</v>
      </c>
      <c r="AG47" s="176">
        <v>78.5</v>
      </c>
      <c r="AH47" s="178">
        <f ca="1">IF(LEFT(AB47,3)=RIGHT(AB47,3),1,VLOOKUP(AB47,'FX RATES'!$H$1:$I$20,2,FALSE))</f>
        <v>76.720500000000001</v>
      </c>
      <c r="AI47" s="178">
        <f t="shared" si="28"/>
        <v>78.5</v>
      </c>
      <c r="AJ47" s="173" t="str">
        <f>IF(W47="via USD",IF(S47="EUR",S47&amp;"USD","USD"&amp;S47),IFERROR(VLOOKUP(K47&amp;S47,'FX RATES'!$H$2:$H$20,1,FALSE),S47&amp;K47))</f>
        <v>USDRUB</v>
      </c>
      <c r="AK47" s="175">
        <f>IF(LEFT(AJ47,3)=RIGHT(AJ47,3),0,IFERROR(INDEX(CLIENTS!$A$1:$O$649,MATCH(P47,CLIENTS!$A$1:$A$649,0),MATCH(AJ47,CLIENTS!$A$1:$O$1,0)),0))</f>
        <v>0</v>
      </c>
      <c r="AL47" s="176">
        <v>78.852699999999999</v>
      </c>
      <c r="AM47" s="177">
        <f t="shared" si="29"/>
        <v>78.852699999999999</v>
      </c>
      <c r="AN47" s="177" t="str">
        <f t="shared" si="30"/>
        <v>46036USDRUB</v>
      </c>
      <c r="AO47" s="176">
        <v>78.5</v>
      </c>
      <c r="AP47" s="178">
        <f ca="1">IF(LEFT(AJ47,3)=RIGHT(AJ47,3),1,VLOOKUP(AJ47,'FX RATES'!$H$1:$I$20,2,FALSE))</f>
        <v>76.720500000000001</v>
      </c>
      <c r="AQ47" s="178">
        <f t="shared" si="31"/>
        <v>78.5</v>
      </c>
      <c r="AR47" s="179">
        <f>-Q47*(1-Z47)/(1+X47)*IF(W47="CLIENT",IF(S47=RIGHT(AJ47,3),1/AM47,AM47),IF(W47="VENDOR",IF(S47=RIGHT(AJ47,3),1/AE47,AE47),AE47^(VLOOKUP(AB47,'FX RATES'!$H$1:$J$26,3,FALSE))/AM47^(VLOOKUP(AJ47,'FX RATES'!$H$1:$J$26,3,FALSE))))</f>
        <v>-13111.653089494715</v>
      </c>
      <c r="AS47" s="179">
        <f>-I47*(1+X47)/(1-Z47)*IF(W47="VENDOR",IF(K47=RIGHT(AB47,3),1/AE47,AE47),IF(W47="CLIENT",IF(K47=RIGHT(AB47,3),1/AM47,AM47),AM47^(VLOOKUP(AJ47,'FX RATES'!$H$1:$J$26,3,FALSE))/AE47^(VLOOKUP(AB47,'FX RATES'!$H$1:$J$26,3,FALSE))))</f>
        <v>0</v>
      </c>
      <c r="AT47" s="170">
        <f>IF(AB47&lt;&gt;AJ47,J47/IF(K47=RIGHT(AB47,3),AE47,1/AE47),IF(S47="USD",J47/IF(K47=RIGHT(AB47,3),IF(W47="CLIENT",AM47,AE47),1/IF(W47="CLIENT",AM47,AE47)),J47*VLOOKUP(K47,'FX RATES'!$E$1:$F$10,2,FALSE)))</f>
        <v>-13111.653089494715</v>
      </c>
      <c r="AU47" s="170">
        <f>IF(AB47&lt;&gt;AJ47,R47/IF(S47=RIGHT(AJ47,3),AM47,1/AM47),IF(K47="USD",R47/IF(S47=RIGHT(AJ47,3),IF(W47="CLIENT",AM47,AE47),1/IF(W47="CLIENT",AM47,AE47)),R47*VLOOKUP(S47,'FX RATES'!$E$1:$F$10,2,FALSE)))</f>
        <v>13204.081661122575</v>
      </c>
      <c r="AV47" s="170">
        <f t="shared" si="32"/>
        <v>92.428571627859128</v>
      </c>
      <c r="AW47" s="169"/>
      <c r="AX47" s="170">
        <f t="shared" si="33"/>
        <v>92.42857162785802</v>
      </c>
      <c r="AY47" s="170">
        <f t="shared" si="34"/>
        <v>-13111.653089494715</v>
      </c>
      <c r="AZ47" s="170" t="str">
        <f t="shared" si="35"/>
        <v>USD</v>
      </c>
      <c r="BA47" s="542">
        <f>IF(OR(A47="REFUND",A47="CANCELLED"),0,IFERROR((IF(OR(AB47="USDAED",LEFT(AB47,3)=RIGHT(AB47,3)),AI47,AG47)-AE47)*-AY47*VLOOKUP(AB47,'FX RATES'!$H$1:$J$26,3,FALSE),0))</f>
        <v>0</v>
      </c>
      <c r="BB47" s="170" t="str">
        <f t="shared" si="36"/>
        <v>RUB</v>
      </c>
      <c r="BC47" s="542">
        <f t="shared" si="37"/>
        <v>0</v>
      </c>
      <c r="BD47" s="170">
        <f t="shared" si="38"/>
        <v>0</v>
      </c>
      <c r="BE47" s="542">
        <f t="shared" si="39"/>
        <v>0</v>
      </c>
      <c r="BF47" s="170">
        <f t="shared" si="40"/>
        <v>13204.081661122575</v>
      </c>
      <c r="BG47" s="170" t="str">
        <f t="shared" si="41"/>
        <v>USD</v>
      </c>
      <c r="BH47" s="542">
        <f>IF(OR(A47="REFUND",A47="CANCELLED"),0,IFERROR((IF(OR(AJ47="USDAED",LEFT(AJ47,3)=RIGHT(AJ47,3)),AQ47,AO47)-AM47)*-BF47*VLOOKUP(AJ47,'FX RATES'!$H$1:$J$26,3,FALSE),0))</f>
        <v>4657.0796018779147</v>
      </c>
      <c r="BI47" s="170" t="str">
        <f t="shared" si="42"/>
        <v>RUB</v>
      </c>
      <c r="BJ47" s="542">
        <f t="shared" si="43"/>
        <v>59.325854800992545</v>
      </c>
      <c r="BK47" s="170">
        <f t="shared" si="44"/>
        <v>0</v>
      </c>
      <c r="BL47" s="542">
        <f t="shared" si="45"/>
        <v>59.325854800992545</v>
      </c>
      <c r="BM47" s="170">
        <f t="shared" si="46"/>
        <v>0</v>
      </c>
      <c r="BN47" s="542">
        <f t="shared" si="47"/>
        <v>59.325854800992545</v>
      </c>
    </row>
    <row r="48" spans="1:66" ht="19.5" customHeight="1">
      <c r="A48" s="167" t="s">
        <v>366</v>
      </c>
      <c r="B48" s="181" t="s">
        <v>39</v>
      </c>
      <c r="C48" s="181" t="s">
        <v>367</v>
      </c>
      <c r="D48" s="181" t="s">
        <v>418</v>
      </c>
      <c r="E48" s="171">
        <v>46036</v>
      </c>
      <c r="F48" s="171"/>
      <c r="G48" s="181" t="s">
        <v>39</v>
      </c>
      <c r="H48" s="181" t="s">
        <v>428</v>
      </c>
      <c r="I48" s="169">
        <v>-205000</v>
      </c>
      <c r="J48" s="170">
        <f t="shared" si="24"/>
        <v>-205000</v>
      </c>
      <c r="K48" s="168" t="s">
        <v>5</v>
      </c>
      <c r="L48" s="168" t="s">
        <v>378</v>
      </c>
      <c r="M48" s="168" t="s">
        <v>20</v>
      </c>
      <c r="N48" s="167" t="s">
        <v>371</v>
      </c>
      <c r="O48" s="168" t="s">
        <v>39</v>
      </c>
      <c r="P48" s="168" t="s">
        <v>429</v>
      </c>
      <c r="Q48" s="169"/>
      <c r="R48" s="170">
        <f t="shared" si="25"/>
        <v>16295164.818548387</v>
      </c>
      <c r="S48" s="168" t="s">
        <v>9</v>
      </c>
      <c r="T48" s="168" t="s">
        <v>391</v>
      </c>
      <c r="U48" s="168" t="s">
        <v>25</v>
      </c>
      <c r="V48" s="167" t="s">
        <v>371</v>
      </c>
      <c r="W48" s="172" t="s">
        <v>375</v>
      </c>
      <c r="X48" s="173">
        <f>IF(Y48="",VLOOKUP(H48,CLIENTS!$A$1:$O$649,5,FALSE),Y48)</f>
        <v>0</v>
      </c>
      <c r="Y48" s="174">
        <v>0</v>
      </c>
      <c r="Z48" s="173">
        <f>IF(AA48="",VLOOKUP(P48,CLIENTS!$A$1:$O$649,5,FALSE),AA48)</f>
        <v>8.0000000000000002E-3</v>
      </c>
      <c r="AA48" s="174">
        <v>8.0000000000000002E-3</v>
      </c>
      <c r="AB48" s="173" t="str">
        <f>IF(W48="via USD",IF(K48="EUR",K48&amp;"USD","USD"&amp;K48),IFERROR(VLOOKUP(K48&amp;S48,'FX RATES'!$H$2:$H$20,1,FALSE),S48&amp;K48))</f>
        <v>USDUSD</v>
      </c>
      <c r="AC48" s="175">
        <f>IF(LEFT(AB48,3)=RIGHT(AB48,3),0,IFERROR(INDEX(CLIENTS!$A$1:$O$649,MATCH(H48,CLIENTS!$A$1:$A$649,0),MATCH(AB48,CLIENTS!$A$1:$O$1,0)),0))</f>
        <v>0</v>
      </c>
      <c r="AD48" s="176"/>
      <c r="AE48" s="177">
        <f t="shared" si="26"/>
        <v>1</v>
      </c>
      <c r="AF48" s="177" t="str">
        <f t="shared" si="27"/>
        <v>46036USDUSD</v>
      </c>
      <c r="AG48" s="176"/>
      <c r="AH48" s="178">
        <f>IF(LEFT(AB48,3)=RIGHT(AB48,3),1,VLOOKUP(AB48,'FX RATES'!$H$1:$I$20,2,FALSE))</f>
        <v>1</v>
      </c>
      <c r="AI48" s="178">
        <f t="shared" si="28"/>
        <v>1</v>
      </c>
      <c r="AJ48" s="173" t="str">
        <f>IF(W48="via USD",IF(S48="EUR",S48&amp;"USD","USD"&amp;S48),IFERROR(VLOOKUP(K48&amp;S48,'FX RATES'!$H$2:$H$20,1,FALSE),S48&amp;K48))</f>
        <v>USDRUB</v>
      </c>
      <c r="AK48" s="175">
        <f>IF(LEFT(AJ48,3)=RIGHT(AJ48,3),0,IFERROR(INDEX(CLIENTS!$A$1:$O$649,MATCH(P48,CLIENTS!$A$1:$A$649,0),MATCH(AJ48,CLIENTS!$A$1:$O$1,0)),0))</f>
        <v>0</v>
      </c>
      <c r="AL48" s="176">
        <v>78.852699999999999</v>
      </c>
      <c r="AM48" s="177">
        <f t="shared" si="29"/>
        <v>78.852699999999999</v>
      </c>
      <c r="AN48" s="177" t="str">
        <f t="shared" si="30"/>
        <v>46036USDRUB</v>
      </c>
      <c r="AO48" s="176">
        <v>78.5</v>
      </c>
      <c r="AP48" s="178">
        <f ca="1">IF(LEFT(AJ48,3)=RIGHT(AJ48,3),1,VLOOKUP(AJ48,'FX RATES'!$H$1:$I$50,2,FALSE))</f>
        <v>76.720500000000001</v>
      </c>
      <c r="AQ48" s="178">
        <f>IF(OR(AJ48="USDAED",LEFT(AJ48,3)=RIGHT(AJ48,3),AJ48="USDUSDT",AJ48="USDTUSD"),AP48,IF(LEFT(AJ48)="USD",AO48,IF(RIGHT(AJ48,3)="USD",1,IFERROR(VLOOKUP(E48&amp;"USD"&amp;RIGHT(AJ48,3),$AN:$AO,2,FALSE),VLOOKUP(E48&amp;"USD"&amp;RIGHT(AB48,3),$AF:$AG,2,FALSE)))))</f>
        <v>78.5</v>
      </c>
      <c r="AR48" s="179">
        <f>-Q48*(1-Z48)/(1+X48)*IF(W48="CLIENT",IF(S48=RIGHT(AJ48,3),1/AM48,AM48),IF(W48="VENDOR",IF(S48=RIGHT(AJ48,3),1/AE48,AE48),AE48^(VLOOKUP(AB48,'FX RATES'!$H$1:$J$26,3,FALSE))/AM48^(VLOOKUP(AJ48,'FX RATES'!$H$1:$J$26,3,FALSE))))</f>
        <v>0</v>
      </c>
      <c r="AS48" s="179">
        <f>-I48*(1+X48)/(1-Z48)*IF(W48="VENDOR",IF(K48=RIGHT(AB48,3),1/AE48,AE48),IF(W48="CLIENT",IF(K48=RIGHT(AB48,3),1/AM48,AM48),AM48^(VLOOKUP(AJ48,'FX RATES'!$H$1:$J$26,3,FALSE))/AE48^(VLOOKUP(AB48,'FX RATES'!$H$1:$J$26,3,FALSE))))</f>
        <v>16295164.818548387</v>
      </c>
      <c r="AT48" s="170">
        <f>IF(AB48&lt;&gt;AJ48,J48/IF(K48=RIGHT(AB48,3),AE48,1/AE48),IF(S48="USD",J48/IF(K48=RIGHT(AB48,3),IF(W48="CLIENT",AM48,AE48),1/IF(W48="CLIENT",AM48,AE48)),J48*VLOOKUP(K48,'FX RATES'!$E$1:$F$10,2,FALSE)))</f>
        <v>-205000</v>
      </c>
      <c r="AU48" s="170">
        <f>IF(AB48&lt;&gt;AJ48,R48/IF(S48=RIGHT(AJ48,3),AM48,1/AM48),IF(K48="USD",R48/IF(S48=RIGHT(AJ48,3),IF(W48="CLIENT",AM48,AE48),1/IF(W48="CLIENT",AM48,AE48)),R48*VLOOKUP(S48,'FX RATES'!$E$1:$F$10,2,FALSE)))</f>
        <v>206653.22580645161</v>
      </c>
      <c r="AV48" s="170">
        <f t="shared" si="32"/>
        <v>1653.2258064516063</v>
      </c>
      <c r="AW48" s="169"/>
      <c r="AX48" s="170">
        <f t="shared" si="33"/>
        <v>1653.2258064516129</v>
      </c>
      <c r="AY48" s="170">
        <f t="shared" si="34"/>
        <v>-205000</v>
      </c>
      <c r="AZ48" s="170" t="str">
        <f t="shared" si="35"/>
        <v>USD</v>
      </c>
      <c r="BA48" s="542">
        <f>IF(OR(A48="REFUND",A48="CANCELLED"),0,IFERROR((IF(OR(AB48="USDAED",LEFT(AB48,3)=RIGHT(AB48,3)),AI48,AG48)-AE48)*-AY48*VLOOKUP(AB48,'FX RATES'!$H$1:$J$26,3,FALSE),0))</f>
        <v>0</v>
      </c>
      <c r="BB48" s="170" t="str">
        <f t="shared" si="36"/>
        <v>USD</v>
      </c>
      <c r="BC48" s="542">
        <f t="shared" si="37"/>
        <v>0</v>
      </c>
      <c r="BD48" s="170">
        <f t="shared" si="38"/>
        <v>0</v>
      </c>
      <c r="BE48" s="542">
        <f t="shared" si="39"/>
        <v>0</v>
      </c>
      <c r="BF48" s="170">
        <f t="shared" si="40"/>
        <v>206653.22580645161</v>
      </c>
      <c r="BG48" s="170" t="str">
        <f t="shared" si="41"/>
        <v>USD</v>
      </c>
      <c r="BH48" s="542">
        <f>IF(OR(A48="REFUND",A48="CANCELLED"),0,IFERROR((IF(OR(AJ48="USDAED",LEFT(AJ48,3)=RIGHT(AJ48,3),AJ48="USDUSDT",AJ48="USDTUSD"),AQ48,AO48)-AM48)*-BF48*VLOOKUP(AJ48,'FX RATES'!$H$1:$J$26,3,FALSE),0))</f>
        <v>72886.592741935208</v>
      </c>
      <c r="BI48" s="170" t="str">
        <f t="shared" si="42"/>
        <v>RUB</v>
      </c>
      <c r="BJ48" s="542">
        <f t="shared" si="43"/>
        <v>928.49162728579881</v>
      </c>
      <c r="BK48" s="170">
        <f t="shared" si="44"/>
        <v>0</v>
      </c>
      <c r="BL48" s="542">
        <f t="shared" si="45"/>
        <v>928.49162728579881</v>
      </c>
      <c r="BM48" s="170">
        <f t="shared" si="46"/>
        <v>0</v>
      </c>
      <c r="BN48" s="542">
        <f t="shared" si="47"/>
        <v>928.49162728579881</v>
      </c>
    </row>
    <row r="49" spans="1:66" ht="19.5" customHeight="1">
      <c r="A49" s="167" t="s">
        <v>366</v>
      </c>
      <c r="B49" s="181" t="s">
        <v>39</v>
      </c>
      <c r="C49" s="181" t="s">
        <v>367</v>
      </c>
      <c r="D49" s="181" t="s">
        <v>418</v>
      </c>
      <c r="E49" s="171">
        <v>46036</v>
      </c>
      <c r="F49" s="171"/>
      <c r="G49" s="181" t="s">
        <v>39</v>
      </c>
      <c r="H49" s="181" t="s">
        <v>428</v>
      </c>
      <c r="I49" s="169"/>
      <c r="J49" s="170">
        <f t="shared" si="24"/>
        <v>-239027.95972744116</v>
      </c>
      <c r="K49" s="168" t="s">
        <v>5</v>
      </c>
      <c r="L49" s="168" t="s">
        <v>378</v>
      </c>
      <c r="M49" s="168" t="s">
        <v>20</v>
      </c>
      <c r="N49" s="167" t="s">
        <v>371</v>
      </c>
      <c r="O49" s="168" t="s">
        <v>39</v>
      </c>
      <c r="P49" s="168" t="s">
        <v>430</v>
      </c>
      <c r="Q49" s="169">
        <v>19000000</v>
      </c>
      <c r="R49" s="170">
        <f t="shared" si="25"/>
        <v>19000000</v>
      </c>
      <c r="S49" s="168" t="s">
        <v>9</v>
      </c>
      <c r="T49" s="168" t="s">
        <v>391</v>
      </c>
      <c r="U49" s="168" t="s">
        <v>25</v>
      </c>
      <c r="V49" s="167" t="s">
        <v>371</v>
      </c>
      <c r="W49" s="172" t="s">
        <v>375</v>
      </c>
      <c r="X49" s="173">
        <f>IF(Y49="",VLOOKUP(H49,CLIENTS!$A$1:$O$649,5,FALSE),Y49)</f>
        <v>0</v>
      </c>
      <c r="Y49" s="174">
        <v>0</v>
      </c>
      <c r="Z49" s="173">
        <f>IF(AA49="",VLOOKUP(P49,CLIENTS!$A$1:$O$649,5,FALSE),AA49)</f>
        <v>8.0000000000000002E-3</v>
      </c>
      <c r="AA49" s="174">
        <v>8.0000000000000002E-3</v>
      </c>
      <c r="AB49" s="173" t="str">
        <f>IF(W49="via USD",IF(K49="EUR",K49&amp;"USD","USD"&amp;K49),IFERROR(VLOOKUP(K49&amp;S49,'FX RATES'!$H$2:$H$20,1,FALSE),S49&amp;K49))</f>
        <v>USDUSD</v>
      </c>
      <c r="AC49" s="175">
        <f>IF(LEFT(AB49,3)=RIGHT(AB49,3),0,IFERROR(INDEX(CLIENTS!$A$1:$O$649,MATCH(H49,CLIENTS!$A$1:$A$649,0),MATCH(AB49,CLIENTS!$A$1:$O$1,0)),0))</f>
        <v>0</v>
      </c>
      <c r="AD49" s="176"/>
      <c r="AE49" s="177">
        <f t="shared" si="26"/>
        <v>1</v>
      </c>
      <c r="AF49" s="177" t="str">
        <f t="shared" si="27"/>
        <v>46036USDUSD</v>
      </c>
      <c r="AG49" s="176"/>
      <c r="AH49" s="178">
        <f>IF(LEFT(AB49,3)=RIGHT(AB49,3),1,VLOOKUP(AB49,'FX RATES'!$H$1:$I$20,2,FALSE))</f>
        <v>1</v>
      </c>
      <c r="AI49" s="178">
        <f t="shared" si="28"/>
        <v>1</v>
      </c>
      <c r="AJ49" s="173" t="str">
        <f>IF(W49="via USD",IF(S49="EUR",S49&amp;"USD","USD"&amp;S49),IFERROR(VLOOKUP(K49&amp;S49,'FX RATES'!$H$2:$H$20,1,FALSE),S49&amp;K49))</f>
        <v>USDRUB</v>
      </c>
      <c r="AK49" s="175">
        <f>IF(LEFT(AJ49,3)=RIGHT(AJ49,3),0,IFERROR(INDEX(CLIENTS!$A$1:$O$649,MATCH(P49,CLIENTS!$A$1:$A$649,0),MATCH(AJ49,CLIENTS!$A$1:$O$1,0)),0))</f>
        <v>0</v>
      </c>
      <c r="AL49" s="176">
        <v>78.852699999999999</v>
      </c>
      <c r="AM49" s="177">
        <f t="shared" si="29"/>
        <v>78.852699999999999</v>
      </c>
      <c r="AN49" s="177" t="str">
        <f t="shared" si="30"/>
        <v>46036USDRUB</v>
      </c>
      <c r="AO49" s="176">
        <v>78.5</v>
      </c>
      <c r="AP49" s="178">
        <f ca="1">IF(LEFT(AJ49,3)=RIGHT(AJ49,3),1,VLOOKUP(AJ49,'FX RATES'!$H$1:$I$50,2,FALSE))</f>
        <v>76.720500000000001</v>
      </c>
      <c r="AQ49" s="178">
        <f>IF(OR(AJ49="USDAED",LEFT(AJ49,3)=RIGHT(AJ49,3),AJ49="USDUSDT",AJ49="USDTUSD"),AP49,IF(LEFT(AJ49)="USD",AO49,IF(RIGHT(AJ49,3)="USD",1,IFERROR(VLOOKUP(E49&amp;"USD"&amp;RIGHT(AJ49,3),$AN:$AO,2,FALSE),VLOOKUP(E49&amp;"USD"&amp;RIGHT(AB49,3),$AF:$AG,2,FALSE)))))</f>
        <v>78.5</v>
      </c>
      <c r="AR49" s="179">
        <f>-Q49*(1-Z49)/(1+X49)*IF(W49="CLIENT",IF(S49=RIGHT(AJ49,3),1/AM49,AM49),IF(W49="VENDOR",IF(S49=RIGHT(AJ49,3),1/AE49,AE49),AE49^(VLOOKUP(AB49,'FX RATES'!$H$1:$J$26,3,FALSE))/AM49^(VLOOKUP(AJ49,'FX RATES'!$H$1:$J$26,3,FALSE))))</f>
        <v>-239027.95972744116</v>
      </c>
      <c r="AS49" s="179">
        <f>-I49*(1+X49)/(1-Z49)*IF(W49="VENDOR",IF(K49=RIGHT(AB49,3),1/AE49,AE49),IF(W49="CLIENT",IF(K49=RIGHT(AB49,3),1/AM49,AM49),AM49^(VLOOKUP(AJ49,'FX RATES'!$H$1:$J$26,3,FALSE))/AE49^(VLOOKUP(AB49,'FX RATES'!$H$1:$J$26,3,FALSE))))</f>
        <v>0</v>
      </c>
      <c r="AT49" s="170">
        <f>IF(AB49&lt;&gt;AJ49,J49/IF(K49=RIGHT(AB49,3),AE49,1/AE49),IF(S49="USD",J49/IF(K49=RIGHT(AB49,3),IF(W49="CLIENT",AM49,AE49),1/IF(W49="CLIENT",AM49,AE49)),J49*VLOOKUP(K49,'FX RATES'!$E$1:$F$10,2,FALSE)))</f>
        <v>-239027.95972744116</v>
      </c>
      <c r="AU49" s="170">
        <f>IF(AB49&lt;&gt;AJ49,R49/IF(S49=RIGHT(AJ49,3),AM49,1/AM49),IF(K49="USD",R49/IF(S49=RIGHT(AJ49,3),IF(W49="CLIENT",AM49,AE49),1/IF(W49="CLIENT",AM49,AE49)),R49*VLOOKUP(S49,'FX RATES'!$E$1:$F$10,2,FALSE)))</f>
        <v>240955.6045639528</v>
      </c>
      <c r="AV49" s="170">
        <f t="shared" si="32"/>
        <v>1927.6448365116375</v>
      </c>
      <c r="AW49" s="169"/>
      <c r="AX49" s="170">
        <f t="shared" si="33"/>
        <v>1927.6448365116225</v>
      </c>
      <c r="AY49" s="170">
        <f t="shared" si="34"/>
        <v>-239027.95972744116</v>
      </c>
      <c r="AZ49" s="170" t="str">
        <f t="shared" si="35"/>
        <v>USD</v>
      </c>
      <c r="BA49" s="542">
        <f>IF(OR(A49="REFUND",A49="CANCELLED"),0,IFERROR((IF(OR(AB49="USDAED",LEFT(AB49,3)=RIGHT(AB49,3)),AI49,AG49)-AE49)*-AY49*VLOOKUP(AB49,'FX RATES'!$H$1:$J$26,3,FALSE),0))</f>
        <v>0</v>
      </c>
      <c r="BB49" s="170" t="str">
        <f t="shared" si="36"/>
        <v>USD</v>
      </c>
      <c r="BC49" s="542">
        <f t="shared" si="37"/>
        <v>0</v>
      </c>
      <c r="BD49" s="170">
        <f t="shared" si="38"/>
        <v>0</v>
      </c>
      <c r="BE49" s="542">
        <f t="shared" si="39"/>
        <v>0</v>
      </c>
      <c r="BF49" s="170">
        <f t="shared" si="40"/>
        <v>240955.6045639528</v>
      </c>
      <c r="BG49" s="170" t="str">
        <f t="shared" si="41"/>
        <v>USD</v>
      </c>
      <c r="BH49" s="542">
        <f>IF(OR(A49="REFUND",A49="CANCELLED"),0,IFERROR((IF(OR(AJ49="USDAED",LEFT(AJ49,3)=RIGHT(AJ49,3),AJ49="USDUSDT",AJ49="USDTUSD"),AQ49,AO49)-AM49)*-BF49*VLOOKUP(AJ49,'FX RATES'!$H$1:$J$26,3,FALSE),0))</f>
        <v>84985.04172970583</v>
      </c>
      <c r="BI49" s="170" t="str">
        <f t="shared" si="42"/>
        <v>RUB</v>
      </c>
      <c r="BJ49" s="542">
        <f t="shared" si="43"/>
        <v>1082.6119965567623</v>
      </c>
      <c r="BK49" s="170">
        <f t="shared" si="44"/>
        <v>0</v>
      </c>
      <c r="BL49" s="542">
        <f t="shared" si="45"/>
        <v>1082.6119965567623</v>
      </c>
      <c r="BM49" s="170">
        <f t="shared" si="46"/>
        <v>0</v>
      </c>
      <c r="BN49" s="542">
        <f t="shared" si="47"/>
        <v>1082.6119965567623</v>
      </c>
    </row>
    <row r="50" spans="1:66" ht="19.5" customHeight="1">
      <c r="A50" s="167" t="s">
        <v>366</v>
      </c>
      <c r="B50" s="168" t="s">
        <v>39</v>
      </c>
      <c r="C50" s="168" t="s">
        <v>367</v>
      </c>
      <c r="D50" s="168" t="s">
        <v>368</v>
      </c>
      <c r="E50" s="171">
        <v>46036</v>
      </c>
      <c r="F50" s="171"/>
      <c r="G50" s="168" t="s">
        <v>39</v>
      </c>
      <c r="H50" s="168" t="s">
        <v>431</v>
      </c>
      <c r="I50" s="169">
        <v>-182856</v>
      </c>
      <c r="J50" s="170">
        <f t="shared" si="24"/>
        <v>-182856</v>
      </c>
      <c r="K50" s="168" t="s">
        <v>8</v>
      </c>
      <c r="L50" s="171" t="s">
        <v>432</v>
      </c>
      <c r="M50" s="168" t="s">
        <v>20</v>
      </c>
      <c r="N50" s="167" t="s">
        <v>371</v>
      </c>
      <c r="O50" s="168" t="s">
        <v>39</v>
      </c>
      <c r="P50" s="168" t="s">
        <v>433</v>
      </c>
      <c r="Q50" s="169"/>
      <c r="R50" s="170">
        <f t="shared" si="25"/>
        <v>3956493.6328687738</v>
      </c>
      <c r="S50" s="168" t="s">
        <v>9</v>
      </c>
      <c r="T50" s="171" t="s">
        <v>25</v>
      </c>
      <c r="U50" s="168" t="s">
        <v>25</v>
      </c>
      <c r="V50" s="167" t="s">
        <v>371</v>
      </c>
      <c r="W50" s="172" t="s">
        <v>375</v>
      </c>
      <c r="X50" s="173">
        <f>IF(Y50="",VLOOKUP(H50,CLIENTS!$A$1:$O$649,5,FALSE),Y50)</f>
        <v>0</v>
      </c>
      <c r="Y50" s="174">
        <v>0</v>
      </c>
      <c r="Z50" s="173">
        <f>IF(AA50="",VLOOKUP(P50,CLIENTS!$A$1:$O$649,5,FALSE),AA50)</f>
        <v>7.0000000000000001E-3</v>
      </c>
      <c r="AA50" s="174">
        <v>7.0000000000000001E-3</v>
      </c>
      <c r="AB50" s="173" t="str">
        <f>IF(W50="via USD",IF(K50="EUR",K50&amp;"USD","USD"&amp;K50),IFERROR(VLOOKUP(K50&amp;S50,'FX RATES'!$H$2:$H$20,1,FALSE),S50&amp;K50))</f>
        <v>USDAED</v>
      </c>
      <c r="AC50" s="175">
        <f>IF(LEFT(AB50,3)=RIGHT(AB50,3),0,IFERROR(INDEX(CLIENTS!$A$1:$O$649,MATCH(H50,CLIENTS!$A$1:$A$649,0),MATCH(AB50,CLIENTS!$A$1:$O$1,0)),0))+0.001</f>
        <v>0</v>
      </c>
      <c r="AD50" s="176">
        <v>3.67</v>
      </c>
      <c r="AE50" s="177">
        <f t="shared" si="26"/>
        <v>3.67</v>
      </c>
      <c r="AF50" s="177" t="str">
        <f t="shared" si="27"/>
        <v>46036USDAED</v>
      </c>
      <c r="AG50" s="176"/>
      <c r="AH50" s="178">
        <f>IF(LEFT(AB50,3)=RIGHT(AB50,3),1,VLOOKUP(AB50,'FX RATES'!$H$1:$I$20,2,FALSE))</f>
        <v>3.6724999999999999</v>
      </c>
      <c r="AI50" s="178">
        <f t="shared" si="28"/>
        <v>3.6724999999999999</v>
      </c>
      <c r="AJ50" s="173" t="str">
        <f>IF(W50="via USD",IF(S50="EUR",S50&amp;"USD","USD"&amp;S50),IFERROR(VLOOKUP(K50&amp;S50,'FX RATES'!$H$2:$H$20,1,FALSE),S50&amp;K50))</f>
        <v>USDRUB</v>
      </c>
      <c r="AK50" s="175">
        <f>IF(LEFT(AJ50,3)=RIGHT(AJ50,3),0,IFERROR(INDEX(CLIENTS!$A$1:$O$649,MATCH(P50,CLIENTS!$A$1:$A$649,0),MATCH(AJ50,CLIENTS!$A$1:$O$1,0)),0))</f>
        <v>0</v>
      </c>
      <c r="AL50" s="176">
        <v>78.852699999999999</v>
      </c>
      <c r="AM50" s="177">
        <f t="shared" si="29"/>
        <v>78.852699999999999</v>
      </c>
      <c r="AN50" s="177" t="str">
        <f t="shared" si="30"/>
        <v>46036USDRUB</v>
      </c>
      <c r="AO50" s="176">
        <v>78.5</v>
      </c>
      <c r="AP50" s="178">
        <f ca="1">IF(LEFT(AJ50,3)=RIGHT(AJ50,3),1,VLOOKUP(AJ50,'FX RATES'!$H$1:$I$20,2,FALSE))</f>
        <v>76.720500000000001</v>
      </c>
      <c r="AQ50" s="178">
        <f>IF(OR(AJ50="USDAED",LEFT(AJ50,3)=RIGHT(AJ50,3)),AP50,IF(LEFT(AJ50)="USD",AO50,IF(RIGHT(AJ50,3)="USD",1,IFERROR(VLOOKUP(E50&amp;"USD"&amp;RIGHT(AJ50,3),$AN:$AO,2,FALSE),VLOOKUP(E50&amp;"USD"&amp;RIGHT(AB50,3),$AF:$AG,2,FALSE)))))</f>
        <v>78.5</v>
      </c>
      <c r="AR50" s="179">
        <f>-Q50*(1-Z50)/(1+X50)*IF(W50="CLIENT",IF(S50=RIGHT(AJ50,3),1/AM50,AM50),IF(W50="VENDOR",IF(S50=RIGHT(AJ50,3),1/AE50,AE50),AE50^(VLOOKUP(AB50,'FX RATES'!$H$1:$J$26,3,FALSE))/AM50^(VLOOKUP(AJ50,'FX RATES'!$H$1:$J$26,3,FALSE))))</f>
        <v>0</v>
      </c>
      <c r="AS50" s="179">
        <f>-I50*(1+X50)/(1-Z50)*IF(W50="VENDOR",IF(K50=RIGHT(AB50,3),1/AE50,AE50),IF(W50="CLIENT",IF(K50=RIGHT(AB50,3),1/AM50,AM50),AM50^(VLOOKUP(AJ50,'FX RATES'!$H$1:$J$26,3,FALSE))/AE50^(VLOOKUP(AB50,'FX RATES'!$H$1:$J$26,3,FALSE))))</f>
        <v>3956493.6328687738</v>
      </c>
      <c r="AT50" s="170">
        <f>IF(AB50&lt;&gt;AJ50,J50/IF(K50=RIGHT(AB50,3),AE50,1/AE50),IF(S50="USD",J50/IF(K50=RIGHT(AB50,3),IF(W50="CLIENT",AM50,AE50),1/IF(W50="CLIENT",AM50,AE50)),J50*VLOOKUP(K50,'FX RATES'!$E$1:$F$10,2,FALSE)))</f>
        <v>-49824.523160762947</v>
      </c>
      <c r="AU50" s="170">
        <f>IF(AB50&lt;&gt;AJ50,R50/IF(S50=RIGHT(AJ50,3),AM50,1/AM50),IF(K50="USD",R50/IF(S50=RIGHT(AJ50,3),IF(W50="CLIENT",AM50,AE50),1/IF(W50="CLIENT",AM50,AE50)),R50*VLOOKUP(S50,'FX RATES'!$E$1:$F$10,2,FALSE)))</f>
        <v>50175.753434806596</v>
      </c>
      <c r="AV50" s="170">
        <f t="shared" si="32"/>
        <v>351.23027404364984</v>
      </c>
      <c r="AW50" s="169"/>
      <c r="AX50" s="170">
        <f t="shared" si="33"/>
        <v>351.2302740436462</v>
      </c>
      <c r="AY50" s="170">
        <f t="shared" si="34"/>
        <v>-49824.523160762947</v>
      </c>
      <c r="AZ50" s="170" t="str">
        <f t="shared" si="35"/>
        <v>USD</v>
      </c>
      <c r="BA50" s="542">
        <f>IF(OR(A50="REFUND",A50="CANCELLED"),0,IFERROR((IF(OR(AB50="USDAED",LEFT(AB50,3)=RIGHT(AB50,3)),AI50,AG50)-AE50)*-AY50*VLOOKUP(AB50,'FX RATES'!$H$1:$J$26,3,FALSE),0))</f>
        <v>124.56130790190471</v>
      </c>
      <c r="BB50" s="170" t="str">
        <f t="shared" si="36"/>
        <v>AED</v>
      </c>
      <c r="BC50" s="542">
        <f t="shared" si="37"/>
        <v>33.917306440273578</v>
      </c>
      <c r="BD50" s="170">
        <f t="shared" si="38"/>
        <v>0</v>
      </c>
      <c r="BE50" s="542">
        <f t="shared" si="39"/>
        <v>33.917306440273578</v>
      </c>
      <c r="BF50" s="170">
        <f t="shared" si="40"/>
        <v>50175.753434806596</v>
      </c>
      <c r="BG50" s="170" t="str">
        <f t="shared" si="41"/>
        <v>USD</v>
      </c>
      <c r="BH50" s="542">
        <f>IF(OR(A50="REFUND",A50="CANCELLED"),0,IFERROR((IF(OR(AJ50="USDAED",LEFT(AJ50,3)=RIGHT(AJ50,3)),AQ50,AO50)-AM50)*-BF50*VLOOKUP(AJ50,'FX RATES'!$H$1:$J$26,3,FALSE),0))</f>
        <v>17696.988236456222</v>
      </c>
      <c r="BI50" s="170" t="str">
        <f t="shared" si="42"/>
        <v>RUB</v>
      </c>
      <c r="BJ50" s="542">
        <f t="shared" si="43"/>
        <v>225.43934059179901</v>
      </c>
      <c r="BK50" s="170">
        <f t="shared" si="44"/>
        <v>0</v>
      </c>
      <c r="BL50" s="542">
        <f t="shared" si="45"/>
        <v>225.43934059179901</v>
      </c>
      <c r="BM50" s="170">
        <f t="shared" si="46"/>
        <v>0</v>
      </c>
      <c r="BN50" s="542">
        <f t="shared" si="47"/>
        <v>259.3566470320726</v>
      </c>
    </row>
    <row r="51" spans="1:66" ht="19.5" customHeight="1">
      <c r="A51" s="167" t="s">
        <v>366</v>
      </c>
      <c r="B51" s="168" t="s">
        <v>39</v>
      </c>
      <c r="C51" s="168" t="s">
        <v>367</v>
      </c>
      <c r="D51" s="168" t="s">
        <v>368</v>
      </c>
      <c r="E51" s="171">
        <v>46036</v>
      </c>
      <c r="F51" s="171"/>
      <c r="G51" s="168" t="s">
        <v>39</v>
      </c>
      <c r="H51" s="168" t="s">
        <v>431</v>
      </c>
      <c r="I51" s="169">
        <v>-552840</v>
      </c>
      <c r="J51" s="170">
        <f t="shared" si="24"/>
        <v>-552840</v>
      </c>
      <c r="K51" s="168" t="s">
        <v>8</v>
      </c>
      <c r="L51" s="171" t="s">
        <v>432</v>
      </c>
      <c r="M51" s="168" t="s">
        <v>20</v>
      </c>
      <c r="N51" s="167" t="s">
        <v>371</v>
      </c>
      <c r="O51" s="168" t="s">
        <v>39</v>
      </c>
      <c r="P51" s="168" t="s">
        <v>433</v>
      </c>
      <c r="Q51" s="169"/>
      <c r="R51" s="170">
        <f t="shared" si="25"/>
        <v>11961915.058817718</v>
      </c>
      <c r="S51" s="168" t="s">
        <v>9</v>
      </c>
      <c r="T51" s="171" t="s">
        <v>25</v>
      </c>
      <c r="U51" s="168" t="s">
        <v>25</v>
      </c>
      <c r="V51" s="167" t="s">
        <v>371</v>
      </c>
      <c r="W51" s="172" t="s">
        <v>375</v>
      </c>
      <c r="X51" s="173">
        <f>IF(Y51="",VLOOKUP(H51,CLIENTS!$A$1:$O$649,5,FALSE),Y51)</f>
        <v>0</v>
      </c>
      <c r="Y51" s="174">
        <v>0</v>
      </c>
      <c r="Z51" s="173">
        <f>IF(AA51="",VLOOKUP(P51,CLIENTS!$A$1:$O$649,5,FALSE),AA51)</f>
        <v>7.0000000000000001E-3</v>
      </c>
      <c r="AA51" s="174">
        <v>7.0000000000000001E-3</v>
      </c>
      <c r="AB51" s="173" t="str">
        <f>IF(W51="via USD",IF(K51="EUR",K51&amp;"USD","USD"&amp;K51),IFERROR(VLOOKUP(K51&amp;S51,'FX RATES'!$H$2:$H$20,1,FALSE),S51&amp;K51))</f>
        <v>USDAED</v>
      </c>
      <c r="AC51" s="175">
        <f>IF(LEFT(AB51,3)=RIGHT(AB51,3),0,IFERROR(INDEX(CLIENTS!$A$1:$O$649,MATCH(H51,CLIENTS!$A$1:$A$649,0),MATCH(AB51,CLIENTS!$A$1:$O$1,0)),0))+0.001</f>
        <v>0</v>
      </c>
      <c r="AD51" s="176">
        <v>3.67</v>
      </c>
      <c r="AE51" s="177">
        <f t="shared" si="26"/>
        <v>3.67</v>
      </c>
      <c r="AF51" s="177" t="str">
        <f t="shared" si="27"/>
        <v>46036USDAED</v>
      </c>
      <c r="AG51" s="176"/>
      <c r="AH51" s="178">
        <f>IF(LEFT(AB51,3)=RIGHT(AB51,3),1,VLOOKUP(AB51,'FX RATES'!$H$1:$I$20,2,FALSE))</f>
        <v>3.6724999999999999</v>
      </c>
      <c r="AI51" s="178">
        <f t="shared" si="28"/>
        <v>3.6724999999999999</v>
      </c>
      <c r="AJ51" s="173" t="str">
        <f>IF(W51="via USD",IF(S51="EUR",S51&amp;"USD","USD"&amp;S51),IFERROR(VLOOKUP(K51&amp;S51,'FX RATES'!$H$2:$H$20,1,FALSE),S51&amp;K51))</f>
        <v>USDRUB</v>
      </c>
      <c r="AK51" s="175">
        <f>IF(LEFT(AJ51,3)=RIGHT(AJ51,3),0,IFERROR(INDEX(CLIENTS!$A$1:$O$649,MATCH(P51,CLIENTS!$A$1:$A$649,0),MATCH(AJ51,CLIENTS!$A$1:$O$1,0)),0))</f>
        <v>0</v>
      </c>
      <c r="AL51" s="176">
        <v>78.852699999999999</v>
      </c>
      <c r="AM51" s="177">
        <f t="shared" si="29"/>
        <v>78.852699999999999</v>
      </c>
      <c r="AN51" s="177" t="str">
        <f t="shared" si="30"/>
        <v>46036USDRUB</v>
      </c>
      <c r="AO51" s="176">
        <v>78.5</v>
      </c>
      <c r="AP51" s="178">
        <f ca="1">IF(LEFT(AJ51,3)=RIGHT(AJ51,3),1,VLOOKUP(AJ51,'FX RATES'!$H$1:$I$20,2,FALSE))</f>
        <v>76.720500000000001</v>
      </c>
      <c r="AQ51" s="178">
        <f>IF(OR(AJ51="USDAED",LEFT(AJ51,3)=RIGHT(AJ51,3)),AP51,IF(LEFT(AJ51)="USD",AO51,IF(RIGHT(AJ51,3)="USD",1,IFERROR(VLOOKUP(E51&amp;"USD"&amp;RIGHT(AJ51,3),$AN:$AO,2,FALSE),VLOOKUP(E51&amp;"USD"&amp;RIGHT(AB51,3),$AF:$AG,2,FALSE)))))</f>
        <v>78.5</v>
      </c>
      <c r="AR51" s="179">
        <f>-Q51*(1-Z51)/(1+X51)*IF(W51="CLIENT",IF(S51=RIGHT(AJ51,3),1/AM51,AM51),IF(W51="VENDOR",IF(S51=RIGHT(AJ51,3),1/AE51,AE51),AE51^(VLOOKUP(AB51,'FX RATES'!$H$1:$J$26,3,FALSE))/AM51^(VLOOKUP(AJ51,'FX RATES'!$H$1:$J$26,3,FALSE))))</f>
        <v>0</v>
      </c>
      <c r="AS51" s="179">
        <f>-I51*(1+X51)/(1-Z51)*IF(W51="VENDOR",IF(K51=RIGHT(AB51,3),1/AE51,AE51),IF(W51="CLIENT",IF(K51=RIGHT(AB51,3),1/AM51,AM51),AM51^(VLOOKUP(AJ51,'FX RATES'!$H$1:$J$26,3,FALSE))/AE51^(VLOOKUP(AB51,'FX RATES'!$H$1:$J$26,3,FALSE))))</f>
        <v>11961915.058817718</v>
      </c>
      <c r="AT51" s="170">
        <f>IF(AB51&lt;&gt;AJ51,J51/IF(K51=RIGHT(AB51,3),AE51,1/AE51),IF(S51="USD",J51/IF(K51=RIGHT(AB51,3),IF(W51="CLIENT",AM51,AE51),1/IF(W51="CLIENT",AM51,AE51)),J51*VLOOKUP(K51,'FX RATES'!$E$1:$F$10,2,FALSE)))</f>
        <v>-150637.60217983651</v>
      </c>
      <c r="AU51" s="170">
        <f>IF(AB51&lt;&gt;AJ51,R51/IF(S51=RIGHT(AJ51,3),AM51,1/AM51),IF(K51="USD",R51/IF(S51=RIGHT(AJ51,3),IF(W51="CLIENT",AM51,AE51),1/IF(W51="CLIENT",AM51,AE51)),R51*VLOOKUP(S51,'FX RATES'!$E$1:$F$10,2,FALSE)))</f>
        <v>151699.49867053021</v>
      </c>
      <c r="AV51" s="170">
        <f t="shared" si="32"/>
        <v>1061.8964906937035</v>
      </c>
      <c r="AW51" s="169"/>
      <c r="AX51" s="170">
        <f t="shared" si="33"/>
        <v>1061.8964906937115</v>
      </c>
      <c r="AY51" s="170">
        <f t="shared" si="34"/>
        <v>-150637.60217983651</v>
      </c>
      <c r="AZ51" s="170" t="str">
        <f t="shared" si="35"/>
        <v>USD</v>
      </c>
      <c r="BA51" s="542">
        <f>IF(OR(A51="REFUND",A51="CANCELLED"),0,IFERROR((IF(OR(AB51="USDAED",LEFT(AB51,3)=RIGHT(AB51,3)),AI51,AG51)-AE51)*-AY51*VLOOKUP(AB51,'FX RATES'!$H$1:$J$26,3,FALSE),0))</f>
        <v>376.59400544958322</v>
      </c>
      <c r="BB51" s="170" t="str">
        <f t="shared" si="36"/>
        <v>AED</v>
      </c>
      <c r="BC51" s="542">
        <f t="shared" si="37"/>
        <v>102.54431734501927</v>
      </c>
      <c r="BD51" s="170">
        <f t="shared" si="38"/>
        <v>0</v>
      </c>
      <c r="BE51" s="542">
        <f t="shared" si="39"/>
        <v>102.54431734501927</v>
      </c>
      <c r="BF51" s="170">
        <f t="shared" si="40"/>
        <v>151699.49867053021</v>
      </c>
      <c r="BG51" s="170" t="str">
        <f t="shared" si="41"/>
        <v>USD</v>
      </c>
      <c r="BH51" s="542">
        <f>IF(OR(A51="REFUND",A51="CANCELLED"),0,IFERROR((IF(OR(AJ51="USDAED",LEFT(AJ51,3)=RIGHT(AJ51,3)),AQ51,AO51)-AM51)*-BF51*VLOOKUP(AJ51,'FX RATES'!$H$1:$J$26,3,FALSE),0))</f>
        <v>53504.413181095806</v>
      </c>
      <c r="BI51" s="170" t="str">
        <f t="shared" si="42"/>
        <v>RUB</v>
      </c>
      <c r="BJ51" s="542">
        <f t="shared" si="43"/>
        <v>681.58488128784461</v>
      </c>
      <c r="BK51" s="170">
        <f t="shared" si="44"/>
        <v>0</v>
      </c>
      <c r="BL51" s="542">
        <f t="shared" si="45"/>
        <v>681.58488128784461</v>
      </c>
      <c r="BM51" s="170">
        <f t="shared" si="46"/>
        <v>0</v>
      </c>
      <c r="BN51" s="542">
        <f t="shared" si="47"/>
        <v>784.1291986328639</v>
      </c>
    </row>
    <row r="52" spans="1:66" ht="19.5" customHeight="1">
      <c r="A52" s="167" t="s">
        <v>366</v>
      </c>
      <c r="B52" s="168" t="s">
        <v>39</v>
      </c>
      <c r="C52" s="168" t="s">
        <v>381</v>
      </c>
      <c r="D52" s="168" t="s">
        <v>128</v>
      </c>
      <c r="E52" s="171">
        <v>46036</v>
      </c>
      <c r="F52" s="171"/>
      <c r="G52" s="168" t="s">
        <v>39</v>
      </c>
      <c r="H52" s="181" t="s">
        <v>39</v>
      </c>
      <c r="I52" s="169">
        <v>-301129.5</v>
      </c>
      <c r="J52" s="170">
        <f t="shared" si="24"/>
        <v>-301129.5</v>
      </c>
      <c r="K52" s="168" t="s">
        <v>9</v>
      </c>
      <c r="L52" s="168" t="s">
        <v>25</v>
      </c>
      <c r="M52" s="168" t="s">
        <v>25</v>
      </c>
      <c r="N52" s="167" t="s">
        <v>371</v>
      </c>
      <c r="O52" s="168" t="s">
        <v>39</v>
      </c>
      <c r="P52" s="168" t="s">
        <v>39</v>
      </c>
      <c r="Q52" s="169"/>
      <c r="R52" s="170">
        <f t="shared" si="25"/>
        <v>301129.5</v>
      </c>
      <c r="S52" s="168" t="s">
        <v>9</v>
      </c>
      <c r="T52" s="168" t="s">
        <v>25</v>
      </c>
      <c r="U52" s="168" t="s">
        <v>25</v>
      </c>
      <c r="V52" s="167" t="s">
        <v>371</v>
      </c>
      <c r="W52" s="172" t="s">
        <v>382</v>
      </c>
      <c r="X52" s="173">
        <f>IF(Y52="",VLOOKUP(H52,CLIENTS!$A$1:$O$649,5,FALSE),Y52)</f>
        <v>0</v>
      </c>
      <c r="Y52" s="174"/>
      <c r="Z52" s="173">
        <f>IF(AA52="",VLOOKUP(P52,CLIENTS!$A$1:$O$649,5,FALSE),AA52)</f>
        <v>0</v>
      </c>
      <c r="AA52" s="174"/>
      <c r="AB52" s="173" t="str">
        <f>IF(W52="via USD",IF(K52="EUR",K52&amp;"USD","USD"&amp;K52),IFERROR(VLOOKUP(K52&amp;S52,'FX RATES'!$H$2:$H$20,1,FALSE),S52&amp;K52))</f>
        <v>RUBRUB</v>
      </c>
      <c r="AC52" s="175">
        <f>IF(LEFT(AB52,3)=RIGHT(AB52,3),0,IFERROR(INDEX(CLIENTS!$A$1:$O$649,MATCH(H52,CLIENTS!$A$1:$A$649,0),MATCH(AB52,CLIENTS!$A$1:$O$1,0)),0))</f>
        <v>0</v>
      </c>
      <c r="AD52" s="176"/>
      <c r="AE52" s="177">
        <f t="shared" si="26"/>
        <v>1</v>
      </c>
      <c r="AF52" s="177" t="str">
        <f t="shared" si="27"/>
        <v>46036RUBRUB</v>
      </c>
      <c r="AG52" s="176"/>
      <c r="AH52" s="178">
        <f>IF(LEFT(AB52,3)=RIGHT(AB52,3),1,VLOOKUP(AB52,'FX RATES'!$H$1:$I$20,2,FALSE))</f>
        <v>1</v>
      </c>
      <c r="AI52" s="178">
        <f t="shared" si="28"/>
        <v>1</v>
      </c>
      <c r="AJ52" s="173" t="str">
        <f>IF(W52="via USD",IF(S52="EUR",S52&amp;"USD","USD"&amp;S52),IFERROR(VLOOKUP(K52&amp;S52,'FX RATES'!$H$2:$H$20,1,FALSE),S52&amp;K52))</f>
        <v>RUBRUB</v>
      </c>
      <c r="AK52" s="175">
        <f>IF(LEFT(AJ52,3)=RIGHT(AJ52,3),0,IFERROR(INDEX(CLIENTS!$A$1:$O$649,MATCH(P52,CLIENTS!$A$1:$A$649,0),MATCH(AJ52,CLIENTS!$A$1:$O$1,0)),0))</f>
        <v>0</v>
      </c>
      <c r="AL52" s="176"/>
      <c r="AM52" s="177" t="str">
        <f t="shared" si="29"/>
        <v/>
      </c>
      <c r="AN52" s="177" t="str">
        <f t="shared" si="30"/>
        <v>46036RUBRUB</v>
      </c>
      <c r="AO52" s="176"/>
      <c r="AP52" s="178">
        <f>IF(LEFT(AJ52,3)=RIGHT(AJ52,3),1,VLOOKUP(AJ52,'FX RATES'!$H$1:$I$20,2,FALSE))</f>
        <v>1</v>
      </c>
      <c r="AQ52" s="178">
        <f>IF(OR(AJ52="USDAED",LEFT(AJ52,3)=RIGHT(AJ52,3)),AP52,IF(LEFT(AJ52)="USD",AO52,IF(RIGHT(AJ52,3)="USD",1,IFERROR(VLOOKUP(E52&amp;"USD"&amp;RIGHT(AJ52,3),$AN:$AO,2,FALSE),VLOOKUP(E52&amp;"USD"&amp;RIGHT(AB52,3),$AF:$AG,2,FALSE)))))</f>
        <v>1</v>
      </c>
      <c r="AR52" s="179">
        <f>-Q52*(1-Z52)/(1+X52)*IF(W52="CLIENT",IF(S52=RIGHT(AJ52,3),1/AM52,AM52),IF(W52="VENDOR",IF(S52=RIGHT(AJ52,3),1/AE52,AE52),AE52^(VLOOKUP(AB52,'FX RATES'!$H$1:$J$26,3,FALSE))/AM52^(VLOOKUP(AJ52,'FX RATES'!$H$1:$J$26,3,FALSE))))</f>
        <v>0</v>
      </c>
      <c r="AS52" s="179">
        <f>-I52*(1+X52)/(1-Z52)*IF(W52="VENDOR",IF(K52=RIGHT(AB52,3),1/AE52,AE52),IF(W52="CLIENT",IF(K52=RIGHT(AB52,3),1/AM52,AM52),AM52^(VLOOKUP(AJ52,'FX RATES'!$H$1:$J$26,3,FALSE))/AE52^(VLOOKUP(AB52,'FX RATES'!$H$1:$J$26,3,FALSE))))</f>
        <v>301129.5</v>
      </c>
      <c r="AT52" s="170">
        <f ca="1">IF(AB52&lt;&gt;AJ52,J52/IF(K52=RIGHT(AB52,3),AE52,1/AE52),IF(S52="USD",J52/IF(K52=RIGHT(AB52,3),IF(W52="CLIENT",AM52,AE52),1/IF(W52="CLIENT",AM52,AE52)),J52*VLOOKUP(K52,'FX RATES'!$E$1:$F$10,2,FALSE)))</f>
        <v>-3925.020040276067</v>
      </c>
      <c r="AU52" s="170">
        <f ca="1">IF(AB52&lt;&gt;AJ52,R52/IF(S52=RIGHT(AJ52,3),AM52,1/AM52),IF(K52="USD",R52/IF(S52=RIGHT(AJ52,3),IF(W52="CLIENT",AM52,AE52),1/IF(W52="CLIENT",AM52,AE52)),R52*VLOOKUP(S52,'FX RATES'!$E$1:$F$10,2,FALSE)))</f>
        <v>3925.020040276067</v>
      </c>
      <c r="AV52" s="170">
        <f t="shared" ca="1" si="32"/>
        <v>0</v>
      </c>
      <c r="AW52" s="169"/>
      <c r="AX52" s="170">
        <f t="shared" ca="1" si="33"/>
        <v>0</v>
      </c>
      <c r="AY52" s="170">
        <f t="shared" si="34"/>
        <v>-301129.5</v>
      </c>
      <c r="AZ52" s="170" t="str">
        <f t="shared" si="35"/>
        <v>RUB</v>
      </c>
      <c r="BA52" s="542">
        <f>IF(OR(A52="REFUND",A52="CANCELLED"),0,IFERROR((IF(OR(AB52="USDAED",LEFT(AB52,3)=RIGHT(AB52,3)),AI52,AG52)-AE52)*-AY52*VLOOKUP(AB52,'FX RATES'!$H$1:$J$26,3,FALSE),0))</f>
        <v>0</v>
      </c>
      <c r="BB52" s="170" t="str">
        <f t="shared" si="36"/>
        <v>RUB</v>
      </c>
      <c r="BC52" s="542">
        <f t="shared" si="37"/>
        <v>0</v>
      </c>
      <c r="BD52" s="170">
        <f t="shared" si="38"/>
        <v>0</v>
      </c>
      <c r="BE52" s="542">
        <f t="shared" si="39"/>
        <v>0</v>
      </c>
      <c r="BF52" s="170">
        <f t="shared" si="40"/>
        <v>301129.5</v>
      </c>
      <c r="BG52" s="170" t="str">
        <f t="shared" si="41"/>
        <v>RUB</v>
      </c>
      <c r="BH52" s="542">
        <f>IF(OR(A52="REFUND",A52="CANCELLED"),0,IFERROR((IF(OR(AJ52="USDAED",LEFT(AJ52,3)=RIGHT(AJ52,3)),AQ52,AO52)-AM52)*-BF52*VLOOKUP(AJ52,'FX RATES'!$H$1:$J$26,3,FALSE),0))</f>
        <v>0</v>
      </c>
      <c r="BI52" s="170" t="str">
        <f t="shared" si="42"/>
        <v>RUB</v>
      </c>
      <c r="BJ52" s="542">
        <f t="shared" si="43"/>
        <v>0</v>
      </c>
      <c r="BK52" s="170">
        <f t="shared" si="44"/>
        <v>0</v>
      </c>
      <c r="BL52" s="542">
        <f t="shared" si="45"/>
        <v>0</v>
      </c>
      <c r="BM52" s="170">
        <f t="shared" si="46"/>
        <v>0</v>
      </c>
      <c r="BN52" s="542">
        <f t="shared" si="47"/>
        <v>0</v>
      </c>
    </row>
    <row r="53" spans="1:66" ht="19.5" customHeight="1">
      <c r="A53" s="167" t="s">
        <v>366</v>
      </c>
      <c r="B53" s="168" t="s">
        <v>39</v>
      </c>
      <c r="C53" s="168" t="s">
        <v>383</v>
      </c>
      <c r="D53" s="168" t="s">
        <v>128</v>
      </c>
      <c r="E53" s="171">
        <v>46036</v>
      </c>
      <c r="F53" s="171"/>
      <c r="G53" s="168" t="s">
        <v>39</v>
      </c>
      <c r="H53" s="168" t="s">
        <v>410</v>
      </c>
      <c r="I53" s="169">
        <f>-(R44+R45+R46+R47+R48+R49+R50+R51+J52)</f>
        <v>-162240000.00015143</v>
      </c>
      <c r="J53" s="170">
        <f t="shared" si="24"/>
        <v>-162240000.00015143</v>
      </c>
      <c r="K53" s="168" t="s">
        <v>9</v>
      </c>
      <c r="L53" s="171" t="s">
        <v>411</v>
      </c>
      <c r="M53" s="168" t="s">
        <v>25</v>
      </c>
      <c r="N53" s="167" t="s">
        <v>371</v>
      </c>
      <c r="O53" s="168" t="s">
        <v>39</v>
      </c>
      <c r="P53" s="349" t="s">
        <v>410</v>
      </c>
      <c r="Q53" s="169"/>
      <c r="R53" s="170">
        <f t="shared" si="25"/>
        <v>7560111.8359809611</v>
      </c>
      <c r="S53" s="168" t="s">
        <v>8</v>
      </c>
      <c r="T53" s="171" t="s">
        <v>385</v>
      </c>
      <c r="U53" s="168" t="s">
        <v>20</v>
      </c>
      <c r="V53" s="167" t="s">
        <v>371</v>
      </c>
      <c r="W53" s="172" t="s">
        <v>382</v>
      </c>
      <c r="X53" s="173">
        <f>IF(Y53="",VLOOKUP(H53,CLIENTS!$A$1:$O$649,5,FALSE),Y53)</f>
        <v>0</v>
      </c>
      <c r="Y53" s="174">
        <v>0</v>
      </c>
      <c r="Z53" s="173">
        <f>IF(AA53="",VLOOKUP(P53,CLIENTS!$A$1:$O$649,5,FALSE),AA53)</f>
        <v>0</v>
      </c>
      <c r="AA53" s="174">
        <v>0</v>
      </c>
      <c r="AB53" s="173" t="str">
        <f>IF(W53="via USD",IF(K53="EUR",K53&amp;"USD","USD"&amp;K53),IFERROR(VLOOKUP(K53&amp;S53,'FX RATES'!$H$2:$H$20,1,FALSE),S53&amp;K53))</f>
        <v>AEDRUB</v>
      </c>
      <c r="AC53" s="175">
        <f>IF(LEFT(AB53,3)=RIGHT(AB53,3),0,IFERROR(INDEX(CLIENTS!$A$1:$O$649,MATCH(H53,CLIENTS!$A$1:$A$649,0),MATCH(AB53,CLIENTS!$A$1:$O$1,0)),0))</f>
        <v>0</v>
      </c>
      <c r="AD53" s="176">
        <v>21.46</v>
      </c>
      <c r="AE53" s="177">
        <f t="shared" si="26"/>
        <v>21.46</v>
      </c>
      <c r="AF53" s="177" t="str">
        <f t="shared" si="27"/>
        <v>46036AEDRUB</v>
      </c>
      <c r="AG53" s="176">
        <v>21.375</v>
      </c>
      <c r="AH53" s="178">
        <f ca="1">IF(LEFT(AB53,3)=RIGHT(AB53,3),1,VLOOKUP(AB53,'FX RATES'!$H$1:$I$20,2,FALSE))</f>
        <v>20.8843</v>
      </c>
      <c r="AI53" s="178">
        <f t="shared" si="28"/>
        <v>78.5</v>
      </c>
      <c r="AJ53" s="173" t="str">
        <f>IF(W53="via USD",IF(S53="EUR",S53&amp;"USD","USD"&amp;S53),IFERROR(VLOOKUP(K53&amp;S53,'FX RATES'!$H$2:$H$20,1,FALSE),S53&amp;K53))</f>
        <v>AEDRUB</v>
      </c>
      <c r="AK53" s="175">
        <f>IF(LEFT(AJ53,3)=RIGHT(AJ53,3),0,IFERROR(INDEX(CLIENTS!$A$1:$O$649,MATCH(P53,CLIENTS!$A$1:$A$649,0),MATCH(AJ53,CLIENTS!$A$1:$O$1,0)),0))</f>
        <v>0</v>
      </c>
      <c r="AL53" s="176"/>
      <c r="AM53" s="177" t="str">
        <f t="shared" si="29"/>
        <v/>
      </c>
      <c r="AN53" s="177" t="str">
        <f t="shared" si="30"/>
        <v>46036AEDRUB</v>
      </c>
      <c r="AO53" s="176"/>
      <c r="AP53" s="178">
        <f ca="1">IF(LEFT(AJ53,3)=RIGHT(AJ53,3),1,VLOOKUP(AJ53,'FX RATES'!$H$1:$I$20,2,FALSE))</f>
        <v>20.8843</v>
      </c>
      <c r="AQ53" s="178">
        <f>IF(OR(AJ53="USDAED",LEFT(AJ53,3)=RIGHT(AJ53,3)),AP53,IF(LEFT(AJ53)="USD",AO53,IF(RIGHT(AJ53,3)="USD",1,IFERROR(VLOOKUP(E53&amp;"USD"&amp;RIGHT(AJ53,3),$AN:$AO,2,FALSE),VLOOKUP(E53&amp;"USD"&amp;RIGHT(AB53,3),$AF:$AG,2,FALSE)))))</f>
        <v>78.5</v>
      </c>
      <c r="AR53" s="179">
        <f>-Q53*(1-Z53)/(1+X53)*IF(W53="CLIENT",IF(S53=RIGHT(AJ53,3),1/AM53,AM53),IF(W53="VENDOR",IF(S53=RIGHT(AJ53,3),1/AE53,AE53),AE53^(VLOOKUP(AB53,'FX RATES'!$H$1:$J$26,3,FALSE))/AM53^(VLOOKUP(AJ53,'FX RATES'!$H$1:$J$26,3,FALSE))))</f>
        <v>0</v>
      </c>
      <c r="AS53" s="179">
        <f>-I53*(1+X53)/(1-Z53)*IF(W53="VENDOR",IF(K53=RIGHT(AB53,3),1/AE53,AE53),IF(W53="CLIENT",IF(K53=RIGHT(AB53,3),1/AM53,AM53),AM53^(VLOOKUP(AJ53,'FX RATES'!$H$1:$J$26,3,FALSE))/AE53^(VLOOKUP(AB53,'FX RATES'!$H$1:$J$26,3,FALSE))))</f>
        <v>7560111.8359809611</v>
      </c>
      <c r="AT53" s="170">
        <f ca="1">IF(AB53&lt;&gt;AJ53,J53/IF(K53=RIGHT(AB53,3),AE53,1/AE53),IF(S53="USD",J53/IF(K53=RIGHT(AB53,3),IF(W53="CLIENT",AM53,AE53),1/IF(W53="CLIENT",AM53,AE53)),J53*VLOOKUP(K53,'FX RATES'!$E$1:$F$10,2,FALSE)))</f>
        <v>-2114689.0335718798</v>
      </c>
      <c r="AU53" s="170">
        <f ca="1">IF(AB53&lt;&gt;AJ53,R53/IF(S53=RIGHT(AJ53,3),AM53,1/AM53),IF(K53="USD",R53/IF(S53=RIGHT(AJ53,3),IF(W53="CLIENT",AM53,AE53),1/IF(W53="CLIENT",AM53,AE53)),R53*VLOOKUP(S53,'FX RATES'!$E$1:$F$10,2,FALSE)))</f>
        <v>2058517.6267442578</v>
      </c>
      <c r="AV53" s="170">
        <f t="shared" ca="1" si="32"/>
        <v>-56171.406827622093</v>
      </c>
      <c r="AW53" s="169"/>
      <c r="AX53" s="170">
        <f t="shared" ca="1" si="33"/>
        <v>0</v>
      </c>
      <c r="AY53" s="170">
        <f t="shared" si="34"/>
        <v>-7560111.8359809611</v>
      </c>
      <c r="AZ53" s="170" t="str">
        <f t="shared" si="35"/>
        <v>AED</v>
      </c>
      <c r="BA53" s="542">
        <f>IF(OR(A53="REFUND",A53="CANCELLED"),0,IFERROR((IF(OR(AB53="USDAED",LEFT(AB53,3)=RIGHT(AB53,3)),AI53,AG53)-AE53)*-AY53*VLOOKUP(AB53,'FX RATES'!$H$1:$J$26,3,FALSE),0))</f>
        <v>-642609.50605838816</v>
      </c>
      <c r="BB53" s="170" t="str">
        <f t="shared" si="36"/>
        <v>RUB</v>
      </c>
      <c r="BC53" s="542">
        <f t="shared" si="37"/>
        <v>-8186.1083574316963</v>
      </c>
      <c r="BD53" s="170">
        <f t="shared" si="38"/>
        <v>0</v>
      </c>
      <c r="BE53" s="542">
        <f t="shared" si="39"/>
        <v>-8186.1083574316963</v>
      </c>
      <c r="BF53" s="170">
        <f t="shared" si="40"/>
        <v>7560111.8359809611</v>
      </c>
      <c r="BG53" s="170" t="str">
        <f t="shared" si="41"/>
        <v>AED</v>
      </c>
      <c r="BH53" s="542">
        <f>IF(OR(A53="REFUND",A53="CANCELLED"),0,IFERROR((IF(OR(AJ53="USDAED",LEFT(AJ53,3)=RIGHT(AJ53,3)),AQ53,AO53)-AM53)*-BF53*VLOOKUP(AJ53,'FX RATES'!$H$1:$J$26,3,FALSE),0))</f>
        <v>0</v>
      </c>
      <c r="BI53" s="170" t="str">
        <f t="shared" si="42"/>
        <v>RUB</v>
      </c>
      <c r="BJ53" s="542">
        <f t="shared" si="43"/>
        <v>0</v>
      </c>
      <c r="BK53" s="170">
        <f t="shared" si="44"/>
        <v>0</v>
      </c>
      <c r="BL53" s="542">
        <f t="shared" si="45"/>
        <v>0</v>
      </c>
      <c r="BM53" s="170">
        <f t="shared" si="46"/>
        <v>0</v>
      </c>
      <c r="BN53" s="542">
        <f t="shared" si="47"/>
        <v>-8186.1083574316963</v>
      </c>
    </row>
    <row r="55" spans="1:66" ht="19.5" customHeight="1">
      <c r="A55" s="167" t="s">
        <v>366</v>
      </c>
      <c r="B55" s="168" t="s">
        <v>39</v>
      </c>
      <c r="C55" s="181" t="s">
        <v>367</v>
      </c>
      <c r="D55" s="181" t="s">
        <v>418</v>
      </c>
      <c r="E55" s="171">
        <v>46036</v>
      </c>
      <c r="F55" s="171"/>
      <c r="G55" s="168" t="s">
        <v>39</v>
      </c>
      <c r="H55" s="168" t="s">
        <v>428</v>
      </c>
      <c r="I55" s="169"/>
      <c r="J55" s="170">
        <f>IF(I55="",AR55,I55)</f>
        <v>-299400</v>
      </c>
      <c r="K55" s="168" t="s">
        <v>5</v>
      </c>
      <c r="L55" s="168" t="s">
        <v>378</v>
      </c>
      <c r="M55" s="168" t="s">
        <v>14</v>
      </c>
      <c r="N55" s="167" t="s">
        <v>371</v>
      </c>
      <c r="O55" s="168" t="s">
        <v>52</v>
      </c>
      <c r="P55" s="168" t="s">
        <v>428</v>
      </c>
      <c r="Q55" s="169">
        <v>300000</v>
      </c>
      <c r="R55" s="170">
        <f>IF(Q55="",AS55,Q55)</f>
        <v>300000</v>
      </c>
      <c r="S55" s="168" t="s">
        <v>53</v>
      </c>
      <c r="T55" s="168" t="s">
        <v>420</v>
      </c>
      <c r="U55" s="168" t="s">
        <v>54</v>
      </c>
      <c r="V55" s="167" t="s">
        <v>371</v>
      </c>
      <c r="W55" s="172" t="s">
        <v>375</v>
      </c>
      <c r="X55" s="173">
        <f>IF(Y55="",VLOOKUP(H55,CLIENTS!$A$1:$O$649,5,FALSE),Y55)</f>
        <v>0</v>
      </c>
      <c r="Y55" s="174">
        <v>0</v>
      </c>
      <c r="Z55" s="173">
        <f>IF(AA55="",VLOOKUP(P55,CLIENTS!$A$1:$O$649,5,FALSE),AA55)</f>
        <v>2E-3</v>
      </c>
      <c r="AA55" s="174">
        <v>2E-3</v>
      </c>
      <c r="AB55" s="173" t="str">
        <f>IF(W55="via USD",IF(K55="EUR",K55&amp;"USD","USD"&amp;K55),IFERROR(VLOOKUP(K55&amp;S55,'FX RATES'!$H$2:$H$20,1,FALSE),S55&amp;K55))</f>
        <v>USDUSD</v>
      </c>
      <c r="AC55" s="175">
        <f>IF(LEFT(AB55,3)=RIGHT(AB55,3),0,IFERROR(INDEX(CLIENTS!$A$1:$O$649,MATCH(H55,CLIENTS!$A$1:$A$649,0),MATCH(AB55,CLIENTS!$A$1:$O$1,0)),0))</f>
        <v>0</v>
      </c>
      <c r="AD55" s="176"/>
      <c r="AE55" s="177">
        <f>IF(W55="CLIENT","",IF(AD55="",AH55+AC55,AD55+AC55))</f>
        <v>1</v>
      </c>
      <c r="AF55" s="177" t="str">
        <f>E55&amp;AB55</f>
        <v>46036USDUSD</v>
      </c>
      <c r="AG55" s="176"/>
      <c r="AH55" s="178">
        <f>IF(LEFT(AB55,3)=RIGHT(AB55,3),1,VLOOKUP(AB55,'FX RATES'!$H$1:$I$20,2,FALSE))</f>
        <v>1</v>
      </c>
      <c r="AI55" s="178">
        <f>IF(OR(AB55="USDAED",LEFT(AB55,3)=RIGHT(AB55,3)),AH55,IF(LEFT(AB55)="USD",AG55,IF(RIGHT(AB55,3)="USD",1,IFERROR(VLOOKUP(E55&amp;"USD"&amp;RIGHT(AB55,3),$AF:$AG,2,FALSE),VLOOKUP(E55&amp;"USD"&amp;RIGHT(AJ55,3),$AN:$AO,2,FALSE)))))</f>
        <v>1</v>
      </c>
      <c r="AJ55" s="173" t="str">
        <f>IF(W55="via USD",IF(S55="EUR",S55&amp;"USD","USD"&amp;S55),IFERROR(VLOOKUP(K55&amp;S55,'FX RATES'!$H$2:$H$20,1,FALSE),S55&amp;K55))</f>
        <v>USDUSDT</v>
      </c>
      <c r="AK55" s="175">
        <f>IF(LEFT(AJ55,3)=RIGHT(AJ55,3),0,IFERROR(INDEX(CLIENTS!$A$1:$O$649,MATCH(P55,CLIENTS!$A$1:$A$649,0),MATCH(AJ55,CLIENTS!$A$1:$O$1,0)),0))</f>
        <v>0</v>
      </c>
      <c r="AL55" s="176"/>
      <c r="AM55" s="177">
        <f>IF(W55="VENDOR","",IF(AL55="",AP55+AK55,AL55+AK55))</f>
        <v>1</v>
      </c>
      <c r="AN55" s="177" t="str">
        <f>E55&amp;AJ55</f>
        <v>46036USDUSDT</v>
      </c>
      <c r="AO55" s="176"/>
      <c r="AP55" s="178">
        <f>IF(LEFT(AJ55,3)=RIGHT(AJ55,3),1,VLOOKUP(AJ55,'FX RATES'!$H$1:$I$50,2,FALSE))</f>
        <v>1</v>
      </c>
      <c r="AQ55" s="178">
        <f>IF(OR(AJ55="USDAED",LEFT(AJ55,3)=RIGHT(AJ55,3),AJ55="USDUSDT",AJ55="USDTUSD"),AP55,IF(LEFT(AJ55)="USD",AO55,IF(RIGHT(AJ55,3)="USD",1,IFERROR(VLOOKUP(E55&amp;"USD"&amp;RIGHT(AJ55,3),$AN:$AO,2,FALSE),VLOOKUP(E55&amp;"USD"&amp;RIGHT(AB55,3),$AF:$AG,2,FALSE)))))</f>
        <v>1</v>
      </c>
      <c r="AR55" s="179">
        <f>-Q55*(1-Z55)/(1+X55)*IF(W55="CLIENT",IF(S55=RIGHT(AJ55,3),1/AM55,AM55),IF(W55="VENDOR",IF(S55=RIGHT(AJ55,3),1/AE55,AE55),AE55^(VLOOKUP(AB55,'FX RATES'!$H$1:$J$26,3,FALSE))/AM55^(VLOOKUP(AJ55,'FX RATES'!$H$1:$J$26,3,FALSE))))</f>
        <v>-299400</v>
      </c>
      <c r="AS55" s="179">
        <f>-I55*(1+X55)/(1-Z55)*IF(W55="VENDOR",IF(K55=RIGHT(AB55,3),1/AE55,AE55),IF(W55="CLIENT",IF(K55=RIGHT(AB55,3),1/AM55,AM55),AM55^(VLOOKUP(AJ55,'FX RATES'!$H$1:$J$26,3,FALSE))/AE55^(VLOOKUP(AB55,'FX RATES'!$H$1:$J$26,3,FALSE))))</f>
        <v>0</v>
      </c>
      <c r="AT55" s="170">
        <f>IF(AB55&lt;&gt;AJ55,J55/IF(K55=RIGHT(AB55,3),AE55,1/AE55),IF(S55="USD",J55/IF(K55=RIGHT(AB55,3),IF(W55="CLIENT",AM55,AE55),1/IF(W55="CLIENT",AM55,AE55)),J55*VLOOKUP(K55,'FX RATES'!$E$1:$F$10,2,FALSE)))</f>
        <v>-299400</v>
      </c>
      <c r="AU55" s="170">
        <f>IF(AB55&lt;&gt;AJ55,R55/IF(S55=RIGHT(AJ55,3),AM55,1/AM55),IF(K55="USD",R55/IF(S55=RIGHT(AJ55,3),IF(W55="CLIENT",AM55,AE55),1/IF(W55="CLIENT",AM55,AE55)),R55*VLOOKUP(S55,'FX RATES'!$E$1:$F$10,2,FALSE)))</f>
        <v>300000</v>
      </c>
      <c r="AV55" s="170">
        <f>AT55+AU55</f>
        <v>600</v>
      </c>
      <c r="AW55" s="169"/>
      <c r="AX55" s="170">
        <f>IF(AND(ISERROR(SEARCH("INVOICE",T55)),ISERROR(SEARCH("SWITCH",T55)),ISERROR(SEARCH("FOREX",T55)),ISERROR(SEARCH("REFUND",A55)),ISERROR(SEARCH("CANCELLED",A55))),IF(AW55="",-AT55*X55+AU55*Z55,AW55),0)</f>
        <v>600</v>
      </c>
      <c r="AY55" s="170">
        <f>IF(AZ55="USD",AT55,IF(AZ55=K55,J55,-R55))</f>
        <v>-299400</v>
      </c>
      <c r="AZ55" s="170" t="str">
        <f>LEFT(AB55,3)</f>
        <v>USD</v>
      </c>
      <c r="BA55" s="542">
        <f>IF(OR(A55="REFUND",A55="CANCELLED"),0,IFERROR((IF(OR(AB55="USDAED",LEFT(AB55,3)=RIGHT(AB55,3)),AI55,AG55)-AE55)*-AY55*VLOOKUP(AB55,'FX RATES'!$H$1:$J$26,3,FALSE),0))</f>
        <v>0</v>
      </c>
      <c r="BB55" s="170" t="str">
        <f>RIGHT(AB55,3)</f>
        <v>USD</v>
      </c>
      <c r="BC55" s="542">
        <f>IF(BA55=0,0,IFERROR(BA55/IF(BB55&lt;&gt;"USD",AI55,1),"???"))</f>
        <v>0</v>
      </c>
      <c r="BD55" s="170">
        <f>IFERROR(-AC55/(IF(OR(AB55="USDAED",LEFT(AB55,3)=RIGHT(AB55,3)),AH55,AG55)-AE55)*BC55,0)</f>
        <v>0</v>
      </c>
      <c r="BE55" s="542">
        <f>BC55-BD55</f>
        <v>0</v>
      </c>
      <c r="BF55" s="170">
        <f>IF(BG55="USD",AU55,IF(BG55=S55,R55,-J55))</f>
        <v>300000</v>
      </c>
      <c r="BG55" s="170" t="str">
        <f>LEFT(AJ55,3)</f>
        <v>USD</v>
      </c>
      <c r="BH55" s="542">
        <f>IF(OR(A55="REFUND",A55="CANCELLED"),0,IFERROR((IF(OR(AJ55="USDAED",LEFT(AJ55,3)=RIGHT(AJ55,3),AJ55="USDUSDT",AJ55="USDTUSD"),AQ55,AO55)-AM55)*-BF55*VLOOKUP(AJ55,'FX RATES'!$H$1:$J$26,3,FALSE),0))</f>
        <v>0</v>
      </c>
      <c r="BI55" s="170" t="str">
        <f>RIGHT(AJ55,4)</f>
        <v>USDT</v>
      </c>
      <c r="BJ55" s="542">
        <f>IF(BH55=0,0,IFERROR(BH55/IF(BI55&lt;&gt;"USD",AQ55,1),"???"))</f>
        <v>0</v>
      </c>
      <c r="BK55" s="170">
        <f>IFERROR(-AK55/(IF(OR(AJ55="USDAED",LEFT(AJ55,3)=RIGHT(AJ55,3)),AP55,AO55)-AM55)*BJ55,0)</f>
        <v>0</v>
      </c>
      <c r="BL55" s="542">
        <f>BJ55-BK55</f>
        <v>0</v>
      </c>
      <c r="BM55" s="170">
        <f>IF(AND(ISERROR(SEARCH("REFUND",A55)),ISERROR(SEARCH("CANCELLED",A55))),BD55+BK55,0)</f>
        <v>0</v>
      </c>
      <c r="BN55" s="542">
        <f>IF(AND(ISERROR(SEARCH("REFUND",A55)),ISERROR(SEARCH("CANCELLED",A55))),BE55+BL55,0)</f>
        <v>0</v>
      </c>
    </row>
    <row r="56" spans="1:66" ht="19.5" customHeight="1">
      <c r="A56" s="180"/>
      <c r="E56" s="180"/>
      <c r="F56" s="182"/>
      <c r="L56" s="180"/>
      <c r="M56" s="180"/>
      <c r="N56" s="182"/>
      <c r="O56" s="180"/>
      <c r="P56" s="180"/>
      <c r="V56" s="180"/>
      <c r="W56" s="180"/>
    </row>
    <row r="57" spans="1:66" ht="19.5" customHeight="1">
      <c r="A57" s="167" t="s">
        <v>366</v>
      </c>
      <c r="B57" s="168" t="s">
        <v>31</v>
      </c>
      <c r="C57" s="168" t="s">
        <v>367</v>
      </c>
      <c r="D57" s="168" t="s">
        <v>368</v>
      </c>
      <c r="E57" s="171">
        <v>46036</v>
      </c>
      <c r="F57" s="171"/>
      <c r="G57" s="168" t="s">
        <v>31</v>
      </c>
      <c r="H57" s="181" t="s">
        <v>377</v>
      </c>
      <c r="I57" s="169">
        <v>-118569</v>
      </c>
      <c r="J57" s="170">
        <f>IF(I57="",AR57,I57)</f>
        <v>-118569</v>
      </c>
      <c r="K57" s="168" t="s">
        <v>5</v>
      </c>
      <c r="L57" s="168" t="s">
        <v>378</v>
      </c>
      <c r="M57" s="168" t="s">
        <v>14</v>
      </c>
      <c r="N57" s="167" t="s">
        <v>371</v>
      </c>
      <c r="O57" s="168" t="s">
        <v>39</v>
      </c>
      <c r="P57" s="168" t="s">
        <v>379</v>
      </c>
      <c r="Q57" s="169"/>
      <c r="R57" s="170">
        <f>IF(Q57="",AS57,Q57)</f>
        <v>9396468.1269346736</v>
      </c>
      <c r="S57" s="168" t="s">
        <v>9</v>
      </c>
      <c r="T57" s="171" t="s">
        <v>380</v>
      </c>
      <c r="U57" s="168" t="s">
        <v>25</v>
      </c>
      <c r="V57" s="167" t="s">
        <v>371</v>
      </c>
      <c r="W57" s="172" t="s">
        <v>375</v>
      </c>
      <c r="X57" s="173">
        <f>IF(Y57="",VLOOKUP(H57,CLIENTS!$A$1:$O$649,5,FALSE),Y57)</f>
        <v>0</v>
      </c>
      <c r="Y57" s="174">
        <v>0</v>
      </c>
      <c r="Z57" s="173">
        <f>IF(AA57="",VLOOKUP(P57,CLIENTS!$A$1:$O$649,5,FALSE),AA57)</f>
        <v>5.0000000000000001E-3</v>
      </c>
      <c r="AA57" s="174">
        <v>5.0000000000000001E-3</v>
      </c>
      <c r="AB57" s="173" t="str">
        <f>IF(W57="via USD",IF(K57="EUR",K57&amp;"USD","USD"&amp;K57),IFERROR(VLOOKUP(K57&amp;S57,'FX RATES'!$H$2:$H$20,1,FALSE),S57&amp;K57))</f>
        <v>USDUSD</v>
      </c>
      <c r="AC57" s="175">
        <f>IF(LEFT(AB57,3)=RIGHT(AB57,3),0,IFERROR(INDEX(CLIENTS!$A$1:$O$649,MATCH(H57,CLIENTS!$A$1:$A$649,0),MATCH(AB57,CLIENTS!$A$1:$O$1,0)),0))</f>
        <v>0</v>
      </c>
      <c r="AD57" s="176"/>
      <c r="AE57" s="177">
        <f>IF(W57="CLIENT","",IF(AD57="",AH57+AC57,AD57+AC57))</f>
        <v>1</v>
      </c>
      <c r="AF57" s="177" t="str">
        <f>E57&amp;AB57</f>
        <v>46036USDUSD</v>
      </c>
      <c r="AG57" s="176"/>
      <c r="AH57" s="178">
        <f>IF(LEFT(AB57,3)=RIGHT(AB57,3),1,VLOOKUP(AB57,'FX RATES'!$H$1:$I$20,2,FALSE))</f>
        <v>1</v>
      </c>
      <c r="AI57" s="178">
        <f>IF(OR(AB57="USDAED",LEFT(AB57,3)=RIGHT(AB57,3)),AH57,IF(LEFT(AB57)="USD",AG57,IF(RIGHT(AB57,3)="USD",1,IFERROR(VLOOKUP(E57&amp;"USD"&amp;RIGHT(AB57,3),$AF:$AG,2,FALSE),VLOOKUP(E57&amp;"USD"&amp;RIGHT(AJ57,3),$AN:$AO,2,FALSE)))))</f>
        <v>1</v>
      </c>
      <c r="AJ57" s="173" t="str">
        <f>IF(W57="via USD",IF(S57="EUR",S57&amp;"USD","USD"&amp;S57),IFERROR(VLOOKUP(K57&amp;S57,'FX RATES'!$H$2:$H$20,1,FALSE),S57&amp;K57))</f>
        <v>USDRUB</v>
      </c>
      <c r="AK57" s="175">
        <f>IF(LEFT(AJ57,3)=RIGHT(AJ57,3),0,IFERROR(INDEX(CLIENTS!$A$1:$O$649,MATCH(P57,CLIENTS!$A$1:$A$649,0),MATCH(AJ57,CLIENTS!$A$1:$O$1,0)),0))</f>
        <v>0</v>
      </c>
      <c r="AL57" s="176">
        <v>78.852699999999999</v>
      </c>
      <c r="AM57" s="177">
        <f>IF(W57="VENDOR","",IF(AL57="",AP57+AK57,AL57+AK57))</f>
        <v>78.852699999999999</v>
      </c>
      <c r="AN57" s="177" t="str">
        <f>E57&amp;AJ57</f>
        <v>46036USDRUB</v>
      </c>
      <c r="AO57" s="176">
        <v>78.5</v>
      </c>
      <c r="AP57" s="178">
        <f ca="1">IF(LEFT(AJ57,3)=RIGHT(AJ57,3),1,VLOOKUP(AJ57,'FX RATES'!$H$1:$I$20,2,FALSE))</f>
        <v>76.720500000000001</v>
      </c>
      <c r="AQ57" s="178">
        <f>IF(OR(AJ57="USDAED",LEFT(AJ57,3)=RIGHT(AJ57,3)),AP57,IF(LEFT(AJ57)="USD",AO57,IF(RIGHT(AJ57,3)="USD",1,IFERROR(VLOOKUP(E57&amp;"USD"&amp;RIGHT(AJ57,3),$AN:$AO,2,FALSE),VLOOKUP(E57&amp;"USD"&amp;RIGHT(AB57,3),$AF:$AG,2,FALSE)))))</f>
        <v>78.5</v>
      </c>
      <c r="AR57" s="179">
        <f>-Q57*(1-Z57)/(1+X57)*IF(W57="CLIENT",IF(S57=RIGHT(AJ57,3),1/AM57,AM57),IF(W57="VENDOR",IF(S57=RIGHT(AJ57,3),1/AE57,AE57),AE57^(VLOOKUP(AB57,'FX RATES'!$H$1:$J$26,3,FALSE))/AM57^(VLOOKUP(AJ57,'FX RATES'!$H$1:$J$26,3,FALSE))))</f>
        <v>0</v>
      </c>
      <c r="AS57" s="179">
        <f>-I57*(1+X57)/(1-Z57)*IF(W57="VENDOR",IF(K57=RIGHT(AB57,3),1/AE57,AE57),IF(W57="CLIENT",IF(K57=RIGHT(AB57,3),1/AM57,AM57),AM57^(VLOOKUP(AJ57,'FX RATES'!$H$1:$J$26,3,FALSE))/AE57^(VLOOKUP(AB57,'FX RATES'!$H$1:$J$26,3,FALSE))))</f>
        <v>9396468.1269346736</v>
      </c>
      <c r="AT57" s="170">
        <f>IF(AB57&lt;&gt;AJ57,J57/IF(K57=RIGHT(AB57,3),AE57,1/AE57),IF(S57="USD",J57/IF(K57=RIGHT(AB57,3),IF(W57="CLIENT",AM57,AE57),1/IF(W57="CLIENT",AM57,AE57)),J57*VLOOKUP(K57,'FX RATES'!$E$1:$F$10,2,FALSE)))</f>
        <v>-118569</v>
      </c>
      <c r="AU57" s="170">
        <f>IF(AB57&lt;&gt;AJ57,R57/IF(S57=RIGHT(AJ57,3),AM57,1/AM57),IF(K57="USD",R57/IF(S57=RIGHT(AJ57,3),IF(W57="CLIENT",AM57,AE57),1/IF(W57="CLIENT",AM57,AE57)),R57*VLOOKUP(S57,'FX RATES'!$E$1:$F$10,2,FALSE)))</f>
        <v>119164.82412060302</v>
      </c>
      <c r="AV57" s="170">
        <f>AT57+AU57</f>
        <v>595.82412060302158</v>
      </c>
      <c r="AW57" s="169"/>
      <c r="AX57" s="170">
        <f>IF(AND(ISERROR(SEARCH("INVOICE",T57)),ISERROR(SEARCH("SWITCH",T57)),ISERROR(SEARCH("FOREX",T57)),ISERROR(SEARCH("REFUND",A57)),ISERROR(SEARCH("CANCELLED",A57))),IF(AW57="",-AT57*X57+AU57*Z57,AW57),0)</f>
        <v>595.8241206030151</v>
      </c>
      <c r="AY57" s="170">
        <f>IF(AZ57="USD",AT57,IF(AZ57=K57,J57,-R57))</f>
        <v>-118569</v>
      </c>
      <c r="AZ57" s="170" t="str">
        <f>LEFT(AB57,3)</f>
        <v>USD</v>
      </c>
      <c r="BA57" s="542">
        <f>IF(OR(A57="REFUND",A57="CANCELLED"),0,IFERROR((IF(OR(AB57="USDAED",LEFT(AB57,3)=RIGHT(AB57,3)),AI57,AG57)-AE57)*-AY57*VLOOKUP(AB57,'FX RATES'!$H$1:$J$26,3,FALSE),0))</f>
        <v>0</v>
      </c>
      <c r="BB57" s="170" t="str">
        <f>RIGHT(AB57,3)</f>
        <v>USD</v>
      </c>
      <c r="BC57" s="542">
        <f>IF(BA57=0,0,IFERROR(BA57/IF(BB57&lt;&gt;"USD",AI57,1),"???"))</f>
        <v>0</v>
      </c>
      <c r="BD57" s="170">
        <f>IFERROR(-AC57/(IF(OR(AB57="USDAED",LEFT(AB57,3)=RIGHT(AB57,3)),AH57,AG57)-AE57)*BC57,0)</f>
        <v>0</v>
      </c>
      <c r="BE57" s="542">
        <f>BC57-BD57</f>
        <v>0</v>
      </c>
      <c r="BF57" s="170">
        <f>IF(BG57="USD",AU57,IF(BG57=S57,R57,-J57))</f>
        <v>119164.82412060302</v>
      </c>
      <c r="BG57" s="170" t="str">
        <f>LEFT(AJ57,3)</f>
        <v>USD</v>
      </c>
      <c r="BH57" s="542">
        <f>IF(OR(A57="REFUND",A57="CANCELLED"),0,IFERROR((IF(OR(AJ57="USDAED",LEFT(AJ57,3)=RIGHT(AJ57,3)),AQ57,AO57)-AM57)*-BF57*VLOOKUP(AJ57,'FX RATES'!$H$1:$J$26,3,FALSE),0))</f>
        <v>42029.43346733653</v>
      </c>
      <c r="BI57" s="170" t="str">
        <f>RIGHT(AJ57,3)</f>
        <v>RUB</v>
      </c>
      <c r="BJ57" s="542">
        <f>IF(BH57=0,0,IFERROR(BH57/IF(BI57&lt;&gt;"USD",AQ57,1),"???"))</f>
        <v>535.40679576224875</v>
      </c>
      <c r="BK57" s="170">
        <f>IFERROR(-AK57/(IF(OR(AJ57="USDAED",LEFT(AJ57,3)=RIGHT(AJ57,3)),AP57,AO57)-AM57)*BJ57,0)</f>
        <v>0</v>
      </c>
      <c r="BL57" s="542">
        <f>BJ57-BK57</f>
        <v>535.40679576224875</v>
      </c>
      <c r="BM57" s="170">
        <f>IF(AND(ISERROR(SEARCH("REFUND",A57)),ISERROR(SEARCH("CANCELLED",A57))),BD57+BK57,0)</f>
        <v>0</v>
      </c>
      <c r="BN57" s="542">
        <f>IF(AND(ISERROR(SEARCH("REFUND",A57)),ISERROR(SEARCH("CANCELLED",A57))),BE57+BL57,0)</f>
        <v>535.40679576224875</v>
      </c>
    </row>
    <row r="58" spans="1:66" ht="19.5" customHeight="1">
      <c r="A58" s="167" t="s">
        <v>366</v>
      </c>
      <c r="B58" s="168" t="s">
        <v>39</v>
      </c>
      <c r="C58" s="168" t="s">
        <v>367</v>
      </c>
      <c r="D58" s="168" t="s">
        <v>368</v>
      </c>
      <c r="E58" s="171">
        <v>46036</v>
      </c>
      <c r="F58" s="171"/>
      <c r="G58" s="168" t="s">
        <v>39</v>
      </c>
      <c r="H58" s="168" t="s">
        <v>395</v>
      </c>
      <c r="I58" s="169">
        <v>-88000</v>
      </c>
      <c r="J58" s="170">
        <f>IF(I58="",AR58,I58)</f>
        <v>-88000</v>
      </c>
      <c r="K58" s="168" t="s">
        <v>8</v>
      </c>
      <c r="L58" s="171" t="s">
        <v>16</v>
      </c>
      <c r="M58" s="168" t="s">
        <v>14</v>
      </c>
      <c r="N58" s="167" t="s">
        <v>371</v>
      </c>
      <c r="O58" s="168" t="s">
        <v>39</v>
      </c>
      <c r="P58" s="168" t="s">
        <v>396</v>
      </c>
      <c r="Q58" s="169"/>
      <c r="R58" s="170">
        <f>IF(Q58="",AS58,Q58)</f>
        <v>1907917.1948077658</v>
      </c>
      <c r="S58" s="168" t="s">
        <v>9</v>
      </c>
      <c r="T58" s="171" t="s">
        <v>25</v>
      </c>
      <c r="U58" s="168" t="s">
        <v>25</v>
      </c>
      <c r="V58" s="167" t="s">
        <v>371</v>
      </c>
      <c r="W58" s="172" t="s">
        <v>375</v>
      </c>
      <c r="X58" s="173">
        <f>IF(Y58="",VLOOKUP(H58,CLIENTS!$A$1:$O$649,5,FALSE),Y58)</f>
        <v>0</v>
      </c>
      <c r="Y58" s="174">
        <v>0</v>
      </c>
      <c r="Z58" s="173">
        <f>IF(AA58="",VLOOKUP(P58,CLIENTS!$A$1:$O$649,5,FALSE),AA58)</f>
        <v>8.9999999999999993E-3</v>
      </c>
      <c r="AA58" s="174">
        <v>8.9999999999999993E-3</v>
      </c>
      <c r="AB58" s="173" t="str">
        <f>IF(W58="via USD",IF(K58="EUR",K58&amp;"USD","USD"&amp;K58),IFERROR(VLOOKUP(K58&amp;S58,'FX RATES'!$H$2:$H$20,1,FALSE),S58&amp;K58))</f>
        <v>USDAED</v>
      </c>
      <c r="AC58" s="175">
        <f>IF(LEFT(AB58,3)=RIGHT(AB58,3),0,IFERROR(INDEX(CLIENTS!$A$1:$O$649,MATCH(H58,CLIENTS!$A$1:$A$649,0),MATCH(AB58,CLIENTS!$A$1:$O$1,0)),0))</f>
        <v>-2.5000000000000001E-3</v>
      </c>
      <c r="AD58" s="176"/>
      <c r="AE58" s="177">
        <f>IF(W58="CLIENT","",IF(AD58="",AH58+AC58,AD58+AC58))</f>
        <v>3.67</v>
      </c>
      <c r="AF58" s="177" t="str">
        <f>E58&amp;AB58</f>
        <v>46036USDAED</v>
      </c>
      <c r="AG58" s="176"/>
      <c r="AH58" s="178">
        <f>IF(LEFT(AB58,3)=RIGHT(AB58,3),1,VLOOKUP(AB58,'FX RATES'!$H$1:$I$20,2,FALSE))</f>
        <v>3.6724999999999999</v>
      </c>
      <c r="AI58" s="178">
        <f>IF(OR(AB58="USDAED",LEFT(AB58,3)=RIGHT(AB58,3)),AH58,IF(LEFT(AB58)="USD",AG58,IF(RIGHT(AB58,3)="USD",1,IFERROR(VLOOKUP(E58&amp;"USD"&amp;RIGHT(AB58,3),$AF:$AG,2,FALSE),VLOOKUP(E58&amp;"USD"&amp;RIGHT(AJ58,3),$AN:$AO,2,FALSE)))))</f>
        <v>3.6724999999999999</v>
      </c>
      <c r="AJ58" s="173" t="str">
        <f>IF(W58="via USD",IF(S58="EUR",S58&amp;"USD","USD"&amp;S58),IFERROR(VLOOKUP(K58&amp;S58,'FX RATES'!$H$2:$H$20,1,FALSE),S58&amp;K58))</f>
        <v>USDRUB</v>
      </c>
      <c r="AK58" s="175">
        <f>IF(LEFT(AJ58,3)=RIGHT(AJ58,3),0,IFERROR(INDEX(CLIENTS!$A$1:$O$649,MATCH(P58,CLIENTS!$A$1:$A$649,0),MATCH(AJ58,CLIENTS!$A$1:$O$1,0)),0))</f>
        <v>0</v>
      </c>
      <c r="AL58" s="176">
        <v>78.852699999999999</v>
      </c>
      <c r="AM58" s="177">
        <f>IF(W58="VENDOR","",IF(AL58="",AP58+AK58,AL58+AK58))</f>
        <v>78.852699999999999</v>
      </c>
      <c r="AN58" s="177" t="str">
        <f>E58&amp;AJ58</f>
        <v>46036USDRUB</v>
      </c>
      <c r="AO58" s="176">
        <v>78.5</v>
      </c>
      <c r="AP58" s="178">
        <f ca="1">IF(LEFT(AJ58,3)=RIGHT(AJ58,3),1,VLOOKUP(AJ58,'FX RATES'!$H$1:$I$20,2,FALSE))</f>
        <v>76.720500000000001</v>
      </c>
      <c r="AQ58" s="178">
        <f>IF(OR(AJ58="USDAED",LEFT(AJ58,3)=RIGHT(AJ58,3)),AP58,IF(LEFT(AJ58)="USD",AO58,IF(RIGHT(AJ58,3)="USD",1,IFERROR(VLOOKUP(E58&amp;"USD"&amp;RIGHT(AJ58,3),$AN:$AO,2,FALSE),VLOOKUP(E58&amp;"USD"&amp;RIGHT(AB58,3),$AF:$AG,2,FALSE)))))</f>
        <v>78.5</v>
      </c>
      <c r="AR58" s="179">
        <f>-Q58*(1-Z58)/(1+X58)*IF(W58="CLIENT",IF(S58=RIGHT(AJ58,3),1/AM58,AM58),IF(W58="VENDOR",IF(S58=RIGHT(AJ58,3),1/AE58,AE58),AE58^(VLOOKUP(AB58,'FX RATES'!$H$1:$J$26,3,FALSE))/AM58^(VLOOKUP(AJ58,'FX RATES'!$H$1:$J$26,3,FALSE))))</f>
        <v>0</v>
      </c>
      <c r="AS58" s="179">
        <f>-I58*(1+X58)/(1-Z58)*IF(W58="VENDOR",IF(K58=RIGHT(AB58,3),1/AE58,AE58),IF(W58="CLIENT",IF(K58=RIGHT(AB58,3),1/AM58,AM58),AM58^(VLOOKUP(AJ58,'FX RATES'!$H$1:$J$26,3,FALSE))/AE58^(VLOOKUP(AB58,'FX RATES'!$H$1:$J$26,3,FALSE))))</f>
        <v>1907917.1948077658</v>
      </c>
      <c r="AT58" s="170">
        <f>IF(AB58&lt;&gt;AJ58,J58/IF(K58=RIGHT(AB58,3),AE58,1/AE58),IF(S58="USD",J58/IF(K58=RIGHT(AB58,3),IF(W58="CLIENT",AM58,AE58),1/IF(W58="CLIENT",AM58,AE58)),J58*VLOOKUP(K58,'FX RATES'!$E$1:$F$10,2,FALSE)))</f>
        <v>-23978.201634877383</v>
      </c>
      <c r="AU58" s="170">
        <f>IF(AB58&lt;&gt;AJ58,R58/IF(S58=RIGHT(AJ58,3),AM58,1/AM58),IF(K58="USD",R58/IF(S58=RIGHT(AJ58,3),IF(W58="CLIENT",AM58,AE58),1/IF(W58="CLIENT",AM58,AE58)),R58*VLOOKUP(S58,'FX RATES'!$E$1:$F$10,2,FALSE)))</f>
        <v>24195.965322782427</v>
      </c>
      <c r="AV58" s="170">
        <f>AT58+AU58</f>
        <v>217.76368790504421</v>
      </c>
      <c r="AW58" s="169"/>
      <c r="AX58" s="170">
        <f>IF(AND(ISERROR(SEARCH("INVOICE",T58)),ISERROR(SEARCH("SWITCH",T58)),ISERROR(SEARCH("FOREX",T58)),ISERROR(SEARCH("REFUND",A58)),ISERROR(SEARCH("CANCELLED",A58))),IF(AW58="",-AT58*X58+AU58*Z58,AW58),0)</f>
        <v>217.76368790504182</v>
      </c>
      <c r="AY58" s="170">
        <f>IF(AZ58="USD",AT58,IF(AZ58=K58,J58,-R58))</f>
        <v>-23978.201634877383</v>
      </c>
      <c r="AZ58" s="170" t="str">
        <f>LEFT(AB58,3)</f>
        <v>USD</v>
      </c>
      <c r="BA58" s="542">
        <f>IF(OR(A58="REFUND",A58="CANCELLED"),0,IFERROR((IF(OR(AB58="USDAED",LEFT(AB58,3)=RIGHT(AB58,3)),AI58,AG58)-AE58)*-AY58*VLOOKUP(AB58,'FX RATES'!$H$1:$J$26,3,FALSE),0))</f>
        <v>59.945504087192177</v>
      </c>
      <c r="BB58" s="170" t="str">
        <f>RIGHT(AB58,3)</f>
        <v>AED</v>
      </c>
      <c r="BC58" s="542">
        <f>IF(BA58=0,0,IFERROR(BA58/IF(BB58&lt;&gt;"USD",AI58,1),"???"))</f>
        <v>16.322805741917545</v>
      </c>
      <c r="BD58" s="170">
        <f>IFERROR(-AC58/(IF(OR(AB58="USDAED",LEFT(AB58,3)=RIGHT(AB58,3)),AH58,AG58)-AE58)*BC58,0)</f>
        <v>16.322805741917893</v>
      </c>
      <c r="BE58" s="542">
        <f>BC58-BD58</f>
        <v>-3.4816594052244909E-13</v>
      </c>
      <c r="BF58" s="170">
        <f>IF(BG58="USD",AU58,IF(BG58=S58,R58,-J58))</f>
        <v>24195.965322782427</v>
      </c>
      <c r="BG58" s="170" t="str">
        <f>LEFT(AJ58,3)</f>
        <v>USD</v>
      </c>
      <c r="BH58" s="542">
        <f>IF(OR(A58="REFUND",A58="CANCELLED"),0,IFERROR((IF(OR(AJ58="USDAED",LEFT(AJ58,3)=RIGHT(AJ58,3)),AQ58,AO58)-AM58)*-BF58*VLOOKUP(AJ58,'FX RATES'!$H$1:$J$26,3,FALSE),0))</f>
        <v>8533.9169693453296</v>
      </c>
      <c r="BI58" s="170" t="str">
        <f>RIGHT(AJ58,3)</f>
        <v>RUB</v>
      </c>
      <c r="BJ58" s="542">
        <f>IF(BH58=0,0,IFERROR(BH58/IF(BI58&lt;&gt;"USD",AQ58,1),"???"))</f>
        <v>108.71231808083222</v>
      </c>
      <c r="BK58" s="170">
        <f>IFERROR(-AK58/(IF(OR(AJ58="USDAED",LEFT(AJ58,3)=RIGHT(AJ58,3)),AP58,AO58)-AM58)*BJ58,0)</f>
        <v>0</v>
      </c>
      <c r="BL58" s="542">
        <f>BJ58-BK58</f>
        <v>108.71231808083222</v>
      </c>
      <c r="BM58" s="170">
        <f>IF(AND(ISERROR(SEARCH("REFUND",A58)),ISERROR(SEARCH("CANCELLED",A58))),BD58+BK58,0)</f>
        <v>16.322805741917893</v>
      </c>
      <c r="BN58" s="542">
        <f>IF(AND(ISERROR(SEARCH("REFUND",A58)),ISERROR(SEARCH("CANCELLED",A58))),BE58+BL58,0)</f>
        <v>108.71231808083186</v>
      </c>
    </row>
    <row r="59" spans="1:66" ht="19.5" customHeight="1">
      <c r="A59" s="167" t="s">
        <v>366</v>
      </c>
      <c r="B59" s="168" t="s">
        <v>39</v>
      </c>
      <c r="C59" s="168" t="s">
        <v>367</v>
      </c>
      <c r="D59" s="168" t="s">
        <v>368</v>
      </c>
      <c r="E59" s="171">
        <v>46036</v>
      </c>
      <c r="F59" s="171"/>
      <c r="G59" s="168" t="s">
        <v>39</v>
      </c>
      <c r="H59" s="181" t="s">
        <v>434</v>
      </c>
      <c r="I59" s="169">
        <v>-239324.83</v>
      </c>
      <c r="J59" s="170">
        <f>IF(I59="",AR59,I59)</f>
        <v>-239324.83</v>
      </c>
      <c r="K59" s="168" t="s">
        <v>8</v>
      </c>
      <c r="L59" s="168" t="s">
        <v>16</v>
      </c>
      <c r="M59" s="168" t="s">
        <v>17</v>
      </c>
      <c r="N59" s="167" t="s">
        <v>371</v>
      </c>
      <c r="O59" s="168" t="s">
        <v>39</v>
      </c>
      <c r="P59" s="168" t="s">
        <v>435</v>
      </c>
      <c r="Q59" s="169"/>
      <c r="R59" s="170">
        <f>IF(Q59="",AS59,Q59)</f>
        <v>5173111.9749946548</v>
      </c>
      <c r="S59" s="168" t="s">
        <v>9</v>
      </c>
      <c r="T59" s="171" t="s">
        <v>436</v>
      </c>
      <c r="U59" s="168" t="s">
        <v>25</v>
      </c>
      <c r="V59" s="167" t="s">
        <v>371</v>
      </c>
      <c r="W59" s="172" t="s">
        <v>375</v>
      </c>
      <c r="X59" s="173">
        <f>IF(Y59="",VLOOKUP(H59,CLIENTS!$A$1:$O$649,5,FALSE),Y59)</f>
        <v>0</v>
      </c>
      <c r="Y59" s="174">
        <v>0</v>
      </c>
      <c r="Z59" s="173">
        <f>IF(AA59="",VLOOKUP(P59,CLIENTS!$A$1:$O$649,5,FALSE),AA59)</f>
        <v>6.0000000000000001E-3</v>
      </c>
      <c r="AA59" s="174">
        <v>6.0000000000000001E-3</v>
      </c>
      <c r="AB59" s="173" t="str">
        <f>IF(W59="via USD",IF(K59="EUR",K59&amp;"USD","USD"&amp;K59),IFERROR(VLOOKUP(K59&amp;S59,'FX RATES'!$H$2:$H$20,1,FALSE),S59&amp;K59))</f>
        <v>USDAED</v>
      </c>
      <c r="AC59" s="175">
        <f>IF(LEFT(AB59,3)=RIGHT(AB59,3),0,IFERROR(INDEX(CLIENTS!$A$1:$O$649,MATCH(H59,CLIENTS!$A$1:$A$649,0),MATCH(AB59,CLIENTS!$A$1:$O$1,0)),0))</f>
        <v>0</v>
      </c>
      <c r="AD59" s="176">
        <v>3.67</v>
      </c>
      <c r="AE59" s="177">
        <f>IF(W59="CLIENT","",IF(AD59="",AH59+AC59,AD59+AC59))</f>
        <v>3.67</v>
      </c>
      <c r="AF59" s="177" t="str">
        <f>E59&amp;AB59</f>
        <v>46036USDAED</v>
      </c>
      <c r="AG59" s="176"/>
      <c r="AH59" s="178">
        <f>IF(LEFT(AB59,3)=RIGHT(AB59,3),1,VLOOKUP(AB59,'FX RATES'!$H$1:$I$20,2,FALSE))</f>
        <v>3.6724999999999999</v>
      </c>
      <c r="AI59" s="178">
        <f>IF(OR(AB59="USDAED",LEFT(AB59,3)=RIGHT(AB59,3)),AH59,IF(LEFT(AB59)="USD",AG59,IF(RIGHT(AB59,3)="USD",1,IFERROR(VLOOKUP(E59&amp;"USD"&amp;RIGHT(AB59,3),$AF:$AG,2,FALSE),VLOOKUP(E59&amp;"USD"&amp;RIGHT(AJ59,3),$AN:$AO,2,FALSE)))))</f>
        <v>3.6724999999999999</v>
      </c>
      <c r="AJ59" s="173" t="str">
        <f>IF(W59="via USD",IF(S59="EUR",S59&amp;"USD","USD"&amp;S59),IFERROR(VLOOKUP(K59&amp;S59,'FX RATES'!$H$2:$H$20,1,FALSE),S59&amp;K59))</f>
        <v>USDRUB</v>
      </c>
      <c r="AK59" s="175">
        <f>IF(LEFT(AJ59,3)=RIGHT(AJ59,3),0,IFERROR(INDEX(CLIENTS!$A$1:$O$649,MATCH(P59,CLIENTS!$A$1:$A$649,0),MATCH(AJ59,CLIENTS!$A$1:$O$1,0)),0))-0.15</f>
        <v>0</v>
      </c>
      <c r="AL59" s="176">
        <v>78.852699999999999</v>
      </c>
      <c r="AM59" s="177">
        <f>IF(W59="VENDOR","",IF(AL59="",AP59+AK59,AL59+AK59))</f>
        <v>78.852699999999999</v>
      </c>
      <c r="AN59" s="177" t="str">
        <f>E59&amp;AJ59</f>
        <v>46036USDRUB</v>
      </c>
      <c r="AO59" s="176">
        <v>78.5</v>
      </c>
      <c r="AP59" s="178">
        <f ca="1">IF(LEFT(AJ59,3)=RIGHT(AJ59,3),1,VLOOKUP(AJ59,'FX RATES'!$H$1:$I$20,2,FALSE))</f>
        <v>76.720500000000001</v>
      </c>
      <c r="AQ59" s="178">
        <f>IF(OR(AJ59="USDAED",LEFT(AJ59,3)=RIGHT(AJ59,3)),AP59,IF(LEFT(AJ59)="USD",AO59,IF(RIGHT(AJ59,3)="USD",1,IFERROR(VLOOKUP(E59&amp;"USD"&amp;RIGHT(AJ59,3),$AN:$AO,2,FALSE),VLOOKUP(E59&amp;"USD"&amp;RIGHT(AB59,3),$AF:$AG,2,FALSE)))))</f>
        <v>78.5</v>
      </c>
      <c r="AR59" s="179">
        <f>-Q59*(1-Z59)/(1+X59)*IF(W59="CLIENT",IF(S59=RIGHT(AJ59,3),1/AM59,AM59),IF(W59="VENDOR",IF(S59=RIGHT(AJ59,3),1/AE59,AE59),AE59^(VLOOKUP(AB59,'FX RATES'!$H$1:$J$26,3,FALSE))/AM59^(VLOOKUP(AJ59,'FX RATES'!$H$1:$J$26,3,FALSE))))</f>
        <v>0</v>
      </c>
      <c r="AS59" s="179">
        <f>-I59*(1+X59)/(1-Z59)*IF(W59="VENDOR",IF(K59=RIGHT(AB59,3),1/AE59,AE59),IF(W59="CLIENT",IF(K59=RIGHT(AB59,3),1/AM59,AM59),AM59^(VLOOKUP(AJ59,'FX RATES'!$H$1:$J$26,3,FALSE))/AE59^(VLOOKUP(AB59,'FX RATES'!$H$1:$J$26,3,FALSE))))</f>
        <v>5173111.9749946548</v>
      </c>
      <c r="AT59" s="170">
        <f>IF(AB59&lt;&gt;AJ59,J59/IF(K59=RIGHT(AB59,3),AE59,1/AE59),IF(S59="USD",J59/IF(K59=RIGHT(AB59,3),IF(W59="CLIENT",AM59,AE59),1/IF(W59="CLIENT",AM59,AE59)),J59*VLOOKUP(K59,'FX RATES'!$E$1:$F$10,2,FALSE)))</f>
        <v>-65211.12534059945</v>
      </c>
      <c r="AU59" s="170">
        <f>IF(AB59&lt;&gt;AJ59,R59/IF(S59=RIGHT(AJ59,3),AM59,1/AM59),IF(K59="USD",R59/IF(S59=RIGHT(AJ59,3),IF(W59="CLIENT",AM59,AE59),1/IF(W59="CLIENT",AM59,AE59)),R59*VLOOKUP(S59,'FX RATES'!$E$1:$F$10,2,FALSE)))</f>
        <v>65604.753863782156</v>
      </c>
      <c r="AV59" s="170">
        <f>AT59+AU59</f>
        <v>393.62852318270598</v>
      </c>
      <c r="AW59" s="169"/>
      <c r="AX59" s="170">
        <f>IF(AND(ISERROR(SEARCH("INVOICE",T59)),ISERROR(SEARCH("SWITCH",T59)),ISERROR(SEARCH("FOREX",T59)),ISERROR(SEARCH("REFUND",A59)),ISERROR(SEARCH("CANCELLED",A59))),IF(AW59="",-AT59*X59+AU59*Z59,AW59),0)</f>
        <v>393.62852318269296</v>
      </c>
      <c r="AY59" s="170">
        <f>IF(AZ59="USD",AT59,IF(AZ59=K59,J59,-R59))</f>
        <v>-65211.12534059945</v>
      </c>
      <c r="AZ59" s="170" t="str">
        <f>LEFT(AB59,3)</f>
        <v>USD</v>
      </c>
      <c r="BA59" s="542">
        <f>IF(OR(A59="REFUND",A59="CANCELLED"),0,IFERROR((IF(OR(AB59="USDAED",LEFT(AB59,3)=RIGHT(AB59,3)),AI59,AG59)-AE59)*-AY59*VLOOKUP(AB59,'FX RATES'!$H$1:$J$26,3,FALSE),0))</f>
        <v>163.02781335149515</v>
      </c>
      <c r="BB59" s="170" t="str">
        <f>RIGHT(AB59,3)</f>
        <v>AED</v>
      </c>
      <c r="BC59" s="542">
        <f>IF(BA59=0,0,IFERROR(BA59/IF(BB59&lt;&gt;"USD",AI59,1),"???"))</f>
        <v>44.391508060311821</v>
      </c>
      <c r="BD59" s="170">
        <f>IFERROR(-AC59/(IF(OR(AB59="USDAED",LEFT(AB59,3)=RIGHT(AB59,3)),AH59,AG59)-AE59)*BC59,0)</f>
        <v>0</v>
      </c>
      <c r="BE59" s="542">
        <f>BC59-BD59</f>
        <v>44.391508060311821</v>
      </c>
      <c r="BF59" s="170">
        <f>IF(BG59="USD",AU59,IF(BG59=S59,R59,-J59))</f>
        <v>65604.753863782156</v>
      </c>
      <c r="BG59" s="170" t="str">
        <f>LEFT(AJ59,3)</f>
        <v>USD</v>
      </c>
      <c r="BH59" s="542">
        <f>IF(OR(A59="REFUND",A59="CANCELLED"),0,IFERROR((IF(OR(AJ59="USDAED",LEFT(AJ59,3)=RIGHT(AJ59,3)),AQ59,AO59)-AM59)*-BF59*VLOOKUP(AJ59,'FX RATES'!$H$1:$J$26,3,FALSE),0))</f>
        <v>23138.796687755879</v>
      </c>
      <c r="BI59" s="170" t="str">
        <f>RIGHT(AJ59,3)</f>
        <v>RUB</v>
      </c>
      <c r="BJ59" s="542">
        <f>IF(BH59=0,0,IFERROR(BH59/IF(BI59&lt;&gt;"USD",AQ59,1),"???"))</f>
        <v>294.7617412452978</v>
      </c>
      <c r="BK59" s="170">
        <f>IFERROR(-AK59/(IF(OR(AJ59="USDAED",LEFT(AJ59,3)=RIGHT(AJ59,3)),AP59,AO59)-AM59)*BJ59,0)</f>
        <v>0</v>
      </c>
      <c r="BL59" s="542">
        <f>BJ59-BK59</f>
        <v>294.7617412452978</v>
      </c>
      <c r="BM59" s="170">
        <f>IF(AND(ISERROR(SEARCH("REFUND",A59)),ISERROR(SEARCH("CANCELLED",A59))),BD59+BK59,0)</f>
        <v>0</v>
      </c>
      <c r="BN59" s="542">
        <f>IF(AND(ISERROR(SEARCH("REFUND",A59)),ISERROR(SEARCH("CANCELLED",A59))),BE59+BL59,0)</f>
        <v>339.15324930560962</v>
      </c>
    </row>
    <row r="60" spans="1:66" ht="19.5" customHeight="1">
      <c r="A60" s="167" t="s">
        <v>366</v>
      </c>
      <c r="B60" s="168" t="s">
        <v>39</v>
      </c>
      <c r="C60" s="168" t="s">
        <v>383</v>
      </c>
      <c r="D60" s="168" t="s">
        <v>128</v>
      </c>
      <c r="E60" s="171">
        <v>46036</v>
      </c>
      <c r="F60" s="171"/>
      <c r="G60" s="168" t="s">
        <v>39</v>
      </c>
      <c r="H60" s="168" t="s">
        <v>410</v>
      </c>
      <c r="I60" s="169">
        <v>-16470000</v>
      </c>
      <c r="J60" s="170">
        <f>IF(I60="",AR60,I60)</f>
        <v>-16470000</v>
      </c>
      <c r="K60" s="168" t="s">
        <v>9</v>
      </c>
      <c r="L60" s="171" t="s">
        <v>411</v>
      </c>
      <c r="M60" s="168" t="s">
        <v>25</v>
      </c>
      <c r="N60" s="167" t="s">
        <v>371</v>
      </c>
      <c r="O60" s="168" t="s">
        <v>39</v>
      </c>
      <c r="P60" s="349" t="s">
        <v>410</v>
      </c>
      <c r="Q60" s="169"/>
      <c r="R60" s="170">
        <f>IF(Q60="",AS60,Q60)</f>
        <v>767832.16783216794</v>
      </c>
      <c r="S60" s="168" t="s">
        <v>8</v>
      </c>
      <c r="T60" s="171" t="s">
        <v>385</v>
      </c>
      <c r="U60" s="168" t="s">
        <v>20</v>
      </c>
      <c r="V60" s="167" t="s">
        <v>371</v>
      </c>
      <c r="W60" s="172" t="s">
        <v>382</v>
      </c>
      <c r="X60" s="173">
        <f>IF(Y60="",VLOOKUP(H60,CLIENTS!$A$1:$O$649,5,FALSE),Y60)</f>
        <v>0</v>
      </c>
      <c r="Y60" s="174">
        <v>0</v>
      </c>
      <c r="Z60" s="173">
        <f>IF(AA60="",VLOOKUP(P60,CLIENTS!$A$1:$O$649,5,FALSE),AA60)</f>
        <v>0</v>
      </c>
      <c r="AA60" s="174">
        <v>0</v>
      </c>
      <c r="AB60" s="173" t="str">
        <f>IF(W60="via USD",IF(K60="EUR",K60&amp;"USD","USD"&amp;K60),IFERROR(VLOOKUP(K60&amp;S60,'FX RATES'!$H$2:$H$20,1,FALSE),S60&amp;K60))</f>
        <v>AEDRUB</v>
      </c>
      <c r="AC60" s="175">
        <f>IF(LEFT(AB60,3)=RIGHT(AB60,3),0,IFERROR(INDEX(CLIENTS!$A$1:$O$649,MATCH(H60,CLIENTS!$A$1:$A$649,0),MATCH(AB60,CLIENTS!$A$1:$O$1,0)),0))</f>
        <v>0</v>
      </c>
      <c r="AD60" s="176">
        <v>21.45</v>
      </c>
      <c r="AE60" s="177">
        <f>IF(W60="CLIENT","",IF(AD60="",AH60+AC60,AD60+AC60))</f>
        <v>21.45</v>
      </c>
      <c r="AF60" s="177" t="str">
        <f>E60&amp;AB60</f>
        <v>46036AEDRUB</v>
      </c>
      <c r="AG60" s="176">
        <v>21.375</v>
      </c>
      <c r="AH60" s="178">
        <f ca="1">IF(LEFT(AB60,3)=RIGHT(AB60,3),1,VLOOKUP(AB60,'FX RATES'!$H$1:$I$20,2,FALSE))</f>
        <v>20.8843</v>
      </c>
      <c r="AI60" s="178">
        <f>IF(OR(AB60="USDAED",LEFT(AB60,3)=RIGHT(AB60,3)),AH60,IF(LEFT(AB60)="USD",AG60,IF(RIGHT(AB60,3)="USD",1,IFERROR(VLOOKUP(E60&amp;"USD"&amp;RIGHT(AB60,3),$AF:$AG,2,FALSE),VLOOKUP(E60&amp;"USD"&amp;RIGHT(AJ60,3),$AN:$AO,2,FALSE)))))</f>
        <v>78.5</v>
      </c>
      <c r="AJ60" s="173" t="str">
        <f>IF(W60="via USD",IF(S60="EUR",S60&amp;"USD","USD"&amp;S60),IFERROR(VLOOKUP(K60&amp;S60,'FX RATES'!$H$2:$H$20,1,FALSE),S60&amp;K60))</f>
        <v>AEDRUB</v>
      </c>
      <c r="AK60" s="175">
        <f>IF(LEFT(AJ60,3)=RIGHT(AJ60,3),0,IFERROR(INDEX(CLIENTS!$A$1:$O$649,MATCH(P60,CLIENTS!$A$1:$A$649,0),MATCH(AJ60,CLIENTS!$A$1:$O$1,0)),0))</f>
        <v>0</v>
      </c>
      <c r="AL60" s="176"/>
      <c r="AM60" s="177" t="str">
        <f>IF(W60="VENDOR","",IF(AL60="",AP60+AK60,AL60+AK60))</f>
        <v/>
      </c>
      <c r="AN60" s="177" t="str">
        <f>E60&amp;AJ60</f>
        <v>46036AEDRUB</v>
      </c>
      <c r="AO60" s="176"/>
      <c r="AP60" s="178">
        <f ca="1">IF(LEFT(AJ60,3)=RIGHT(AJ60,3),1,VLOOKUP(AJ60,'FX RATES'!$H$1:$I$20,2,FALSE))</f>
        <v>20.8843</v>
      </c>
      <c r="AQ60" s="178">
        <f>IF(OR(AJ60="USDAED",LEFT(AJ60,3)=RIGHT(AJ60,3)),AP60,IF(LEFT(AJ60)="USD",AO60,IF(RIGHT(AJ60,3)="USD",1,IFERROR(VLOOKUP(E60&amp;"USD"&amp;RIGHT(AJ60,3),$AN:$AO,2,FALSE),VLOOKUP(E60&amp;"USD"&amp;RIGHT(AB60,3),$AF:$AG,2,FALSE)))))</f>
        <v>78.5</v>
      </c>
      <c r="AR60" s="179">
        <f>-Q60*(1-Z60)/(1+X60)*IF(W60="CLIENT",IF(S60=RIGHT(AJ60,3),1/AM60,AM60),IF(W60="VENDOR",IF(S60=RIGHT(AJ60,3),1/AE60,AE60),AE60^(VLOOKUP(AB60,'FX RATES'!$H$1:$J$26,3,FALSE))/AM60^(VLOOKUP(AJ60,'FX RATES'!$H$1:$J$26,3,FALSE))))</f>
        <v>0</v>
      </c>
      <c r="AS60" s="179">
        <f>-I60*(1+X60)/(1-Z60)*IF(W60="VENDOR",IF(K60=RIGHT(AB60,3),1/AE60,AE60),IF(W60="CLIENT",IF(K60=RIGHT(AB60,3),1/AM60,AM60),AM60^(VLOOKUP(AJ60,'FX RATES'!$H$1:$J$26,3,FALSE))/AE60^(VLOOKUP(AB60,'FX RATES'!$H$1:$J$26,3,FALSE))))</f>
        <v>767832.16783216794</v>
      </c>
      <c r="AT60" s="170">
        <f ca="1">IF(AB60&lt;&gt;AJ60,J60/IF(K60=RIGHT(AB60,3),AE60,1/AE60),IF(S60="USD",J60/IF(K60=RIGHT(AB60,3),IF(W60="CLIENT",AM60,AE60),1/IF(W60="CLIENT",AM60,AE60)),J60*VLOOKUP(K60,'FX RATES'!$E$1:$F$10,2,FALSE)))</f>
        <v>-214675.34752771424</v>
      </c>
      <c r="AU60" s="170">
        <f ca="1">IF(AB60&lt;&gt;AJ60,R60/IF(S60=RIGHT(AJ60,3),AM60,1/AM60),IF(K60="USD",R60/IF(S60=RIGHT(AJ60,3),IF(W60="CLIENT",AM60,AE60),1/IF(W60="CLIENT",AM60,AE60)),R60*VLOOKUP(S60,'FX RATES'!$E$1:$F$10,2,FALSE)))</f>
        <v>209070.45902961606</v>
      </c>
      <c r="AV60" s="170">
        <f ca="1">AT60+AU60</f>
        <v>-5604.888498098182</v>
      </c>
      <c r="AW60" s="169"/>
      <c r="AX60" s="170">
        <f ca="1">IF(AND(ISERROR(SEARCH("INVOICE",T60)),ISERROR(SEARCH("SWITCH",T60)),ISERROR(SEARCH("FOREX",T60)),ISERROR(SEARCH("REFUND",A60)),ISERROR(SEARCH("CANCELLED",A60))),IF(AW60="",-AT60*X60+AU60*Z60,AW60),0)</f>
        <v>0</v>
      </c>
      <c r="AY60" s="170">
        <f>IF(AZ60="USD",AT60,IF(AZ60=K60,J60,-R60))</f>
        <v>-767832.16783216794</v>
      </c>
      <c r="AZ60" s="170" t="str">
        <f>LEFT(AB60,3)</f>
        <v>AED</v>
      </c>
      <c r="BA60" s="542">
        <f>IF(OR(A60="REFUND",A60="CANCELLED"),0,IFERROR((IF(OR(AB60="USDAED",LEFT(AB60,3)=RIGHT(AB60,3)),AI60,AG60)-AE60)*-AY60*VLOOKUP(AB60,'FX RATES'!$H$1:$J$26,3,FALSE),0))</f>
        <v>-57587.412587412051</v>
      </c>
      <c r="BB60" s="170" t="str">
        <f>RIGHT(AB60,3)</f>
        <v>RUB</v>
      </c>
      <c r="BC60" s="542">
        <f>IF(BA60=0,0,IFERROR(BA60/IF(BB60&lt;&gt;"USD",AI60,1),"???"))</f>
        <v>-733.59761257849743</v>
      </c>
      <c r="BD60" s="170">
        <f>IFERROR(-AC60/(IF(OR(AB60="USDAED",LEFT(AB60,3)=RIGHT(AB60,3)),AH60,AG60)-AE60)*BC60,0)</f>
        <v>0</v>
      </c>
      <c r="BE60" s="542">
        <f>BC60-BD60</f>
        <v>-733.59761257849743</v>
      </c>
      <c r="BF60" s="170">
        <f>IF(BG60="USD",AU60,IF(BG60=S60,R60,-J60))</f>
        <v>767832.16783216794</v>
      </c>
      <c r="BG60" s="170" t="str">
        <f>LEFT(AJ60,3)</f>
        <v>AED</v>
      </c>
      <c r="BH60" s="542">
        <f>IF(OR(A60="REFUND",A60="CANCELLED"),0,IFERROR((IF(OR(AJ60="USDAED",LEFT(AJ60,3)=RIGHT(AJ60,3)),AQ60,AO60)-AM60)*-BF60*VLOOKUP(AJ60,'FX RATES'!$H$1:$J$26,3,FALSE),0))</f>
        <v>0</v>
      </c>
      <c r="BI60" s="170" t="str">
        <f>RIGHT(AJ60,3)</f>
        <v>RUB</v>
      </c>
      <c r="BJ60" s="542">
        <f>IF(BH60=0,0,IFERROR(BH60/IF(BI60&lt;&gt;"USD",AQ60,1),"???"))</f>
        <v>0</v>
      </c>
      <c r="BK60" s="170">
        <f>IFERROR(-AK60/(IF(OR(AJ60="USDAED",LEFT(AJ60,3)=RIGHT(AJ60,3)),AP60,AO60)-AM60)*BJ60,0)</f>
        <v>0</v>
      </c>
      <c r="BL60" s="542">
        <f>BJ60-BK60</f>
        <v>0</v>
      </c>
      <c r="BM60" s="170">
        <f>IF(AND(ISERROR(SEARCH("REFUND",A60)),ISERROR(SEARCH("CANCELLED",A60))),BD60+BK60,0)</f>
        <v>0</v>
      </c>
      <c r="BN60" s="542">
        <f>IF(AND(ISERROR(SEARCH("REFUND",A60)),ISERROR(SEARCH("CANCELLED",A60))),BE60+BL60,0)</f>
        <v>-733.59761257849743</v>
      </c>
    </row>
    <row r="62" spans="1:66" ht="19.5" customHeight="1">
      <c r="A62" s="167" t="s">
        <v>366</v>
      </c>
      <c r="B62" s="225" t="s">
        <v>42</v>
      </c>
      <c r="C62" s="225" t="s">
        <v>367</v>
      </c>
      <c r="D62" s="225" t="s">
        <v>368</v>
      </c>
      <c r="E62" s="226">
        <v>46036</v>
      </c>
      <c r="F62" s="226"/>
      <c r="G62" s="225" t="s">
        <v>42</v>
      </c>
      <c r="H62" s="225" t="s">
        <v>415</v>
      </c>
      <c r="I62" s="227">
        <v>-10595000</v>
      </c>
      <c r="J62" s="170">
        <f>IF(I62="",AR62,I62)</f>
        <v>-10595000</v>
      </c>
      <c r="K62" s="225" t="s">
        <v>7</v>
      </c>
      <c r="L62" s="226" t="s">
        <v>22</v>
      </c>
      <c r="M62" s="225" t="s">
        <v>22</v>
      </c>
      <c r="N62" s="167" t="s">
        <v>371</v>
      </c>
      <c r="O62" s="225" t="s">
        <v>52</v>
      </c>
      <c r="P62" s="225" t="s">
        <v>416</v>
      </c>
      <c r="Q62" s="227"/>
      <c r="R62" s="170">
        <f>IF(Q62="",AS62,Q62)</f>
        <v>119551331.24999999</v>
      </c>
      <c r="S62" s="225" t="s">
        <v>9</v>
      </c>
      <c r="T62" s="226" t="s">
        <v>414</v>
      </c>
      <c r="U62" s="225" t="s">
        <v>25</v>
      </c>
      <c r="V62" s="167" t="s">
        <v>371</v>
      </c>
      <c r="W62" s="230" t="s">
        <v>389</v>
      </c>
      <c r="X62" s="173">
        <f>IF(Y62="",VLOOKUP(H62,CLIENTS!$A$1:$O$649,5,FALSE),Y62)</f>
        <v>3.0000000000000001E-3</v>
      </c>
      <c r="Y62" s="234">
        <v>3.0000000000000001E-3</v>
      </c>
      <c r="Z62" s="173">
        <f>IF(AA62="",VLOOKUP(P62,CLIENTS!$A$1:$O$649,5,FALSE),AA62)</f>
        <v>0</v>
      </c>
      <c r="AA62" s="234">
        <v>0</v>
      </c>
      <c r="AB62" s="173" t="str">
        <f>IF(W62="via USD",IF(K62="EUR",K62&amp;"USD","USD"&amp;K62),IFERROR(VLOOKUP(K62&amp;S62,'FX RATES'!$H$2:$H$20,1,FALSE),S62&amp;K62))</f>
        <v>CNYRUB</v>
      </c>
      <c r="AC62" s="175">
        <f>IF(LEFT(AB62,3)=RIGHT(AB62,3),0,IFERROR(INDEX(CLIENTS!$A$1:$O$649,MATCH(H62,CLIENTS!$A$1:$A$649,0),MATCH(AB62,CLIENTS!$A$1:$O$1,0)),0))</f>
        <v>0</v>
      </c>
      <c r="AD62" s="176"/>
      <c r="AE62" s="177" t="str">
        <f>IF(W62="CLIENT","",IF(AD62="",AH62+AC62,AD62+AC62))</f>
        <v/>
      </c>
      <c r="AF62" s="177" t="str">
        <f>E62&amp;AB62</f>
        <v>46036CNYRUB</v>
      </c>
      <c r="AG62" s="176"/>
      <c r="AH62" s="178">
        <f ca="1">IF(LEFT(AB62,3)=RIGHT(AB62,3),1,VLOOKUP(AB62,'FX RATES'!$H$1:$I$20,2,FALSE))</f>
        <v>11.103899999999999</v>
      </c>
      <c r="AI62" s="178">
        <f>IF(OR(AB62="USDAED",LEFT(AB62,3)=RIGHT(AB62,3)),AH62,IF(LEFT(AB62)="USD",AG62,IF(RIGHT(AB62,3)="USD",1,IFERROR(VLOOKUP(E62&amp;"USD"&amp;RIGHT(AB62,3),$AF:$AG,2,FALSE),VLOOKUP(E62&amp;"USD"&amp;RIGHT(AJ62,3),$AN:$AO,2,FALSE)))))</f>
        <v>78.5</v>
      </c>
      <c r="AJ62" s="173" t="str">
        <f>IF(W62="via USD",IF(S62="EUR",S62&amp;"USD","USD"&amp;S62),IFERROR(VLOOKUP(K62&amp;S62,'FX RATES'!$H$2:$H$20,1,FALSE),S62&amp;K62))</f>
        <v>CNYRUB</v>
      </c>
      <c r="AK62" s="175">
        <f>IF(LEFT(AJ62,3)=RIGHT(AJ62,3),0,IFERROR(INDEX(CLIENTS!$A$1:$O$649,MATCH(P62,CLIENTS!$A$1:$A$649,0),MATCH(AJ62,CLIENTS!$A$1:$O$1,0)),0))</f>
        <v>0</v>
      </c>
      <c r="AL62" s="176">
        <v>11.25</v>
      </c>
      <c r="AM62" s="177">
        <f>IF(W62="VENDOR","",IF(AL62="",AP62+AK62,AL62+AK62))</f>
        <v>11.25</v>
      </c>
      <c r="AN62" s="177" t="str">
        <f>E62&amp;AJ62</f>
        <v>46036CNYRUB</v>
      </c>
      <c r="AO62" s="176">
        <v>11.26</v>
      </c>
      <c r="AP62" s="178">
        <f ca="1">IF(LEFT(AJ62,3)=RIGHT(AJ62,3),1,VLOOKUP(AJ62,'FX RATES'!$H$1:$I$20,2,FALSE))</f>
        <v>11.103899999999999</v>
      </c>
      <c r="AQ62" s="178">
        <f>IF(OR(AJ62="USDAED",LEFT(AJ62,3)=RIGHT(AJ62,3)),AP62,IF(LEFT(AJ62)="USD",AO62,IF(RIGHT(AJ62,3)="USD",1,IFERROR(VLOOKUP(E62&amp;"USD"&amp;RIGHT(AJ62,3),$AN:$AO,2,FALSE),VLOOKUP(E62&amp;"USD"&amp;RIGHT(AB62,3),$AF:$AG,2,FALSE)))))</f>
        <v>78.5</v>
      </c>
      <c r="AR62" s="179">
        <f>-Q62*(1-Z62)/(1+X62)*IF(W62="CLIENT",IF(S62=RIGHT(AJ62,3),1/AM62,AM62),IF(W62="VENDOR",IF(S62=RIGHT(AJ62,3),1/AE62,AE62),AE62^(VLOOKUP(AB62,'FX RATES'!$H$1:$J$26,3,FALSE))/AM62^(VLOOKUP(AJ62,'FX RATES'!$H$1:$J$26,3,FALSE))))</f>
        <v>0</v>
      </c>
      <c r="AS62" s="179">
        <f>-I62*(1+X62)/(1-Z62)*IF(W62="VENDOR",IF(K62=RIGHT(AB62,3),1/AE62,AE62),IF(W62="CLIENT",IF(K62=RIGHT(AB62,3),1/AM62,AM62),AM62^(VLOOKUP(AJ62,'FX RATES'!$H$1:$J$26,3,FALSE))/AE62^(VLOOKUP(AB62,'FX RATES'!$H$1:$J$26,3,FALSE))))</f>
        <v>119551331.24999999</v>
      </c>
      <c r="AT62" s="170">
        <f ca="1">IF(AB62&lt;&gt;AJ62,J62/IF(K62=RIGHT(AB62,3),AE62,1/AE62),IF(S62="USD",J62/IF(K62=RIGHT(AB62,3),IF(W62="CLIENT",AM62,AE62),1/IF(W62="CLIENT",AM62,AE62)),J62*VLOOKUP(K62,'FX RATES'!$E$1:$F$10,2,FALSE)))</f>
        <v>-1533729.0098436596</v>
      </c>
      <c r="AU62" s="170">
        <f ca="1">IF(AB62&lt;&gt;AJ62,R62/IF(S62=RIGHT(AJ62,3),AM62,1/AM62),IF(K62="USD",R62/IF(S62=RIGHT(AJ62,3),IF(W62="CLIENT",AM62,AE62),1/IF(W62="CLIENT",AM62,AE62)),R62*VLOOKUP(S62,'FX RATES'!$E$1:$F$10,2,FALSE)))</f>
        <v>1558271.012962637</v>
      </c>
      <c r="AV62" s="170">
        <f ca="1">AT62+AU62</f>
        <v>24542.003118977416</v>
      </c>
      <c r="AW62" s="227"/>
      <c r="AX62" s="170">
        <f ca="1">IF(AND(ISERROR(SEARCH("INVOICE",T62)),ISERROR(SEARCH("SWITCH",T62)),ISERROR(SEARCH("FOREX",T62)),ISERROR(SEARCH("REFUND",A62)),ISERROR(SEARCH("CANCELLED",A62))),IF(AW62="",-AT62*X62+AU62*Z62,AW62),0)</f>
        <v>4601.1870295309791</v>
      </c>
      <c r="AY62" s="170">
        <f>IF(AZ62="USD",AT62,IF(AZ62=K62,J62,-R62))</f>
        <v>-10595000</v>
      </c>
      <c r="AZ62" s="170" t="str">
        <f>LEFT(AB62,3)</f>
        <v>CNY</v>
      </c>
      <c r="BA62" s="542">
        <f>IF(OR(A62="REFUND",A62="CANCELLED"),0,IFERROR((IF(OR(AB62="USDAED",LEFT(AB62,3)=RIGHT(AB62,3)),AI62,AG62)-AE62)*-AY62*VLOOKUP(AB62,'FX RATES'!$H$1:$J$26,3,FALSE),0))</f>
        <v>0</v>
      </c>
      <c r="BB62" s="170" t="str">
        <f>RIGHT(AB62,3)</f>
        <v>RUB</v>
      </c>
      <c r="BC62" s="542">
        <f>IF(BA62=0,0,IFERROR(BA62/IF(BB62&lt;&gt;"USD",AI62,1),"???"))</f>
        <v>0</v>
      </c>
      <c r="BD62" s="170">
        <f>IFERROR(-AC62/(IF(OR(AB62="USDAED",LEFT(AB62,3)=RIGHT(AB62,3)),AH62,AG62)-AE62)*BC62,0)</f>
        <v>0</v>
      </c>
      <c r="BE62" s="542">
        <f>BC62-BD62</f>
        <v>0</v>
      </c>
      <c r="BF62" s="170">
        <f>IF(BG62="USD",AU62,IF(BG62=S62,R62,-J62))</f>
        <v>10595000</v>
      </c>
      <c r="BG62" s="170" t="str">
        <f>LEFT(AJ62,3)</f>
        <v>CNY</v>
      </c>
      <c r="BH62" s="542">
        <f>IF(OR(A62="REFUND",A62="CANCELLED"),0,IFERROR((IF(OR(AJ62="USDAED",LEFT(AJ62,3)=RIGHT(AJ62,3)),AQ62,AO62)-AM62)*-BF62*VLOOKUP(AJ62,'FX RATES'!$H$1:$J$26,3,FALSE),0))</f>
        <v>-105949.99999999774</v>
      </c>
      <c r="BI62" s="170" t="str">
        <f>RIGHT(AJ62,3)</f>
        <v>RUB</v>
      </c>
      <c r="BJ62" s="542">
        <f>IF(BH62=0,0,IFERROR(BH62/IF(BI62&lt;&gt;"USD",AQ62,1),"???"))</f>
        <v>-1349.6815286623917</v>
      </c>
      <c r="BK62" s="170">
        <f>IFERROR(-AK62/(IF(OR(AJ62="USDAED",LEFT(AJ62,3)=RIGHT(AJ62,3)),AP62,AO62)-AM62)*BJ62,0)</f>
        <v>0</v>
      </c>
      <c r="BL62" s="542">
        <f>BJ62-BK62</f>
        <v>-1349.6815286623917</v>
      </c>
      <c r="BM62" s="170">
        <f>IF(AND(ISERROR(SEARCH("REFUND",A62)),ISERROR(SEARCH("CANCELLED",A62))),BD62+BK62,0)</f>
        <v>0</v>
      </c>
      <c r="BN62" s="542">
        <f>IF(AND(ISERROR(SEARCH("REFUND",A62)),ISERROR(SEARCH("CANCELLED",A62))),BE62+BL62,0)</f>
        <v>-1349.6815286623917</v>
      </c>
    </row>
    <row r="63" spans="1:66" ht="19.5" customHeight="1">
      <c r="A63" s="167" t="s">
        <v>366</v>
      </c>
      <c r="B63" s="225" t="s">
        <v>34</v>
      </c>
      <c r="C63" s="225" t="s">
        <v>383</v>
      </c>
      <c r="D63" s="225" t="s">
        <v>368</v>
      </c>
      <c r="E63" s="226">
        <v>46036</v>
      </c>
      <c r="F63" s="226"/>
      <c r="G63" s="225" t="s">
        <v>52</v>
      </c>
      <c r="H63" s="228" t="s">
        <v>390</v>
      </c>
      <c r="I63" s="227"/>
      <c r="J63" s="170">
        <f>IF(I63="",AR63,I63)</f>
        <v>-118926175.92240001</v>
      </c>
      <c r="K63" s="225" t="s">
        <v>9</v>
      </c>
      <c r="L63" s="226" t="s">
        <v>391</v>
      </c>
      <c r="M63" s="225" t="s">
        <v>25</v>
      </c>
      <c r="N63" s="167" t="s">
        <v>371</v>
      </c>
      <c r="O63" s="225" t="s">
        <v>34</v>
      </c>
      <c r="P63" s="225" t="s">
        <v>392</v>
      </c>
      <c r="Q63" s="227">
        <v>10599480.92</v>
      </c>
      <c r="R63" s="170">
        <f>IF(Q63="",AS63,Q63)</f>
        <v>10599480.92</v>
      </c>
      <c r="S63" s="225" t="s">
        <v>7</v>
      </c>
      <c r="T63" s="226" t="s">
        <v>22</v>
      </c>
      <c r="U63" s="225" t="s">
        <v>22</v>
      </c>
      <c r="V63" s="167" t="s">
        <v>371</v>
      </c>
      <c r="W63" s="230" t="s">
        <v>382</v>
      </c>
      <c r="X63" s="173">
        <f>IF(Y63="",VLOOKUP(H63,CLIENTS!$A$1:$O$649,5,FALSE),Y63)</f>
        <v>0</v>
      </c>
      <c r="Y63" s="234"/>
      <c r="Z63" s="173">
        <f>IF(AA63="",VLOOKUP(P63,CLIENTS!$A$1:$O$649,5,FALSE),AA63)</f>
        <v>0</v>
      </c>
      <c r="AA63" s="234"/>
      <c r="AB63" s="173" t="str">
        <f>IF(W63="via USD",IF(K63="EUR",K63&amp;"USD","USD"&amp;K63),IFERROR(VLOOKUP(K63&amp;S63,'FX RATES'!$H$2:$H$20,1,FALSE),S63&amp;K63))</f>
        <v>CNYRUB</v>
      </c>
      <c r="AC63" s="175">
        <f>IF(LEFT(AB63,3)=RIGHT(AB63,3),0,IFERROR(INDEX(CLIENTS!$A$1:$O$649,MATCH(H63,CLIENTS!$A$1:$A$649,0),MATCH(AB63,CLIENTS!$A$1:$O$1,0)),0))</f>
        <v>0</v>
      </c>
      <c r="AD63" s="176">
        <v>11.22</v>
      </c>
      <c r="AE63" s="177">
        <f>IF(W63="CLIENT","",IF(AD63="",AH63+AC63,AD63+AC63))</f>
        <v>11.22</v>
      </c>
      <c r="AF63" s="177" t="str">
        <f>E63&amp;AB63</f>
        <v>46036CNYRUB</v>
      </c>
      <c r="AG63" s="176">
        <v>11.26</v>
      </c>
      <c r="AH63" s="178">
        <f ca="1">IF(LEFT(AB63,3)=RIGHT(AB63,3),1,VLOOKUP(AB63,'FX RATES'!$H$1:$I$20,2,FALSE))</f>
        <v>11.103899999999999</v>
      </c>
      <c r="AI63" s="178">
        <f>IF(OR(AB63="USDAED",LEFT(AB63,3)=RIGHT(AB63,3)),AH63,IF(LEFT(AB63)="USD",AG63,IF(RIGHT(AB63,3)="USD",1,IFERROR(VLOOKUP(E63&amp;"USD"&amp;RIGHT(AB63,3),$AF:$AG,2,FALSE),VLOOKUP(E63&amp;"USD"&amp;RIGHT(AJ63,3),$AN:$AO,2,FALSE)))))</f>
        <v>78.5</v>
      </c>
      <c r="AJ63" s="173" t="str">
        <f>IF(W63="via USD",IF(S63="EUR",S63&amp;"USD","USD"&amp;S63),IFERROR(VLOOKUP(K63&amp;S63,'FX RATES'!$H$2:$H$20,1,FALSE),S63&amp;K63))</f>
        <v>CNYRUB</v>
      </c>
      <c r="AK63" s="175">
        <f>IF(LEFT(AJ63,3)=RIGHT(AJ63,3),0,IFERROR(INDEX(CLIENTS!$A$1:$O$649,MATCH(P63,CLIENTS!$A$1:$A$649,0),MATCH(AJ63,CLIENTS!$A$1:$O$1,0)),0))</f>
        <v>0</v>
      </c>
      <c r="AL63" s="176"/>
      <c r="AM63" s="177" t="str">
        <f>IF(W63="VENDOR","",IF(AL63="",AP63+AK63,AL63+AK63))</f>
        <v/>
      </c>
      <c r="AN63" s="177" t="str">
        <f>E63&amp;AJ63</f>
        <v>46036CNYRUB</v>
      </c>
      <c r="AO63" s="176"/>
      <c r="AP63" s="178">
        <f ca="1">IF(LEFT(AJ63,3)=RIGHT(AJ63,3),1,VLOOKUP(AJ63,'FX RATES'!$H$1:$I$20,2,FALSE))</f>
        <v>11.103899999999999</v>
      </c>
      <c r="AQ63" s="178">
        <f>IF(OR(AJ63="USDAED",LEFT(AJ63,3)=RIGHT(AJ63,3)),AP63,IF(LEFT(AJ63)="USD",AO63,IF(RIGHT(AJ63,3)="USD",1,IFERROR(VLOOKUP(E63&amp;"USD"&amp;RIGHT(AJ63,3),$AN:$AO,2,FALSE),VLOOKUP(E63&amp;"USD"&amp;RIGHT(AB63,3),$AF:$AG,2,FALSE)))))</f>
        <v>78.5</v>
      </c>
      <c r="AR63" s="179">
        <f>-Q63*(1-Z63)/(1+X63)*IF(W63="CLIENT",IF(S63=RIGHT(AJ63,3),1/AM63,AM63),IF(W63="VENDOR",IF(S63=RIGHT(AJ63,3),1/AE63,AE63),AE63^(VLOOKUP(AB63,'FX RATES'!$H$1:$J$26,3,FALSE))/AM63^(VLOOKUP(AJ63,'FX RATES'!$H$1:$J$26,3,FALSE))))</f>
        <v>-118926175.92240001</v>
      </c>
      <c r="AS63" s="179">
        <f>-I63*(1+X63)/(1-Z63)*IF(W63="VENDOR",IF(K63=RIGHT(AB63,3),1/AE63,AE63),IF(W63="CLIENT",IF(K63=RIGHT(AB63,3),1/AM63,AM63),AM63^(VLOOKUP(AJ63,'FX RATES'!$H$1:$J$26,3,FALSE))/AE63^(VLOOKUP(AB63,'FX RATES'!$H$1:$J$26,3,FALSE))))</f>
        <v>0</v>
      </c>
      <c r="AT63" s="170">
        <f ca="1">IF(AB63&lt;&gt;AJ63,J63/IF(K63=RIGHT(AB63,3),AE63,1/AE63),IF(S63="USD",J63/IF(K63=RIGHT(AB63,3),IF(W63="CLIENT",AM63,AE63),1/IF(W63="CLIENT",AM63,AE63)),J63*VLOOKUP(K63,'FX RATES'!$E$1:$F$10,2,FALSE)))</f>
        <v>-1550122.5346862965</v>
      </c>
      <c r="AU63" s="170">
        <f ca="1">IF(AB63&lt;&gt;AJ63,R63/IF(S63=RIGHT(AJ63,3),AM63,1/AM63),IF(K63="USD",R63/IF(S63=RIGHT(AJ63,3),IF(W63="CLIENT",AM63,AE63),1/IF(W63="CLIENT",AM63,AE63)),R63*VLOOKUP(S63,'FX RATES'!$E$1:$F$10,2,FALSE)))</f>
        <v>1534377.6664736536</v>
      </c>
      <c r="AV63" s="170">
        <f ca="1">AT63+AU63</f>
        <v>-15744.868212642847</v>
      </c>
      <c r="AW63" s="227"/>
      <c r="AX63" s="170">
        <f ca="1">IF(AND(ISERROR(SEARCH("INVOICE",T63)),ISERROR(SEARCH("SWITCH",T63)),ISERROR(SEARCH("FOREX",T63)),ISERROR(SEARCH("REFUND",A63)),ISERROR(SEARCH("CANCELLED",A63))),IF(AW63="",-AT63*X63+AU63*Z63,AW63),0)</f>
        <v>0</v>
      </c>
      <c r="AY63" s="170">
        <f>IF(AZ63="USD",AT63,IF(AZ63=K63,J63,-R63))</f>
        <v>-10599480.92</v>
      </c>
      <c r="AZ63" s="170" t="str">
        <f>LEFT(AB63,3)</f>
        <v>CNY</v>
      </c>
      <c r="BA63" s="542">
        <f>IF(OR(A63="REFUND",A63="CANCELLED"),0,IFERROR((IF(OR(AB63="USDAED",LEFT(AB63,3)=RIGHT(AB63,3)),AI63,AG63)-AE63)*-AY63*VLOOKUP(AB63,'FX RATES'!$H$1:$J$26,3,FALSE),0))</f>
        <v>423979.23679999093</v>
      </c>
      <c r="BB63" s="170" t="str">
        <f>RIGHT(AB63,3)</f>
        <v>RUB</v>
      </c>
      <c r="BC63" s="542">
        <f>IF(BA63=0,0,IFERROR(BA63/IF(BB63&lt;&gt;"USD",AI63,1),"???"))</f>
        <v>5401.0093859871458</v>
      </c>
      <c r="BD63" s="170">
        <f>IFERROR(-AC63/(IF(OR(AB63="USDAED",LEFT(AB63,3)=RIGHT(AB63,3)),AH63,AG63)-AE63)*BC63,0)</f>
        <v>0</v>
      </c>
      <c r="BE63" s="542">
        <f>BC63-BD63</f>
        <v>5401.0093859871458</v>
      </c>
      <c r="BF63" s="170">
        <f>IF(BG63="USD",AU63,IF(BG63=S63,R63,-J63))</f>
        <v>10599480.92</v>
      </c>
      <c r="BG63" s="170" t="str">
        <f>LEFT(AJ63,3)</f>
        <v>CNY</v>
      </c>
      <c r="BH63" s="542">
        <f>IF(OR(A63="REFUND",A63="CANCELLED"),0,IFERROR((IF(OR(AJ63="USDAED",LEFT(AJ63,3)=RIGHT(AJ63,3)),AQ63,AO63)-AM63)*-BF63*VLOOKUP(AJ63,'FX RATES'!$H$1:$J$26,3,FALSE),0))</f>
        <v>0</v>
      </c>
      <c r="BI63" s="170" t="str">
        <f>RIGHT(AJ63,3)</f>
        <v>RUB</v>
      </c>
      <c r="BJ63" s="542">
        <f>IF(BH63=0,0,IFERROR(BH63/IF(BI63&lt;&gt;"USD",AQ63,1),"???"))</f>
        <v>0</v>
      </c>
      <c r="BK63" s="170">
        <f>IFERROR(-AK63/(IF(OR(AJ63="USDAED",LEFT(AJ63,3)=RIGHT(AJ63,3)),AP63,AO63)-AM63)*BJ63,0)</f>
        <v>0</v>
      </c>
      <c r="BL63" s="542">
        <f>BJ63-BK63</f>
        <v>0</v>
      </c>
      <c r="BM63" s="170">
        <f>IF(AND(ISERROR(SEARCH("REFUND",A63)),ISERROR(SEARCH("CANCELLED",A63))),BD63+BK63,0)</f>
        <v>0</v>
      </c>
      <c r="BN63" s="542">
        <f>IF(AND(ISERROR(SEARCH("REFUND",A63)),ISERROR(SEARCH("CANCELLED",A63))),BE63+BL63,0)</f>
        <v>5401.0093859871458</v>
      </c>
    </row>
    <row r="65" spans="1:66" ht="19.5" customHeight="1">
      <c r="A65" s="167" t="s">
        <v>366</v>
      </c>
      <c r="B65" s="168" t="s">
        <v>39</v>
      </c>
      <c r="C65" s="168" t="s">
        <v>367</v>
      </c>
      <c r="D65" s="181" t="s">
        <v>418</v>
      </c>
      <c r="E65" s="171">
        <v>46037</v>
      </c>
      <c r="F65" s="171"/>
      <c r="G65" s="168" t="s">
        <v>39</v>
      </c>
      <c r="H65" s="181" t="s">
        <v>437</v>
      </c>
      <c r="I65" s="169">
        <v>-809300</v>
      </c>
      <c r="J65" s="170">
        <f>IF(I65="",AR65,I65)</f>
        <v>-809300</v>
      </c>
      <c r="K65" s="168" t="s">
        <v>8</v>
      </c>
      <c r="L65" s="168" t="s">
        <v>438</v>
      </c>
      <c r="M65" s="168" t="s">
        <v>20</v>
      </c>
      <c r="N65" s="167" t="s">
        <v>371</v>
      </c>
      <c r="O65" s="168" t="s">
        <v>52</v>
      </c>
      <c r="P65" s="168" t="s">
        <v>439</v>
      </c>
      <c r="Q65" s="169"/>
      <c r="R65" s="170">
        <f>IF(Q65="",AS65,Q65)</f>
        <v>17418374.847520001</v>
      </c>
      <c r="S65" s="168" t="s">
        <v>9</v>
      </c>
      <c r="T65" s="171" t="s">
        <v>439</v>
      </c>
      <c r="U65" s="171" t="s">
        <v>439</v>
      </c>
      <c r="V65" s="167" t="s">
        <v>371</v>
      </c>
      <c r="W65" s="172" t="s">
        <v>389</v>
      </c>
      <c r="X65" s="173">
        <f>IF(Y65="",VLOOKUP(H65,CLIENTS!$A$1:$O$649,5,FALSE),Y65)</f>
        <v>6.0000000000000001E-3</v>
      </c>
      <c r="Y65" s="174">
        <v>6.0000000000000001E-3</v>
      </c>
      <c r="Z65" s="173">
        <f>IF(AA65="",VLOOKUP(P65,CLIENTS!$A$1:$O$649,5,FALSE),AA65)</f>
        <v>0</v>
      </c>
      <c r="AA65" s="174">
        <v>0</v>
      </c>
      <c r="AB65" s="173" t="str">
        <f>IF(W65="via USD",IF(K65="EUR",K65&amp;"USD","USD"&amp;K65),IFERROR(VLOOKUP(K65&amp;S65,'FX RATES'!$H$2:$H$20,1,FALSE),S65&amp;K65))</f>
        <v>AEDRUB</v>
      </c>
      <c r="AC65" s="175">
        <f>IF(LEFT(AB65,3)=RIGHT(AB65,3),0,IFERROR(INDEX(CLIENTS!$A$1:$O$649,MATCH(H65,CLIENTS!$A$1:$A$649,0),MATCH(AB65,CLIENTS!$A$1:$O$1,0)),0))</f>
        <v>0</v>
      </c>
      <c r="AD65" s="176"/>
      <c r="AE65" s="177" t="str">
        <f>IF(W65="CLIENT","",IF(AD65="",AH65+AC65,AD65+AC65))</f>
        <v/>
      </c>
      <c r="AF65" s="177" t="str">
        <f>E65&amp;AB65</f>
        <v>46037AEDRUB</v>
      </c>
      <c r="AG65" s="176"/>
      <c r="AH65" s="178">
        <f ca="1">IF(LEFT(AB65,3)=RIGHT(AB65,3),1,VLOOKUP(AB65,'FX RATES'!$H$1:$I$20,2,FALSE))</f>
        <v>20.8843</v>
      </c>
      <c r="AI65" s="178">
        <f>IF(OR(AB65="USDAED",LEFT(AB65,3)=RIGHT(AB65,3)),AH65,IF(LEFT(AB65)="USD",AG65,IF(RIGHT(AB65,3)="USD",1,IFERROR(VLOOKUP(E65&amp;"USD"&amp;RIGHT(AB65,3),$AF:$AG,2,FALSE),VLOOKUP(E65&amp;"USD"&amp;RIGHT(AJ65,3),$AN:$AO,2,FALSE)))))</f>
        <v>78.5</v>
      </c>
      <c r="AJ65" s="173" t="str">
        <f>IF(W65="via USD",IF(S65="EUR",S65&amp;"USD","USD"&amp;S65),IFERROR(VLOOKUP(K65&amp;S65,'FX RATES'!$H$2:$H$20,1,FALSE),S65&amp;K65))</f>
        <v>AEDRUB</v>
      </c>
      <c r="AK65" s="175">
        <f>IF(LEFT(AJ65,3)=RIGHT(AJ65,3),0,IFERROR(INDEX(CLIENTS!$A$1:$O$649,MATCH(P65,CLIENTS!$A$1:$A$649,0),MATCH(AJ65,CLIENTS!$A$1:$O$1,0)),0))</f>
        <v>0</v>
      </c>
      <c r="AL65" s="176">
        <v>21.394400000000001</v>
      </c>
      <c r="AM65" s="177">
        <f>IF(W65="VENDOR","",IF(AL65="",AP65+AK65,AL65+AK65))</f>
        <v>21.394400000000001</v>
      </c>
      <c r="AN65" s="177" t="str">
        <f>E65&amp;AJ65</f>
        <v>46037AEDRUB</v>
      </c>
      <c r="AO65" s="176">
        <v>21.375</v>
      </c>
      <c r="AP65" s="178">
        <f ca="1">IF(LEFT(AJ65,3)=RIGHT(AJ65,3),1,VLOOKUP(AJ65,'FX RATES'!$H$1:$I$20,2,FALSE))</f>
        <v>20.8843</v>
      </c>
      <c r="AQ65" s="178">
        <f>IF(OR(AJ65="USDAED",LEFT(AJ65,3)=RIGHT(AJ65,3)),AP65,IF(LEFT(AJ65)="USD",AO65,IF(RIGHT(AJ65,3)="USD",1,IFERROR(VLOOKUP(E65&amp;"USD"&amp;RIGHT(AJ65,3),$AN:$AO,2,FALSE),VLOOKUP(E65&amp;"USD"&amp;RIGHT(AB65,3),$AF:$AG,2,FALSE)))))</f>
        <v>78.5</v>
      </c>
      <c r="AR65" s="179">
        <f>-Q65*(1-Z65)/(1+X65)*IF(W65="CLIENT",IF(S65=RIGHT(AJ65,3),1/AM65,AM65),IF(W65="VENDOR",IF(S65=RIGHT(AJ65,3),1/AE65,AE65),AE65^(VLOOKUP(AB65,'FX RATES'!$H$1:$J$26,3,FALSE))/AM65^(VLOOKUP(AJ65,'FX RATES'!$H$1:$J$26,3,FALSE))))</f>
        <v>0</v>
      </c>
      <c r="AS65" s="179">
        <f>-I65*(1+X65)/(1-Z65)*IF(W65="VENDOR",IF(K65=RIGHT(AB65,3),1/AE65,AE65),IF(W65="CLIENT",IF(K65=RIGHT(AB65,3),1/AM65,AM65),AM65^(VLOOKUP(AJ65,'FX RATES'!$H$1:$J$26,3,FALSE))/AE65^(VLOOKUP(AB65,'FX RATES'!$H$1:$J$26,3,FALSE))))</f>
        <v>17418374.847520001</v>
      </c>
      <c r="AT65" s="170">
        <f ca="1">IF(AB65&lt;&gt;AJ65,J65/IF(K65=RIGHT(AB65,3),AE65,1/AE65),IF(S65="USD",J65/IF(K65=RIGHT(AB65,3),IF(W65="CLIENT",AM65,AE65),1/IF(W65="CLIENT",AM65,AE65)),J65*VLOOKUP(K65,'FX RATES'!$E$1:$F$10,2,FALSE)))</f>
        <v>-220361.59668899415</v>
      </c>
      <c r="AU65" s="170">
        <f ca="1">IF(AB65&lt;&gt;AJ65,R65/IF(S65=RIGHT(AJ65,3),AM65,1/AM65),IF(K65="USD",R65/IF(S65=RIGHT(AJ65,3),IF(W65="CLIENT",AM65,AE65),1/IF(W65="CLIENT",AM65,AE65)),R65*VLOOKUP(S65,'FX RATES'!$E$1:$F$10,2,FALSE)))</f>
        <v>227036.77436304509</v>
      </c>
      <c r="AV65" s="170">
        <f ca="1">AT65+AU65</f>
        <v>6675.1776740509376</v>
      </c>
      <c r="AW65" s="169"/>
      <c r="AX65" s="170">
        <f ca="1">IF(AND(ISERROR(SEARCH("INVOICE",T65)),ISERROR(SEARCH("SWITCH",T65)),ISERROR(SEARCH("FOREX",T65)),ISERROR(SEARCH("REFUND",A65)),ISERROR(SEARCH("CANCELLED",A65))),IF(AW65="",-AT65*X65+AU65*Z65,AW65),0)</f>
        <v>1322.1695801339649</v>
      </c>
      <c r="AY65" s="170">
        <f>IF(AZ65="USD",AT65,IF(AZ65=K65,J65,-R65))</f>
        <v>-809300</v>
      </c>
      <c r="AZ65" s="170" t="str">
        <f>LEFT(AB65,3)</f>
        <v>AED</v>
      </c>
      <c r="BA65" s="542">
        <f>IF(OR(A65="REFUND",A65="CANCELLED"),0,IFERROR((IF(OR(AB65="USDAED",LEFT(AB65,3)=RIGHT(AB65,3)),AI65,AG65)-AE65)*-AY65*VLOOKUP(AB65,'FX RATES'!$H$1:$J$26,3,FALSE),0))</f>
        <v>0</v>
      </c>
      <c r="BB65" s="170" t="str">
        <f>RIGHT(AB65,3)</f>
        <v>RUB</v>
      </c>
      <c r="BC65" s="542">
        <f>IF(BA65=0,0,IFERROR(BA65/IF(BB65&lt;&gt;"USD",AI65,1),"???"))</f>
        <v>0</v>
      </c>
      <c r="BD65" s="170">
        <f>IFERROR(-AC65/(IF(OR(AB65="USDAED",LEFT(AB65,3)=RIGHT(AB65,3)),AH65,AG65)-AE65)*BC65,0)</f>
        <v>0</v>
      </c>
      <c r="BE65" s="542">
        <f>BC65-BD65</f>
        <v>0</v>
      </c>
      <c r="BF65" s="170">
        <f>IF(BG65="USD",AU65,IF(BG65=S65,R65,-J65))</f>
        <v>809300</v>
      </c>
      <c r="BG65" s="170" t="str">
        <f>LEFT(AJ65,3)</f>
        <v>AED</v>
      </c>
      <c r="BH65" s="542">
        <f>IF(OR(A65="REFUND",A65="CANCELLED"),0,IFERROR((IF(OR(AJ65="USDAED",LEFT(AJ65,3)=RIGHT(AJ65,3)),AQ65,AO65)-AM65)*-BF65*VLOOKUP(AJ65,'FX RATES'!$H$1:$J$26,3,FALSE),0))</f>
        <v>15700.420000000786</v>
      </c>
      <c r="BI65" s="170" t="str">
        <f>RIGHT(AJ65,3)</f>
        <v>RUB</v>
      </c>
      <c r="BJ65" s="542">
        <f>IF(BH65=0,0,IFERROR(BH65/IF(BI65&lt;&gt;"USD",AQ65,1),"???"))</f>
        <v>200.00535031848136</v>
      </c>
      <c r="BK65" s="170">
        <f>IFERROR(-AK65/(IF(OR(AJ65="USDAED",LEFT(AJ65,3)=RIGHT(AJ65,3)),AP65,AO65)-AM65)*BJ65,0)</f>
        <v>0</v>
      </c>
      <c r="BL65" s="542">
        <f>BJ65-BK65</f>
        <v>200.00535031848136</v>
      </c>
      <c r="BM65" s="170">
        <f>IF(AND(ISERROR(SEARCH("REFUND",A65)),ISERROR(SEARCH("CANCELLED",A65))),BD65+BK65,0)</f>
        <v>0</v>
      </c>
      <c r="BN65" s="542">
        <f>IF(AND(ISERROR(SEARCH("REFUND",A65)),ISERROR(SEARCH("CANCELLED",A65))),BE65+BL65,0)</f>
        <v>200.00535031848136</v>
      </c>
    </row>
    <row r="66" spans="1:66" ht="19.5" customHeight="1">
      <c r="A66" s="167" t="s">
        <v>366</v>
      </c>
      <c r="B66" s="168" t="s">
        <v>52</v>
      </c>
      <c r="C66" s="168" t="s">
        <v>383</v>
      </c>
      <c r="D66" s="168" t="s">
        <v>128</v>
      </c>
      <c r="E66" s="171">
        <v>46037</v>
      </c>
      <c r="F66" s="171"/>
      <c r="G66" s="168" t="s">
        <v>52</v>
      </c>
      <c r="H66" s="181" t="s">
        <v>439</v>
      </c>
      <c r="I66" s="169">
        <f>-R65</f>
        <v>-17418374.847520001</v>
      </c>
      <c r="J66" s="170">
        <f>IF(I66="",AR66,I66)</f>
        <v>-17418374.847520001</v>
      </c>
      <c r="K66" s="168" t="s">
        <v>9</v>
      </c>
      <c r="L66" s="171" t="s">
        <v>439</v>
      </c>
      <c r="M66" s="168" t="s">
        <v>439</v>
      </c>
      <c r="N66" s="167" t="s">
        <v>371</v>
      </c>
      <c r="O66" s="168" t="s">
        <v>39</v>
      </c>
      <c r="P66" s="168" t="s">
        <v>39</v>
      </c>
      <c r="Q66" s="169"/>
      <c r="R66" s="170">
        <f>IF(Q66="",AS66,Q66)</f>
        <v>813342.45754245762</v>
      </c>
      <c r="S66" s="168" t="s">
        <v>8</v>
      </c>
      <c r="T66" s="171" t="s">
        <v>440</v>
      </c>
      <c r="U66" s="168" t="s">
        <v>20</v>
      </c>
      <c r="V66" s="167" t="s">
        <v>371</v>
      </c>
      <c r="W66" s="172" t="s">
        <v>382</v>
      </c>
      <c r="X66" s="173">
        <f>IF(Y66="",VLOOKUP(H66,CLIENTS!$A$1:$O$649,5,FALSE),Y66)</f>
        <v>0</v>
      </c>
      <c r="Y66" s="174">
        <v>0</v>
      </c>
      <c r="Z66" s="173">
        <f>IF(AA66="",VLOOKUP(P66,CLIENTS!$A$1:$O$649,5,FALSE),AA66)</f>
        <v>-1E-3</v>
      </c>
      <c r="AA66" s="174">
        <v>-1E-3</v>
      </c>
      <c r="AB66" s="173" t="str">
        <f>IF(W66="via USD",IF(K66="EUR",K66&amp;"USD","USD"&amp;K66),IFERROR(VLOOKUP(K66&amp;S66,'FX RATES'!$H$2:$H$20,1,FALSE),S66&amp;K66))</f>
        <v>AEDRUB</v>
      </c>
      <c r="AC66" s="175">
        <f>IF(LEFT(AB66,3)=RIGHT(AB66,3),0,IFERROR(INDEX(CLIENTS!$A$1:$O$649,MATCH(H66,CLIENTS!$A$1:$A$649,0),MATCH(AB66,CLIENTS!$A$1:$O$1,0)),0))</f>
        <v>0</v>
      </c>
      <c r="AD66" s="176">
        <v>21.394400000000001</v>
      </c>
      <c r="AE66" s="177">
        <f>IF(W66="CLIENT","",IF(AD66="",AH66+AC66,AD66+AC66))</f>
        <v>21.394400000000001</v>
      </c>
      <c r="AF66" s="177" t="str">
        <f>E66&amp;AB66</f>
        <v>46037AEDRUB</v>
      </c>
      <c r="AG66" s="176">
        <v>21.375</v>
      </c>
      <c r="AH66" s="178">
        <f ca="1">IF(LEFT(AB66,3)=RIGHT(AB66,3),1,VLOOKUP(AB66,'FX RATES'!$H$1:$I$20,2,FALSE))</f>
        <v>20.8843</v>
      </c>
      <c r="AI66" s="178">
        <f>IF(OR(AB66="USDAED",LEFT(AB66,3)=RIGHT(AB66,3)),AH66,IF(LEFT(AB66)="USD",AG66,IF(RIGHT(AB66,3)="USD",1,IFERROR(VLOOKUP(E66&amp;"USD"&amp;RIGHT(AB66,3),$AF:$AG,2,FALSE),VLOOKUP(E66&amp;"USD"&amp;RIGHT(AJ66,3),$AN:$AO,2,FALSE)))))</f>
        <v>78.5</v>
      </c>
      <c r="AJ66" s="173" t="str">
        <f>IF(W66="via USD",IF(S66="EUR",S66&amp;"USD","USD"&amp;S66),IFERROR(VLOOKUP(K66&amp;S66,'FX RATES'!$H$2:$H$20,1,FALSE),S66&amp;K66))</f>
        <v>AEDRUB</v>
      </c>
      <c r="AK66" s="175">
        <f>IF(LEFT(AJ66,3)=RIGHT(AJ66,3),0,IFERROR(INDEX(CLIENTS!$A$1:$O$649,MATCH(P66,CLIENTS!$A$1:$A$649,0),MATCH(AJ66,CLIENTS!$A$1:$O$1,0)),0))</f>
        <v>0</v>
      </c>
      <c r="AL66" s="176"/>
      <c r="AM66" s="177" t="str">
        <f>IF(W66="VENDOR","",IF(AL66="",AP66+AK66,AL66+AK66))</f>
        <v/>
      </c>
      <c r="AN66" s="177" t="str">
        <f>E66&amp;AJ66</f>
        <v>46037AEDRUB</v>
      </c>
      <c r="AO66" s="176"/>
      <c r="AP66" s="178">
        <f ca="1">IF(LEFT(AJ66,3)=RIGHT(AJ66,3),1,VLOOKUP(AJ66,'FX RATES'!$H$1:$I$20,2,FALSE))</f>
        <v>20.8843</v>
      </c>
      <c r="AQ66" s="178">
        <f>IF(OR(AJ66="USDAED",LEFT(AJ66,3)=RIGHT(AJ66,3)),AP66,IF(LEFT(AJ66)="USD",AO66,IF(RIGHT(AJ66,3)="USD",1,IFERROR(VLOOKUP(E66&amp;"USD"&amp;RIGHT(AJ66,3),$AN:$AO,2,FALSE),VLOOKUP(E66&amp;"USD"&amp;RIGHT(AB66,3),$AF:$AG,2,FALSE)))))</f>
        <v>78.5</v>
      </c>
      <c r="AR66" s="179">
        <f>-Q66*(1-Z66)/(1+X66)*IF(W66="CLIENT",IF(S66=RIGHT(AJ66,3),1/AM66,AM66),IF(W66="VENDOR",IF(S66=RIGHT(AJ66,3),1/AE66,AE66),AE66^(VLOOKUP(AB66,'FX RATES'!$H$1:$J$26,3,FALSE))/AM66^(VLOOKUP(AJ66,'FX RATES'!$H$1:$J$26,3,FALSE))))</f>
        <v>0</v>
      </c>
      <c r="AS66" s="179">
        <f>-I66*(1+X66)/(1-Z66)*IF(W66="VENDOR",IF(K66=RIGHT(AB66,3),1/AE66,AE66),IF(W66="CLIENT",IF(K66=RIGHT(AB66,3),1/AM66,AM66),AM66^(VLOOKUP(AJ66,'FX RATES'!$H$1:$J$26,3,FALSE))/AE66^(VLOOKUP(AB66,'FX RATES'!$H$1:$J$26,3,FALSE))))</f>
        <v>813342.45754245762</v>
      </c>
      <c r="AT66" s="170">
        <f ca="1">IF(AB66&lt;&gt;AJ66,J66/IF(K66=RIGHT(AB66,3),AE66,1/AE66),IF(S66="USD",J66/IF(K66=RIGHT(AB66,3),IF(W66="CLIENT",AM66,AE66),1/IF(W66="CLIENT",AM66,AE66)),J66*VLOOKUP(K66,'FX RATES'!$E$1:$F$10,2,FALSE)))</f>
        <v>-227036.77436304509</v>
      </c>
      <c r="AU66" s="170">
        <f ca="1">IF(AB66&lt;&gt;AJ66,R66/IF(S66=RIGHT(AJ66,3),AM66,1/AM66),IF(K66="USD",R66/IF(S66=RIGHT(AJ66,3),IF(W66="CLIENT",AM66,AE66),1/IF(W66="CLIENT",AM66,AE66)),R66*VLOOKUP(S66,'FX RATES'!$E$1:$F$10,2,FALSE)))</f>
        <v>221462.30396516298</v>
      </c>
      <c r="AV66" s="170">
        <f ca="1">AT66+AU66</f>
        <v>-5574.4703978821053</v>
      </c>
      <c r="AW66" s="169"/>
      <c r="AX66" s="170">
        <f ca="1">IF(AND(ISERROR(SEARCH("INVOICE",T66)),ISERROR(SEARCH("SWITCH",T66)),ISERROR(SEARCH("FOREX",T66)),ISERROR(SEARCH("REFUND",A66)),ISERROR(SEARCH("CANCELLED",A66))),IF(AW66="",-AT66*X66+AU66*Z66,AW66),0)</f>
        <v>-221.46230396516299</v>
      </c>
      <c r="AY66" s="170">
        <f>IF(AZ66="USD",AT66,IF(AZ66=K66,J66,-R66))</f>
        <v>-813342.45754245762</v>
      </c>
      <c r="AZ66" s="170" t="str">
        <f>LEFT(AB66,3)</f>
        <v>AED</v>
      </c>
      <c r="BA66" s="542">
        <f>IF(OR(A66="REFUND",A66="CANCELLED"),0,IFERROR((IF(OR(AB66="USDAED",LEFT(AB66,3)=RIGHT(AB66,3)),AI66,AG66)-AE66)*-AY66*VLOOKUP(AB66,'FX RATES'!$H$1:$J$26,3,FALSE),0))</f>
        <v>-15778.843676324468</v>
      </c>
      <c r="BB66" s="170" t="str">
        <f>RIGHT(AB66,3)</f>
        <v>RUB</v>
      </c>
      <c r="BC66" s="542">
        <f>IF(BA66=0,0,IFERROR(BA66/IF(BB66&lt;&gt;"USD",AI66,1),"???"))</f>
        <v>-201.00437804234991</v>
      </c>
      <c r="BD66" s="170">
        <f>IFERROR(-AC66/(IF(OR(AB66="USDAED",LEFT(AB66,3)=RIGHT(AB66,3)),AH66,AG66)-AE66)*BC66,0)</f>
        <v>0</v>
      </c>
      <c r="BE66" s="542">
        <f>BC66-BD66</f>
        <v>-201.00437804234991</v>
      </c>
      <c r="BF66" s="170">
        <f>IF(BG66="USD",AU66,IF(BG66=S66,R66,-J66))</f>
        <v>813342.45754245762</v>
      </c>
      <c r="BG66" s="170" t="str">
        <f>LEFT(AJ66,3)</f>
        <v>AED</v>
      </c>
      <c r="BH66" s="542">
        <f>IF(OR(A66="REFUND",A66="CANCELLED"),0,IFERROR((IF(OR(AJ66="USDAED",LEFT(AJ66,3)=RIGHT(AJ66,3)),AQ66,AO66)-AM66)*-BF66*VLOOKUP(AJ66,'FX RATES'!$H$1:$J$26,3,FALSE),0))</f>
        <v>0</v>
      </c>
      <c r="BI66" s="170" t="str">
        <f>RIGHT(AJ66,3)</f>
        <v>RUB</v>
      </c>
      <c r="BJ66" s="542">
        <f>IF(BH66=0,0,IFERROR(BH66/IF(BI66&lt;&gt;"USD",AQ66,1),"???"))</f>
        <v>0</v>
      </c>
      <c r="BK66" s="170">
        <f>IFERROR(-AK66/(IF(OR(AJ66="USDAED",LEFT(AJ66,3)=RIGHT(AJ66,3)),AP66,AO66)-AM66)*BJ66,0)</f>
        <v>0</v>
      </c>
      <c r="BL66" s="542">
        <f>BJ66-BK66</f>
        <v>0</v>
      </c>
      <c r="BM66" s="170">
        <f>IF(AND(ISERROR(SEARCH("REFUND",A66)),ISERROR(SEARCH("CANCELLED",A66))),BD66+BK66,0)</f>
        <v>0</v>
      </c>
      <c r="BN66" s="542">
        <f>IF(AND(ISERROR(SEARCH("REFUND",A66)),ISERROR(SEARCH("CANCELLED",A66))),BE66+BL66,0)</f>
        <v>-201.00437804234991</v>
      </c>
    </row>
    <row r="68" spans="1:66" ht="19.5" customHeight="1">
      <c r="A68" s="167" t="s">
        <v>366</v>
      </c>
      <c r="B68" s="168" t="s">
        <v>31</v>
      </c>
      <c r="C68" s="168" t="s">
        <v>367</v>
      </c>
      <c r="D68" s="168" t="s">
        <v>368</v>
      </c>
      <c r="E68" s="171">
        <v>46037</v>
      </c>
      <c r="F68" s="171"/>
      <c r="G68" s="168" t="s">
        <v>31</v>
      </c>
      <c r="H68" s="181" t="s">
        <v>441</v>
      </c>
      <c r="I68" s="169">
        <v>-178260</v>
      </c>
      <c r="J68" s="170">
        <f t="shared" ref="J68:J74" si="48">IF(I68="",AR68,I68)</f>
        <v>-178260</v>
      </c>
      <c r="K68" s="168" t="s">
        <v>5</v>
      </c>
      <c r="L68" s="168" t="s">
        <v>442</v>
      </c>
      <c r="M68" s="168" t="s">
        <v>14</v>
      </c>
      <c r="N68" s="167" t="s">
        <v>371</v>
      </c>
      <c r="O68" s="168" t="s">
        <v>39</v>
      </c>
      <c r="P68" s="168" t="s">
        <v>379</v>
      </c>
      <c r="Q68" s="169"/>
      <c r="R68" s="170">
        <f t="shared" ref="R68:R74" si="49">IF(Q68="",AS68,Q68)</f>
        <v>14076466.619095478</v>
      </c>
      <c r="S68" s="168" t="s">
        <v>9</v>
      </c>
      <c r="T68" s="171" t="s">
        <v>380</v>
      </c>
      <c r="U68" s="168" t="s">
        <v>25</v>
      </c>
      <c r="V68" s="167" t="s">
        <v>371</v>
      </c>
      <c r="W68" s="172" t="s">
        <v>375</v>
      </c>
      <c r="X68" s="173">
        <f>IF(Y68="",VLOOKUP(H68,CLIENTS!$A$1:$O$649,5,FALSE),Y68)</f>
        <v>0</v>
      </c>
      <c r="Y68" s="174">
        <v>0</v>
      </c>
      <c r="Z68" s="173">
        <f>IF(AA68="",VLOOKUP(P68,CLIENTS!$A$1:$O$649,5,FALSE),AA68)</f>
        <v>3.3676504465383061E-3</v>
      </c>
      <c r="AA68" s="174">
        <v>3.3676504465383061E-3</v>
      </c>
      <c r="AB68" s="173" t="str">
        <f>IF(W68="via USD",IF(K68="EUR",K68&amp;"USD","USD"&amp;K68),IFERROR(VLOOKUP(K68&amp;S68,'FX RATES'!$H$2:$H$20,1,FALSE),S68&amp;K68))</f>
        <v>USDUSD</v>
      </c>
      <c r="AC68" s="175">
        <f>IF(LEFT(AB68,3)=RIGHT(AB68,3),0,IFERROR(INDEX(CLIENTS!$A$1:$O$649,MATCH(H68,CLIENTS!$A$1:$A$649,0),MATCH(AB68,CLIENTS!$A$1:$O$1,0)),0))</f>
        <v>0</v>
      </c>
      <c r="AD68" s="176"/>
      <c r="AE68" s="177">
        <f t="shared" ref="AE68:AE74" si="50">IF(W68="CLIENT","",IF(AD68="",AH68+AC68,AD68+AC68))</f>
        <v>1</v>
      </c>
      <c r="AF68" s="177" t="str">
        <f t="shared" ref="AF68:AF74" si="51">E68&amp;AB68</f>
        <v>46037USDUSD</v>
      </c>
      <c r="AG68" s="176"/>
      <c r="AH68" s="178">
        <f>IF(LEFT(AB68,3)=RIGHT(AB68,3),1,VLOOKUP(AB68,'FX RATES'!$H$1:$I$20,2,FALSE))</f>
        <v>1</v>
      </c>
      <c r="AI68" s="178">
        <f>IF(OR(AB68="USDAED",LEFT(AB68,3)=RIGHT(AB68,3)),AH68,IF(LEFT(AB68)="USD",AG68,IF(RIGHT(AB68,3)="USD",1,IFERROR(VLOOKUP(E68&amp;"USD"&amp;RIGHT(AB68,3),$AF:$AG,2,FALSE),VLOOKUP(E68&amp;"USD"&amp;RIGHT(AJ68,3),$AN:$AO,2,FALSE)))))</f>
        <v>1</v>
      </c>
      <c r="AJ68" s="173" t="str">
        <f>IF(W68="via USD",IF(S68="EUR",S68&amp;"USD","USD"&amp;S68),IFERROR(VLOOKUP(K68&amp;S68,'FX RATES'!$H$2:$H$20,1,FALSE),S68&amp;K68))</f>
        <v>USDRUB</v>
      </c>
      <c r="AK68" s="175">
        <f>IF(LEFT(AJ68,3)=RIGHT(AJ68,3),0,IFERROR(INDEX(CLIENTS!$A$1:$O$649,MATCH(P68,CLIENTS!$A$1:$A$649,0),MATCH(AJ68,CLIENTS!$A$1:$O$1,0)),0))</f>
        <v>0</v>
      </c>
      <c r="AL68" s="176">
        <v>78.7</v>
      </c>
      <c r="AM68" s="177">
        <f t="shared" ref="AM68:AM74" si="52">IF(W68="VENDOR","",IF(AL68="",AP68+AK68,AL68+AK68))</f>
        <v>78.7</v>
      </c>
      <c r="AN68" s="177" t="str">
        <f t="shared" ref="AN68:AN74" si="53">E68&amp;AJ68</f>
        <v>46037USDRUB</v>
      </c>
      <c r="AO68" s="176">
        <v>78.5</v>
      </c>
      <c r="AP68" s="178">
        <f ca="1">IF(LEFT(AJ68,3)=RIGHT(AJ68,3),1,VLOOKUP(AJ68,'FX RATES'!$H$1:$I$20,2,FALSE))</f>
        <v>76.720500000000001</v>
      </c>
      <c r="AQ68" s="178">
        <f>IF(OR(AJ68="USDAED",LEFT(AJ68,3)=RIGHT(AJ68,3)),AP68,IF(LEFT(AJ68)="USD",AO68,IF(RIGHT(AJ68,3)="USD",1,IFERROR(VLOOKUP(E68&amp;"USD"&amp;RIGHT(AJ68,3),$AN:$AO,2,FALSE),VLOOKUP(E68&amp;"USD"&amp;RIGHT(AB68,3),$AF:$AG,2,FALSE)))))</f>
        <v>78.5</v>
      </c>
      <c r="AR68" s="179">
        <f>-Q68*(1-Z68)/(1+X68)*IF(W68="CLIENT",IF(S68=RIGHT(AJ68,3),1/AM68,AM68),IF(W68="VENDOR",IF(S68=RIGHT(AJ68,3),1/AE68,AE68),AE68^(VLOOKUP(AB68,'FX RATES'!$H$1:$J$26,3,FALSE))/AM68^(VLOOKUP(AJ68,'FX RATES'!$H$1:$J$26,3,FALSE))))</f>
        <v>0</v>
      </c>
      <c r="AS68" s="179">
        <f>-I68*(1+X68)/(1-Z68)*IF(W68="VENDOR",IF(K68=RIGHT(AB68,3),1/AE68,AE68),IF(W68="CLIENT",IF(K68=RIGHT(AB68,3),1/AM68,AM68),AM68^(VLOOKUP(AJ68,'FX RATES'!$H$1:$J$26,3,FALSE))/AE68^(VLOOKUP(AB68,'FX RATES'!$H$1:$J$26,3,FALSE))))</f>
        <v>14076466.619095478</v>
      </c>
      <c r="AT68" s="170">
        <f>IF(AB68&lt;&gt;AJ68,J68/IF(K68=RIGHT(AB68,3),AE68,1/AE68),IF(S68="USD",J68/IF(K68=RIGHT(AB68,3),IF(W68="CLIENT",AM68,AE68),1/IF(W68="CLIENT",AM68,AE68)),J68*VLOOKUP(K68,'FX RATES'!$E$1:$F$10,2,FALSE)))</f>
        <v>-178260</v>
      </c>
      <c r="AU68" s="170">
        <f>IF(AB68&lt;&gt;AJ68,R68/IF(S68=RIGHT(AJ68,3),AM68,1/AM68),IF(K68="USD",R68/IF(S68=RIGHT(AJ68,3),IF(W68="CLIENT",AM68,AE68),1/IF(W68="CLIENT",AM68,AE68)),R68*VLOOKUP(S68,'FX RATES'!$E$1:$F$10,2,FALSE)))</f>
        <v>178862.3458589006</v>
      </c>
      <c r="AV68" s="170">
        <f t="shared" ref="AV68:AV74" si="54">AT68+AU68</f>
        <v>602.34585890060407</v>
      </c>
      <c r="AW68" s="169"/>
      <c r="AX68" s="170">
        <f t="shared" ref="AX68:AX74" si="55">IF(AND(ISERROR(SEARCH("INVOICE",T68)),ISERROR(SEARCH("SWITCH",T68)),ISERROR(SEARCH("FOREX",T68)),ISERROR(SEARCH("REFUND",A68)),ISERROR(SEARCH("CANCELLED",A68))),IF(AW68="",-AT68*X68+AU68*Z68,AW68),0)</f>
        <v>602.34585890061555</v>
      </c>
      <c r="AY68" s="170">
        <f t="shared" ref="AY68:AY74" si="56">IF(AZ68="USD",AT68,IF(AZ68=K68,J68,-R68))</f>
        <v>-178260</v>
      </c>
      <c r="AZ68" s="170" t="str">
        <f t="shared" ref="AZ68:AZ74" si="57">LEFT(AB68,3)</f>
        <v>USD</v>
      </c>
      <c r="BA68" s="542">
        <f>IF(OR(A68="REFUND",A68="CANCELLED"),0,IFERROR((IF(OR(AB68="USDAED",LEFT(AB68,3)=RIGHT(AB68,3)),AI68,AG68)-AE68)*-AY68*VLOOKUP(AB68,'FX RATES'!$H$1:$J$26,3,FALSE),0))</f>
        <v>0</v>
      </c>
      <c r="BB68" s="170" t="str">
        <f>RIGHT(AB68,3)</f>
        <v>USD</v>
      </c>
      <c r="BC68" s="542">
        <f t="shared" ref="BC68:BC74" si="58">IF(BA68=0,0,IFERROR(BA68/IF(BB68&lt;&gt;"USD",AI68,1),"???"))</f>
        <v>0</v>
      </c>
      <c r="BD68" s="170">
        <f t="shared" ref="BD68:BD74" si="59">IFERROR(-AC68/(IF(OR(AB68="USDAED",LEFT(AB68,3)=RIGHT(AB68,3)),AH68,AG68)-AE68)*BC68,0)</f>
        <v>0</v>
      </c>
      <c r="BE68" s="542">
        <f t="shared" ref="BE68:BE74" si="60">BC68-BD68</f>
        <v>0</v>
      </c>
      <c r="BF68" s="170">
        <f t="shared" ref="BF68:BF74" si="61">IF(BG68="USD",AU68,IF(BG68=S68,R68,-J68))</f>
        <v>178862.3458589006</v>
      </c>
      <c r="BG68" s="170" t="str">
        <f t="shared" ref="BG68:BG74" si="62">LEFT(AJ68,3)</f>
        <v>USD</v>
      </c>
      <c r="BH68" s="542">
        <f>IF(OR(A68="REFUND",A68="CANCELLED"),0,IFERROR((IF(OR(AJ68="USDAED",LEFT(AJ68,3)=RIGHT(AJ68,3)),AQ68,AO68)-AM68)*-BF68*VLOOKUP(AJ68,'FX RATES'!$H$1:$J$26,3,FALSE),0))</f>
        <v>35772.469171780627</v>
      </c>
      <c r="BI68" s="170" t="str">
        <f t="shared" ref="BI68:BI74" si="63">RIGHT(AJ68,3)</f>
        <v>RUB</v>
      </c>
      <c r="BJ68" s="542">
        <f t="shared" ref="BJ68:BJ74" si="64">IF(BH68=0,0,IFERROR(BH68/IF(BI68&lt;&gt;"USD",AQ68,1),"???"))</f>
        <v>455.70024422650482</v>
      </c>
      <c r="BK68" s="170">
        <f t="shared" ref="BK68:BK74" si="65">IFERROR(-AK68/(IF(OR(AJ68="USDAED",LEFT(AJ68,3)=RIGHT(AJ68,3)),AP68,AO68)-AM68)*BJ68,0)</f>
        <v>0</v>
      </c>
      <c r="BL68" s="542">
        <f t="shared" ref="BL68:BL74" si="66">BJ68-BK68</f>
        <v>455.70024422650482</v>
      </c>
      <c r="BM68" s="170">
        <f t="shared" ref="BM68:BM74" si="67">IF(AND(ISERROR(SEARCH("REFUND",A68)),ISERROR(SEARCH("CANCELLED",A68))),BD68+BK68,0)</f>
        <v>0</v>
      </c>
      <c r="BN68" s="542">
        <f t="shared" ref="BN68:BN74" si="68">IF(AND(ISERROR(SEARCH("REFUND",A68)),ISERROR(SEARCH("CANCELLED",A68))),BE68+BL68,0)</f>
        <v>455.70024422650482</v>
      </c>
    </row>
    <row r="69" spans="1:66" ht="19.5" customHeight="1">
      <c r="A69" s="167" t="s">
        <v>366</v>
      </c>
      <c r="B69" s="168" t="s">
        <v>39</v>
      </c>
      <c r="C69" s="168" t="s">
        <v>367</v>
      </c>
      <c r="D69" s="168" t="s">
        <v>368</v>
      </c>
      <c r="E69" s="171">
        <v>46037</v>
      </c>
      <c r="F69" s="171"/>
      <c r="G69" s="168" t="s">
        <v>39</v>
      </c>
      <c r="H69" s="168" t="s">
        <v>393</v>
      </c>
      <c r="I69" s="169"/>
      <c r="J69" s="170">
        <f t="shared" si="48"/>
        <v>-54609.82262078554</v>
      </c>
      <c r="K69" s="168" t="s">
        <v>5</v>
      </c>
      <c r="L69" s="171" t="s">
        <v>378</v>
      </c>
      <c r="M69" s="168" t="s">
        <v>20</v>
      </c>
      <c r="N69" s="167" t="s">
        <v>371</v>
      </c>
      <c r="O69" s="168" t="s">
        <v>39</v>
      </c>
      <c r="P69" s="168" t="s">
        <v>423</v>
      </c>
      <c r="Q69" s="169">
        <v>4321000.84</v>
      </c>
      <c r="R69" s="170">
        <f t="shared" si="49"/>
        <v>4321000.84</v>
      </c>
      <c r="S69" s="168" t="s">
        <v>9</v>
      </c>
      <c r="T69" s="171" t="s">
        <v>25</v>
      </c>
      <c r="U69" s="168" t="s">
        <v>25</v>
      </c>
      <c r="V69" s="167" t="s">
        <v>371</v>
      </c>
      <c r="W69" s="172" t="s">
        <v>389</v>
      </c>
      <c r="X69" s="173">
        <f>IF(Y69="",VLOOKUP(H69,CLIENTS!$A$1:$O$649,5,FALSE),Y69)</f>
        <v>0</v>
      </c>
      <c r="Y69" s="174">
        <v>0</v>
      </c>
      <c r="Z69" s="173">
        <f>IF(AA69="",VLOOKUP(P69,CLIENTS!$A$1:$O$649,5,FALSE),AA69)</f>
        <v>5.3709315511675237E-3</v>
      </c>
      <c r="AA69" s="174">
        <v>5.3709315511675237E-3</v>
      </c>
      <c r="AB69" s="173" t="str">
        <f>IF(W69="via USD",IF(K69="EUR",K69&amp;"USD","USD"&amp;K69),IFERROR(VLOOKUP(K69&amp;S69,'FX RATES'!$H$2:$H$20,1,FALSE),S69&amp;K69))</f>
        <v>USDRUB</v>
      </c>
      <c r="AC69" s="175">
        <f>IF(LEFT(AB69,3)=RIGHT(AB69,3),0,IFERROR(INDEX(CLIENTS!$A$1:$O$649,MATCH(H69,CLIENTS!$A$1:$A$649,0),MATCH(AB69,CLIENTS!$A$1:$O$1,0)),0))</f>
        <v>0</v>
      </c>
      <c r="AD69" s="176"/>
      <c r="AE69" s="177" t="str">
        <f t="shared" si="50"/>
        <v/>
      </c>
      <c r="AF69" s="177" t="str">
        <f t="shared" si="51"/>
        <v>46037USDRUB</v>
      </c>
      <c r="AG69" s="176">
        <v>78.5</v>
      </c>
      <c r="AH69" s="178">
        <f ca="1">IF(LEFT(AB69,3)=RIGHT(AB69,3),1,VLOOKUP(AB69,'FX RATES'!$H$1:$I$20,2,FALSE))</f>
        <v>76.720500000000001</v>
      </c>
      <c r="AI69" s="178">
        <f>IF(OR(AB69="USDAED",LEFT(AB69,3)=RIGHT(AB69,3)),AH69,IF(LEFT(AB69)="USD",AG69,IF(RIGHT(AB69,3)="USD",1,IFERROR(VLOOKUP(E69&amp;"USD"&amp;RIGHT(AB69,3),$AF:$AG,2,FALSE),VLOOKUP(E69&amp;"USD"&amp;RIGHT(AJ69,3),$AN:$AO,2,FALSE)))))</f>
        <v>78.5</v>
      </c>
      <c r="AJ69" s="173" t="str">
        <f>IF(W69="via USD",IF(S69="EUR",S69&amp;"USD","USD"&amp;S69),IFERROR(VLOOKUP(K69&amp;S69,'FX RATES'!$H$2:$H$20,1,FALSE),S69&amp;K69))</f>
        <v>USDRUB</v>
      </c>
      <c r="AK69" s="175">
        <f>IF(LEFT(AJ69,3)=RIGHT(AJ69,3),0,IFERROR(INDEX(CLIENTS!$A$1:$O$649,MATCH(P69,CLIENTS!$A$1:$A$649,0),MATCH(AJ69,CLIENTS!$A$1:$O$1,0)),0))</f>
        <v>0</v>
      </c>
      <c r="AL69" s="176">
        <v>78.7</v>
      </c>
      <c r="AM69" s="177">
        <f t="shared" si="52"/>
        <v>78.7</v>
      </c>
      <c r="AN69" s="177" t="str">
        <f t="shared" si="53"/>
        <v>46037USDRUB</v>
      </c>
      <c r="AO69" s="176">
        <v>78.5</v>
      </c>
      <c r="AP69" s="178">
        <f ca="1">IF(LEFT(AJ69,3)=RIGHT(AJ69,3),1,VLOOKUP(AJ69,'FX RATES'!$H$1:$I$20,2,FALSE))</f>
        <v>76.720500000000001</v>
      </c>
      <c r="AQ69" s="178">
        <f>IF(OR(AJ69="USDAED",LEFT(AJ69,3)=RIGHT(AJ69,3)),AP69,IF(LEFT(AJ69)="USD",AO69,IF(RIGHT(AJ69,3)="USD",1,IFERROR(VLOOKUP(E69&amp;"USD"&amp;RIGHT(AJ69,3),$AN:$AO,2,FALSE),VLOOKUP(E69&amp;"USD"&amp;RIGHT(AB69,3),$AF:$AG,2,FALSE)))))</f>
        <v>78.5</v>
      </c>
      <c r="AR69" s="179">
        <f>-Q69*(1-Z69)/(1+X69)*IF(W69="CLIENT",IF(S69=RIGHT(AJ69,3),1/AM69,AM69),IF(W69="VENDOR",IF(S69=RIGHT(AJ69,3),1/AE69,AE69),AE69^(VLOOKUP(AB69,'FX RATES'!$H$1:$J$26,3,FALSE))/AM69^(VLOOKUP(AJ69,'FX RATES'!$H$1:$J$26,3,FALSE))))</f>
        <v>-54609.82262078554</v>
      </c>
      <c r="AS69" s="179">
        <f>-I69*(1+X69)/(1-Z69)*IF(W69="VENDOR",IF(K69=RIGHT(AB69,3),1/AE69,AE69),IF(W69="CLIENT",IF(K69=RIGHT(AB69,3),1/AM69,AM69),AM69^(VLOOKUP(AJ69,'FX RATES'!$H$1:$J$26,3,FALSE))/AE69^(VLOOKUP(AB69,'FX RATES'!$H$1:$J$26,3,FALSE))))</f>
        <v>0</v>
      </c>
      <c r="AT69" s="170">
        <f>IF(AB69&lt;&gt;AJ69,J69/IF(K69=RIGHT(AB69,3),AE69,1/AE69),IF(S69="USD",J69/IF(K69=RIGHT(AB69,3),IF(W69="CLIENT",AM69,AE69),1/IF(W69="CLIENT",AM69,AE69)),J69*VLOOKUP(K69,'FX RATES'!$E$1:$F$10,2,FALSE)))</f>
        <v>-54609.82262078554</v>
      </c>
      <c r="AU69" s="170">
        <f>IF(AB69&lt;&gt;AJ69,R69/IF(S69=RIGHT(AJ69,3),AM69,1/AM69),IF(K69="USD",R69/IF(S69=RIGHT(AJ69,3),IF(W69="CLIENT",AM69,AE69),1/IF(W69="CLIENT",AM69,AE69)),R69*VLOOKUP(S69,'FX RATES'!$E$1:$F$10,2,FALSE)))</f>
        <v>54904.712071156289</v>
      </c>
      <c r="AV69" s="170">
        <f t="shared" si="54"/>
        <v>294.88945037074882</v>
      </c>
      <c r="AW69" s="169"/>
      <c r="AX69" s="170">
        <f t="shared" si="55"/>
        <v>294.88945037074171</v>
      </c>
      <c r="AY69" s="170">
        <f t="shared" si="56"/>
        <v>-54609.82262078554</v>
      </c>
      <c r="AZ69" s="170" t="str">
        <f t="shared" si="57"/>
        <v>USD</v>
      </c>
      <c r="BA69" s="542">
        <f>IF(OR(A69="REFUND",A69="CANCELLED"),0,IFERROR((IF(OR(AB69="USDAED",LEFT(AB69,3)=RIGHT(AB69,3)),AI69,AG69)-AE69)*-AY69*VLOOKUP(AB69,'FX RATES'!$H$1:$J$26,3,FALSE),0))</f>
        <v>0</v>
      </c>
      <c r="BB69" s="170" t="str">
        <f>RIGHT(AB69,3)</f>
        <v>RUB</v>
      </c>
      <c r="BC69" s="542">
        <f t="shared" si="58"/>
        <v>0</v>
      </c>
      <c r="BD69" s="170">
        <f t="shared" si="59"/>
        <v>0</v>
      </c>
      <c r="BE69" s="542">
        <f t="shared" si="60"/>
        <v>0</v>
      </c>
      <c r="BF69" s="170">
        <f t="shared" si="61"/>
        <v>54904.712071156289</v>
      </c>
      <c r="BG69" s="170" t="str">
        <f t="shared" si="62"/>
        <v>USD</v>
      </c>
      <c r="BH69" s="542">
        <f>IF(OR(A69="REFUND",A69="CANCELLED"),0,IFERROR((IF(OR(AJ69="USDAED",LEFT(AJ69,3)=RIGHT(AJ69,3)),AQ69,AO69)-AM69)*-BF69*VLOOKUP(AJ69,'FX RATES'!$H$1:$J$26,3,FALSE),0))</f>
        <v>10980.942414231415</v>
      </c>
      <c r="BI69" s="170" t="str">
        <f t="shared" si="63"/>
        <v>RUB</v>
      </c>
      <c r="BJ69" s="542">
        <f t="shared" si="64"/>
        <v>139.88461674180147</v>
      </c>
      <c r="BK69" s="170">
        <f t="shared" si="65"/>
        <v>0</v>
      </c>
      <c r="BL69" s="542">
        <f t="shared" si="66"/>
        <v>139.88461674180147</v>
      </c>
      <c r="BM69" s="170">
        <f t="shared" si="67"/>
        <v>0</v>
      </c>
      <c r="BN69" s="542">
        <f t="shared" si="68"/>
        <v>139.88461674180147</v>
      </c>
    </row>
    <row r="70" spans="1:66" ht="19.5" customHeight="1">
      <c r="A70" s="167" t="s">
        <v>366</v>
      </c>
      <c r="B70" s="168" t="s">
        <v>31</v>
      </c>
      <c r="C70" s="168" t="s">
        <v>367</v>
      </c>
      <c r="D70" s="181" t="s">
        <v>368</v>
      </c>
      <c r="E70" s="171">
        <v>46037</v>
      </c>
      <c r="F70" s="171"/>
      <c r="G70" s="168" t="s">
        <v>31</v>
      </c>
      <c r="H70" s="181" t="s">
        <v>443</v>
      </c>
      <c r="I70" s="169">
        <v>-67864.800000000003</v>
      </c>
      <c r="J70" s="170">
        <f t="shared" si="48"/>
        <v>-67864.800000000003</v>
      </c>
      <c r="K70" s="168" t="s">
        <v>5</v>
      </c>
      <c r="L70" s="168" t="s">
        <v>444</v>
      </c>
      <c r="M70" s="168" t="s">
        <v>14</v>
      </c>
      <c r="N70" s="167" t="s">
        <v>371</v>
      </c>
      <c r="O70" s="168" t="s">
        <v>39</v>
      </c>
      <c r="P70" s="349" t="s">
        <v>379</v>
      </c>
      <c r="Q70" s="169"/>
      <c r="R70" s="170">
        <f t="shared" si="49"/>
        <v>5359007.02239196</v>
      </c>
      <c r="S70" s="168" t="s">
        <v>9</v>
      </c>
      <c r="T70" s="171" t="s">
        <v>380</v>
      </c>
      <c r="U70" s="171" t="s">
        <v>25</v>
      </c>
      <c r="V70" s="167" t="s">
        <v>371</v>
      </c>
      <c r="W70" s="172" t="s">
        <v>375</v>
      </c>
      <c r="X70" s="173">
        <f>IF(Y70="",VLOOKUP(H70,CLIENTS!$A$1:$O$649,5,FALSE),Y70)</f>
        <v>0</v>
      </c>
      <c r="Y70" s="174">
        <v>0</v>
      </c>
      <c r="Z70" s="173">
        <f>IF(AA70="",VLOOKUP(P70,CLIENTS!$A$1:$O$649,5,FALSE),AA70)</f>
        <v>3.3676504465381951E-3</v>
      </c>
      <c r="AA70" s="174">
        <v>3.3676504465381951E-3</v>
      </c>
      <c r="AB70" s="173" t="str">
        <f>IF(W70="via USD",IF(K70="EUR",K70&amp;"USD","USD"&amp;K70),IFERROR(VLOOKUP(K70&amp;S70,'FX RATES'!$H$2:$H$20,1,FALSE),S70&amp;K70))</f>
        <v>USDUSD</v>
      </c>
      <c r="AC70" s="175">
        <f>IF(LEFT(AB70,3)=RIGHT(AB70,3),0,IFERROR(INDEX(CLIENTS!$A$1:$O$649,MATCH(H70,CLIENTS!$A$1:$A$649,0),MATCH(AB70,CLIENTS!$A$1:$O$1,0)),0))</f>
        <v>0</v>
      </c>
      <c r="AD70" s="176"/>
      <c r="AE70" s="177">
        <f t="shared" si="50"/>
        <v>1</v>
      </c>
      <c r="AF70" s="177" t="str">
        <f t="shared" si="51"/>
        <v>46037USDUSD</v>
      </c>
      <c r="AG70" s="176"/>
      <c r="AH70" s="178">
        <f>IF(LEFT(AB70,3)=RIGHT(AB70,3),1,VLOOKUP(AB70,'FX RATES'!$H$1:$I$20,2,FALSE))</f>
        <v>1</v>
      </c>
      <c r="AI70" s="178">
        <f>IF(OR(AB70="USDAED",LEFT(AB70,3)=RIGHT(AB70,3)),AH70,IF(LEFT(AB70)="USD",AG70,IF(RIGHT(AB70,3)="USD",1,IFERROR(VLOOKUP(E70&amp;"USD"&amp;RIGHT(AB70,3),$AF:$AG,2,FALSE),VLOOKUP(E70&amp;"USD"&amp;RIGHT(AJ70,3),$AN:$AO,2,FALSE)))))</f>
        <v>1</v>
      </c>
      <c r="AJ70" s="173" t="str">
        <f>IF(W70="via USD",IF(S70="EUR",S70&amp;"USD","USD"&amp;S70),IFERROR(VLOOKUP(K70&amp;S70,'FX RATES'!$H$2:$H$20,1,FALSE),S70&amp;K70))</f>
        <v>USDRUB</v>
      </c>
      <c r="AK70" s="175">
        <f>IF(LEFT(AJ70,3)=RIGHT(AJ70,3),0,IFERROR(INDEX(CLIENTS!$A$1:$O$649,MATCH(P70,CLIENTS!$A$1:$A$649,0),MATCH(AJ70,CLIENTS!$A$1:$O$1,0)),0))</f>
        <v>0</v>
      </c>
      <c r="AL70" s="176">
        <v>78.7</v>
      </c>
      <c r="AM70" s="177">
        <f t="shared" si="52"/>
        <v>78.7</v>
      </c>
      <c r="AN70" s="177" t="str">
        <f t="shared" si="53"/>
        <v>46037USDRUB</v>
      </c>
      <c r="AO70" s="176">
        <v>78.5</v>
      </c>
      <c r="AP70" s="178">
        <f ca="1">IF(LEFT(AJ70,3)=RIGHT(AJ70,3),1,VLOOKUP(AJ70,'FX RATES'!$H$1:$I$20,2,FALSE))</f>
        <v>76.720500000000001</v>
      </c>
      <c r="AQ70" s="178">
        <f>IF(OR(AJ70="USDAED",LEFT(AJ70,3)=RIGHT(AJ70,3)),AP70,IF(LEFT(AJ70)="USD",AO70,IF(RIGHT(AJ70,3)="USD",1,IFERROR(VLOOKUP(E70&amp;"USD"&amp;RIGHT(AJ70,3),$AN:$AO,2,FALSE),VLOOKUP(E70&amp;"USD"&amp;RIGHT(AB70,3),$AF:$AG,2,FALSE)))))</f>
        <v>78.5</v>
      </c>
      <c r="AR70" s="179">
        <f>-Q70*(1-Z70)/(1+X70)*IF(W70="CLIENT",IF(S70=RIGHT(AJ70,3),1/AM70,AM70),IF(W70="VENDOR",IF(S70=RIGHT(AJ70,3),1/AE70,AE70),AE70^(VLOOKUP(AB70,'FX RATES'!$H$1:$J$26,3,FALSE))/AM70^(VLOOKUP(AJ70,'FX RATES'!$H$1:$J$26,3,FALSE))))</f>
        <v>0</v>
      </c>
      <c r="AS70" s="179">
        <f>-I70*(1+X70)/(1-Z70)*IF(W70="VENDOR",IF(K70=RIGHT(AB70,3),1/AE70,AE70),IF(W70="CLIENT",IF(K70=RIGHT(AB70,3),1/AM70,AM70),AM70^(VLOOKUP(AJ70,'FX RATES'!$H$1:$J$26,3,FALSE))/AE70^(VLOOKUP(AB70,'FX RATES'!$H$1:$J$26,3,FALSE))))</f>
        <v>5359007.02239196</v>
      </c>
      <c r="AT70" s="170">
        <f>IF(AB70&lt;&gt;AJ70,J70/IF(K70=RIGHT(AB70,3),AE70,1/AE70),IF(S70="USD",J70/IF(K70=RIGHT(AB70,3),IF(W70="CLIENT",AM70,AE70),1/IF(W70="CLIENT",AM70,AE70)),J70*VLOOKUP(K70,'FX RATES'!$E$1:$F$10,2,FALSE)))</f>
        <v>-67864.800000000003</v>
      </c>
      <c r="AU70" s="170">
        <f>IF(AB70&lt;&gt;AJ70,R70/IF(S70=RIGHT(AJ70,3),AM70,1/AM70),IF(K70="USD",R70/IF(S70=RIGHT(AJ70,3),IF(W70="CLIENT",AM70,AE70),1/IF(W70="CLIENT",AM70,AE70)),R70*VLOOKUP(S70,'FX RATES'!$E$1:$F$10,2,FALSE)))</f>
        <v>68094.117184141796</v>
      </c>
      <c r="AV70" s="170">
        <f t="shared" si="54"/>
        <v>229.3171841417934</v>
      </c>
      <c r="AW70" s="169"/>
      <c r="AX70" s="170">
        <f t="shared" si="55"/>
        <v>229.31718414179932</v>
      </c>
      <c r="AY70" s="170">
        <f t="shared" si="56"/>
        <v>-67864.800000000003</v>
      </c>
      <c r="AZ70" s="170" t="str">
        <f t="shared" si="57"/>
        <v>USD</v>
      </c>
      <c r="BA70" s="542">
        <f>IF(OR(A70="REFUND",A70="CANCELLED"),0,IFERROR((IF(OR(AB70="USDAED",LEFT(AB70,3)=RIGHT(AB70,3)),AI70,AG70)-AE70)*-AY70*VLOOKUP(AB70,'FX RATES'!$H$1:$J$26,3,FALSE),0))</f>
        <v>0</v>
      </c>
      <c r="BB70" s="170" t="str">
        <f>RIGHT(AB70,3)</f>
        <v>USD</v>
      </c>
      <c r="BC70" s="542">
        <f t="shared" si="58"/>
        <v>0</v>
      </c>
      <c r="BD70" s="170">
        <f t="shared" si="59"/>
        <v>0</v>
      </c>
      <c r="BE70" s="542">
        <f t="shared" si="60"/>
        <v>0</v>
      </c>
      <c r="BF70" s="170">
        <f t="shared" si="61"/>
        <v>68094.117184141796</v>
      </c>
      <c r="BG70" s="170" t="str">
        <f t="shared" si="62"/>
        <v>USD</v>
      </c>
      <c r="BH70" s="542">
        <f>IF(OR(A70="REFUND",A70="CANCELLED"),0,IFERROR((IF(OR(AJ70="USDAED",LEFT(AJ70,3)=RIGHT(AJ70,3)),AQ70,AO70)-AM70)*-BF70*VLOOKUP(AJ70,'FX RATES'!$H$1:$J$26,3,FALSE),0))</f>
        <v>13618.823436828552</v>
      </c>
      <c r="BI70" s="170" t="str">
        <f t="shared" si="63"/>
        <v>RUB</v>
      </c>
      <c r="BJ70" s="542">
        <f t="shared" si="64"/>
        <v>173.48819664749749</v>
      </c>
      <c r="BK70" s="170">
        <f t="shared" si="65"/>
        <v>0</v>
      </c>
      <c r="BL70" s="542">
        <f t="shared" si="66"/>
        <v>173.48819664749749</v>
      </c>
      <c r="BM70" s="170">
        <f t="shared" si="67"/>
        <v>0</v>
      </c>
      <c r="BN70" s="542">
        <f t="shared" si="68"/>
        <v>173.48819664749749</v>
      </c>
    </row>
    <row r="71" spans="1:66" ht="19.5" customHeight="1">
      <c r="A71" s="167" t="s">
        <v>366</v>
      </c>
      <c r="B71" s="168" t="s">
        <v>31</v>
      </c>
      <c r="C71" s="168" t="s">
        <v>367</v>
      </c>
      <c r="D71" s="181" t="s">
        <v>368</v>
      </c>
      <c r="E71" s="171">
        <v>46037</v>
      </c>
      <c r="F71" s="171"/>
      <c r="G71" s="168" t="s">
        <v>31</v>
      </c>
      <c r="H71" s="181" t="s">
        <v>445</v>
      </c>
      <c r="I71" s="169">
        <v>-17463.599999999999</v>
      </c>
      <c r="J71" s="170">
        <f t="shared" si="48"/>
        <v>-17463.599999999999</v>
      </c>
      <c r="K71" s="168" t="s">
        <v>5</v>
      </c>
      <c r="L71" s="168" t="s">
        <v>446</v>
      </c>
      <c r="M71" s="168" t="s">
        <v>14</v>
      </c>
      <c r="N71" s="167" t="s">
        <v>371</v>
      </c>
      <c r="O71" s="168" t="s">
        <v>39</v>
      </c>
      <c r="P71" s="349" t="s">
        <v>379</v>
      </c>
      <c r="Q71" s="169"/>
      <c r="R71" s="170">
        <f t="shared" si="49"/>
        <v>1379029.4090050249</v>
      </c>
      <c r="S71" s="168" t="s">
        <v>9</v>
      </c>
      <c r="T71" s="171" t="s">
        <v>380</v>
      </c>
      <c r="U71" s="171" t="s">
        <v>25</v>
      </c>
      <c r="V71" s="167" t="s">
        <v>371</v>
      </c>
      <c r="W71" s="172" t="s">
        <v>375</v>
      </c>
      <c r="X71" s="173">
        <f>IF(Y71="",VLOOKUP(H71,CLIENTS!$A$1:$O$649,5,FALSE),Y71)</f>
        <v>0</v>
      </c>
      <c r="Y71" s="174">
        <v>0</v>
      </c>
      <c r="Z71" s="173">
        <f>IF(AA71="",VLOOKUP(P71,CLIENTS!$A$1:$O$649,5,FALSE),AA71)</f>
        <v>3.3676504465381951E-3</v>
      </c>
      <c r="AA71" s="174">
        <v>3.3676504465381951E-3</v>
      </c>
      <c r="AB71" s="173" t="str">
        <f>IF(W71="via USD",IF(K71="EUR",K71&amp;"USD","USD"&amp;K71),IFERROR(VLOOKUP(K71&amp;S71,'FX RATES'!$H$2:$H$20,1,FALSE),S71&amp;K71))</f>
        <v>USDUSD</v>
      </c>
      <c r="AC71" s="175">
        <f>IF(LEFT(AB71,3)=RIGHT(AB71,3),0,IFERROR(INDEX(CLIENTS!$A$1:$O$649,MATCH(H71,CLIENTS!$A$1:$A$649,0),MATCH(AB71,CLIENTS!$A$1:$O$1,0)),0))</f>
        <v>0</v>
      </c>
      <c r="AD71" s="176"/>
      <c r="AE71" s="177">
        <f t="shared" si="50"/>
        <v>1</v>
      </c>
      <c r="AF71" s="177" t="str">
        <f t="shared" si="51"/>
        <v>46037USDUSD</v>
      </c>
      <c r="AG71" s="176"/>
      <c r="AH71" s="178">
        <f>IF(LEFT(AB71,3)=RIGHT(AB71,3),1,VLOOKUP(AB71,'FX RATES'!$H$1:$I$20,2,FALSE))</f>
        <v>1</v>
      </c>
      <c r="AI71" s="178">
        <f>IF(OR(AB71="USDAED",LEFT(AB71,3)=RIGHT(AB71,3)),AH71,IF(LEFT(AB71)="USD",AG71,IF(RIGHT(AB71,3)="USD",1,IFERROR(VLOOKUP(E71&amp;"USD"&amp;RIGHT(AB71,3),$AF:$AG,2,FALSE),VLOOKUP(E71&amp;"USD"&amp;RIGHT(AJ71,3),$AN:$AO,2,FALSE)))))</f>
        <v>1</v>
      </c>
      <c r="AJ71" s="173" t="str">
        <f>IF(W71="via USD",IF(S71="EUR",S71&amp;"USD","USD"&amp;S71),IFERROR(VLOOKUP(K71&amp;S71,'FX RATES'!$H$2:$H$20,1,FALSE),S71&amp;K71))</f>
        <v>USDRUB</v>
      </c>
      <c r="AK71" s="175">
        <f>IF(LEFT(AJ71,3)=RIGHT(AJ71,3),0,IFERROR(INDEX(CLIENTS!$A$1:$O$649,MATCH(P71,CLIENTS!$A$1:$A$649,0),MATCH(AJ71,CLIENTS!$A$1:$O$1,0)),0))</f>
        <v>0</v>
      </c>
      <c r="AL71" s="176">
        <v>78.7</v>
      </c>
      <c r="AM71" s="177">
        <f t="shared" si="52"/>
        <v>78.7</v>
      </c>
      <c r="AN71" s="177" t="str">
        <f t="shared" si="53"/>
        <v>46037USDRUB</v>
      </c>
      <c r="AO71" s="176">
        <v>78.5</v>
      </c>
      <c r="AP71" s="178">
        <f ca="1">IF(LEFT(AJ71,3)=RIGHT(AJ71,3),1,VLOOKUP(AJ71,'FX RATES'!$H$1:$I$20,2,FALSE))</f>
        <v>76.720500000000001</v>
      </c>
      <c r="AQ71" s="178">
        <f>IF(OR(AJ71="USDAED",LEFT(AJ71,3)=RIGHT(AJ71,3)),AP71,IF(LEFT(AJ71)="USD",AO71,IF(RIGHT(AJ71,3)="USD",1,IFERROR(VLOOKUP(E71&amp;"USD"&amp;RIGHT(AJ71,3),$AN:$AO,2,FALSE),VLOOKUP(E71&amp;"USD"&amp;RIGHT(AB71,3),$AF:$AG,2,FALSE)))))</f>
        <v>78.5</v>
      </c>
      <c r="AR71" s="179">
        <f>-Q71*(1-Z71)/(1+X71)*IF(W71="CLIENT",IF(S71=RIGHT(AJ71,3),1/AM71,AM71),IF(W71="VENDOR",IF(S71=RIGHT(AJ71,3),1/AE71,AE71),AE71^(VLOOKUP(AB71,'FX RATES'!$H$1:$J$26,3,FALSE))/AM71^(VLOOKUP(AJ71,'FX RATES'!$H$1:$J$26,3,FALSE))))</f>
        <v>0</v>
      </c>
      <c r="AS71" s="179">
        <f>-I71*(1+X71)/(1-Z71)*IF(W71="VENDOR",IF(K71=RIGHT(AB71,3),1/AE71,AE71),IF(W71="CLIENT",IF(K71=RIGHT(AB71,3),1/AM71,AM71),AM71^(VLOOKUP(AJ71,'FX RATES'!$H$1:$J$26,3,FALSE))/AE71^(VLOOKUP(AB71,'FX RATES'!$H$1:$J$26,3,FALSE))))</f>
        <v>1379029.4090050249</v>
      </c>
      <c r="AT71" s="170">
        <f>IF(AB71&lt;&gt;AJ71,J71/IF(K71=RIGHT(AB71,3),AE71,1/AE71),IF(S71="USD",J71/IF(K71=RIGHT(AB71,3),IF(W71="CLIENT",AM71,AE71),1/IF(W71="CLIENT",AM71,AE71)),J71*VLOOKUP(K71,'FX RATES'!$E$1:$F$10,2,FALSE)))</f>
        <v>-17463.599999999999</v>
      </c>
      <c r="AU71" s="170">
        <f>IF(AB71&lt;&gt;AJ71,R71/IF(S71=RIGHT(AJ71,3),AM71,1/AM71),IF(K71="USD",R71/IF(S71=RIGHT(AJ71,3),IF(W71="CLIENT",AM71,AE71),1/IF(W71="CLIENT",AM71,AE71)),R71*VLOOKUP(S71,'FX RATES'!$E$1:$F$10,2,FALSE)))</f>
        <v>17522.61002547681</v>
      </c>
      <c r="AV71" s="170">
        <f t="shared" si="54"/>
        <v>59.010025476811279</v>
      </c>
      <c r="AW71" s="169"/>
      <c r="AX71" s="170">
        <f t="shared" si="55"/>
        <v>59.010025476811634</v>
      </c>
      <c r="AY71" s="170">
        <f t="shared" si="56"/>
        <v>-17463.599999999999</v>
      </c>
      <c r="AZ71" s="170" t="str">
        <f t="shared" si="57"/>
        <v>USD</v>
      </c>
      <c r="BA71" s="542">
        <f>IF(OR(A71="REFUND",A71="CANCELLED"),0,IFERROR((IF(OR(AB71="USDAED",LEFT(AB71,3)=RIGHT(AB71,3)),AI71,AG71)-AE71)*-AY71*VLOOKUP(AB71,'FX RATES'!$H$1:$J$26,3,FALSE),0))</f>
        <v>0</v>
      </c>
      <c r="BB71" s="170" t="str">
        <f>RIGHT(AB71,3)</f>
        <v>USD</v>
      </c>
      <c r="BC71" s="542">
        <f t="shared" si="58"/>
        <v>0</v>
      </c>
      <c r="BD71" s="170">
        <f t="shared" si="59"/>
        <v>0</v>
      </c>
      <c r="BE71" s="542">
        <f t="shared" si="60"/>
        <v>0</v>
      </c>
      <c r="BF71" s="170">
        <f t="shared" si="61"/>
        <v>17522.61002547681</v>
      </c>
      <c r="BG71" s="170" t="str">
        <f t="shared" si="62"/>
        <v>USD</v>
      </c>
      <c r="BH71" s="542">
        <f>IF(OR(A71="REFUND",A71="CANCELLED"),0,IFERROR((IF(OR(AJ71="USDAED",LEFT(AJ71,3)=RIGHT(AJ71,3)),AQ71,AO71)-AM71)*-BF71*VLOOKUP(AJ71,'FX RATES'!$H$1:$J$26,3,FALSE),0))</f>
        <v>3504.5220050954117</v>
      </c>
      <c r="BI71" s="170" t="str">
        <f t="shared" si="63"/>
        <v>RUB</v>
      </c>
      <c r="BJ71" s="542">
        <f t="shared" si="64"/>
        <v>44.643592421597603</v>
      </c>
      <c r="BK71" s="170">
        <f t="shared" si="65"/>
        <v>0</v>
      </c>
      <c r="BL71" s="542">
        <f t="shared" si="66"/>
        <v>44.643592421597603</v>
      </c>
      <c r="BM71" s="170">
        <f t="shared" si="67"/>
        <v>0</v>
      </c>
      <c r="BN71" s="542">
        <f t="shared" si="68"/>
        <v>44.643592421597603</v>
      </c>
    </row>
    <row r="72" spans="1:66" ht="19.5" customHeight="1">
      <c r="A72" s="167" t="s">
        <v>366</v>
      </c>
      <c r="B72" s="168" t="s">
        <v>102</v>
      </c>
      <c r="C72" s="168" t="s">
        <v>367</v>
      </c>
      <c r="D72" s="168" t="s">
        <v>143</v>
      </c>
      <c r="E72" s="171">
        <v>46037</v>
      </c>
      <c r="F72" s="171"/>
      <c r="G72" s="168" t="s">
        <v>102</v>
      </c>
      <c r="H72" s="181" t="s">
        <v>447</v>
      </c>
      <c r="I72" s="169">
        <v>-94758.33</v>
      </c>
      <c r="J72" s="170">
        <f t="shared" si="48"/>
        <v>-94758.33</v>
      </c>
      <c r="K72" s="168" t="s">
        <v>5</v>
      </c>
      <c r="L72" s="171" t="s">
        <v>448</v>
      </c>
      <c r="M72" s="168" t="s">
        <v>54</v>
      </c>
      <c r="N72" s="167" t="s">
        <v>371</v>
      </c>
      <c r="O72" s="168" t="s">
        <v>39</v>
      </c>
      <c r="P72" s="168" t="s">
        <v>449</v>
      </c>
      <c r="Q72" s="169"/>
      <c r="R72" s="170">
        <f t="shared" si="49"/>
        <v>7612746.6485306751</v>
      </c>
      <c r="S72" s="168" t="s">
        <v>9</v>
      </c>
      <c r="T72" s="171" t="s">
        <v>450</v>
      </c>
      <c r="U72" s="168" t="s">
        <v>25</v>
      </c>
      <c r="V72" s="167" t="s">
        <v>371</v>
      </c>
      <c r="W72" s="172" t="s">
        <v>375</v>
      </c>
      <c r="X72" s="173">
        <f>IF(Y72="",VLOOKUP(H72,CLIENTS!$A$1:$O$649,5,FALSE),Y72)</f>
        <v>0</v>
      </c>
      <c r="Y72" s="174">
        <v>0</v>
      </c>
      <c r="Z72" s="173">
        <f>IF(AA72="",VLOOKUP(P72,CLIENTS!$A$1:$O$649,5,FALSE),AA72)</f>
        <v>2.0395539835893817E-2</v>
      </c>
      <c r="AA72" s="174">
        <v>2.0395539835893817E-2</v>
      </c>
      <c r="AB72" s="173" t="str">
        <f>IF(W72="via USD",IF(K72="EUR",K72&amp;"USD","USD"&amp;K72),IFERROR(VLOOKUP(K72&amp;S72,'FX RATES'!$H$2:$H$20,1,FALSE),S72&amp;K72))</f>
        <v>USDUSD</v>
      </c>
      <c r="AC72" s="175">
        <f>IF(LEFT(AB72,3)=RIGHT(AB72,3),0,IFERROR(INDEX(CLIENTS!$A$1:$O$649,MATCH(H72,CLIENTS!$A$1:$A$649,0),MATCH(AB72,CLIENTS!$A$1:$O$1,0)),0))</f>
        <v>0</v>
      </c>
      <c r="AD72" s="176"/>
      <c r="AE72" s="177">
        <f t="shared" si="50"/>
        <v>1</v>
      </c>
      <c r="AF72" s="177" t="str">
        <f t="shared" si="51"/>
        <v>46037USDUSD</v>
      </c>
      <c r="AG72" s="176"/>
      <c r="AH72" s="178">
        <f>IF(LEFT(AB72,3)=RIGHT(AB72,3),1,VLOOKUP(AB72,'FX RATES'!$H$1:$I$20,2,FALSE))</f>
        <v>1</v>
      </c>
      <c r="AI72" s="178">
        <f>IF(OR(AB72="USDAED",LEFT(AB72,3)=RIGHT(AB72,3)),AH72,IF(LEFT(AB72)="USD",AG72,IF(RIGHT(AB72,3)="USD",1,IFERROR(VLOOKUP(E72&amp;"USD"&amp;RIGHT(AB72,3),$AF:$AG,2,FALSE),VLOOKUP(E72&amp;"USD"&amp;RIGHT(AJ72,3),$AN:$AO,2,FALSE)))))</f>
        <v>1</v>
      </c>
      <c r="AJ72" s="173" t="str">
        <f>IF(W72="via USD",IF(S72="EUR",S72&amp;"USD","USD"&amp;S72),IFERROR(VLOOKUP(K72&amp;S72,'FX RATES'!$H$2:$H$20,1,FALSE),S72&amp;K72))</f>
        <v>USDRUB</v>
      </c>
      <c r="AK72" s="175">
        <f>IF(LEFT(AJ72,3)=RIGHT(AJ72,3),0,IFERROR(INDEX(CLIENTS!$A$1:$O$649,MATCH(P72,CLIENTS!$A$1:$A$649,0),MATCH(AJ72,CLIENTS!$A$1:$O$1,0)),0))</f>
        <v>0</v>
      </c>
      <c r="AL72" s="176">
        <v>78.7</v>
      </c>
      <c r="AM72" s="177">
        <f t="shared" si="52"/>
        <v>78.7</v>
      </c>
      <c r="AN72" s="177" t="str">
        <f t="shared" si="53"/>
        <v>46037USDRUB</v>
      </c>
      <c r="AO72" s="176">
        <v>78.5</v>
      </c>
      <c r="AP72" s="178">
        <f ca="1">IF(LEFT(AJ72,3)=RIGHT(AJ72,3),1,VLOOKUP(AJ72,'FX RATES'!$H$1:$I$20,2,FALSE))</f>
        <v>76.720500000000001</v>
      </c>
      <c r="AQ72" s="178">
        <f>IF(OR(AJ72="USDAED",LEFT(AJ72,3)=RIGHT(AJ72,3)),AP72,IF(LEFT(AJ72)="USD",AO72,IF(RIGHT(AJ72,3)="USD",1,IFERROR(VLOOKUP(E72&amp;"USD"&amp;RIGHT(AJ72,3),$AN:$AO,2,FALSE),VLOOKUP(E72&amp;"USD"&amp;RIGHT(AB72,3),$AF:$AG,2,FALSE)))))</f>
        <v>78.5</v>
      </c>
      <c r="AR72" s="179">
        <f>-Q72*(1-Z72)/(1+X72)*IF(W72="CLIENT",IF(S72=RIGHT(AJ72,3),1/AM72,AM72),IF(W72="VENDOR",IF(S72=RIGHT(AJ72,3),1/AE72,AE72),AE72^(VLOOKUP(AB72,'FX RATES'!$H$1:$J$26,3,FALSE))/AM72^(VLOOKUP(AJ72,'FX RATES'!$H$1:$J$26,3,FALSE))))</f>
        <v>0</v>
      </c>
      <c r="AS72" s="179">
        <f>-I72*(1+X72)/(1-Z72)*IF(W72="VENDOR",IF(K72=RIGHT(AB72,3),1/AE72,AE72),IF(W72="CLIENT",IF(K72=RIGHT(AB72,3),1/AM72,AM72),AM72^(VLOOKUP(AJ72,'FX RATES'!$H$1:$J$26,3,FALSE))/AE72^(VLOOKUP(AB72,'FX RATES'!$H$1:$J$26,3,FALSE))))</f>
        <v>7612746.6485306751</v>
      </c>
      <c r="AT72" s="170">
        <f>IF(AB72&lt;&gt;AJ72,J72/IF(K72=RIGHT(AB72,3),AE72,1/AE72),IF(S72="USD",J72/IF(K72=RIGHT(AB72,3),IF(W72="CLIENT",AM72,AE72),1/IF(W72="CLIENT",AM72,AE72)),J72*VLOOKUP(K72,'FX RATES'!$E$1:$F$10,2,FALSE)))</f>
        <v>-94758.33</v>
      </c>
      <c r="AU72" s="170">
        <f>IF(AB72&lt;&gt;AJ72,R72/IF(S72=RIGHT(AJ72,3),AM72,1/AM72),IF(K72="USD",R72/IF(S72=RIGHT(AJ72,3),IF(W72="CLIENT",AM72,AE72),1/IF(W72="CLIENT",AM72,AE72)),R72*VLOOKUP(S72,'FX RATES'!$E$1:$F$10,2,FALSE)))</f>
        <v>96731.215356171218</v>
      </c>
      <c r="AV72" s="170">
        <f t="shared" si="54"/>
        <v>1972.8853561712167</v>
      </c>
      <c r="AW72" s="169"/>
      <c r="AX72" s="170">
        <f t="shared" si="55"/>
        <v>1972.8853561712137</v>
      </c>
      <c r="AY72" s="170">
        <f t="shared" si="56"/>
        <v>-94758.33</v>
      </c>
      <c r="AZ72" s="170" t="str">
        <f t="shared" si="57"/>
        <v>USD</v>
      </c>
      <c r="BA72" s="542">
        <f>IF(OR(A72="REFUND",A72="CANCELLED"),0,IFERROR((IF(OR(AB72="USDAED",LEFT(AB72,3)=RIGHT(AB72,3)),AI72,AG72)-AE72)*-AY72*VLOOKUP(AB72,'FX RATES'!$H$1:$J$26,3,FALSE),0))</f>
        <v>0</v>
      </c>
      <c r="BB72" s="170" t="str">
        <f>RIGHT(AB72,3)</f>
        <v>USD</v>
      </c>
      <c r="BC72" s="542">
        <f t="shared" si="58"/>
        <v>0</v>
      </c>
      <c r="BD72" s="170">
        <f t="shared" si="59"/>
        <v>0</v>
      </c>
      <c r="BE72" s="542">
        <f t="shared" si="60"/>
        <v>0</v>
      </c>
      <c r="BF72" s="170">
        <f t="shared" si="61"/>
        <v>96731.215356171218</v>
      </c>
      <c r="BG72" s="170" t="str">
        <f t="shared" si="62"/>
        <v>USD</v>
      </c>
      <c r="BH72" s="542">
        <f>IF(OR(A72="REFUND",A72="CANCELLED"),0,IFERROR((IF(OR(AJ72="USDAED",LEFT(AJ72,3)=RIGHT(AJ72,3)),AQ72,AO72)-AM72)*-BF72*VLOOKUP(AJ72,'FX RATES'!$H$1:$J$26,3,FALSE),0))</f>
        <v>19346.243071234519</v>
      </c>
      <c r="BI72" s="170" t="str">
        <f t="shared" si="63"/>
        <v>RUB</v>
      </c>
      <c r="BJ72" s="542">
        <f t="shared" si="64"/>
        <v>246.44895632145884</v>
      </c>
      <c r="BK72" s="170">
        <f t="shared" si="65"/>
        <v>0</v>
      </c>
      <c r="BL72" s="542">
        <f t="shared" si="66"/>
        <v>246.44895632145884</v>
      </c>
      <c r="BM72" s="170">
        <f t="shared" si="67"/>
        <v>0</v>
      </c>
      <c r="BN72" s="542">
        <f t="shared" si="68"/>
        <v>246.44895632145884</v>
      </c>
    </row>
    <row r="73" spans="1:66" ht="19.5" customHeight="1">
      <c r="A73" s="167" t="s">
        <v>366</v>
      </c>
      <c r="B73" s="172" t="s">
        <v>102</v>
      </c>
      <c r="C73" s="172" t="s">
        <v>102</v>
      </c>
      <c r="D73" s="172" t="s">
        <v>451</v>
      </c>
      <c r="E73" s="171">
        <v>46037</v>
      </c>
      <c r="F73" s="171"/>
      <c r="G73" s="172" t="s">
        <v>102</v>
      </c>
      <c r="H73" s="172" t="s">
        <v>105</v>
      </c>
      <c r="I73" s="169"/>
      <c r="J73" s="170">
        <f t="shared" si="48"/>
        <v>-95138.885542168675</v>
      </c>
      <c r="K73" s="172" t="s">
        <v>53</v>
      </c>
      <c r="L73" s="172" t="s">
        <v>420</v>
      </c>
      <c r="M73" s="172" t="s">
        <v>54</v>
      </c>
      <c r="N73" s="167" t="s">
        <v>371</v>
      </c>
      <c r="O73" s="172" t="s">
        <v>102</v>
      </c>
      <c r="P73" s="172" t="s">
        <v>105</v>
      </c>
      <c r="Q73" s="169">
        <f>-J72</f>
        <v>94758.33</v>
      </c>
      <c r="R73" s="170">
        <f t="shared" si="49"/>
        <v>94758.33</v>
      </c>
      <c r="S73" s="172" t="s">
        <v>5</v>
      </c>
      <c r="T73" s="171" t="s">
        <v>420</v>
      </c>
      <c r="U73" s="172" t="s">
        <v>54</v>
      </c>
      <c r="V73" s="167" t="s">
        <v>371</v>
      </c>
      <c r="W73" s="172" t="s">
        <v>375</v>
      </c>
      <c r="X73" s="173">
        <f>IF(Y73="",VLOOKUP(H73,CLIENTS!$A$1:$O$649,5,FALSE),Y73)</f>
        <v>-4.0000000000000001E-3</v>
      </c>
      <c r="Y73" s="174">
        <v>-4.0000000000000001E-3</v>
      </c>
      <c r="Z73" s="173">
        <f>IF(AA73="",VLOOKUP(P73,CLIENTS!$A$1:$O$649,5,FALSE),AA73)</f>
        <v>0</v>
      </c>
      <c r="AA73" s="174">
        <v>0</v>
      </c>
      <c r="AB73" s="173" t="str">
        <f>IF(W73="via USD",IF(K73="EUR",K73&amp;"USD","USD"&amp;K73),IFERROR(VLOOKUP(K73&amp;S73,'FX RATES'!$H$2:$H$55,1,FALSE),S73&amp;K73))</f>
        <v>USDUSDT</v>
      </c>
      <c r="AC73" s="175">
        <f>IF(LEFT(AB73,3)=RIGHT(AB73,3),0,IFERROR(INDEX(CLIENTS!$A$1:$O$649,MATCH(H73,CLIENTS!$A$1:$A$649,0),MATCH(AB73,CLIENTS!$A$1:$O$1,0)),0))</f>
        <v>0</v>
      </c>
      <c r="AD73" s="176"/>
      <c r="AE73" s="177">
        <f t="shared" si="50"/>
        <v>1</v>
      </c>
      <c r="AF73" s="177" t="str">
        <f t="shared" si="51"/>
        <v>46037USDUSDT</v>
      </c>
      <c r="AG73" s="176">
        <v>1</v>
      </c>
      <c r="AH73" s="178">
        <f>IF(OR(LEFT(AB73,3)=RIGHT(AB73,3),OR(AB73="USDUSDT",AB73="USDTUSD")),1,VLOOKUP(AB73,'FX RATES'!$H$1:$I$20,2,FALSE))</f>
        <v>1</v>
      </c>
      <c r="AI73" s="178">
        <f>IF(OR(AB73="USDAED",LEFT(AB73,3)=RIGHT(AB73,3)),AH73,IF(LEFT(AB73)="USD",AG73,IF(OR(RIGHT(AB73,3)="USD",RIGHT(AB73,4)="USDT"),1,IFERROR(VLOOKUP(E73&amp;"USD"&amp;RIGHT(AB73,3),$AF:$AG,2,FALSE),VLOOKUP(E73&amp;"USD"&amp;RIGHT(AJ73,3),$AN:$AO,2,FALSE)))))</f>
        <v>1</v>
      </c>
      <c r="AJ73" s="173" t="str">
        <f>IF(W73="via USD",IF(S73="EUR",S73&amp;"USD","USD"&amp;S73),IFERROR(VLOOKUP(K73&amp;S73,'FX RATES'!$H$2:$H$20,1,FALSE),S73&amp;K73))</f>
        <v>USDUSD</v>
      </c>
      <c r="AK73" s="175">
        <f>IF(LEFT(AJ73,3)=RIGHT(AJ73,3),0,IFERROR(INDEX(CLIENTS!$A$1:$O$649,MATCH(P73,CLIENTS!$A$1:$A$649,0),MATCH(AJ73,CLIENTS!$A$1:$O$1,0)),0))</f>
        <v>0</v>
      </c>
      <c r="AL73" s="176"/>
      <c r="AM73" s="177">
        <f t="shared" si="52"/>
        <v>1</v>
      </c>
      <c r="AN73" s="177" t="str">
        <f t="shared" si="53"/>
        <v>46037USDUSD</v>
      </c>
      <c r="AO73" s="176"/>
      <c r="AP73" s="178">
        <f>IF(OR(LEFT(AJ73,3)=RIGHT(AJ73,3),AND(OR(AB73="USDUSDT",AB73="USDTUSD"),OR(AJ73="USDUSDT",AJ73="USDTUSD"))),1,VLOOKUP(AJ73,'FX RATES'!$H$1:$I$20,2,FALSE))</f>
        <v>1</v>
      </c>
      <c r="AQ73" s="178">
        <f>IF(OR(AJ73="USDAED",LEFT(AJ73,3)=RIGHT(AJ73,3)),AP73,IF(LEFT(AJ73)="USD",AO73,IF(OR(RIGHT(AB73,3)="USD",RIGHT(AB73,4)="USDT"),1,IFERROR(VLOOKUP(E73&amp;"USD"&amp;RIGHT(AJ73,3),$AN:$AO,2,FALSE),VLOOKUP(E73&amp;"USD"&amp;RIGHT(AB73,3),$AF:$AG,2,FALSE)))))</f>
        <v>1</v>
      </c>
      <c r="AR73" s="179">
        <f>-Q73*(1-Z73)/(1+X73)*IF(W73="CLIENT",IF(S73=RIGHT(AJ73,3),1/AM73,AM73),IF(W73="VENDOR",IF(S73=RIGHT(AJ73,3),1/AE73,AE73),AE73^(VLOOKUP(AB73,'FX RATES'!$H$1:$J$26,3,FALSE))/AM73^(VLOOKUP(AJ73,'FX RATES'!$H$1:$J$26,3,FALSE))))</f>
        <v>-95138.885542168675</v>
      </c>
      <c r="AS73" s="179">
        <f>-I73*(1+X73)/(1-Z73)*IF(W73="VENDOR",IF(K73=RIGHT(AB73,3),1/AE73,AE73),IF(W73="CLIENT",IF(K73=RIGHT(AB73,3),1/AM73,AM73),AM73^(VLOOKUP(AJ73,'FX RATES'!$H$1:$J$26,3,FALSE))/AE73^(VLOOKUP(AB73,'FX RATES'!$H$1:$J$26,3,FALSE))))</f>
        <v>0</v>
      </c>
      <c r="AT73" s="170">
        <f>IF(AB73&lt;&gt;AJ73,J73/IF(K73=RIGHT(AB73,3),AE73,1/AE73),IF(S73="USD",J73/IF(K73=RIGHT(AB73,3),IF(W73="CLIENT",AM73,AE73),1/IF(W73="CLIENT",AM73,AE73)),J73*VLOOKUP(K73,'FX RATES'!$E$1:$F$10,2,FALSE)))</f>
        <v>-95138.885542168675</v>
      </c>
      <c r="AU73" s="170">
        <f>IF(AB73&lt;&gt;AJ73,R73/IF(S73=RIGHT(AJ73,3),AM73,1/AM73),IF(K73="USD",R73/IF(S73=RIGHT(AJ73,3),IF(W73="CLIENT",AM73,AE73),1/IF(W73="CLIENT",AM73,AE73)),R73*VLOOKUP(S73,'FX RATES'!$E$1:$F$10,2,FALSE)))</f>
        <v>94758.33</v>
      </c>
      <c r="AV73" s="170">
        <f t="shared" si="54"/>
        <v>-380.55554216867313</v>
      </c>
      <c r="AW73" s="169"/>
      <c r="AX73" s="170">
        <f t="shared" si="55"/>
        <v>-380.55554216867472</v>
      </c>
      <c r="AY73" s="170">
        <f t="shared" si="56"/>
        <v>-95138.885542168675</v>
      </c>
      <c r="AZ73" s="170" t="str">
        <f t="shared" si="57"/>
        <v>USD</v>
      </c>
      <c r="BA73" s="542">
        <f>IF(OR(A73="REFUND",A73="CANCELLED"),0,IFERROR((IF(OR(AB73="USDAED",LEFT(AB73,3)=RIGHT(AB73,3)),AI73,AG73)-AE73)*-AY73*VLOOKUP(AB73,'FX RATES'!$H$1:$J$26,3,FALSE),0))</f>
        <v>0</v>
      </c>
      <c r="BB73" s="170" t="str">
        <f>RIGHT(AB73,4)</f>
        <v>USDT</v>
      </c>
      <c r="BC73" s="542">
        <f t="shared" si="58"/>
        <v>0</v>
      </c>
      <c r="BD73" s="170">
        <f t="shared" si="59"/>
        <v>0</v>
      </c>
      <c r="BE73" s="542">
        <f t="shared" si="60"/>
        <v>0</v>
      </c>
      <c r="BF73" s="170">
        <f t="shared" si="61"/>
        <v>94758.33</v>
      </c>
      <c r="BG73" s="170" t="str">
        <f t="shared" si="62"/>
        <v>USD</v>
      </c>
      <c r="BH73" s="542">
        <f>IF(OR(A73="REFUND",A73="CANCELLED"),0,IFERROR((IF(OR(AJ73="USDAED",LEFT(AJ73,3)=RIGHT(AJ73,3)),AQ73,AO73)-AM73)*-BF73*VLOOKUP(AJ73,'FX RATES'!$H$1:$J$26,3,FALSE),0))</f>
        <v>0</v>
      </c>
      <c r="BI73" s="170" t="str">
        <f t="shared" si="63"/>
        <v>USD</v>
      </c>
      <c r="BJ73" s="542">
        <f t="shared" si="64"/>
        <v>0</v>
      </c>
      <c r="BK73" s="170">
        <f t="shared" si="65"/>
        <v>0</v>
      </c>
      <c r="BL73" s="542">
        <f t="shared" si="66"/>
        <v>0</v>
      </c>
      <c r="BM73" s="170">
        <f t="shared" si="67"/>
        <v>0</v>
      </c>
      <c r="BN73" s="542">
        <f t="shared" si="68"/>
        <v>0</v>
      </c>
    </row>
    <row r="74" spans="1:66" ht="19.5" customHeight="1">
      <c r="A74" s="167" t="s">
        <v>366</v>
      </c>
      <c r="B74" s="168" t="s">
        <v>39</v>
      </c>
      <c r="C74" s="168" t="s">
        <v>383</v>
      </c>
      <c r="D74" s="168" t="s">
        <v>128</v>
      </c>
      <c r="E74" s="171">
        <v>46037</v>
      </c>
      <c r="F74" s="171"/>
      <c r="G74" s="168" t="s">
        <v>39</v>
      </c>
      <c r="H74" s="168" t="s">
        <v>410</v>
      </c>
      <c r="I74" s="169">
        <v>-32740000</v>
      </c>
      <c r="J74" s="170">
        <f t="shared" si="48"/>
        <v>-32740000</v>
      </c>
      <c r="K74" s="168" t="s">
        <v>9</v>
      </c>
      <c r="L74" s="171" t="s">
        <v>411</v>
      </c>
      <c r="M74" s="168" t="s">
        <v>25</v>
      </c>
      <c r="N74" s="167" t="s">
        <v>371</v>
      </c>
      <c r="O74" s="168" t="s">
        <v>39</v>
      </c>
      <c r="P74" s="349" t="s">
        <v>410</v>
      </c>
      <c r="Q74" s="169"/>
      <c r="R74" s="170">
        <f t="shared" si="49"/>
        <v>1528478.0578898224</v>
      </c>
      <c r="S74" s="168" t="s">
        <v>8</v>
      </c>
      <c r="T74" s="171" t="s">
        <v>385</v>
      </c>
      <c r="U74" s="168" t="s">
        <v>20</v>
      </c>
      <c r="V74" s="167" t="s">
        <v>371</v>
      </c>
      <c r="W74" s="172" t="s">
        <v>382</v>
      </c>
      <c r="X74" s="173">
        <f>IF(Y74="",VLOOKUP(H74,CLIENTS!$A$1:$O$649,5,FALSE),Y74)</f>
        <v>0</v>
      </c>
      <c r="Y74" s="174">
        <v>0</v>
      </c>
      <c r="Z74" s="173">
        <f>IF(AA74="",VLOOKUP(P74,CLIENTS!$A$1:$O$649,5,FALSE),AA74)</f>
        <v>0</v>
      </c>
      <c r="AA74" s="174">
        <v>0</v>
      </c>
      <c r="AB74" s="173" t="str">
        <f>IF(W74="via USD",IF(K74="EUR",K74&amp;"USD","USD"&amp;K74),IFERROR(VLOOKUP(K74&amp;S74,'FX RATES'!$H$2:$H$20,1,FALSE),S74&amp;K74))</f>
        <v>AEDRUB</v>
      </c>
      <c r="AC74" s="175">
        <f>IF(LEFT(AB74,3)=RIGHT(AB74,3),0,IFERROR(INDEX(CLIENTS!$A$1:$O$649,MATCH(H74,CLIENTS!$A$1:$A$649,0),MATCH(AB74,CLIENTS!$A$1:$O$1,0)),0))</f>
        <v>0</v>
      </c>
      <c r="AD74" s="176">
        <v>21.42</v>
      </c>
      <c r="AE74" s="177">
        <f t="shared" si="50"/>
        <v>21.42</v>
      </c>
      <c r="AF74" s="177" t="str">
        <f t="shared" si="51"/>
        <v>46037AEDRUB</v>
      </c>
      <c r="AG74" s="176">
        <v>21.375</v>
      </c>
      <c r="AH74" s="178">
        <f ca="1">IF(LEFT(AB74,3)=RIGHT(AB74,3),1,VLOOKUP(AB74,'FX RATES'!$H$1:$I$20,2,FALSE))</f>
        <v>20.8843</v>
      </c>
      <c r="AI74" s="178">
        <f>IF(OR(AB74="USDAED",LEFT(AB74,3)=RIGHT(AB74,3)),AH74,IF(LEFT(AB74)="USD",AG74,IF(RIGHT(AB74,3)="USD",1,IFERROR(VLOOKUP(E74&amp;"USD"&amp;RIGHT(AB74,3),$AF:$AG,2,FALSE),VLOOKUP(E74&amp;"USD"&amp;RIGHT(AJ74,3),$AN:$AO,2,FALSE)))))</f>
        <v>78.5</v>
      </c>
      <c r="AJ74" s="173" t="str">
        <f>IF(W74="via USD",IF(S74="EUR",S74&amp;"USD","USD"&amp;S74),IFERROR(VLOOKUP(K74&amp;S74,'FX RATES'!$H$2:$H$20,1,FALSE),S74&amp;K74))</f>
        <v>AEDRUB</v>
      </c>
      <c r="AK74" s="175">
        <f>IF(LEFT(AJ74,3)=RIGHT(AJ74,3),0,IFERROR(INDEX(CLIENTS!$A$1:$O$649,MATCH(P74,CLIENTS!$A$1:$A$649,0),MATCH(AJ74,CLIENTS!$A$1:$O$1,0)),0))</f>
        <v>0</v>
      </c>
      <c r="AL74" s="176"/>
      <c r="AM74" s="177" t="str">
        <f t="shared" si="52"/>
        <v/>
      </c>
      <c r="AN74" s="177" t="str">
        <f t="shared" si="53"/>
        <v>46037AEDRUB</v>
      </c>
      <c r="AO74" s="176"/>
      <c r="AP74" s="178">
        <f ca="1">IF(LEFT(AJ74,3)=RIGHT(AJ74,3),1,VLOOKUP(AJ74,'FX RATES'!$H$1:$I$20,2,FALSE))</f>
        <v>20.8843</v>
      </c>
      <c r="AQ74" s="178">
        <f>IF(OR(AJ74="USDAED",LEFT(AJ74,3)=RIGHT(AJ74,3)),AP74,IF(LEFT(AJ74)="USD",AO74,IF(RIGHT(AJ74,3)="USD",1,IFERROR(VLOOKUP(E74&amp;"USD"&amp;RIGHT(AJ74,3),$AN:$AO,2,FALSE),VLOOKUP(E74&amp;"USD"&amp;RIGHT(AB74,3),$AF:$AG,2,FALSE)))))</f>
        <v>78.5</v>
      </c>
      <c r="AR74" s="179">
        <f>-Q74*(1-Z74)/(1+X74)*IF(W74="CLIENT",IF(S74=RIGHT(AJ74,3),1/AM74,AM74),IF(W74="VENDOR",IF(S74=RIGHT(AJ74,3),1/AE74,AE74),AE74^(VLOOKUP(AB74,'FX RATES'!$H$1:$J$26,3,FALSE))/AM74^(VLOOKUP(AJ74,'FX RATES'!$H$1:$J$26,3,FALSE))))</f>
        <v>0</v>
      </c>
      <c r="AS74" s="179">
        <f>-I74*(1+X74)/(1-Z74)*IF(W74="VENDOR",IF(K74=RIGHT(AB74,3),1/AE74,AE74),IF(W74="CLIENT",IF(K74=RIGHT(AB74,3),1/AM74,AM74),AM74^(VLOOKUP(AJ74,'FX RATES'!$H$1:$J$26,3,FALSE))/AE74^(VLOOKUP(AB74,'FX RATES'!$H$1:$J$26,3,FALSE))))</f>
        <v>1528478.0578898224</v>
      </c>
      <c r="AT74" s="170">
        <f ca="1">IF(AB74&lt;&gt;AJ74,J74/IF(K74=RIGHT(AB74,3),AE74,1/AE74),IF(S74="USD",J74/IF(K74=RIGHT(AB74,3),IF(W74="CLIENT",AM74,AE74),1/IF(W74="CLIENT",AM74,AE74)),J74*VLOOKUP(K74,'FX RATES'!$E$1:$F$10,2,FALSE)))</f>
        <v>-426743.82987597841</v>
      </c>
      <c r="AU74" s="170">
        <f ca="1">IF(AB74&lt;&gt;AJ74,R74/IF(S74=RIGHT(AJ74,3),AM74,1/AM74),IF(K74="USD",R74/IF(S74=RIGHT(AJ74,3),IF(W74="CLIENT",AM74,AE74),1/IF(W74="CLIENT",AM74,AE74)),R74*VLOOKUP(S74,'FX RATES'!$E$1:$F$10,2,FALSE)))</f>
        <v>416184.19046174979</v>
      </c>
      <c r="AV74" s="170">
        <f t="shared" ca="1" si="54"/>
        <v>-10559.639414228615</v>
      </c>
      <c r="AW74" s="169"/>
      <c r="AX74" s="170">
        <f t="shared" ca="1" si="55"/>
        <v>0</v>
      </c>
      <c r="AY74" s="170">
        <f t="shared" si="56"/>
        <v>-1528478.0578898224</v>
      </c>
      <c r="AZ74" s="170" t="str">
        <f t="shared" si="57"/>
        <v>AED</v>
      </c>
      <c r="BA74" s="542">
        <f>IF(OR(A74="REFUND",A74="CANCELLED"),0,IFERROR((IF(OR(AB74="USDAED",LEFT(AB74,3)=RIGHT(AB74,3)),AI74,AG74)-AE74)*-AY74*VLOOKUP(AB74,'FX RATES'!$H$1:$J$26,3,FALSE),0))</f>
        <v>-68781.512605044612</v>
      </c>
      <c r="BB74" s="170" t="str">
        <f>RIGHT(AB74,3)</f>
        <v>RUB</v>
      </c>
      <c r="BC74" s="542">
        <f t="shared" si="58"/>
        <v>-876.19761280311604</v>
      </c>
      <c r="BD74" s="170">
        <f t="shared" si="59"/>
        <v>0</v>
      </c>
      <c r="BE74" s="542">
        <f t="shared" si="60"/>
        <v>-876.19761280311604</v>
      </c>
      <c r="BF74" s="170">
        <f t="shared" si="61"/>
        <v>1528478.0578898224</v>
      </c>
      <c r="BG74" s="170" t="str">
        <f t="shared" si="62"/>
        <v>AED</v>
      </c>
      <c r="BH74" s="542">
        <f>IF(OR(A74="REFUND",A74="CANCELLED"),0,IFERROR((IF(OR(AJ74="USDAED",LEFT(AJ74,3)=RIGHT(AJ74,3)),AQ74,AO74)-AM74)*-BF74*VLOOKUP(AJ74,'FX RATES'!$H$1:$J$26,3,FALSE),0))</f>
        <v>0</v>
      </c>
      <c r="BI74" s="170" t="str">
        <f t="shared" si="63"/>
        <v>RUB</v>
      </c>
      <c r="BJ74" s="542">
        <f t="shared" si="64"/>
        <v>0</v>
      </c>
      <c r="BK74" s="170">
        <f t="shared" si="65"/>
        <v>0</v>
      </c>
      <c r="BL74" s="542">
        <f t="shared" si="66"/>
        <v>0</v>
      </c>
      <c r="BM74" s="170">
        <f t="shared" si="67"/>
        <v>0</v>
      </c>
      <c r="BN74" s="542">
        <f t="shared" si="68"/>
        <v>-876.19761280311604</v>
      </c>
    </row>
    <row r="76" spans="1:66" ht="19.5" customHeight="1">
      <c r="A76" s="167" t="s">
        <v>366</v>
      </c>
      <c r="B76" s="168" t="s">
        <v>102</v>
      </c>
      <c r="C76" s="168" t="s">
        <v>367</v>
      </c>
      <c r="D76" s="168" t="s">
        <v>451</v>
      </c>
      <c r="E76" s="171">
        <v>46037</v>
      </c>
      <c r="F76" s="171"/>
      <c r="G76" s="168" t="s">
        <v>102</v>
      </c>
      <c r="H76" s="168" t="s">
        <v>452</v>
      </c>
      <c r="I76" s="169">
        <v>-120600</v>
      </c>
      <c r="J76" s="170">
        <f>IF(I76="",AR76,I76)</f>
        <v>-120600</v>
      </c>
      <c r="K76" s="168" t="s">
        <v>5</v>
      </c>
      <c r="L76" s="168" t="s">
        <v>16</v>
      </c>
      <c r="M76" s="168" t="s">
        <v>420</v>
      </c>
      <c r="N76" s="167" t="s">
        <v>371</v>
      </c>
      <c r="O76" s="168" t="s">
        <v>52</v>
      </c>
      <c r="P76" s="168" t="s">
        <v>439</v>
      </c>
      <c r="Q76" s="169"/>
      <c r="R76" s="170">
        <f>IF(Q76="",AS76,Q76)</f>
        <v>9589382.7559200004</v>
      </c>
      <c r="S76" s="168" t="s">
        <v>9</v>
      </c>
      <c r="T76" s="171" t="s">
        <v>439</v>
      </c>
      <c r="U76" s="171" t="s">
        <v>439</v>
      </c>
      <c r="V76" s="167" t="s">
        <v>371</v>
      </c>
      <c r="W76" s="172" t="s">
        <v>375</v>
      </c>
      <c r="X76" s="173">
        <f>IF(Y76="",VLOOKUP(H76,CLIENTS!$A$1:$O$649,5,FALSE),Y76)</f>
        <v>1.2E-2</v>
      </c>
      <c r="Y76" s="174">
        <v>1.2E-2</v>
      </c>
      <c r="Z76" s="173">
        <f>IF(AA76="",VLOOKUP(P76,CLIENTS!$A$1:$O$649,5,FALSE),AA76)</f>
        <v>0</v>
      </c>
      <c r="AA76" s="174">
        <v>0</v>
      </c>
      <c r="AB76" s="173" t="str">
        <f>IF(W76="via USD",IF(K76="EUR",K76&amp;"USD","USD"&amp;K76),IFERROR(VLOOKUP(K76&amp;S76,'FX RATES'!$H$2:$H$20,1,FALSE),S76&amp;K76))</f>
        <v>USDUSD</v>
      </c>
      <c r="AC76" s="175">
        <f>IF(LEFT(AB76,3)=RIGHT(AB76,3),0,IFERROR(INDEX(CLIENTS!$A$1:$O$649,MATCH(H76,CLIENTS!$A$1:$A$649,0),MATCH(AB76,CLIENTS!$A$1:$O$1,0)),0))</f>
        <v>0</v>
      </c>
      <c r="AD76" s="176"/>
      <c r="AE76" s="177">
        <f>IF(W76="CLIENT","",IF(AD76="",AH76+AC76,AD76+AC76))</f>
        <v>1</v>
      </c>
      <c r="AF76" s="177" t="str">
        <f>E76&amp;AB76</f>
        <v>46037USDUSD</v>
      </c>
      <c r="AG76" s="176"/>
      <c r="AH76" s="178">
        <f>IF(LEFT(AB76,3)=RIGHT(AB76,3),1,VLOOKUP(AB76,'FX RATES'!$H$1:$I$20,2,FALSE))</f>
        <v>1</v>
      </c>
      <c r="AI76" s="178">
        <f>IF(OR(AB76="USDAED",LEFT(AB76,3)=RIGHT(AB76,3)),AH76,IF(LEFT(AB76)="USD",AG76,IF(RIGHT(AB76,3)="USD",1,IFERROR(VLOOKUP(E76&amp;"USD"&amp;RIGHT(AB76,3),$AF:$AG,2,FALSE),VLOOKUP(E76&amp;"USD"&amp;RIGHT(AJ76,3),$AN:$AO,2,FALSE)))))</f>
        <v>1</v>
      </c>
      <c r="AJ76" s="173" t="str">
        <f>IF(W76="via USD",IF(S76="EUR",S76&amp;"USD","USD"&amp;S76),IFERROR(VLOOKUP(K76&amp;S76,'FX RATES'!$H$2:$H$20,1,FALSE),S76&amp;K76))</f>
        <v>USDRUB</v>
      </c>
      <c r="AK76" s="175">
        <f>IF(LEFT(AJ76,3)=RIGHT(AJ76,3),0,IFERROR(INDEX(CLIENTS!$A$1:$O$649,MATCH(P76,CLIENTS!$A$1:$A$649,0),MATCH(AJ76,CLIENTS!$A$1:$O$1,0)),0))</f>
        <v>0</v>
      </c>
      <c r="AL76" s="176">
        <v>78.571100000000001</v>
      </c>
      <c r="AM76" s="177">
        <f>IF(W76="VENDOR","",IF(AL76="",AP76+AK76,AL76+AK76))</f>
        <v>78.571100000000001</v>
      </c>
      <c r="AN76" s="177" t="str">
        <f>E76&amp;AJ76</f>
        <v>46037USDRUB</v>
      </c>
      <c r="AO76" s="176">
        <v>78.5</v>
      </c>
      <c r="AP76" s="178">
        <f ca="1">IF(LEFT(AJ76,3)=RIGHT(AJ76,3),1,VLOOKUP(AJ76,'FX RATES'!$H$1:$I$20,2,FALSE))</f>
        <v>76.720500000000001</v>
      </c>
      <c r="AQ76" s="178">
        <f>IF(OR(AJ76="USDAED",LEFT(AJ76,3)=RIGHT(AJ76,3)),AP76,IF(LEFT(AJ76)="USD",AO76,IF(RIGHT(AJ76,3)="USD",1,IFERROR(VLOOKUP(E76&amp;"USD"&amp;RIGHT(AJ76,3),$AN:$AO,2,FALSE),VLOOKUP(E76&amp;"USD"&amp;RIGHT(AB76,3),$AF:$AG,2,FALSE)))))</f>
        <v>78.5</v>
      </c>
      <c r="AR76" s="179">
        <f>-Q76*(1-Z76)/(1+X76)*IF(W76="CLIENT",IF(S76=RIGHT(AJ76,3),1/AM76,AM76),IF(W76="VENDOR",IF(S76=RIGHT(AJ76,3),1/AE76,AE76),AE76^(VLOOKUP(AB76,'FX RATES'!$H$1:$J$26,3,FALSE))/AM76^(VLOOKUP(AJ76,'FX RATES'!$H$1:$J$26,3,FALSE))))</f>
        <v>0</v>
      </c>
      <c r="AS76" s="179">
        <f>-I76*(1+X76)/(1-Z76)*IF(W76="VENDOR",IF(K76=RIGHT(AB76,3),1/AE76,AE76),IF(W76="CLIENT",IF(K76=RIGHT(AB76,3),1/AM76,AM76),AM76^(VLOOKUP(AJ76,'FX RATES'!$H$1:$J$26,3,FALSE))/AE76^(VLOOKUP(AB76,'FX RATES'!$H$1:$J$26,3,FALSE))))</f>
        <v>9589382.7559200004</v>
      </c>
      <c r="AT76" s="170">
        <f>IF(AB76&lt;&gt;AJ76,J76/IF(K76=RIGHT(AB76,3),AE76,1/AE76),IF(S76="USD",J76/IF(K76=RIGHT(AB76,3),IF(W76="CLIENT",AM76,AE76),1/IF(W76="CLIENT",AM76,AE76)),J76*VLOOKUP(K76,'FX RATES'!$E$1:$F$10,2,FALSE)))</f>
        <v>-120600</v>
      </c>
      <c r="AU76" s="170">
        <f>IF(AB76&lt;&gt;AJ76,R76/IF(S76=RIGHT(AJ76,3),AM76,1/AM76),IF(K76="USD",R76/IF(S76=RIGHT(AJ76,3),IF(W76="CLIENT",AM76,AE76),1/IF(W76="CLIENT",AM76,AE76)),R76*VLOOKUP(S76,'FX RATES'!$E$1:$F$10,2,FALSE)))</f>
        <v>122047.2</v>
      </c>
      <c r="AV76" s="170">
        <f>AT76+AU76</f>
        <v>1447.1999999999971</v>
      </c>
      <c r="AW76" s="169"/>
      <c r="AX76" s="170">
        <f>IF(AND(ISERROR(SEARCH("INVOICE",T76)),ISERROR(SEARCH("SWITCH",T76)),ISERROR(SEARCH("FOREX",T76)),ISERROR(SEARCH("REFUND",A76)),ISERROR(SEARCH("CANCELLED",A76))),IF(AW76="",-AT76*X76+AU76*Z76,AW76),0)</f>
        <v>1447.2</v>
      </c>
      <c r="AY76" s="170">
        <f>IF(AZ76="USD",AT76,IF(AZ76=K76,J76,-R76))</f>
        <v>-120600</v>
      </c>
      <c r="AZ76" s="170" t="str">
        <f>LEFT(AB76,3)</f>
        <v>USD</v>
      </c>
      <c r="BA76" s="542">
        <f>IF(OR(A76="REFUND",A76="CANCELLED"),0,IFERROR((IF(OR(AB76="USDAED",LEFT(AB76,3)=RIGHT(AB76,3)),AI76,AG76)-AE76)*-AY76*VLOOKUP(AB76,'FX RATES'!$H$1:$J$26,3,FALSE),0))</f>
        <v>0</v>
      </c>
      <c r="BB76" s="170" t="str">
        <f>RIGHT(AB76,3)</f>
        <v>USD</v>
      </c>
      <c r="BC76" s="542">
        <f>IF(BA76=0,0,IFERROR(BA76/IF(BB76&lt;&gt;"USD",AI76,1),"???"))</f>
        <v>0</v>
      </c>
      <c r="BD76" s="170">
        <f>IFERROR(-AC76/(IF(OR(AB76="USDAED",LEFT(AB76,3)=RIGHT(AB76,3)),AH76,AG76)-AE76)*BC76,0)</f>
        <v>0</v>
      </c>
      <c r="BE76" s="542">
        <f>BC76-BD76</f>
        <v>0</v>
      </c>
      <c r="BF76" s="170">
        <f>IF(BG76="USD",AU76,IF(BG76=S76,R76,-J76))</f>
        <v>122047.2</v>
      </c>
      <c r="BG76" s="170" t="str">
        <f>LEFT(AJ76,3)</f>
        <v>USD</v>
      </c>
      <c r="BH76" s="542">
        <f>IF(OR(A76="REFUND",A76="CANCELLED"),0,IFERROR((IF(OR(AJ76="USDAED",LEFT(AJ76,3)=RIGHT(AJ76,3)),AQ76,AO76)-AM76)*-BF76*VLOOKUP(AJ76,'FX RATES'!$H$1:$J$26,3,FALSE),0))</f>
        <v>8677.5559200001553</v>
      </c>
      <c r="BI76" s="170" t="str">
        <f>RIGHT(AJ76,3)</f>
        <v>RUB</v>
      </c>
      <c r="BJ76" s="542">
        <f>IF(BH76=0,0,IFERROR(BH76/IF(BI76&lt;&gt;"USD",AQ76,1),"???"))</f>
        <v>110.54211363057523</v>
      </c>
      <c r="BK76" s="170">
        <f>IFERROR(-AK76/(IF(OR(AJ76="USDAED",LEFT(AJ76,3)=RIGHT(AJ76,3)),AP76,AO76)-AM76)*BJ76,0)</f>
        <v>0</v>
      </c>
      <c r="BL76" s="542">
        <f>BJ76-BK76</f>
        <v>110.54211363057523</v>
      </c>
      <c r="BM76" s="170">
        <f>IF(AND(ISERROR(SEARCH("REFUND",A76)),ISERROR(SEARCH("CANCELLED",A76))),BD76+BK76,0)</f>
        <v>0</v>
      </c>
      <c r="BN76" s="542">
        <f>IF(AND(ISERROR(SEARCH("REFUND",A76)),ISERROR(SEARCH("CANCELLED",A76))),BE76+BL76,0)</f>
        <v>110.54211363057523</v>
      </c>
    </row>
    <row r="77" spans="1:66" ht="19.5" customHeight="1">
      <c r="A77" s="167" t="s">
        <v>366</v>
      </c>
      <c r="B77" s="172" t="s">
        <v>102</v>
      </c>
      <c r="C77" s="172" t="s">
        <v>102</v>
      </c>
      <c r="D77" s="172" t="s">
        <v>451</v>
      </c>
      <c r="E77" s="171">
        <v>46037</v>
      </c>
      <c r="F77" s="171"/>
      <c r="G77" s="172" t="s">
        <v>102</v>
      </c>
      <c r="H77" s="172" t="s">
        <v>104</v>
      </c>
      <c r="I77" s="169"/>
      <c r="J77" s="170">
        <f>IF(I77="",AR77,I77)</f>
        <v>-121082.4</v>
      </c>
      <c r="K77" s="172" t="s">
        <v>53</v>
      </c>
      <c r="L77" s="172" t="s">
        <v>420</v>
      </c>
      <c r="M77" s="172" t="s">
        <v>54</v>
      </c>
      <c r="N77" s="167" t="s">
        <v>371</v>
      </c>
      <c r="O77" s="172" t="s">
        <v>102</v>
      </c>
      <c r="P77" s="172" t="s">
        <v>104</v>
      </c>
      <c r="Q77" s="169">
        <f>-J76</f>
        <v>120600</v>
      </c>
      <c r="R77" s="170">
        <f>IF(Q77="",AS77,Q77)</f>
        <v>120600</v>
      </c>
      <c r="S77" s="172" t="s">
        <v>5</v>
      </c>
      <c r="T77" s="171" t="s">
        <v>420</v>
      </c>
      <c r="U77" s="172" t="s">
        <v>54</v>
      </c>
      <c r="V77" s="167" t="s">
        <v>371</v>
      </c>
      <c r="W77" s="172" t="s">
        <v>375</v>
      </c>
      <c r="X77" s="173">
        <f>IF(Y77="",VLOOKUP(H77,CLIENTS!$A$1:$O$649,5,FALSE),Y77)</f>
        <v>0</v>
      </c>
      <c r="Y77" s="174">
        <v>0</v>
      </c>
      <c r="Z77" s="173">
        <f>IF(AA77="",VLOOKUP(P77,CLIENTS!$A$1:$O$649,5,FALSE),AA77)</f>
        <v>-4.0000000000000001E-3</v>
      </c>
      <c r="AA77" s="174">
        <v>-4.0000000000000001E-3</v>
      </c>
      <c r="AB77" s="173" t="str">
        <f>IF(W77="via USD",IF(K77="EUR",K77&amp;"USD","USD"&amp;K77),IFERROR(VLOOKUP(K77&amp;S77,'FX RATES'!$H$2:$H$55,1,FALSE),S77&amp;K77))</f>
        <v>USDUSDT</v>
      </c>
      <c r="AC77" s="175">
        <f>IF(LEFT(AB77,3)=RIGHT(AB77,3),0,IFERROR(INDEX(CLIENTS!$A$1:$O$649,MATCH(H77,CLIENTS!$A$1:$A$649,0),MATCH(AB77,CLIENTS!$A$1:$O$1,0)),0))</f>
        <v>0</v>
      </c>
      <c r="AD77" s="176"/>
      <c r="AE77" s="177">
        <f>IF(W77="CLIENT","",IF(AD77="",AH77+AC77,AD77+AC77))</f>
        <v>1</v>
      </c>
      <c r="AF77" s="177" t="str">
        <f>E77&amp;AB77</f>
        <v>46037USDUSDT</v>
      </c>
      <c r="AG77" s="176">
        <v>1</v>
      </c>
      <c r="AH77" s="178">
        <f>IF(OR(LEFT(AB77,3)=RIGHT(AB77,3),OR(AB77="USDUSDT",AB77="USDTUSD")),1,VLOOKUP(AB77,'FX RATES'!$H$1:$I$20,2,FALSE))</f>
        <v>1</v>
      </c>
      <c r="AI77" s="178">
        <f>IF(OR(AB77="USDAED",LEFT(AB77,3)=RIGHT(AB77,3)),AH77,IF(LEFT(AB77)="USD",AG77,IF(OR(RIGHT(AB77,3)="USD",RIGHT(AB77,4)="USDT"),1,IFERROR(VLOOKUP(E77&amp;"USD"&amp;RIGHT(AB77,3),$AF:$AG,2,FALSE),VLOOKUP(E77&amp;"USD"&amp;RIGHT(AJ77,3),$AN:$AO,2,FALSE)))))</f>
        <v>1</v>
      </c>
      <c r="AJ77" s="173" t="str">
        <f>IF(W77="via USD",IF(S77="EUR",S77&amp;"USD","USD"&amp;S77),IFERROR(VLOOKUP(K77&amp;S77,'FX RATES'!$H$2:$H$20,1,FALSE),S77&amp;K77))</f>
        <v>USDUSD</v>
      </c>
      <c r="AK77" s="175">
        <f>IF(LEFT(AJ77,3)=RIGHT(AJ77,3),0,IFERROR(INDEX(CLIENTS!$A$1:$O$649,MATCH(P77,CLIENTS!$A$1:$A$649,0),MATCH(AJ77,CLIENTS!$A$1:$O$1,0)),0))</f>
        <v>0</v>
      </c>
      <c r="AL77" s="176"/>
      <c r="AM77" s="177">
        <f>IF(W77="VENDOR","",IF(AL77="",AP77+AK77,AL77+AK77))</f>
        <v>1</v>
      </c>
      <c r="AN77" s="177" t="str">
        <f>E77&amp;AJ77</f>
        <v>46037USDUSD</v>
      </c>
      <c r="AO77" s="176"/>
      <c r="AP77" s="178">
        <f>IF(OR(LEFT(AJ77,3)=RIGHT(AJ77,3),AND(OR(AB77="USDUSDT",AB77="USDTUSD"),OR(AJ77="USDUSDT",AJ77="USDTUSD"))),1,VLOOKUP(AJ77,'FX RATES'!$H$1:$I$20,2,FALSE))</f>
        <v>1</v>
      </c>
      <c r="AQ77" s="178">
        <f>IF(OR(AJ77="USDAED",LEFT(AJ77,3)=RIGHT(AJ77,3)),AP77,IF(LEFT(AJ77)="USD",AO77,IF(OR(RIGHT(AB77,3)="USD",RIGHT(AB77,4)="USDT"),1,IFERROR(VLOOKUP(E77&amp;"USD"&amp;RIGHT(AJ77,3),$AN:$AO,2,FALSE),VLOOKUP(E77&amp;"USD"&amp;RIGHT(AB77,3),$AF:$AG,2,FALSE)))))</f>
        <v>1</v>
      </c>
      <c r="AR77" s="179">
        <f>-Q77*(1-Z77)/(1+X77)*IF(W77="CLIENT",IF(S77=RIGHT(AJ77,3),1/AM77,AM77),IF(W77="VENDOR",IF(S77=RIGHT(AJ77,3),1/AE77,AE77),AE77^(VLOOKUP(AB77,'FX RATES'!$H$1:$J$26,3,FALSE))/AM77^(VLOOKUP(AJ77,'FX RATES'!$H$1:$J$26,3,FALSE))))</f>
        <v>-121082.4</v>
      </c>
      <c r="AS77" s="179">
        <f>-I77*(1+X77)/(1-Z77)*IF(W77="VENDOR",IF(K77=RIGHT(AB77,3),1/AE77,AE77),IF(W77="CLIENT",IF(K77=RIGHT(AB77,3),1/AM77,AM77),AM77^(VLOOKUP(AJ77,'FX RATES'!$H$1:$J$26,3,FALSE))/AE77^(VLOOKUP(AB77,'FX RATES'!$H$1:$J$26,3,FALSE))))</f>
        <v>0</v>
      </c>
      <c r="AT77" s="170">
        <f>IF(AB77&lt;&gt;AJ77,J77/IF(K77=RIGHT(AB77,3),AE77,1/AE77),IF(S77="USD",J77/IF(K77=RIGHT(AB77,3),IF(W77="CLIENT",AM77,AE77),1/IF(W77="CLIENT",AM77,AE77)),J77*VLOOKUP(K77,'FX RATES'!$E$1:$F$10,2,FALSE)))</f>
        <v>-121082.4</v>
      </c>
      <c r="AU77" s="170">
        <f>IF(AB77&lt;&gt;AJ77,R77/IF(S77=RIGHT(AJ77,3),AM77,1/AM77),IF(K77="USD",R77/IF(S77=RIGHT(AJ77,3),IF(W77="CLIENT",AM77,AE77),1/IF(W77="CLIENT",AM77,AE77)),R77*VLOOKUP(S77,'FX RATES'!$E$1:$F$10,2,FALSE)))</f>
        <v>120600</v>
      </c>
      <c r="AV77" s="170">
        <f>AT77+AU77</f>
        <v>-482.39999999999418</v>
      </c>
      <c r="AW77" s="169"/>
      <c r="AX77" s="170">
        <f>IF(AND(ISERROR(SEARCH("INVOICE",T77)),ISERROR(SEARCH("SWITCH",T77)),ISERROR(SEARCH("FOREX",T77)),ISERROR(SEARCH("REFUND",A77)),ISERROR(SEARCH("CANCELLED",A77))),IF(AW77="",-AT77*X77+AU77*Z77,AW77),0)</f>
        <v>-482.40000000000003</v>
      </c>
      <c r="AY77" s="170">
        <f>IF(AZ77="USD",AT77,IF(AZ77=K77,J77,-R77))</f>
        <v>-121082.4</v>
      </c>
      <c r="AZ77" s="170" t="str">
        <f>LEFT(AB77,3)</f>
        <v>USD</v>
      </c>
      <c r="BA77" s="542">
        <f>IF(OR(A77="REFUND",A77="CANCELLED"),0,IFERROR((IF(OR(AB77="USDAED",LEFT(AB77,3)=RIGHT(AB77,3)),AI77,AG77)-AE77)*-AY77*VLOOKUP(AB77,'FX RATES'!$H$1:$J$26,3,FALSE),0))</f>
        <v>0</v>
      </c>
      <c r="BB77" s="170" t="str">
        <f>RIGHT(AB77,4)</f>
        <v>USDT</v>
      </c>
      <c r="BC77" s="542">
        <f>IF(BA77=0,0,IFERROR(BA77/IF(BB77&lt;&gt;"USD",AI77,1),"???"))</f>
        <v>0</v>
      </c>
      <c r="BD77" s="170">
        <f>IFERROR(-AC77/(IF(OR(AB77="USDAED",LEFT(AB77,3)=RIGHT(AB77,3)),AH77,AG77)-AE77)*BC77,0)</f>
        <v>0</v>
      </c>
      <c r="BE77" s="542">
        <f>BC77-BD77</f>
        <v>0</v>
      </c>
      <c r="BF77" s="170">
        <f>IF(BG77="USD",AU77,IF(BG77=S77,R77,-J77))</f>
        <v>120600</v>
      </c>
      <c r="BG77" s="170" t="str">
        <f>LEFT(AJ77,3)</f>
        <v>USD</v>
      </c>
      <c r="BH77" s="542">
        <f>IF(OR(A77="REFUND",A77="CANCELLED"),0,IFERROR((IF(OR(AJ77="USDAED",LEFT(AJ77,3)=RIGHT(AJ77,3)),AQ77,AO77)-AM77)*-BF77*VLOOKUP(AJ77,'FX RATES'!$H$1:$J$26,3,FALSE),0))</f>
        <v>0</v>
      </c>
      <c r="BI77" s="170" t="str">
        <f>RIGHT(AJ77,3)</f>
        <v>USD</v>
      </c>
      <c r="BJ77" s="542">
        <f>IF(BH77=0,0,IFERROR(BH77/IF(BI77&lt;&gt;"USD",AQ77,1),"???"))</f>
        <v>0</v>
      </c>
      <c r="BK77" s="170">
        <f>IFERROR(-AK77/(IF(OR(AJ77="USDAED",LEFT(AJ77,3)=RIGHT(AJ77,3)),AP77,AO77)-AM77)*BJ77,0)</f>
        <v>0</v>
      </c>
      <c r="BL77" s="542">
        <f>BJ77-BK77</f>
        <v>0</v>
      </c>
      <c r="BM77" s="170">
        <f>IF(AND(ISERROR(SEARCH("REFUND",A77)),ISERROR(SEARCH("CANCELLED",A77))),BD77+BK77,0)</f>
        <v>0</v>
      </c>
      <c r="BN77" s="542">
        <f>IF(AND(ISERROR(SEARCH("REFUND",A77)),ISERROR(SEARCH("CANCELLED",A77))),BE77+BL77,0)</f>
        <v>0</v>
      </c>
    </row>
    <row r="78" spans="1:66" ht="19.5" customHeight="1">
      <c r="A78" s="167" t="s">
        <v>366</v>
      </c>
      <c r="B78" s="168" t="s">
        <v>52</v>
      </c>
      <c r="C78" s="168" t="s">
        <v>383</v>
      </c>
      <c r="D78" s="168" t="s">
        <v>128</v>
      </c>
      <c r="E78" s="171">
        <v>46037</v>
      </c>
      <c r="F78" s="171"/>
      <c r="G78" s="168" t="s">
        <v>52</v>
      </c>
      <c r="H78" s="181" t="s">
        <v>439</v>
      </c>
      <c r="I78" s="169">
        <f>-R76</f>
        <v>-9589382.7559200004</v>
      </c>
      <c r="J78" s="170">
        <f>IF(I78="",AR78,I78)</f>
        <v>-9589382.7559200004</v>
      </c>
      <c r="K78" s="168" t="s">
        <v>9</v>
      </c>
      <c r="L78" s="171" t="s">
        <v>439</v>
      </c>
      <c r="M78" s="168" t="s">
        <v>439</v>
      </c>
      <c r="N78" s="167" t="s">
        <v>371</v>
      </c>
      <c r="O78" s="168" t="s">
        <v>39</v>
      </c>
      <c r="P78" s="168" t="s">
        <v>39</v>
      </c>
      <c r="Q78" s="169"/>
      <c r="R78" s="170">
        <f>IF(Q78="",AS78,Q78)</f>
        <v>447771.51745162444</v>
      </c>
      <c r="S78" s="168" t="s">
        <v>8</v>
      </c>
      <c r="T78" s="171" t="s">
        <v>440</v>
      </c>
      <c r="U78" s="168" t="s">
        <v>20</v>
      </c>
      <c r="V78" s="167" t="s">
        <v>371</v>
      </c>
      <c r="W78" s="172" t="s">
        <v>382</v>
      </c>
      <c r="X78" s="173">
        <f>IF(Y78="",VLOOKUP(H78,CLIENTS!$A$1:$O$649,5,FALSE),Y78)</f>
        <v>0</v>
      </c>
      <c r="Y78" s="174">
        <v>0</v>
      </c>
      <c r="Z78" s="173">
        <f>IF(AA78="",VLOOKUP(P78,CLIENTS!$A$1:$O$649,5,FALSE),AA78)</f>
        <v>-1E-3</v>
      </c>
      <c r="AA78" s="174">
        <v>-1E-3</v>
      </c>
      <c r="AB78" s="173" t="str">
        <f>IF(W78="via USD",IF(K78="EUR",K78&amp;"USD","USD"&amp;K78),IFERROR(VLOOKUP(K78&amp;S78,'FX RATES'!$H$2:$H$20,1,FALSE),S78&amp;K78))</f>
        <v>AEDRUB</v>
      </c>
      <c r="AC78" s="175">
        <f>IF(LEFT(AB78,3)=RIGHT(AB78,3),0,IFERROR(INDEX(CLIENTS!$A$1:$O$649,MATCH(H78,CLIENTS!$A$1:$A$649,0),MATCH(AB78,CLIENTS!$A$1:$O$1,0)),0))</f>
        <v>0</v>
      </c>
      <c r="AD78" s="176">
        <v>21.394400000000001</v>
      </c>
      <c r="AE78" s="177">
        <f>IF(W78="CLIENT","",IF(AD78="",AH78+AC78,AD78+AC78))</f>
        <v>21.394400000000001</v>
      </c>
      <c r="AF78" s="177" t="str">
        <f>E78&amp;AB78</f>
        <v>46037AEDRUB</v>
      </c>
      <c r="AG78" s="176">
        <v>21.375</v>
      </c>
      <c r="AH78" s="178">
        <f ca="1">IF(LEFT(AB78,3)=RIGHT(AB78,3),1,VLOOKUP(AB78,'FX RATES'!$H$1:$I$20,2,FALSE))</f>
        <v>20.8843</v>
      </c>
      <c r="AI78" s="178">
        <f>IF(OR(AB78="USDAED",LEFT(AB78,3)=RIGHT(AB78,3)),AH78,IF(LEFT(AB78)="USD",AG78,IF(RIGHT(AB78,3)="USD",1,IFERROR(VLOOKUP(E78&amp;"USD"&amp;RIGHT(AB78,3),$AF:$AG,2,FALSE),VLOOKUP(E78&amp;"USD"&amp;RIGHT(AJ78,3),$AN:$AO,2,FALSE)))))</f>
        <v>78.5</v>
      </c>
      <c r="AJ78" s="173" t="str">
        <f>IF(W78="via USD",IF(S78="EUR",S78&amp;"USD","USD"&amp;S78),IFERROR(VLOOKUP(K78&amp;S78,'FX RATES'!$H$2:$H$20,1,FALSE),S78&amp;K78))</f>
        <v>AEDRUB</v>
      </c>
      <c r="AK78" s="175">
        <f>IF(LEFT(AJ78,3)=RIGHT(AJ78,3),0,IFERROR(INDEX(CLIENTS!$A$1:$O$649,MATCH(P78,CLIENTS!$A$1:$A$649,0),MATCH(AJ78,CLIENTS!$A$1:$O$1,0)),0))</f>
        <v>0</v>
      </c>
      <c r="AL78" s="176"/>
      <c r="AM78" s="177" t="str">
        <f>IF(W78="VENDOR","",IF(AL78="",AP78+AK78,AL78+AK78))</f>
        <v/>
      </c>
      <c r="AN78" s="177" t="str">
        <f>E78&amp;AJ78</f>
        <v>46037AEDRUB</v>
      </c>
      <c r="AO78" s="176"/>
      <c r="AP78" s="178">
        <f ca="1">IF(LEFT(AJ78,3)=RIGHT(AJ78,3),1,VLOOKUP(AJ78,'FX RATES'!$H$1:$I$20,2,FALSE))</f>
        <v>20.8843</v>
      </c>
      <c r="AQ78" s="178">
        <f>IF(OR(AJ78="USDAED",LEFT(AJ78,3)=RIGHT(AJ78,3)),AP78,IF(LEFT(AJ78)="USD",AO78,IF(RIGHT(AJ78,3)="USD",1,IFERROR(VLOOKUP(E78&amp;"USD"&amp;RIGHT(AJ78,3),$AN:$AO,2,FALSE),VLOOKUP(E78&amp;"USD"&amp;RIGHT(AB78,3),$AF:$AG,2,FALSE)))))</f>
        <v>78.5</v>
      </c>
      <c r="AR78" s="179">
        <f>-Q78*(1-Z78)/(1+X78)*IF(W78="CLIENT",IF(S78=RIGHT(AJ78,3),1/AM78,AM78),IF(W78="VENDOR",IF(S78=RIGHT(AJ78,3),1/AE78,AE78),AE78^(VLOOKUP(AB78,'FX RATES'!$H$1:$J$26,3,FALSE))/AM78^(VLOOKUP(AJ78,'FX RATES'!$H$1:$J$26,3,FALSE))))</f>
        <v>0</v>
      </c>
      <c r="AS78" s="179">
        <f>-I78*(1+X78)/(1-Z78)*IF(W78="VENDOR",IF(K78=RIGHT(AB78,3),1/AE78,AE78),IF(W78="CLIENT",IF(K78=RIGHT(AB78,3),1/AM78,AM78),AM78^(VLOOKUP(AJ78,'FX RATES'!$H$1:$J$26,3,FALSE))/AE78^(VLOOKUP(AB78,'FX RATES'!$H$1:$J$26,3,FALSE))))</f>
        <v>447771.51745162444</v>
      </c>
      <c r="AT78" s="170">
        <f ca="1">IF(AB78&lt;&gt;AJ78,J78/IF(K78=RIGHT(AB78,3),AE78,1/AE78),IF(S78="USD",J78/IF(K78=RIGHT(AB78,3),IF(W78="CLIENT",AM78,AE78),1/IF(W78="CLIENT",AM78,AE78)),J78*VLOOKUP(K78,'FX RATES'!$E$1:$F$10,2,FALSE)))</f>
        <v>-124991.13999413456</v>
      </c>
      <c r="AU78" s="170">
        <f ca="1">IF(AB78&lt;&gt;AJ78,R78/IF(S78=RIGHT(AJ78,3),AM78,1/AM78),IF(K78="USD",R78/IF(S78=RIGHT(AJ78,3),IF(W78="CLIENT",AM78,AE78),1/IF(W78="CLIENT",AM78,AE78)),R78*VLOOKUP(S78,'FX RATES'!$E$1:$F$10,2,FALSE)))</f>
        <v>121922.21245211143</v>
      </c>
      <c r="AV78" s="170">
        <f ca="1">AT78+AU78</f>
        <v>-3068.9275420231279</v>
      </c>
      <c r="AW78" s="169"/>
      <c r="AX78" s="170">
        <f ca="1">IF(AND(ISERROR(SEARCH("INVOICE",T78)),ISERROR(SEARCH("SWITCH",T78)),ISERROR(SEARCH("FOREX",T78)),ISERROR(SEARCH("REFUND",A78)),ISERROR(SEARCH("CANCELLED",A78))),IF(AW78="",-AT78*X78+AU78*Z78,AW78),0)</f>
        <v>-121.92221245211144</v>
      </c>
      <c r="AY78" s="170">
        <f>IF(AZ78="USD",AT78,IF(AZ78=K78,J78,-R78))</f>
        <v>-447771.51745162444</v>
      </c>
      <c r="AZ78" s="170" t="str">
        <f>LEFT(AB78,3)</f>
        <v>AED</v>
      </c>
      <c r="BA78" s="542">
        <f>IF(OR(A78="REFUND",A78="CANCELLED"),0,IFERROR((IF(OR(AB78="USDAED",LEFT(AB78,3)=RIGHT(AB78,3)),AI78,AG78)-AE78)*-AY78*VLOOKUP(AB78,'FX RATES'!$H$1:$J$26,3,FALSE),0))</f>
        <v>-8686.7674385619503</v>
      </c>
      <c r="BB78" s="170" t="str">
        <f>RIGHT(AB78,3)</f>
        <v>RUB</v>
      </c>
      <c r="BC78" s="542">
        <f>IF(BA78=0,0,IFERROR(BA78/IF(BB78&lt;&gt;"USD",AI78,1),"???"))</f>
        <v>-110.6594578160758</v>
      </c>
      <c r="BD78" s="170">
        <f>IFERROR(-AC78/(IF(OR(AB78="USDAED",LEFT(AB78,3)=RIGHT(AB78,3)),AH78,AG78)-AE78)*BC78,0)</f>
        <v>0</v>
      </c>
      <c r="BE78" s="542">
        <f>BC78-BD78</f>
        <v>-110.6594578160758</v>
      </c>
      <c r="BF78" s="170">
        <f>IF(BG78="USD",AU78,IF(BG78=S78,R78,-J78))</f>
        <v>447771.51745162444</v>
      </c>
      <c r="BG78" s="170" t="str">
        <f>LEFT(AJ78,3)</f>
        <v>AED</v>
      </c>
      <c r="BH78" s="542">
        <f>IF(OR(A78="REFUND",A78="CANCELLED"),0,IFERROR((IF(OR(AJ78="USDAED",LEFT(AJ78,3)=RIGHT(AJ78,3)),AQ78,AO78)-AM78)*-BF78*VLOOKUP(AJ78,'FX RATES'!$H$1:$J$26,3,FALSE),0))</f>
        <v>0</v>
      </c>
      <c r="BI78" s="170" t="str">
        <f>RIGHT(AJ78,3)</f>
        <v>RUB</v>
      </c>
      <c r="BJ78" s="542">
        <f>IF(BH78=0,0,IFERROR(BH78/IF(BI78&lt;&gt;"USD",AQ78,1),"???"))</f>
        <v>0</v>
      </c>
      <c r="BK78" s="170">
        <f>IFERROR(-AK78/(IF(OR(AJ78="USDAED",LEFT(AJ78,3)=RIGHT(AJ78,3)),AP78,AO78)-AM78)*BJ78,0)</f>
        <v>0</v>
      </c>
      <c r="BL78" s="542">
        <f>BJ78-BK78</f>
        <v>0</v>
      </c>
      <c r="BM78" s="170">
        <f>IF(AND(ISERROR(SEARCH("REFUND",A78)),ISERROR(SEARCH("CANCELLED",A78))),BD78+BK78,0)</f>
        <v>0</v>
      </c>
      <c r="BN78" s="542">
        <f>IF(AND(ISERROR(SEARCH("REFUND",A78)),ISERROR(SEARCH("CANCELLED",A78))),BE78+BL78,0)</f>
        <v>-110.6594578160758</v>
      </c>
    </row>
    <row r="80" spans="1:66" ht="19.5" customHeight="1">
      <c r="A80" s="167" t="s">
        <v>366</v>
      </c>
      <c r="B80" s="168" t="s">
        <v>102</v>
      </c>
      <c r="C80" s="168" t="s">
        <v>367</v>
      </c>
      <c r="D80" s="168" t="s">
        <v>143</v>
      </c>
      <c r="E80" s="171">
        <v>46037</v>
      </c>
      <c r="F80" s="171"/>
      <c r="G80" s="168" t="s">
        <v>102</v>
      </c>
      <c r="H80" s="181" t="s">
        <v>453</v>
      </c>
      <c r="I80" s="169">
        <v>-22500</v>
      </c>
      <c r="J80" s="170">
        <f>IF(I80="",AR80,I80)</f>
        <v>-22500</v>
      </c>
      <c r="K80" s="168" t="s">
        <v>6</v>
      </c>
      <c r="L80" s="168" t="s">
        <v>454</v>
      </c>
      <c r="M80" s="168" t="s">
        <v>420</v>
      </c>
      <c r="N80" s="167" t="s">
        <v>371</v>
      </c>
      <c r="O80" s="168" t="s">
        <v>39</v>
      </c>
      <c r="P80" s="168" t="s">
        <v>455</v>
      </c>
      <c r="Q80" s="169"/>
      <c r="R80" s="170">
        <f>IF(Q80="",AS80,Q80)</f>
        <v>2122676.0399238584</v>
      </c>
      <c r="S80" s="168" t="s">
        <v>9</v>
      </c>
      <c r="T80" s="171" t="s">
        <v>436</v>
      </c>
      <c r="U80" s="168" t="s">
        <v>25</v>
      </c>
      <c r="V80" s="167" t="s">
        <v>371</v>
      </c>
      <c r="W80" s="172" t="s">
        <v>375</v>
      </c>
      <c r="X80" s="173">
        <f>IF(Y80="",VLOOKUP(H80,CLIENTS!$A$1:$O$649,5,FALSE),Y80)</f>
        <v>0</v>
      </c>
      <c r="Y80" s="174">
        <v>0</v>
      </c>
      <c r="Z80" s="173">
        <f>IF(AA80="",VLOOKUP(P80,CLIENTS!$A$1:$O$649,5,FALSE),AA80)</f>
        <v>1.4999999999999999E-2</v>
      </c>
      <c r="AA80" s="174">
        <v>1.4999999999999999E-2</v>
      </c>
      <c r="AB80" s="173" t="str">
        <f>IF(W80="via USD",IF(K80="EUR",K80&amp;"USD","USD"&amp;K80),IFERROR(VLOOKUP(K80&amp;S80,'FX RATES'!$H$2:$H$20,1,FALSE),S80&amp;K80))</f>
        <v>EURUSD</v>
      </c>
      <c r="AC80" s="175">
        <f>IF(LEFT(AB80,3)=RIGHT(AB80,3),0,IFERROR(INDEX(CLIENTS!$A$1:$O$649,MATCH(H80,CLIENTS!$A$1:$A$649,0),MATCH(AB80,CLIENTS!$A$1:$O$1,0)),0))</f>
        <v>0</v>
      </c>
      <c r="AD80" s="176">
        <v>1.1827000000000001</v>
      </c>
      <c r="AE80" s="177">
        <f>IF(W80="CLIENT","",IF(AD80="",AH80+AC80,AD80+AC80))</f>
        <v>1.1827000000000001</v>
      </c>
      <c r="AF80" s="177" t="str">
        <f>E80&amp;AB80</f>
        <v>46037EURUSD</v>
      </c>
      <c r="AG80" s="176">
        <v>1.1758384505999999</v>
      </c>
      <c r="AH80" s="178">
        <f ca="1">IF(LEFT(AB80,3)=RIGHT(AB80,3),1,VLOOKUP(AB80,'FX RATES'!$H$1:$I$20,2,FALSE))</f>
        <v>1.1779999999999999</v>
      </c>
      <c r="AI80" s="178">
        <f>IF(OR(AB80="USDAED",LEFT(AB80,3)=RIGHT(AB80,3)),AH80,IF(LEFT(AB80)="USD",AG80,IF(RIGHT(AB80,3)="USD",1,IFERROR(VLOOKUP(E80&amp;"USD"&amp;RIGHT(AB80,3),$AF:$AG,2,FALSE),VLOOKUP(E80&amp;"USD"&amp;RIGHT(AJ80,3),$AN:$AO,2,FALSE)))))</f>
        <v>1</v>
      </c>
      <c r="AJ80" s="173" t="str">
        <f>IF(W80="via USD",IF(S80="EUR",S80&amp;"USD","USD"&amp;S80),IFERROR(VLOOKUP(K80&amp;S80,'FX RATES'!$H$2:$H$20,1,FALSE),S80&amp;K80))</f>
        <v>USDRUB</v>
      </c>
      <c r="AK80" s="175">
        <f>IF(LEFT(AJ80,3)=RIGHT(AJ80,3),0,IFERROR(INDEX(CLIENTS!$A$1:$O$649,MATCH(P80,CLIENTS!$A$1:$A$649,0),MATCH(AJ80,CLIENTS!$A$1:$O$1,0)),0))</f>
        <v>0</v>
      </c>
      <c r="AL80" s="176">
        <v>78.571100000000001</v>
      </c>
      <c r="AM80" s="177">
        <f>IF(W80="VENDOR","",IF(AL80="",AP80+AK80,AL80+AK80))</f>
        <v>78.571100000000001</v>
      </c>
      <c r="AN80" s="177" t="str">
        <f>E80&amp;AJ80</f>
        <v>46037USDRUB</v>
      </c>
      <c r="AO80" s="176">
        <v>78.5</v>
      </c>
      <c r="AP80" s="178">
        <f ca="1">IF(LEFT(AJ80,3)=RIGHT(AJ80,3),1,VLOOKUP(AJ80,'FX RATES'!$H$1:$I$20,2,FALSE))</f>
        <v>76.720500000000001</v>
      </c>
      <c r="AQ80" s="178">
        <f>IF(OR(AJ80="USDAED",LEFT(AJ80,3)=RIGHT(AJ80,3)),AP80,IF(LEFT(AJ80)="USD",AO80,IF(RIGHT(AJ80,3)="USD",1,IFERROR(VLOOKUP(E80&amp;"USD"&amp;RIGHT(AJ80,3),$AN:$AO,2,FALSE),VLOOKUP(E80&amp;"USD"&amp;RIGHT(AB80,3),$AF:$AG,2,FALSE)))))</f>
        <v>78.5</v>
      </c>
      <c r="AR80" s="179">
        <f>-Q80*(1-Z80)/(1+X80)*IF(W80="CLIENT",IF(S80=RIGHT(AJ80,3),1/AM80,AM80),IF(W80="VENDOR",IF(S80=RIGHT(AJ80,3),1/AE80,AE80),AE80^(VLOOKUP(AB80,'FX RATES'!$H$1:$J$26,3,FALSE))/AM80^(VLOOKUP(AJ80,'FX RATES'!$H$1:$J$26,3,FALSE))))</f>
        <v>0</v>
      </c>
      <c r="AS80" s="179">
        <f>-I80*(1+X80)/(1-Z80)*IF(W80="VENDOR",IF(K80=RIGHT(AB80,3),1/AE80,AE80),IF(W80="CLIENT",IF(K80=RIGHT(AB80,3),1/AM80,AM80),AM80^(VLOOKUP(AJ80,'FX RATES'!$H$1:$J$26,3,FALSE))/AE80^(VLOOKUP(AB80,'FX RATES'!$H$1:$J$26,3,FALSE))))</f>
        <v>2122676.0399238584</v>
      </c>
      <c r="AT80" s="170">
        <f>IF(AB80&lt;&gt;AJ80,J80/IF(K80=RIGHT(AB80,3),AE80,1/AE80),IF(S80="USD",J80/IF(K80=RIGHT(AB80,3),IF(W80="CLIENT",AM80,AE80),1/IF(W80="CLIENT",AM80,AE80)),J80*VLOOKUP(K80,'FX RATES'!$E$1:$F$10,2,FALSE)))</f>
        <v>-26610.750000000004</v>
      </c>
      <c r="AU80" s="170">
        <f>IF(AB80&lt;&gt;AJ80,R80/IF(S80=RIGHT(AJ80,3),AM80,1/AM80),IF(K80="USD",R80/IF(S80=RIGHT(AJ80,3),IF(W80="CLIENT",AM80,AE80),1/IF(W80="CLIENT",AM80,AE80)),R80*VLOOKUP(S80,'FX RATES'!$E$1:$F$10,2,FALSE)))</f>
        <v>27015.98984771574</v>
      </c>
      <c r="AV80" s="170">
        <f>AT80+AU80</f>
        <v>405.23984771573669</v>
      </c>
      <c r="AW80" s="169"/>
      <c r="AX80" s="170">
        <f>IF(AND(ISERROR(SEARCH("INVOICE",T80)),ISERROR(SEARCH("SWITCH",T80)),ISERROR(SEARCH("FOREX",T80)),ISERROR(SEARCH("REFUND",A80)),ISERROR(SEARCH("CANCELLED",A80))),IF(AW80="",-AT80*X80+AU80*Z80,AW80),0)</f>
        <v>405.23984771573606</v>
      </c>
      <c r="AY80" s="170">
        <f>IF(AZ80="USD",AT80,IF(AZ80=K80,J80,-R80))</f>
        <v>-22500</v>
      </c>
      <c r="AZ80" s="170" t="str">
        <f>LEFT(AB80,3)</f>
        <v>EUR</v>
      </c>
      <c r="BA80" s="542">
        <f>IF(OR(A80="REFUND",A80="CANCELLED"),0,IFERROR((IF(OR(AB80="USDAED",LEFT(AB80,3)=RIGHT(AB80,3)),AI80,AG80)-AE80)*-AY80*VLOOKUP(AB80,'FX RATES'!$H$1:$J$26,3,FALSE),0))</f>
        <v>154.38486150000375</v>
      </c>
      <c r="BB80" s="170" t="str">
        <f>RIGHT(AB80,3)</f>
        <v>USD</v>
      </c>
      <c r="BC80" s="542">
        <f>IF(BA80=0,0,IFERROR(BA80/IF(BB80&lt;&gt;"USD",AI80,1),"???"))</f>
        <v>154.38486150000375</v>
      </c>
      <c r="BD80" s="170">
        <f>IFERROR(-AC80/(IF(OR(AB80="USDAED",LEFT(AB80,3)=RIGHT(AB80,3)),AH80,AG80)-AE80)*BC80,0)</f>
        <v>0</v>
      </c>
      <c r="BE80" s="542">
        <f>BC80-BD80</f>
        <v>154.38486150000375</v>
      </c>
      <c r="BF80" s="170">
        <f>IF(BG80="USD",AU80,IF(BG80=S80,R80,-J80))</f>
        <v>27015.98984771574</v>
      </c>
      <c r="BG80" s="170" t="str">
        <f>LEFT(AJ80,3)</f>
        <v>USD</v>
      </c>
      <c r="BH80" s="542">
        <f>IF(OR(A80="REFUND",A80="CANCELLED"),0,IFERROR((IF(OR(AJ80="USDAED",LEFT(AJ80,3)=RIGHT(AJ80,3)),AQ80,AO80)-AM80)*-BF80*VLOOKUP(AJ80,'FX RATES'!$H$1:$J$26,3,FALSE),0))</f>
        <v>1920.8368781726235</v>
      </c>
      <c r="BI80" s="170" t="str">
        <f>RIGHT(AJ80,3)</f>
        <v>RUB</v>
      </c>
      <c r="BJ80" s="542">
        <f>IF(BH80=0,0,IFERROR(BH80/IF(BI80&lt;&gt;"USD",AQ80,1),"???"))</f>
        <v>24.469259594555712</v>
      </c>
      <c r="BK80" s="170">
        <f>IFERROR(-AK80/(IF(OR(AJ80="USDAED",LEFT(AJ80,3)=RIGHT(AJ80,3)),AP80,AO80)-AM80)*BJ80,0)</f>
        <v>0</v>
      </c>
      <c r="BL80" s="542">
        <f>BJ80-BK80</f>
        <v>24.469259594555712</v>
      </c>
      <c r="BM80" s="170">
        <f>IF(AND(ISERROR(SEARCH("REFUND",A80)),ISERROR(SEARCH("CANCELLED",A80))),BD80+BK80,0)</f>
        <v>0</v>
      </c>
      <c r="BN80" s="542">
        <f>IF(AND(ISERROR(SEARCH("REFUND",A80)),ISERROR(SEARCH("CANCELLED",A80))),BE80+BL80,0)</f>
        <v>178.85412109455947</v>
      </c>
    </row>
    <row r="81" spans="1:66" ht="19.5" customHeight="1">
      <c r="A81" s="167" t="s">
        <v>366</v>
      </c>
      <c r="B81" s="172" t="s">
        <v>102</v>
      </c>
      <c r="C81" s="172" t="s">
        <v>102</v>
      </c>
      <c r="D81" s="172" t="s">
        <v>451</v>
      </c>
      <c r="E81" s="171">
        <v>46037</v>
      </c>
      <c r="F81" s="171"/>
      <c r="G81" s="172" t="s">
        <v>102</v>
      </c>
      <c r="H81" s="172" t="s">
        <v>105</v>
      </c>
      <c r="I81" s="169"/>
      <c r="J81" s="170">
        <f>IF(I81="",AR81,I81)</f>
        <v>-26456.37</v>
      </c>
      <c r="K81" s="172" t="s">
        <v>53</v>
      </c>
      <c r="L81" s="172" t="s">
        <v>420</v>
      </c>
      <c r="M81" s="172" t="s">
        <v>54</v>
      </c>
      <c r="N81" s="167" t="s">
        <v>371</v>
      </c>
      <c r="O81" s="172" t="s">
        <v>102</v>
      </c>
      <c r="P81" s="172" t="s">
        <v>105</v>
      </c>
      <c r="Q81" s="169">
        <f>-J80</f>
        <v>22500</v>
      </c>
      <c r="R81" s="170">
        <f>IF(Q81="",AS81,Q81)</f>
        <v>22500</v>
      </c>
      <c r="S81" s="172" t="s">
        <v>6</v>
      </c>
      <c r="T81" s="171" t="s">
        <v>420</v>
      </c>
      <c r="U81" s="172" t="s">
        <v>54</v>
      </c>
      <c r="V81" s="167" t="s">
        <v>371</v>
      </c>
      <c r="W81" s="172" t="s">
        <v>375</v>
      </c>
      <c r="X81" s="173">
        <f>IF(Y81="",VLOOKUP(H81,CLIENTS!$A$1:$O$649,5,FALSE),Y81)</f>
        <v>0</v>
      </c>
      <c r="Y81" s="174">
        <v>0</v>
      </c>
      <c r="Z81" s="173">
        <f>IF(AA81="",VLOOKUP(P81,CLIENTS!$A$1:$O$649,5,FALSE),AA81)</f>
        <v>-5.3460695327558483E-3</v>
      </c>
      <c r="AA81" s="174">
        <v>-5.3460695327558483E-3</v>
      </c>
      <c r="AB81" s="173" t="str">
        <f>IF(W81="via USD",IF(K81="EUR",K81&amp;"USD","USD"&amp;K81),IFERROR(VLOOKUP(K81&amp;S81,'FX RATES'!$H$2:$H$55,1,FALSE),S81&amp;K81))</f>
        <v>USDUSDT</v>
      </c>
      <c r="AC81" s="175">
        <f>IF(LEFT(AB81,3)=RIGHT(AB81,3),0,IFERROR(INDEX(CLIENTS!$A$1:$O$649,MATCH(H81,CLIENTS!$A$1:$A$649,0),MATCH(AB81,CLIENTS!$A$1:$O$1,0)),0))</f>
        <v>0</v>
      </c>
      <c r="AD81" s="176"/>
      <c r="AE81" s="177">
        <f>IF(W81="CLIENT","",IF(AD81="",AH81+AC81,AD81+AC81))</f>
        <v>1</v>
      </c>
      <c r="AF81" s="177" t="str">
        <f>E81&amp;AB81</f>
        <v>46037USDUSDT</v>
      </c>
      <c r="AG81" s="176">
        <v>1</v>
      </c>
      <c r="AH81" s="178">
        <f>IF(OR(LEFT(AB81,3)=RIGHT(AB81,3),OR(AB81="USDUSDT",AB81="USDTUSD")),1,VLOOKUP(AB81,'FX RATES'!$H$1:$I$20,2,FALSE))</f>
        <v>1</v>
      </c>
      <c r="AI81" s="178">
        <f>IF(OR(AB81="USDAED",LEFT(AB81,3)=RIGHT(AB81,3)),AH81,IF(LEFT(AB81)="USD",AG81,IF(OR(RIGHT(AB81,3)="USD",RIGHT(AB81,4)="USDT"),1,IFERROR(VLOOKUP(E81&amp;"USD"&amp;RIGHT(AB81,3),$AF:$AG,2,FALSE),VLOOKUP(E81&amp;"USD"&amp;RIGHT(AJ81,3),$AN:$AO,2,FALSE)))))</f>
        <v>1</v>
      </c>
      <c r="AJ81" s="173" t="str">
        <f>IF(W81="via USD",IF(S81="EUR",S81&amp;"USD","USD"&amp;S81),IFERROR(VLOOKUP(K81&amp;S81,'FX RATES'!$H$2:$H$20,1,FALSE),S81&amp;K81))</f>
        <v>EURUSD</v>
      </c>
      <c r="AK81" s="175">
        <f>IF(LEFT(AJ81,3)=RIGHT(AJ81,3),0,IFERROR(INDEX(CLIENTS!$A$1:$O$649,MATCH(P81,CLIENTS!$A$1:$A$649,0),MATCH(AJ81,CLIENTS!$A$1:$O$1,0)),0))</f>
        <v>0</v>
      </c>
      <c r="AL81" s="176">
        <v>1.1695859787</v>
      </c>
      <c r="AM81" s="177">
        <f>IF(W81="VENDOR","",IF(AL81="",AP81+AK81,AL81+AK81))</f>
        <v>1.1695859787</v>
      </c>
      <c r="AN81" s="177" t="str">
        <f>E81&amp;AJ81</f>
        <v>46037EURUSD</v>
      </c>
      <c r="AO81" s="176">
        <v>1.1758384505999999</v>
      </c>
      <c r="AP81" s="178">
        <f ca="1">IF(OR(LEFT(AJ81,3)=RIGHT(AJ81,3),AND(OR(AB81="USDUSDT",AB81="USDTUSD"),OR(AJ81="USDUSDT",AJ81="USDTUSD"))),1,VLOOKUP(AJ81,'FX RATES'!$H$1:$I$20,2,FALSE))</f>
        <v>1.1779999999999999</v>
      </c>
      <c r="AQ81" s="178">
        <f>IF(OR(AJ81="USDAED",LEFT(AJ81,3)=RIGHT(AJ81,3)),AP81,IF(LEFT(AJ81)="USD",AO81,IF(OR(RIGHT(AB81,3)="USD",RIGHT(AB81,4)="USDT"),1,IFERROR(VLOOKUP(E81&amp;"USD"&amp;RIGHT(AJ81,3),$AN:$AO,2,FALSE),VLOOKUP(E81&amp;"USD"&amp;RIGHT(AB81,3),$AF:$AG,2,FALSE)))))</f>
        <v>1</v>
      </c>
      <c r="AR81" s="179">
        <f>-Q81*(1-Z81)/(1+X81)*IF(W81="CLIENT",IF(S81=RIGHT(AJ81,3),1/AM81,AM81),IF(W81="VENDOR",IF(S81=RIGHT(AJ81,3),1/AE81,AE81),AE81^(VLOOKUP(AB81,'FX RATES'!$H$1:$J$26,3,FALSE))/AM81^(VLOOKUP(AJ81,'FX RATES'!$H$1:$J$26,3,FALSE))))</f>
        <v>-26456.37</v>
      </c>
      <c r="AS81" s="179">
        <f>-I81*(1+X81)/(1-Z81)*IF(W81="VENDOR",IF(K81=RIGHT(AB81,3),1/AE81,AE81),IF(W81="CLIENT",IF(K81=RIGHT(AB81,3),1/AM81,AM81),AM81^(VLOOKUP(AJ81,'FX RATES'!$H$1:$J$26,3,FALSE))/AE81^(VLOOKUP(AB81,'FX RATES'!$H$1:$J$26,3,FALSE))))</f>
        <v>0</v>
      </c>
      <c r="AT81" s="170">
        <f>IF(AB81&lt;&gt;AJ81,J81/IF(K81=RIGHT(AB81,3),AE81,1/AE81),IF(S81="USD",J81/IF(K81=RIGHT(AB81,3),IF(W81="CLIENT",AM81,AE81),1/IF(W81="CLIENT",AM81,AE81)),J81*VLOOKUP(K81,'FX RATES'!$E$1:$F$10,2,FALSE)))</f>
        <v>-26456.37</v>
      </c>
      <c r="AU81" s="170">
        <f>IF(AB81&lt;&gt;AJ81,R81/IF(S81=RIGHT(AJ81,3),AM81,1/AM81),IF(K81="USD",R81/IF(S81=RIGHT(AJ81,3),IF(W81="CLIENT",AM81,AE81),1/IF(W81="CLIENT",AM81,AE81)),R81*VLOOKUP(S81,'FX RATES'!$E$1:$F$10,2,FALSE)))</f>
        <v>26315.684520750001</v>
      </c>
      <c r="AV81" s="170">
        <f>AT81+AU81</f>
        <v>-140.68547924999802</v>
      </c>
      <c r="AW81" s="169"/>
      <c r="AX81" s="170">
        <f>IF(AND(ISERROR(SEARCH("INVOICE",T81)),ISERROR(SEARCH("SWITCH",T81)),ISERROR(SEARCH("FOREX",T81)),ISERROR(SEARCH("REFUND",A81)),ISERROR(SEARCH("CANCELLED",A81))),IF(AW81="",-AT81*X81+AU81*Z81,AW81),0)</f>
        <v>-140.68547924999626</v>
      </c>
      <c r="AY81" s="170">
        <f>IF(AZ81="USD",AT81,IF(AZ81=K81,J81,-R81))</f>
        <v>-26456.37</v>
      </c>
      <c r="AZ81" s="170" t="str">
        <f>LEFT(AB81,3)</f>
        <v>USD</v>
      </c>
      <c r="BA81" s="542">
        <f>IF(OR(A81="REFUND",A81="CANCELLED"),0,IFERROR((IF(OR(AB81="USDAED",LEFT(AB81,3)=RIGHT(AB81,3)),AI81,AG81)-AE81)*-AY81*VLOOKUP(AB81,'FX RATES'!$H$1:$J$26,3,FALSE),0))</f>
        <v>0</v>
      </c>
      <c r="BB81" s="170" t="str">
        <f>RIGHT(AB81,4)</f>
        <v>USDT</v>
      </c>
      <c r="BC81" s="542">
        <f>IF(BA81=0,0,IFERROR(BA81/IF(BB81&lt;&gt;"USD",AI81,1),"???"))</f>
        <v>0</v>
      </c>
      <c r="BD81" s="170">
        <f>IFERROR(-AC81/(IF(OR(AB81="USDAED",LEFT(AB81,3)=RIGHT(AB81,3)),AH81,AG81)-AE81)*BC81,0)</f>
        <v>0</v>
      </c>
      <c r="BE81" s="542">
        <f>BC81-BD81</f>
        <v>0</v>
      </c>
      <c r="BF81" s="170">
        <f>IF(BG81="USD",AU81,IF(BG81=S81,R81,-J81))</f>
        <v>22500</v>
      </c>
      <c r="BG81" s="170" t="str">
        <f>LEFT(AJ81,3)</f>
        <v>EUR</v>
      </c>
      <c r="BH81" s="542">
        <f>IF(OR(A81="REFUND",A81="CANCELLED"),0,IFERROR((IF(OR(AJ81="USDAED",LEFT(AJ81,3)=RIGHT(AJ81,3)),AQ81,AO81)-AM81)*-BF81*VLOOKUP(AJ81,'FX RATES'!$H$1:$J$26,3,FALSE),0))</f>
        <v>140.68061774999751</v>
      </c>
      <c r="BI81" s="170" t="str">
        <f>RIGHT(AJ81,3)</f>
        <v>USD</v>
      </c>
      <c r="BJ81" s="542">
        <f>IF(BH81=0,0,IFERROR(BH81/IF(BI81&lt;&gt;"USD",AQ81,1),"???"))</f>
        <v>140.68061774999751</v>
      </c>
      <c r="BK81" s="170">
        <f>IFERROR(-AK81/(IF(OR(AJ81="USDAED",LEFT(AJ81,3)=RIGHT(AJ81,3)),AP81,AO81)-AM81)*BJ81,0)</f>
        <v>0</v>
      </c>
      <c r="BL81" s="542">
        <f>BJ81-BK81</f>
        <v>140.68061774999751</v>
      </c>
      <c r="BM81" s="170">
        <f>IF(AND(ISERROR(SEARCH("REFUND",A81)),ISERROR(SEARCH("CANCELLED",A81))),BD81+BK81,0)</f>
        <v>0</v>
      </c>
      <c r="BN81" s="542">
        <f>IF(AND(ISERROR(SEARCH("REFUND",A81)),ISERROR(SEARCH("CANCELLED",A81))),BE81+BL81,0)</f>
        <v>140.68061774999751</v>
      </c>
    </row>
    <row r="82" spans="1:66" ht="19.5" customHeight="1">
      <c r="A82" s="167" t="s">
        <v>366</v>
      </c>
      <c r="B82" s="168" t="s">
        <v>39</v>
      </c>
      <c r="C82" s="168" t="s">
        <v>381</v>
      </c>
      <c r="D82" s="168" t="s">
        <v>128</v>
      </c>
      <c r="E82" s="171">
        <v>46037</v>
      </c>
      <c r="F82" s="171"/>
      <c r="G82" s="168" t="s">
        <v>39</v>
      </c>
      <c r="H82" s="181" t="s">
        <v>39</v>
      </c>
      <c r="I82" s="169"/>
      <c r="J82" s="170">
        <f>IF(I82="",AR82,I82)</f>
        <v>-4000000</v>
      </c>
      <c r="K82" s="168" t="s">
        <v>9</v>
      </c>
      <c r="L82" s="168" t="s">
        <v>25</v>
      </c>
      <c r="M82" s="168" t="s">
        <v>25</v>
      </c>
      <c r="N82" s="167" t="s">
        <v>371</v>
      </c>
      <c r="O82" s="168" t="s">
        <v>39</v>
      </c>
      <c r="P82" s="168" t="s">
        <v>39</v>
      </c>
      <c r="Q82" s="169">
        <v>4000000</v>
      </c>
      <c r="R82" s="170">
        <f>IF(Q82="",AS82,Q82)</f>
        <v>4000000</v>
      </c>
      <c r="S82" s="168" t="s">
        <v>9</v>
      </c>
      <c r="T82" s="168" t="s">
        <v>25</v>
      </c>
      <c r="U82" s="168" t="s">
        <v>25</v>
      </c>
      <c r="V82" s="167" t="s">
        <v>371</v>
      </c>
      <c r="W82" s="172" t="s">
        <v>382</v>
      </c>
      <c r="X82" s="173">
        <f>IF(Y82="",VLOOKUP(H82,CLIENTS!$A$1:$O$649,5,FALSE),Y82)</f>
        <v>0</v>
      </c>
      <c r="Y82" s="174"/>
      <c r="Z82" s="173">
        <f>IF(AA82="",VLOOKUP(P82,CLIENTS!$A$1:$O$649,5,FALSE),AA82)</f>
        <v>0</v>
      </c>
      <c r="AA82" s="174"/>
      <c r="AB82" s="173" t="str">
        <f>IF(W82="via USD",IF(K82="EUR",K82&amp;"USD","USD"&amp;K82),IFERROR(VLOOKUP(K82&amp;S82,'FX RATES'!$H$2:$H$20,1,FALSE),S82&amp;K82))</f>
        <v>RUBRUB</v>
      </c>
      <c r="AC82" s="175">
        <f>IF(LEFT(AB82,3)=RIGHT(AB82,3),0,IFERROR(INDEX(CLIENTS!$A$1:$O$649,MATCH(H82,CLIENTS!$A$1:$A$649,0),MATCH(AB82,CLIENTS!$A$1:$O$1,0)),0))</f>
        <v>0</v>
      </c>
      <c r="AD82" s="176"/>
      <c r="AE82" s="177">
        <f>IF(W82="CLIENT","",IF(AD82="",AH82+AC82,AD82+AC82))</f>
        <v>1</v>
      </c>
      <c r="AF82" s="177" t="str">
        <f>E82&amp;AB82</f>
        <v>46037RUBRUB</v>
      </c>
      <c r="AG82" s="176"/>
      <c r="AH82" s="178">
        <f>IF(LEFT(AB82,3)=RIGHT(AB82,3),1,VLOOKUP(AB82,'FX RATES'!$H$1:$I$20,2,FALSE))</f>
        <v>1</v>
      </c>
      <c r="AI82" s="178">
        <f>IF(OR(AB82="USDAED",LEFT(AB82,3)=RIGHT(AB82,3)),AH82,IF(LEFT(AB82)="USD",AG82,IF(RIGHT(AB82,3)="USD",1,IFERROR(VLOOKUP(E82&amp;"USD"&amp;RIGHT(AB82,3),$AF:$AG,2,FALSE),VLOOKUP(E82&amp;"USD"&amp;RIGHT(AJ82,3),$AN:$AO,2,FALSE)))))</f>
        <v>1</v>
      </c>
      <c r="AJ82" s="173" t="str">
        <f>IF(W82="via USD",IF(S82="EUR",S82&amp;"USD","USD"&amp;S82),IFERROR(VLOOKUP(K82&amp;S82,'FX RATES'!$H$2:$H$20,1,FALSE),S82&amp;K82))</f>
        <v>RUBRUB</v>
      </c>
      <c r="AK82" s="175">
        <f>IF(LEFT(AJ82,3)=RIGHT(AJ82,3),0,IFERROR(INDEX(CLIENTS!$A$1:$O$649,MATCH(P82,CLIENTS!$A$1:$A$649,0),MATCH(AJ82,CLIENTS!$A$1:$O$1,0)),0))</f>
        <v>0</v>
      </c>
      <c r="AL82" s="176"/>
      <c r="AM82" s="177" t="str">
        <f>IF(W82="VENDOR","",IF(AL82="",AP82+AK82,AL82+AK82))</f>
        <v/>
      </c>
      <c r="AN82" s="177" t="str">
        <f>E82&amp;AJ82</f>
        <v>46037RUBRUB</v>
      </c>
      <c r="AO82" s="176"/>
      <c r="AP82" s="178">
        <f>IF(LEFT(AJ82,3)=RIGHT(AJ82,3),1,VLOOKUP(AJ82,'FX RATES'!$H$1:$I$20,2,FALSE))</f>
        <v>1</v>
      </c>
      <c r="AQ82" s="178">
        <f>IF(OR(AJ82="USDAED",LEFT(AJ82,3)=RIGHT(AJ82,3)),AP82,IF(LEFT(AJ82)="USD",AO82,IF(RIGHT(AJ82,3)="USD",1,IFERROR(VLOOKUP(E82&amp;"USD"&amp;RIGHT(AJ82,3),$AN:$AO,2,FALSE),VLOOKUP(E82&amp;"USD"&amp;RIGHT(AB82,3),$AF:$AG,2,FALSE)))))</f>
        <v>1</v>
      </c>
      <c r="AR82" s="179">
        <f>-Q82*(1-Z82)/(1+X82)*IF(W82="CLIENT",IF(S82=RIGHT(AJ82,3),1/AM82,AM82),IF(W82="VENDOR",IF(S82=RIGHT(AJ82,3),1/AE82,AE82),AE82^(VLOOKUP(AB82,'FX RATES'!$H$1:$J$26,3,FALSE))/AM82^(VLOOKUP(AJ82,'FX RATES'!$H$1:$J$26,3,FALSE))))</f>
        <v>-4000000</v>
      </c>
      <c r="AS82" s="179">
        <f>-I82*(1+X82)/(1-Z82)*IF(W82="VENDOR",IF(K82=RIGHT(AB82,3),1/AE82,AE82),IF(W82="CLIENT",IF(K82=RIGHT(AB82,3),1/AM82,AM82),AM82^(VLOOKUP(AJ82,'FX RATES'!$H$1:$J$26,3,FALSE))/AE82^(VLOOKUP(AB82,'FX RATES'!$H$1:$J$26,3,FALSE))))</f>
        <v>0</v>
      </c>
      <c r="AT82" s="170">
        <f ca="1">IF(AB82&lt;&gt;AJ82,J82/IF(K82=RIGHT(AB82,3),AE82,1/AE82),IF(S82="USD",J82/IF(K82=RIGHT(AB82,3),IF(W82="CLIENT",AM82,AE82),1/IF(W82="CLIENT",AM82,AE82)),J82*VLOOKUP(K82,'FX RATES'!$E$1:$F$10,2,FALSE)))</f>
        <v>-52137.303589001633</v>
      </c>
      <c r="AU82" s="170">
        <f ca="1">IF(AB82&lt;&gt;AJ82,R82/IF(S82=RIGHT(AJ82,3),AM82,1/AM82),IF(K82="USD",R82/IF(S82=RIGHT(AJ82,3),IF(W82="CLIENT",AM82,AE82),1/IF(W82="CLIENT",AM82,AE82)),R82*VLOOKUP(S82,'FX RATES'!$E$1:$F$10,2,FALSE)))</f>
        <v>52137.303589001633</v>
      </c>
      <c r="AV82" s="170">
        <f ca="1">AT82+AU82</f>
        <v>0</v>
      </c>
      <c r="AW82" s="169"/>
      <c r="AX82" s="170">
        <f ca="1">IF(AND(ISERROR(SEARCH("INVOICE",T82)),ISERROR(SEARCH("SWITCH",T82)),ISERROR(SEARCH("FOREX",T82)),ISERROR(SEARCH("REFUND",A82)),ISERROR(SEARCH("CANCELLED",A82))),IF(AW82="",-AT82*X82+AU82*Z82,AW82),0)</f>
        <v>0</v>
      </c>
      <c r="AY82" s="170">
        <f>IF(AZ82="USD",AT82,IF(AZ82=K82,J82,-R82))</f>
        <v>-4000000</v>
      </c>
      <c r="AZ82" s="170" t="str">
        <f>LEFT(AB82,3)</f>
        <v>RUB</v>
      </c>
      <c r="BA82" s="542">
        <f>IF(OR(A82="REFUND",A82="CANCELLED"),0,IFERROR((IF(OR(AB82="USDAED",LEFT(AB82,3)=RIGHT(AB82,3)),AI82,AG82)-AE82)*-AY82*VLOOKUP(AB82,'FX RATES'!$H$1:$J$26,3,FALSE),0))</f>
        <v>0</v>
      </c>
      <c r="BB82" s="170" t="str">
        <f>RIGHT(AB82,3)</f>
        <v>RUB</v>
      </c>
      <c r="BC82" s="542">
        <f>IF(BA82=0,0,IFERROR(BA82/IF(BB82&lt;&gt;"USD",AI82,1),"???"))</f>
        <v>0</v>
      </c>
      <c r="BD82" s="170">
        <f>IFERROR(-AC82/(IF(OR(AB82="USDAED",LEFT(AB82,3)=RIGHT(AB82,3)),AH82,AG82)-AE82)*BC82,0)</f>
        <v>0</v>
      </c>
      <c r="BE82" s="542">
        <f>BC82-BD82</f>
        <v>0</v>
      </c>
      <c r="BF82" s="170">
        <f>IF(BG82="USD",AU82,IF(BG82=S82,R82,-J82))</f>
        <v>4000000</v>
      </c>
      <c r="BG82" s="170" t="str">
        <f>LEFT(AJ82,3)</f>
        <v>RUB</v>
      </c>
      <c r="BH82" s="542">
        <f>IF(OR(A82="REFUND",A82="CANCELLED"),0,IFERROR((IF(OR(AJ82="USDAED",LEFT(AJ82,3)=RIGHT(AJ82,3)),AQ82,AO82)-AM82)*-BF82*VLOOKUP(AJ82,'FX RATES'!$H$1:$J$26,3,FALSE),0))</f>
        <v>0</v>
      </c>
      <c r="BI82" s="170" t="str">
        <f>RIGHT(AJ82,3)</f>
        <v>RUB</v>
      </c>
      <c r="BJ82" s="542">
        <f>IF(BH82=0,0,IFERROR(BH82/IF(BI82&lt;&gt;"USD",AQ82,1),"???"))</f>
        <v>0</v>
      </c>
      <c r="BK82" s="170">
        <f>IFERROR(-AK82/(IF(OR(AJ82="USDAED",LEFT(AJ82,3)=RIGHT(AJ82,3)),AP82,AO82)-AM82)*BJ82,0)</f>
        <v>0</v>
      </c>
      <c r="BL82" s="542">
        <f>BJ82-BK82</f>
        <v>0</v>
      </c>
      <c r="BM82" s="170">
        <f>IF(AND(ISERROR(SEARCH("REFUND",A82)),ISERROR(SEARCH("CANCELLED",A82))),BD82+BK82,0)</f>
        <v>0</v>
      </c>
      <c r="BN82" s="542">
        <f>IF(AND(ISERROR(SEARCH("REFUND",A82)),ISERROR(SEARCH("CANCELLED",A82))),BE82+BL82,0)</f>
        <v>0</v>
      </c>
    </row>
    <row r="83" spans="1:66" ht="19.5" customHeight="1">
      <c r="A83" s="167" t="s">
        <v>366</v>
      </c>
      <c r="B83" s="168" t="s">
        <v>39</v>
      </c>
      <c r="C83" s="168" t="s">
        <v>383</v>
      </c>
      <c r="D83" s="168" t="s">
        <v>128</v>
      </c>
      <c r="E83" s="171">
        <v>46037</v>
      </c>
      <c r="F83" s="171"/>
      <c r="G83" s="168" t="s">
        <v>39</v>
      </c>
      <c r="H83" s="168" t="s">
        <v>410</v>
      </c>
      <c r="I83" s="169">
        <v>-6120000</v>
      </c>
      <c r="J83" s="170">
        <f>IF(I83="",AR83,I83)</f>
        <v>-6120000</v>
      </c>
      <c r="K83" s="168" t="s">
        <v>9</v>
      </c>
      <c r="L83" s="171" t="s">
        <v>411</v>
      </c>
      <c r="M83" s="168" t="s">
        <v>25</v>
      </c>
      <c r="N83" s="167" t="s">
        <v>371</v>
      </c>
      <c r="O83" s="168" t="s">
        <v>39</v>
      </c>
      <c r="P83" s="349" t="s">
        <v>410</v>
      </c>
      <c r="Q83" s="169"/>
      <c r="R83" s="170">
        <f>IF(Q83="",AS83,Q83)</f>
        <v>285181.73345759552</v>
      </c>
      <c r="S83" s="168" t="s">
        <v>8</v>
      </c>
      <c r="T83" s="171" t="s">
        <v>385</v>
      </c>
      <c r="U83" s="168" t="s">
        <v>20</v>
      </c>
      <c r="V83" s="167" t="s">
        <v>371</v>
      </c>
      <c r="W83" s="172" t="s">
        <v>382</v>
      </c>
      <c r="X83" s="173">
        <f>IF(Y83="",VLOOKUP(H83,CLIENTS!$A$1:$O$649,5,FALSE),Y83)</f>
        <v>0</v>
      </c>
      <c r="Y83" s="174">
        <v>0</v>
      </c>
      <c r="Z83" s="173">
        <f>IF(AA83="",VLOOKUP(P83,CLIENTS!$A$1:$O$649,5,FALSE),AA83)</f>
        <v>0</v>
      </c>
      <c r="AA83" s="174">
        <v>0</v>
      </c>
      <c r="AB83" s="173" t="str">
        <f>IF(W83="via USD",IF(K83="EUR",K83&amp;"USD","USD"&amp;K83),IFERROR(VLOOKUP(K83&amp;S83,'FX RATES'!$H$2:$H$20,1,FALSE),S83&amp;K83))</f>
        <v>AEDRUB</v>
      </c>
      <c r="AC83" s="175">
        <f>IF(LEFT(AB83,3)=RIGHT(AB83,3),0,IFERROR(INDEX(CLIENTS!$A$1:$O$649,MATCH(H83,CLIENTS!$A$1:$A$649,0),MATCH(AB83,CLIENTS!$A$1:$O$1,0)),0))</f>
        <v>0</v>
      </c>
      <c r="AD83" s="176">
        <v>21.46</v>
      </c>
      <c r="AE83" s="177">
        <f>IF(W83="CLIENT","",IF(AD83="",AH83+AC83,AD83+AC83))</f>
        <v>21.46</v>
      </c>
      <c r="AF83" s="177" t="str">
        <f>E83&amp;AB83</f>
        <v>46037AEDRUB</v>
      </c>
      <c r="AG83" s="176">
        <v>21.375</v>
      </c>
      <c r="AH83" s="178">
        <f ca="1">IF(LEFT(AB83,3)=RIGHT(AB83,3),1,VLOOKUP(AB83,'FX RATES'!$H$1:$I$20,2,FALSE))</f>
        <v>20.8843</v>
      </c>
      <c r="AI83" s="178">
        <f>IF(OR(AB83="USDAED",LEFT(AB83,3)=RIGHT(AB83,3)),AH83,IF(LEFT(AB83)="USD",AG83,IF(RIGHT(AB83,3)="USD",1,IFERROR(VLOOKUP(E83&amp;"USD"&amp;RIGHT(AB83,3),$AF:$AG,2,FALSE),VLOOKUP(E83&amp;"USD"&amp;RIGHT(AJ83,3),$AN:$AO,2,FALSE)))))</f>
        <v>78.5</v>
      </c>
      <c r="AJ83" s="173" t="str">
        <f>IF(W83="via USD",IF(S83="EUR",S83&amp;"USD","USD"&amp;S83),IFERROR(VLOOKUP(K83&amp;S83,'FX RATES'!$H$2:$H$20,1,FALSE),S83&amp;K83))</f>
        <v>AEDRUB</v>
      </c>
      <c r="AK83" s="175">
        <f>IF(LEFT(AJ83,3)=RIGHT(AJ83,3),0,IFERROR(INDEX(CLIENTS!$A$1:$O$649,MATCH(P83,CLIENTS!$A$1:$A$649,0),MATCH(AJ83,CLIENTS!$A$1:$O$1,0)),0))</f>
        <v>0</v>
      </c>
      <c r="AL83" s="176"/>
      <c r="AM83" s="177" t="str">
        <f>IF(W83="VENDOR","",IF(AL83="",AP83+AK83,AL83+AK83))</f>
        <v/>
      </c>
      <c r="AN83" s="177" t="str">
        <f>E83&amp;AJ83</f>
        <v>46037AEDRUB</v>
      </c>
      <c r="AO83" s="176"/>
      <c r="AP83" s="178">
        <f ca="1">IF(LEFT(AJ83,3)=RIGHT(AJ83,3),1,VLOOKUP(AJ83,'FX RATES'!$H$1:$I$20,2,FALSE))</f>
        <v>20.8843</v>
      </c>
      <c r="AQ83" s="178">
        <f>IF(OR(AJ83="USDAED",LEFT(AJ83,3)=RIGHT(AJ83,3)),AP83,IF(LEFT(AJ83)="USD",AO83,IF(RIGHT(AJ83,3)="USD",1,IFERROR(VLOOKUP(E83&amp;"USD"&amp;RIGHT(AJ83,3),$AN:$AO,2,FALSE),VLOOKUP(E83&amp;"USD"&amp;RIGHT(AB83,3),$AF:$AG,2,FALSE)))))</f>
        <v>78.5</v>
      </c>
      <c r="AR83" s="179">
        <f>-Q83*(1-Z83)/(1+X83)*IF(W83="CLIENT",IF(S83=RIGHT(AJ83,3),1/AM83,AM83),IF(W83="VENDOR",IF(S83=RIGHT(AJ83,3),1/AE83,AE83),AE83^(VLOOKUP(AB83,'FX RATES'!$H$1:$J$26,3,FALSE))/AM83^(VLOOKUP(AJ83,'FX RATES'!$H$1:$J$26,3,FALSE))))</f>
        <v>0</v>
      </c>
      <c r="AS83" s="179">
        <f>-I83*(1+X83)/(1-Z83)*IF(W83="VENDOR",IF(K83=RIGHT(AB83,3),1/AE83,AE83),IF(W83="CLIENT",IF(K83=RIGHT(AB83,3),1/AM83,AM83),AM83^(VLOOKUP(AJ83,'FX RATES'!$H$1:$J$26,3,FALSE))/AE83^(VLOOKUP(AB83,'FX RATES'!$H$1:$J$26,3,FALSE))))</f>
        <v>285181.73345759552</v>
      </c>
      <c r="AT83" s="170">
        <f ca="1">IF(AB83&lt;&gt;AJ83,J83/IF(K83=RIGHT(AB83,3),AE83,1/AE83),IF(S83="USD",J83/IF(K83=RIGHT(AB83,3),IF(W83="CLIENT",AM83,AE83),1/IF(W83="CLIENT",AM83,AE83)),J83*VLOOKUP(K83,'FX RATES'!$E$1:$F$10,2,FALSE)))</f>
        <v>-79770.074491172505</v>
      </c>
      <c r="AU83" s="170">
        <f ca="1">IF(AB83&lt;&gt;AJ83,R83/IF(S83=RIGHT(AJ83,3),AM83,1/AM83),IF(K83="USD",R83/IF(S83=RIGHT(AJ83,3),IF(W83="CLIENT",AM83,AE83),1/IF(W83="CLIENT",AM83,AE83)),R83*VLOOKUP(S83,'FX RATES'!$E$1:$F$10,2,FALSE)))</f>
        <v>77651.1826655763</v>
      </c>
      <c r="AV83" s="170">
        <f ca="1">AT83+AU83</f>
        <v>-2118.8918255962053</v>
      </c>
      <c r="AW83" s="169"/>
      <c r="AX83" s="170">
        <f ca="1">IF(AND(ISERROR(SEARCH("INVOICE",T83)),ISERROR(SEARCH("SWITCH",T83)),ISERROR(SEARCH("FOREX",T83)),ISERROR(SEARCH("REFUND",A83)),ISERROR(SEARCH("CANCELLED",A83))),IF(AW83="",-AT83*X83+AU83*Z83,AW83),0)</f>
        <v>0</v>
      </c>
      <c r="AY83" s="170">
        <f>IF(AZ83="USD",AT83,IF(AZ83=K83,J83,-R83))</f>
        <v>-285181.73345759552</v>
      </c>
      <c r="AZ83" s="170" t="str">
        <f>LEFT(AB83,3)</f>
        <v>AED</v>
      </c>
      <c r="BA83" s="542">
        <f>IF(OR(A83="REFUND",A83="CANCELLED"),0,IFERROR((IF(OR(AB83="USDAED",LEFT(AB83,3)=RIGHT(AB83,3)),AI83,AG83)-AE83)*-AY83*VLOOKUP(AB83,'FX RATES'!$H$1:$J$26,3,FALSE),0))</f>
        <v>-24240.447343895863</v>
      </c>
      <c r="BB83" s="170" t="str">
        <f>RIGHT(AB83,3)</f>
        <v>RUB</v>
      </c>
      <c r="BC83" s="542">
        <f>IF(BA83=0,0,IFERROR(BA83/IF(BB83&lt;&gt;"USD",AI83,1),"???"))</f>
        <v>-308.79550756555238</v>
      </c>
      <c r="BD83" s="170">
        <f>IFERROR(-AC83/(IF(OR(AB83="USDAED",LEFT(AB83,3)=RIGHT(AB83,3)),AH83,AG83)-AE83)*BC83,0)</f>
        <v>0</v>
      </c>
      <c r="BE83" s="542">
        <f>BC83-BD83</f>
        <v>-308.79550756555238</v>
      </c>
      <c r="BF83" s="170">
        <f>IF(BG83="USD",AU83,IF(BG83=S83,R83,-J83))</f>
        <v>285181.73345759552</v>
      </c>
      <c r="BG83" s="170" t="str">
        <f>LEFT(AJ83,3)</f>
        <v>AED</v>
      </c>
      <c r="BH83" s="542">
        <f>IF(OR(A83="REFUND",A83="CANCELLED"),0,IFERROR((IF(OR(AJ83="USDAED",LEFT(AJ83,3)=RIGHT(AJ83,3)),AQ83,AO83)-AM83)*-BF83*VLOOKUP(AJ83,'FX RATES'!$H$1:$J$26,3,FALSE),0))</f>
        <v>0</v>
      </c>
      <c r="BI83" s="170" t="str">
        <f>RIGHT(AJ83,3)</f>
        <v>RUB</v>
      </c>
      <c r="BJ83" s="542">
        <f>IF(BH83=0,0,IFERROR(BH83/IF(BI83&lt;&gt;"USD",AQ83,1),"???"))</f>
        <v>0</v>
      </c>
      <c r="BK83" s="170">
        <f>IFERROR(-AK83/(IF(OR(AJ83="USDAED",LEFT(AJ83,3)=RIGHT(AJ83,3)),AP83,AO83)-AM83)*BJ83,0)</f>
        <v>0</v>
      </c>
      <c r="BL83" s="542">
        <f>BJ83-BK83</f>
        <v>0</v>
      </c>
      <c r="BM83" s="170">
        <f>IF(AND(ISERROR(SEARCH("REFUND",A83)),ISERROR(SEARCH("CANCELLED",A83))),BD83+BK83,0)</f>
        <v>0</v>
      </c>
      <c r="BN83" s="542">
        <f>IF(AND(ISERROR(SEARCH("REFUND",A83)),ISERROR(SEARCH("CANCELLED",A83))),BE83+BL83,0)</f>
        <v>-308.79550756555238</v>
      </c>
    </row>
    <row r="85" spans="1:66" ht="19.5" customHeight="1">
      <c r="A85" s="167" t="s">
        <v>366</v>
      </c>
      <c r="B85" s="168" t="s">
        <v>39</v>
      </c>
      <c r="C85" s="168" t="s">
        <v>367</v>
      </c>
      <c r="D85" s="168" t="s">
        <v>368</v>
      </c>
      <c r="E85" s="171">
        <v>46038</v>
      </c>
      <c r="F85" s="171"/>
      <c r="G85" s="168" t="s">
        <v>39</v>
      </c>
      <c r="H85" s="168" t="s">
        <v>393</v>
      </c>
      <c r="I85" s="169"/>
      <c r="J85" s="170">
        <f>IF(I85="",AR85,I85)</f>
        <v>-100894.59856968216</v>
      </c>
      <c r="K85" s="168" t="s">
        <v>5</v>
      </c>
      <c r="L85" s="171" t="s">
        <v>378</v>
      </c>
      <c r="M85" s="168" t="s">
        <v>20</v>
      </c>
      <c r="N85" s="167" t="s">
        <v>371</v>
      </c>
      <c r="O85" s="168" t="s">
        <v>39</v>
      </c>
      <c r="P85" s="168" t="s">
        <v>423</v>
      </c>
      <c r="Q85" s="169">
        <v>7978903.3600000003</v>
      </c>
      <c r="R85" s="170">
        <f>IF(Q85="",AS85,Q85)</f>
        <v>7978903.3600000003</v>
      </c>
      <c r="S85" s="168" t="s">
        <v>9</v>
      </c>
      <c r="T85" s="171" t="s">
        <v>25</v>
      </c>
      <c r="U85" s="168" t="s">
        <v>25</v>
      </c>
      <c r="V85" s="167" t="s">
        <v>371</v>
      </c>
      <c r="W85" s="172" t="s">
        <v>389</v>
      </c>
      <c r="X85" s="173">
        <f>IF(Y85="",VLOOKUP(H85,CLIENTS!$A$1:$O$649,5,FALSE),Y85)</f>
        <v>0</v>
      </c>
      <c r="Y85" s="174">
        <v>0</v>
      </c>
      <c r="Z85" s="173">
        <f>IF(AA85="",VLOOKUP(P85,CLIENTS!$A$1:$O$649,5,FALSE),AA85)</f>
        <v>7.0000000000000001E-3</v>
      </c>
      <c r="AA85" s="174">
        <v>7.0000000000000001E-3</v>
      </c>
      <c r="AB85" s="173" t="str">
        <f>IF(W85="via USD",IF(K85="EUR",K85&amp;"USD","USD"&amp;K85),IFERROR(VLOOKUP(K85&amp;S85,'FX RATES'!$H$2:$H$20,1,FALSE),S85&amp;K85))</f>
        <v>USDRUB</v>
      </c>
      <c r="AC85" s="175">
        <f>IF(LEFT(AB85,3)=RIGHT(AB85,3),0,IFERROR(INDEX(CLIENTS!$A$1:$O$649,MATCH(H85,CLIENTS!$A$1:$A$649,0),MATCH(AB85,CLIENTS!$A$1:$O$1,0)),0))</f>
        <v>0</v>
      </c>
      <c r="AD85" s="176"/>
      <c r="AE85" s="177" t="str">
        <f>IF(W85="CLIENT","",IF(AD85="",AH85+AC85,AD85+AC85))</f>
        <v/>
      </c>
      <c r="AF85" s="177" t="str">
        <f>E85&amp;AB85</f>
        <v>46038USDRUB</v>
      </c>
      <c r="AG85" s="176">
        <v>77.8</v>
      </c>
      <c r="AH85" s="178">
        <f ca="1">IF(LEFT(AB85,3)=RIGHT(AB85,3),1,VLOOKUP(AB85,'FX RATES'!$H$1:$I$20,2,FALSE))</f>
        <v>76.720500000000001</v>
      </c>
      <c r="AI85" s="178">
        <f>IF(OR(AB85="USDAED",LEFT(AB85,3)=RIGHT(AB85,3)),AH85,IF(LEFT(AB85)="USD",AG85,IF(RIGHT(AB85,3)="USD",1,IFERROR(VLOOKUP(E85&amp;"USD"&amp;RIGHT(AB85,3),$AF:$AG,2,FALSE),VLOOKUP(E85&amp;"USD"&amp;RIGHT(AJ85,3),$AN:$AO,2,FALSE)))))</f>
        <v>77.8</v>
      </c>
      <c r="AJ85" s="173" t="str">
        <f>IF(W85="via USD",IF(S85="EUR",S85&amp;"USD","USD"&amp;S85),IFERROR(VLOOKUP(K85&amp;S85,'FX RATES'!$H$2:$H$20,1,FALSE),S85&amp;K85))</f>
        <v>USDRUB</v>
      </c>
      <c r="AK85" s="175">
        <f>IF(LEFT(AJ85,3)=RIGHT(AJ85,3),0,IFERROR(INDEX(CLIENTS!$A$1:$O$649,MATCH(P85,CLIENTS!$A$1:$A$649,0),MATCH(AJ85,CLIENTS!$A$1:$O$1,0)),0))</f>
        <v>0</v>
      </c>
      <c r="AL85" s="176">
        <v>78.528000000000006</v>
      </c>
      <c r="AM85" s="177">
        <f>IF(W85="VENDOR","",IF(AL85="",AP85+AK85,AL85+AK85))</f>
        <v>78.528000000000006</v>
      </c>
      <c r="AN85" s="177" t="str">
        <f>E85&amp;AJ85</f>
        <v>46038USDRUB</v>
      </c>
      <c r="AO85" s="176">
        <v>77.8</v>
      </c>
      <c r="AP85" s="178">
        <f ca="1">IF(LEFT(AJ85,3)=RIGHT(AJ85,3),1,VLOOKUP(AJ85,'FX RATES'!$H$1:$I$20,2,FALSE))</f>
        <v>76.720500000000001</v>
      </c>
      <c r="AQ85" s="178">
        <f>IF(OR(AJ85="USDAED",LEFT(AJ85,3)=RIGHT(AJ85,3)),AP85,IF(LEFT(AJ85)="USD",AO85,IF(RIGHT(AJ85,3)="USD",1,IFERROR(VLOOKUP(E85&amp;"USD"&amp;RIGHT(AJ85,3),$AN:$AO,2,FALSE),VLOOKUP(E85&amp;"USD"&amp;RIGHT(AB85,3),$AF:$AG,2,FALSE)))))</f>
        <v>77.8</v>
      </c>
      <c r="AR85" s="179">
        <f>-Q85*(1-Z85)/(1+X85)*IF(W85="CLIENT",IF(S85=RIGHT(AJ85,3),1/AM85,AM85),IF(W85="VENDOR",IF(S85=RIGHT(AJ85,3),1/AE85,AE85),AE85^(VLOOKUP(AB85,'FX RATES'!$H$1:$J$26,3,FALSE))/AM85^(VLOOKUP(AJ85,'FX RATES'!$H$1:$J$26,3,FALSE))))</f>
        <v>-100894.59856968216</v>
      </c>
      <c r="AS85" s="179">
        <f>-I85*(1+X85)/(1-Z85)*IF(W85="VENDOR",IF(K85=RIGHT(AB85,3),1/AE85,AE85),IF(W85="CLIENT",IF(K85=RIGHT(AB85,3),1/AM85,AM85),AM85^(VLOOKUP(AJ85,'FX RATES'!$H$1:$J$26,3,FALSE))/AE85^(VLOOKUP(AB85,'FX RATES'!$H$1:$J$26,3,FALSE))))</f>
        <v>0</v>
      </c>
      <c r="AT85" s="170">
        <f>IF(AB85&lt;&gt;AJ85,J85/IF(K85=RIGHT(AB85,3),AE85,1/AE85),IF(S85="USD",J85/IF(K85=RIGHT(AB85,3),IF(W85="CLIENT",AM85,AE85),1/IF(W85="CLIENT",AM85,AE85)),J85*VLOOKUP(K85,'FX RATES'!$E$1:$F$10,2,FALSE)))</f>
        <v>-100894.59856968216</v>
      </c>
      <c r="AU85" s="170">
        <f>IF(AB85&lt;&gt;AJ85,R85/IF(S85=RIGHT(AJ85,3),AM85,1/AM85),IF(K85="USD",R85/IF(S85=RIGHT(AJ85,3),IF(W85="CLIENT",AM85,AE85),1/IF(W85="CLIENT",AM85,AE85)),R85*VLOOKUP(S85,'FX RATES'!$E$1:$F$10,2,FALSE)))</f>
        <v>101605.83944580276</v>
      </c>
      <c r="AV85" s="170">
        <f>AT85+AU85</f>
        <v>711.24087612060248</v>
      </c>
      <c r="AW85" s="169"/>
      <c r="AX85" s="170">
        <f>IF(AND(ISERROR(SEARCH("INVOICE",T85)),ISERROR(SEARCH("SWITCH",T85)),ISERROR(SEARCH("FOREX",T85)),ISERROR(SEARCH("REFUND",A85)),ISERROR(SEARCH("CANCELLED",A85))),IF(AW85="",-AT85*X85+AU85*Z85,AW85),0)</f>
        <v>711.2408761206193</v>
      </c>
      <c r="AY85" s="170">
        <f>IF(AZ85="USD",AT85,IF(AZ85=K85,J85,-R85))</f>
        <v>-100894.59856968216</v>
      </c>
      <c r="AZ85" s="170" t="str">
        <f>LEFT(AB85,3)</f>
        <v>USD</v>
      </c>
      <c r="BA85" s="542">
        <f>IF(OR(A85="REFUND",A85="CANCELLED"),0,IFERROR((IF(OR(AB85="USDAED",LEFT(AB85,3)=RIGHT(AB85,3)),AI85,AG85)-AE85)*-AY85*VLOOKUP(AB85,'FX RATES'!$H$1:$J$26,3,FALSE),0))</f>
        <v>0</v>
      </c>
      <c r="BB85" s="170" t="str">
        <f>RIGHT(AB85,3)</f>
        <v>RUB</v>
      </c>
      <c r="BC85" s="542">
        <f>IF(BA85=0,0,IFERROR(BA85/IF(BB85&lt;&gt;"USD",AI85,1),"???"))</f>
        <v>0</v>
      </c>
      <c r="BD85" s="170">
        <f>IFERROR(-AC85/(IF(OR(AB85="USDAED",LEFT(AB85,3)=RIGHT(AB85,3)),AH85,AG85)-AE85)*BC85,0)</f>
        <v>0</v>
      </c>
      <c r="BE85" s="542">
        <f>BC85-BD85</f>
        <v>0</v>
      </c>
      <c r="BF85" s="170">
        <f>IF(BG85="USD",AU85,IF(BG85=S85,R85,-J85))</f>
        <v>101605.83944580276</v>
      </c>
      <c r="BG85" s="170" t="str">
        <f>LEFT(AJ85,3)</f>
        <v>USD</v>
      </c>
      <c r="BH85" s="542">
        <f>IF(OR(A85="REFUND",A85="CANCELLED"),0,IFERROR((IF(OR(AJ85="USDAED",LEFT(AJ85,3)=RIGHT(AJ85,3)),AQ85,AO85)-AM85)*-BF85*VLOOKUP(AJ85,'FX RATES'!$H$1:$J$26,3,FALSE),0))</f>
        <v>73969.051116545292</v>
      </c>
      <c r="BI85" s="170" t="str">
        <f>RIGHT(AJ85,3)</f>
        <v>RUB</v>
      </c>
      <c r="BJ85" s="542">
        <f>IF(BH85=0,0,IFERROR(BH85/IF(BI85&lt;&gt;"USD",AQ85,1),"???"))</f>
        <v>950.75901178078789</v>
      </c>
      <c r="BK85" s="170">
        <f>IFERROR(-AK85/(IF(OR(AJ85="USDAED",LEFT(AJ85,3)=RIGHT(AJ85,3)),AP85,AO85)-AM85)*BJ85,0)</f>
        <v>0</v>
      </c>
      <c r="BL85" s="542">
        <f>BJ85-BK85</f>
        <v>950.75901178078789</v>
      </c>
      <c r="BM85" s="170">
        <f>IF(AND(ISERROR(SEARCH("REFUND",A85)),ISERROR(SEARCH("CANCELLED",A85))),BD85+BK85,0)</f>
        <v>0</v>
      </c>
      <c r="BN85" s="542">
        <f>IF(AND(ISERROR(SEARCH("REFUND",A85)),ISERROR(SEARCH("CANCELLED",A85))),BE85+BL85,0)</f>
        <v>950.75901178078789</v>
      </c>
    </row>
    <row r="86" spans="1:66" ht="19.5" customHeight="1">
      <c r="A86" s="167" t="s">
        <v>366</v>
      </c>
      <c r="B86" s="168" t="s">
        <v>39</v>
      </c>
      <c r="C86" s="168" t="s">
        <v>383</v>
      </c>
      <c r="D86" s="168" t="s">
        <v>128</v>
      </c>
      <c r="E86" s="171">
        <v>46038</v>
      </c>
      <c r="F86" s="171"/>
      <c r="G86" s="168" t="s">
        <v>39</v>
      </c>
      <c r="H86" s="168" t="s">
        <v>410</v>
      </c>
      <c r="I86" s="169">
        <v>-7970000</v>
      </c>
      <c r="J86" s="170">
        <f>IF(I86="",AR86,I86)</f>
        <v>-7970000</v>
      </c>
      <c r="K86" s="168" t="s">
        <v>9</v>
      </c>
      <c r="L86" s="171" t="s">
        <v>411</v>
      </c>
      <c r="M86" s="168" t="s">
        <v>25</v>
      </c>
      <c r="N86" s="167" t="s">
        <v>371</v>
      </c>
      <c r="O86" s="168" t="s">
        <v>39</v>
      </c>
      <c r="P86" s="349" t="s">
        <v>410</v>
      </c>
      <c r="Q86" s="169"/>
      <c r="R86" s="170">
        <f>IF(Q86="",AS86,Q86)</f>
        <v>373127.34082397004</v>
      </c>
      <c r="S86" s="168" t="s">
        <v>8</v>
      </c>
      <c r="T86" s="171" t="s">
        <v>385</v>
      </c>
      <c r="U86" s="168" t="s">
        <v>20</v>
      </c>
      <c r="V86" s="167" t="s">
        <v>371</v>
      </c>
      <c r="W86" s="172" t="s">
        <v>382</v>
      </c>
      <c r="X86" s="173">
        <f>IF(Y86="",VLOOKUP(H86,CLIENTS!$A$1:$O$649,5,FALSE),Y86)</f>
        <v>0</v>
      </c>
      <c r="Y86" s="174">
        <v>0</v>
      </c>
      <c r="Z86" s="173">
        <f>IF(AA86="",VLOOKUP(P86,CLIENTS!$A$1:$O$649,5,FALSE),AA86)</f>
        <v>0</v>
      </c>
      <c r="AA86" s="174">
        <v>0</v>
      </c>
      <c r="AB86" s="173" t="str">
        <f>IF(W86="via USD",IF(K86="EUR",K86&amp;"USD","USD"&amp;K86),IFERROR(VLOOKUP(K86&amp;S86,'FX RATES'!$H$2:$H$20,1,FALSE),S86&amp;K86))</f>
        <v>AEDRUB</v>
      </c>
      <c r="AC86" s="175">
        <f>IF(LEFT(AB86,3)=RIGHT(AB86,3),0,IFERROR(INDEX(CLIENTS!$A$1:$O$649,MATCH(H86,CLIENTS!$A$1:$A$649,0),MATCH(AB86,CLIENTS!$A$1:$O$1,0)),0))</f>
        <v>0</v>
      </c>
      <c r="AD86" s="176">
        <v>21.36</v>
      </c>
      <c r="AE86" s="177">
        <f>IF(W86="CLIENT","",IF(AD86="",AH86+AC86,AD86+AC86))</f>
        <v>21.36</v>
      </c>
      <c r="AF86" s="177" t="str">
        <f>E86&amp;AB86</f>
        <v>46038AEDRUB</v>
      </c>
      <c r="AG86" s="176">
        <v>21.1845</v>
      </c>
      <c r="AH86" s="178">
        <f ca="1">IF(LEFT(AB86,3)=RIGHT(AB86,3),1,VLOOKUP(AB86,'FX RATES'!$H$1:$I$20,2,FALSE))</f>
        <v>20.8843</v>
      </c>
      <c r="AI86" s="178">
        <f>IF(OR(AB86="USDAED",LEFT(AB86,3)=RIGHT(AB86,3)),AH86,IF(LEFT(AB86)="USD",AG86,IF(RIGHT(AB86,3)="USD",1,IFERROR(VLOOKUP(E86&amp;"USD"&amp;RIGHT(AB86,3),$AF:$AG,2,FALSE),VLOOKUP(E86&amp;"USD"&amp;RIGHT(AJ86,3),$AN:$AO,2,FALSE)))))</f>
        <v>77.8</v>
      </c>
      <c r="AJ86" s="173" t="str">
        <f>IF(W86="via USD",IF(S86="EUR",S86&amp;"USD","USD"&amp;S86),IFERROR(VLOOKUP(K86&amp;S86,'FX RATES'!$H$2:$H$20,1,FALSE),S86&amp;K86))</f>
        <v>AEDRUB</v>
      </c>
      <c r="AK86" s="175">
        <f>IF(LEFT(AJ86,3)=RIGHT(AJ86,3),0,IFERROR(INDEX(CLIENTS!$A$1:$O$649,MATCH(P86,CLIENTS!$A$1:$A$649,0),MATCH(AJ86,CLIENTS!$A$1:$O$1,0)),0))</f>
        <v>0</v>
      </c>
      <c r="AL86" s="176"/>
      <c r="AM86" s="177" t="str">
        <f>IF(W86="VENDOR","",IF(AL86="",AP86+AK86,AL86+AK86))</f>
        <v/>
      </c>
      <c r="AN86" s="177" t="str">
        <f>E86&amp;AJ86</f>
        <v>46038AEDRUB</v>
      </c>
      <c r="AO86" s="176"/>
      <c r="AP86" s="178">
        <f ca="1">IF(LEFT(AJ86,3)=RIGHT(AJ86,3),1,VLOOKUP(AJ86,'FX RATES'!$H$1:$I$20,2,FALSE))</f>
        <v>20.8843</v>
      </c>
      <c r="AQ86" s="178">
        <f>IF(OR(AJ86="USDAED",LEFT(AJ86,3)=RIGHT(AJ86,3)),AP86,IF(LEFT(AJ86)="USD",AO86,IF(RIGHT(AJ86,3)="USD",1,IFERROR(VLOOKUP(E86&amp;"USD"&amp;RIGHT(AJ86,3),$AN:$AO,2,FALSE),VLOOKUP(E86&amp;"USD"&amp;RIGHT(AB86,3),$AF:$AG,2,FALSE)))))</f>
        <v>77.8</v>
      </c>
      <c r="AR86" s="179">
        <f>-Q86*(1-Z86)/(1+X86)*IF(W86="CLIENT",IF(S86=RIGHT(AJ86,3),1/AM86,AM86),IF(W86="VENDOR",IF(S86=RIGHT(AJ86,3),1/AE86,AE86),AE86^(VLOOKUP(AB86,'FX RATES'!$H$1:$J$26,3,FALSE))/AM86^(VLOOKUP(AJ86,'FX RATES'!$H$1:$J$26,3,FALSE))))</f>
        <v>0</v>
      </c>
      <c r="AS86" s="179">
        <f>-I86*(1+X86)/(1-Z86)*IF(W86="VENDOR",IF(K86=RIGHT(AB86,3),1/AE86,AE86),IF(W86="CLIENT",IF(K86=RIGHT(AB86,3),1/AM86,AM86),AM86^(VLOOKUP(AJ86,'FX RATES'!$H$1:$J$26,3,FALSE))/AE86^(VLOOKUP(AB86,'FX RATES'!$H$1:$J$26,3,FALSE))))</f>
        <v>373127.34082397004</v>
      </c>
      <c r="AT86" s="170">
        <f ca="1">IF(AB86&lt;&gt;AJ86,J86/IF(K86=RIGHT(AB86,3),AE86,1/AE86),IF(S86="USD",J86/IF(K86=RIGHT(AB86,3),IF(W86="CLIENT",AM86,AE86),1/IF(W86="CLIENT",AM86,AE86)),J86*VLOOKUP(K86,'FX RATES'!$E$1:$F$10,2,FALSE)))</f>
        <v>-103883.57740108576</v>
      </c>
      <c r="AU86" s="170">
        <f ca="1">IF(AB86&lt;&gt;AJ86,R86/IF(S86=RIGHT(AJ86,3),AM86,1/AM86),IF(K86="USD",R86/IF(S86=RIGHT(AJ86,3),IF(W86="CLIENT",AM86,AE86),1/IF(W86="CLIENT",AM86,AE86)),R86*VLOOKUP(S86,'FX RATES'!$E$1:$F$10,2,FALSE)))</f>
        <v>101597.59865598487</v>
      </c>
      <c r="AV86" s="170">
        <f ca="1">AT86+AU86</f>
        <v>-2285.9787451008888</v>
      </c>
      <c r="AW86" s="169"/>
      <c r="AX86" s="170">
        <f ca="1">IF(AND(ISERROR(SEARCH("INVOICE",T86)),ISERROR(SEARCH("SWITCH",T86)),ISERROR(SEARCH("FOREX",T86)),ISERROR(SEARCH("REFUND",A86)),ISERROR(SEARCH("CANCELLED",A86))),IF(AW86="",-AT86*X86+AU86*Z86,AW86),0)</f>
        <v>0</v>
      </c>
      <c r="AY86" s="170">
        <f>IF(AZ86="USD",AT86,IF(AZ86=K86,J86,-R86))</f>
        <v>-373127.34082397004</v>
      </c>
      <c r="AZ86" s="170" t="str">
        <f>LEFT(AB86,3)</f>
        <v>AED</v>
      </c>
      <c r="BA86" s="542">
        <f>IF(OR(A86="REFUND",A86="CANCELLED"),0,IFERROR((IF(OR(AB86="USDAED",LEFT(AB86,3)=RIGHT(AB86,3)),AI86,AG86)-AE86)*-AY86*VLOOKUP(AB86,'FX RATES'!$H$1:$J$26,3,FALSE),0))</f>
        <v>-65483.84831460657</v>
      </c>
      <c r="BB86" s="170" t="str">
        <f>RIGHT(AB86,3)</f>
        <v>RUB</v>
      </c>
      <c r="BC86" s="542">
        <f>IF(BA86=0,0,IFERROR(BA86/IF(BB86&lt;&gt;"USD",AI86,1),"???"))</f>
        <v>-841.69470841396628</v>
      </c>
      <c r="BD86" s="170">
        <f>IFERROR(-AC86/(IF(OR(AB86="USDAED",LEFT(AB86,3)=RIGHT(AB86,3)),AH86,AG86)-AE86)*BC86,0)</f>
        <v>0</v>
      </c>
      <c r="BE86" s="542">
        <f>BC86-BD86</f>
        <v>-841.69470841396628</v>
      </c>
      <c r="BF86" s="170">
        <f>IF(BG86="USD",AU86,IF(BG86=S86,R86,-J86))</f>
        <v>373127.34082397004</v>
      </c>
      <c r="BG86" s="170" t="str">
        <f>LEFT(AJ86,3)</f>
        <v>AED</v>
      </c>
      <c r="BH86" s="542">
        <f>IF(OR(A86="REFUND",A86="CANCELLED"),0,IFERROR((IF(OR(AJ86="USDAED",LEFT(AJ86,3)=RIGHT(AJ86,3)),AQ86,AO86)-AM86)*-BF86*VLOOKUP(AJ86,'FX RATES'!$H$1:$J$26,3,FALSE),0))</f>
        <v>0</v>
      </c>
      <c r="BI86" s="170" t="str">
        <f>RIGHT(AJ86,3)</f>
        <v>RUB</v>
      </c>
      <c r="BJ86" s="542">
        <f>IF(BH86=0,0,IFERROR(BH86/IF(BI86&lt;&gt;"USD",AQ86,1),"???"))</f>
        <v>0</v>
      </c>
      <c r="BK86" s="170">
        <f>IFERROR(-AK86/(IF(OR(AJ86="USDAED",LEFT(AJ86,3)=RIGHT(AJ86,3)),AP86,AO86)-AM86)*BJ86,0)</f>
        <v>0</v>
      </c>
      <c r="BL86" s="542">
        <f>BJ86-BK86</f>
        <v>0</v>
      </c>
      <c r="BM86" s="170">
        <f>IF(AND(ISERROR(SEARCH("REFUND",A86)),ISERROR(SEARCH("CANCELLED",A86))),BD86+BK86,0)</f>
        <v>0</v>
      </c>
      <c r="BN86" s="542">
        <f>IF(AND(ISERROR(SEARCH("REFUND",A86)),ISERROR(SEARCH("CANCELLED",A86))),BE86+BL86,0)</f>
        <v>-841.69470841396628</v>
      </c>
    </row>
    <row r="88" spans="1:66" ht="19.5" customHeight="1">
      <c r="A88" s="167" t="s">
        <v>366</v>
      </c>
      <c r="B88" s="168" t="s">
        <v>31</v>
      </c>
      <c r="C88" s="168" t="s">
        <v>367</v>
      </c>
      <c r="D88" s="168" t="s">
        <v>368</v>
      </c>
      <c r="E88" s="171">
        <v>46038</v>
      </c>
      <c r="F88" s="171"/>
      <c r="G88" s="168" t="s">
        <v>31</v>
      </c>
      <c r="H88" s="181" t="s">
        <v>456</v>
      </c>
      <c r="I88" s="169">
        <v>-54758.87</v>
      </c>
      <c r="J88" s="170">
        <f>IF(I88="",AR88,I88)</f>
        <v>-54758.87</v>
      </c>
      <c r="K88" s="168" t="s">
        <v>6</v>
      </c>
      <c r="L88" s="168" t="s">
        <v>457</v>
      </c>
      <c r="M88" s="168" t="s">
        <v>14</v>
      </c>
      <c r="N88" s="167" t="s">
        <v>371</v>
      </c>
      <c r="O88" s="168" t="s">
        <v>39</v>
      </c>
      <c r="P88" s="168" t="s">
        <v>372</v>
      </c>
      <c r="Q88" s="169"/>
      <c r="R88" s="170">
        <f>IF(Q88="",AS88,Q88)</f>
        <v>5076030.6655993555</v>
      </c>
      <c r="S88" s="168" t="s">
        <v>9</v>
      </c>
      <c r="T88" s="171" t="s">
        <v>373</v>
      </c>
      <c r="U88" s="171" t="s">
        <v>25</v>
      </c>
      <c r="V88" s="167" t="s">
        <v>371</v>
      </c>
      <c r="W88" s="172" t="s">
        <v>375</v>
      </c>
      <c r="X88" s="173">
        <f>IF(Y88="",VLOOKUP(H88,CLIENTS!$A$1:$O$649,5,FALSE),Y88)</f>
        <v>0</v>
      </c>
      <c r="Y88" s="174">
        <v>0</v>
      </c>
      <c r="Z88" s="173">
        <f>IF(AA88="",VLOOKUP(P88,CLIENTS!$A$1:$O$649,5,FALSE),AA88)</f>
        <v>8.0000000000000002E-3</v>
      </c>
      <c r="AA88" s="174">
        <v>8.0000000000000002E-3</v>
      </c>
      <c r="AB88" s="173" t="str">
        <f>IF(W88="via USD",IF(K88="EUR",K88&amp;"USD","USD"&amp;K88),IFERROR(VLOOKUP(K88&amp;S88,'FX RATES'!$H$2:$H$20,1,FALSE),S88&amp;K88))</f>
        <v>EURUSD</v>
      </c>
      <c r="AC88" s="175">
        <f>IF(LEFT(AB88,3)=RIGHT(AB88,3),0,IFERROR(INDEX(CLIENTS!$A$1:$O$649,MATCH(H88,CLIENTS!$A$1:$A$649,0),MATCH(AB88,CLIENTS!$A$1:$O$1,0)),0))</f>
        <v>0</v>
      </c>
      <c r="AD88" s="176">
        <v>1.171</v>
      </c>
      <c r="AE88" s="177">
        <f>IF(W88="CLIENT","",IF(AD88="",AH88+AC88,AD88+AC88))</f>
        <v>1.171</v>
      </c>
      <c r="AF88" s="177" t="str">
        <f>E88&amp;AB88</f>
        <v>46038EURUSD</v>
      </c>
      <c r="AG88" s="176">
        <v>1.1617999999999999</v>
      </c>
      <c r="AH88" s="178">
        <f ca="1">IF(LEFT(AB88,3)=RIGHT(AB88,3),1,VLOOKUP(AB88,'FX RATES'!$H$1:$I$20,2,FALSE))</f>
        <v>1.1779999999999999</v>
      </c>
      <c r="AI88" s="178">
        <f>IF(OR(AB88="USDAED",LEFT(AB88,3)=RIGHT(AB88,3)),AH88,IF(LEFT(AB88)="USD",AG88,IF(RIGHT(AB88,3)="USD",1,IFERROR(VLOOKUP(E88&amp;"USD"&amp;RIGHT(AB88,3),$AF:$AG,2,FALSE),VLOOKUP(E88&amp;"USD"&amp;RIGHT(AJ88,3),$AN:$AO,2,FALSE)))))</f>
        <v>1</v>
      </c>
      <c r="AJ88" s="173" t="str">
        <f>IF(W88="via USD",IF(S88="EUR",S88&amp;"USD","USD"&amp;S88),IFERROR(VLOOKUP(K88&amp;S88,'FX RATES'!$H$2:$H$20,1,FALSE),S88&amp;K88))</f>
        <v>USDRUB</v>
      </c>
      <c r="AK88" s="175">
        <f>IF(LEFT(AJ88,3)=RIGHT(AJ88,3),0,IFERROR(INDEX(CLIENTS!$A$1:$O$649,MATCH(P88,CLIENTS!$A$1:$A$649,0),MATCH(AJ88,CLIENTS!$A$1:$O$1,0)),0))</f>
        <v>0</v>
      </c>
      <c r="AL88" s="176">
        <v>78.528000000000006</v>
      </c>
      <c r="AM88" s="177">
        <f>IF(W88="VENDOR","",IF(AL88="",AP88+AK88,AL88+AK88))</f>
        <v>78.528000000000006</v>
      </c>
      <c r="AN88" s="177" t="str">
        <f>E88&amp;AJ88</f>
        <v>46038USDRUB</v>
      </c>
      <c r="AO88" s="176">
        <v>77.8</v>
      </c>
      <c r="AP88" s="178">
        <f ca="1">IF(LEFT(AJ88,3)=RIGHT(AJ88,3),1,VLOOKUP(AJ88,'FX RATES'!$H$1:$I$20,2,FALSE))</f>
        <v>76.720500000000001</v>
      </c>
      <c r="AQ88" s="178">
        <f>IF(OR(AJ88="USDAED",LEFT(AJ88,3)=RIGHT(AJ88,3)),AP88,IF(LEFT(AJ88)="USD",AO88,IF(RIGHT(AJ88,3)="USD",1,IFERROR(VLOOKUP(E88&amp;"USD"&amp;RIGHT(AJ88,3),$AN:$AO,2,FALSE),VLOOKUP(E88&amp;"USD"&amp;RIGHT(AB88,3),$AF:$AG,2,FALSE)))))</f>
        <v>77.8</v>
      </c>
      <c r="AR88" s="179">
        <f>-Q88*(1-Z88)/(1+X88)*IF(W88="CLIENT",IF(S88=RIGHT(AJ88,3),1/AM88,AM88),IF(W88="VENDOR",IF(S88=RIGHT(AJ88,3),1/AE88,AE88),AE88^(VLOOKUP(AB88,'FX RATES'!$H$1:$J$26,3,FALSE))/AM88^(VLOOKUP(AJ88,'FX RATES'!$H$1:$J$26,3,FALSE))))</f>
        <v>0</v>
      </c>
      <c r="AS88" s="179">
        <f>-I88*(1+X88)/(1-Z88)*IF(W88="VENDOR",IF(K88=RIGHT(AB88,3),1/AE88,AE88),IF(W88="CLIENT",IF(K88=RIGHT(AB88,3),1/AM88,AM88),AM88^(VLOOKUP(AJ88,'FX RATES'!$H$1:$J$26,3,FALSE))/AE88^(VLOOKUP(AB88,'FX RATES'!$H$1:$J$26,3,FALSE))))</f>
        <v>5076030.6655993555</v>
      </c>
      <c r="AT88" s="170">
        <f>IF(AB88&lt;&gt;AJ88,J88/IF(K88=RIGHT(AB88,3),AE88,1/AE88),IF(S88="USD",J88/IF(K88=RIGHT(AB88,3),IF(W88="CLIENT",AM88,AE88),1/IF(W88="CLIENT",AM88,AE88)),J88*VLOOKUP(K88,'FX RATES'!$E$1:$F$10,2,FALSE)))</f>
        <v>-64122.636770000005</v>
      </c>
      <c r="AU88" s="170">
        <f>IF(AB88&lt;&gt;AJ88,R88/IF(S88=RIGHT(AJ88,3),AM88,1/AM88),IF(K88="USD",R88/IF(S88=RIGHT(AJ88,3),IF(W88="CLIENT",AM88,AE88),1/IF(W88="CLIENT",AM88,AE88)),R88*VLOOKUP(S88,'FX RATES'!$E$1:$F$10,2,FALSE)))</f>
        <v>64639.754808467747</v>
      </c>
      <c r="AV88" s="170">
        <f>AT88+AU88</f>
        <v>517.11803846774274</v>
      </c>
      <c r="AW88" s="169"/>
      <c r="AX88" s="170">
        <f>IF(AND(ISERROR(SEARCH("INVOICE",T88)),ISERROR(SEARCH("SWITCH",T88)),ISERROR(SEARCH("FOREX",T88)),ISERROR(SEARCH("REFUND",A88)),ISERROR(SEARCH("CANCELLED",A88))),IF(AW88="",-AT88*X88+AU88*Z88,AW88),0)</f>
        <v>517.11803846774194</v>
      </c>
      <c r="AY88" s="170">
        <f>IF(AZ88="USD",AT88,IF(AZ88=K88,J88,-R88))</f>
        <v>-54758.87</v>
      </c>
      <c r="AZ88" s="170" t="str">
        <f>LEFT(AB88,3)</f>
        <v>EUR</v>
      </c>
      <c r="BA88" s="542">
        <f>IF(OR(A88="REFUND",A88="CANCELLED"),0,IFERROR((IF(OR(AB88="USDAED",LEFT(AB88,3)=RIGHT(AB88,3)),AI88,AG88)-AE88)*-AY88*VLOOKUP(AB88,'FX RATES'!$H$1:$J$26,3,FALSE),0))</f>
        <v>503.78160400000536</v>
      </c>
      <c r="BB88" s="170" t="str">
        <f>RIGHT(AB88,3)</f>
        <v>USD</v>
      </c>
      <c r="BC88" s="542">
        <f>IF(BA88=0,0,IFERROR(BA88/IF(BB88&lt;&gt;"USD",AI88,1),"???"))</f>
        <v>503.78160400000536</v>
      </c>
      <c r="BD88" s="170">
        <f>IFERROR(-AC88/(IF(OR(AB88="USDAED",LEFT(AB88,3)=RIGHT(AB88,3)),AH88,AG88)-AE88)*BC88,0)</f>
        <v>0</v>
      </c>
      <c r="BE88" s="542">
        <f>BC88-BD88</f>
        <v>503.78160400000536</v>
      </c>
      <c r="BF88" s="170">
        <f>IF(BG88="USD",AU88,IF(BG88=S88,R88,-J88))</f>
        <v>64639.754808467747</v>
      </c>
      <c r="BG88" s="170" t="str">
        <f>LEFT(AJ88,3)</f>
        <v>USD</v>
      </c>
      <c r="BH88" s="542">
        <f>IF(OR(A88="REFUND",A88="CANCELLED"),0,IFERROR((IF(OR(AJ88="USDAED",LEFT(AJ88,3)=RIGHT(AJ88,3)),AQ88,AO88)-AM88)*-BF88*VLOOKUP(AJ88,'FX RATES'!$H$1:$J$26,3,FALSE),0))</f>
        <v>47057.741500565076</v>
      </c>
      <c r="BI88" s="170" t="str">
        <f>RIGHT(AJ88,3)</f>
        <v>RUB</v>
      </c>
      <c r="BJ88" s="542">
        <f>IF(BH88=0,0,IFERROR(BH88/IF(BI88&lt;&gt;"USD",AQ88,1),"???"))</f>
        <v>604.85528921034802</v>
      </c>
      <c r="BK88" s="170">
        <f>IFERROR(-AK88/(IF(OR(AJ88="USDAED",LEFT(AJ88,3)=RIGHT(AJ88,3)),AP88,AO88)-AM88)*BJ88,0)</f>
        <v>0</v>
      </c>
      <c r="BL88" s="542">
        <f>BJ88-BK88</f>
        <v>604.85528921034802</v>
      </c>
      <c r="BM88" s="170">
        <f>IF(AND(ISERROR(SEARCH("REFUND",A88)),ISERROR(SEARCH("CANCELLED",A88))),BD88+BK88,0)</f>
        <v>0</v>
      </c>
      <c r="BN88" s="542">
        <f>IF(AND(ISERROR(SEARCH("REFUND",A88)),ISERROR(SEARCH("CANCELLED",A88))),BE88+BL88,0)</f>
        <v>1108.6368932103533</v>
      </c>
    </row>
    <row r="89" spans="1:66" ht="19.5" customHeight="1">
      <c r="A89" s="167" t="s">
        <v>366</v>
      </c>
      <c r="B89" s="168" t="s">
        <v>31</v>
      </c>
      <c r="C89" s="168" t="s">
        <v>367</v>
      </c>
      <c r="D89" s="168" t="s">
        <v>368</v>
      </c>
      <c r="E89" s="171">
        <v>46038</v>
      </c>
      <c r="F89" s="171"/>
      <c r="G89" s="168" t="s">
        <v>31</v>
      </c>
      <c r="H89" s="181" t="s">
        <v>458</v>
      </c>
      <c r="I89" s="169">
        <v>-318548.09999999998</v>
      </c>
      <c r="J89" s="170">
        <f>IF(I89="",AR89,I89)</f>
        <v>-318548.09999999998</v>
      </c>
      <c r="K89" s="168" t="s">
        <v>6</v>
      </c>
      <c r="L89" s="168" t="s">
        <v>459</v>
      </c>
      <c r="M89" s="168" t="s">
        <v>14</v>
      </c>
      <c r="N89" s="167" t="s">
        <v>371</v>
      </c>
      <c r="O89" s="168" t="s">
        <v>39</v>
      </c>
      <c r="P89" s="168" t="s">
        <v>379</v>
      </c>
      <c r="Q89" s="169"/>
      <c r="R89" s="170">
        <f>IF(Q89="",AS89,Q89)</f>
        <v>29389418.025185123</v>
      </c>
      <c r="S89" s="168" t="s">
        <v>9</v>
      </c>
      <c r="T89" s="171" t="s">
        <v>380</v>
      </c>
      <c r="U89" s="168" t="s">
        <v>25</v>
      </c>
      <c r="V89" s="167" t="s">
        <v>371</v>
      </c>
      <c r="W89" s="172" t="s">
        <v>375</v>
      </c>
      <c r="X89" s="173">
        <f>IF(Y89="",VLOOKUP(H89,CLIENTS!$A$1:$O$649,5,FALSE),Y89)</f>
        <v>0</v>
      </c>
      <c r="Y89" s="174">
        <v>0</v>
      </c>
      <c r="Z89" s="173">
        <f>IF(AA89="",VLOOKUP(P89,CLIENTS!$A$1:$O$649,5,FALSE),AA89)</f>
        <v>5.0000000000000001E-3</v>
      </c>
      <c r="AA89" s="174">
        <v>5.0000000000000001E-3</v>
      </c>
      <c r="AB89" s="173" t="str">
        <f>IF(W89="via USD",IF(K89="EUR",K89&amp;"USD","USD"&amp;K89),IFERROR(VLOOKUP(K89&amp;S89,'FX RATES'!$H$2:$H$20,1,FALSE),S89&amp;K89))</f>
        <v>EURUSD</v>
      </c>
      <c r="AC89" s="175">
        <f>IF(LEFT(AB89,3)=RIGHT(AB89,3),0,IFERROR(INDEX(CLIENTS!$A$1:$O$649,MATCH(H89,CLIENTS!$A$1:$A$649,0),MATCH(AB89,CLIENTS!$A$1:$O$1,0)),0))</f>
        <v>0</v>
      </c>
      <c r="AD89" s="176">
        <v>1.169</v>
      </c>
      <c r="AE89" s="177">
        <f>IF(W89="CLIENT","",IF(AD89="",AH89+AC89,AD89+AC89))</f>
        <v>1.169</v>
      </c>
      <c r="AF89" s="177" t="str">
        <f>E89&amp;AB89</f>
        <v>46038EURUSD</v>
      </c>
      <c r="AG89" s="176">
        <v>1.1617999999999999</v>
      </c>
      <c r="AH89" s="178">
        <f ca="1">IF(LEFT(AB89,3)=RIGHT(AB89,3),1,VLOOKUP(AB89,'FX RATES'!$H$1:$I$20,2,FALSE))</f>
        <v>1.1779999999999999</v>
      </c>
      <c r="AI89" s="178">
        <f>IF(OR(AB89="USDAED",LEFT(AB89,3)=RIGHT(AB89,3)),AH89,IF(LEFT(AB89)="USD",AG89,IF(RIGHT(AB89,3)="USD",1,IFERROR(VLOOKUP(E89&amp;"USD"&amp;RIGHT(AB89,3),$AF:$AG,2,FALSE),VLOOKUP(E89&amp;"USD"&amp;RIGHT(AJ89,3),$AN:$AO,2,FALSE)))))</f>
        <v>1</v>
      </c>
      <c r="AJ89" s="173" t="str">
        <f>IF(W89="via USD",IF(S89="EUR",S89&amp;"USD","USD"&amp;S89),IFERROR(VLOOKUP(K89&amp;S89,'FX RATES'!$H$2:$H$20,1,FALSE),S89&amp;K89))</f>
        <v>USDRUB</v>
      </c>
      <c r="AK89" s="175">
        <f>IF(LEFT(AJ89,3)=RIGHT(AJ89,3),0,IFERROR(INDEX(CLIENTS!$A$1:$O$649,MATCH(P89,CLIENTS!$A$1:$A$649,0),MATCH(AJ89,CLIENTS!$A$1:$O$1,0)),0))</f>
        <v>0</v>
      </c>
      <c r="AL89" s="176">
        <v>78.528000000000006</v>
      </c>
      <c r="AM89" s="177">
        <f>IF(W89="VENDOR","",IF(AL89="",AP89+AK89,AL89+AK89))</f>
        <v>78.528000000000006</v>
      </c>
      <c r="AN89" s="177" t="str">
        <f>E89&amp;AJ89</f>
        <v>46038USDRUB</v>
      </c>
      <c r="AO89" s="176">
        <v>77.8</v>
      </c>
      <c r="AP89" s="178">
        <f ca="1">IF(LEFT(AJ89,3)=RIGHT(AJ89,3),1,VLOOKUP(AJ89,'FX RATES'!$H$1:$I$20,2,FALSE))</f>
        <v>76.720500000000001</v>
      </c>
      <c r="AQ89" s="178">
        <f>IF(OR(AJ89="USDAED",LEFT(AJ89,3)=RIGHT(AJ89,3)),AP89,IF(LEFT(AJ89)="USD",AO89,IF(RIGHT(AJ89,3)="USD",1,IFERROR(VLOOKUP(E89&amp;"USD"&amp;RIGHT(AJ89,3),$AN:$AO,2,FALSE),VLOOKUP(E89&amp;"USD"&amp;RIGHT(AB89,3),$AF:$AG,2,FALSE)))))</f>
        <v>77.8</v>
      </c>
      <c r="AR89" s="179">
        <f>-Q89*(1-Z89)/(1+X89)*IF(W89="CLIENT",IF(S89=RIGHT(AJ89,3),1/AM89,AM89),IF(W89="VENDOR",IF(S89=RIGHT(AJ89,3),1/AE89,AE89),AE89^(VLOOKUP(AB89,'FX RATES'!$H$1:$J$26,3,FALSE))/AM89^(VLOOKUP(AJ89,'FX RATES'!$H$1:$J$26,3,FALSE))))</f>
        <v>0</v>
      </c>
      <c r="AS89" s="179">
        <f>-I89*(1+X89)/(1-Z89)*IF(W89="VENDOR",IF(K89=RIGHT(AB89,3),1/AE89,AE89),IF(W89="CLIENT",IF(K89=RIGHT(AB89,3),1/AM89,AM89),AM89^(VLOOKUP(AJ89,'FX RATES'!$H$1:$J$26,3,FALSE))/AE89^(VLOOKUP(AB89,'FX RATES'!$H$1:$J$26,3,FALSE))))</f>
        <v>29389418.025185123</v>
      </c>
      <c r="AT89" s="170">
        <f>IF(AB89&lt;&gt;AJ89,J89/IF(K89=RIGHT(AB89,3),AE89,1/AE89),IF(S89="USD",J89/IF(K89=RIGHT(AB89,3),IF(W89="CLIENT",AM89,AE89),1/IF(W89="CLIENT",AM89,AE89)),J89*VLOOKUP(K89,'FX RATES'!$E$1:$F$10,2,FALSE)))</f>
        <v>-372382.72889999999</v>
      </c>
      <c r="AU89" s="170">
        <f>IF(AB89&lt;&gt;AJ89,R89/IF(S89=RIGHT(AJ89,3),AM89,1/AM89),IF(K89="USD",R89/IF(S89=RIGHT(AJ89,3),IF(W89="CLIENT",AM89,AE89),1/IF(W89="CLIENT",AM89,AE89)),R89*VLOOKUP(S89,'FX RATES'!$E$1:$F$10,2,FALSE)))</f>
        <v>374253.99889447232</v>
      </c>
      <c r="AV89" s="170">
        <f>AT89+AU89</f>
        <v>1871.2699944723281</v>
      </c>
      <c r="AW89" s="169"/>
      <c r="AX89" s="170">
        <f>IF(AND(ISERROR(SEARCH("INVOICE",T89)),ISERROR(SEARCH("SWITCH",T89)),ISERROR(SEARCH("FOREX",T89)),ISERROR(SEARCH("REFUND",A89)),ISERROR(SEARCH("CANCELLED",A89))),IF(AW89="",-AT89*X89+AU89*Z89,AW89),0)</f>
        <v>1871.2699944723615</v>
      </c>
      <c r="AY89" s="170">
        <f>IF(AZ89="USD",AT89,IF(AZ89=K89,J89,-R89))</f>
        <v>-318548.09999999998</v>
      </c>
      <c r="AZ89" s="170" t="str">
        <f>LEFT(AB89,3)</f>
        <v>EUR</v>
      </c>
      <c r="BA89" s="542">
        <f>IF(OR(A89="REFUND",A89="CANCELLED"),0,IFERROR((IF(OR(AB89="USDAED",LEFT(AB89,3)=RIGHT(AB89,3)),AI89,AG89)-AE89)*-AY89*VLOOKUP(AB89,'FX RATES'!$H$1:$J$26,3,FALSE),0))</f>
        <v>2293.5463200000299</v>
      </c>
      <c r="BB89" s="170" t="str">
        <f>RIGHT(AB89,3)</f>
        <v>USD</v>
      </c>
      <c r="BC89" s="542">
        <f>IF(BA89=0,0,IFERROR(BA89/IF(BB89&lt;&gt;"USD",AI89,1),"???"))</f>
        <v>2293.5463200000299</v>
      </c>
      <c r="BD89" s="170">
        <f>IFERROR(-AC89/(IF(OR(AB89="USDAED",LEFT(AB89,3)=RIGHT(AB89,3)),AH89,AG89)-AE89)*BC89,0)</f>
        <v>0</v>
      </c>
      <c r="BE89" s="542">
        <f>BC89-BD89</f>
        <v>2293.5463200000299</v>
      </c>
      <c r="BF89" s="170">
        <f>IF(BG89="USD",AU89,IF(BG89=S89,R89,-J89))</f>
        <v>374253.99889447232</v>
      </c>
      <c r="BG89" s="170" t="str">
        <f>LEFT(AJ89,3)</f>
        <v>USD</v>
      </c>
      <c r="BH89" s="542">
        <f>IF(OR(A89="REFUND",A89="CANCELLED"),0,IFERROR((IF(OR(AJ89="USDAED",LEFT(AJ89,3)=RIGHT(AJ89,3)),AQ89,AO89)-AM89)*-BF89*VLOOKUP(AJ89,'FX RATES'!$H$1:$J$26,3,FALSE),0))</f>
        <v>272456.9111951791</v>
      </c>
      <c r="BI89" s="170" t="str">
        <f>RIGHT(AJ89,3)</f>
        <v>RUB</v>
      </c>
      <c r="BJ89" s="542">
        <f>IF(BH89=0,0,IFERROR(BH89/IF(BI89&lt;&gt;"USD",AQ89,1),"???"))</f>
        <v>3502.0168534084719</v>
      </c>
      <c r="BK89" s="170">
        <f>IFERROR(-AK89/(IF(OR(AJ89="USDAED",LEFT(AJ89,3)=RIGHT(AJ89,3)),AP89,AO89)-AM89)*BJ89,0)</f>
        <v>0</v>
      </c>
      <c r="BL89" s="542">
        <f>BJ89-BK89</f>
        <v>3502.0168534084719</v>
      </c>
      <c r="BM89" s="170">
        <f>IF(AND(ISERROR(SEARCH("REFUND",A89)),ISERROR(SEARCH("CANCELLED",A89))),BD89+BK89,0)</f>
        <v>0</v>
      </c>
      <c r="BN89" s="542">
        <f>IF(AND(ISERROR(SEARCH("REFUND",A89)),ISERROR(SEARCH("CANCELLED",A89))),BE89+BL89,0)</f>
        <v>5795.5631734085018</v>
      </c>
    </row>
    <row r="90" spans="1:66" ht="19.5" customHeight="1">
      <c r="A90" s="167" t="s">
        <v>366</v>
      </c>
      <c r="B90" s="168" t="s">
        <v>39</v>
      </c>
      <c r="C90" s="168" t="s">
        <v>383</v>
      </c>
      <c r="D90" s="168" t="s">
        <v>128</v>
      </c>
      <c r="E90" s="171">
        <v>46038</v>
      </c>
      <c r="F90" s="171"/>
      <c r="G90" s="168" t="s">
        <v>39</v>
      </c>
      <c r="H90" s="168" t="s">
        <v>410</v>
      </c>
      <c r="I90" s="169">
        <v>-34460000</v>
      </c>
      <c r="J90" s="170">
        <f>IF(I90="",AR90,I90)</f>
        <v>-34460000</v>
      </c>
      <c r="K90" s="168" t="s">
        <v>9</v>
      </c>
      <c r="L90" s="171" t="s">
        <v>411</v>
      </c>
      <c r="M90" s="168" t="s">
        <v>25</v>
      </c>
      <c r="N90" s="167" t="s">
        <v>371</v>
      </c>
      <c r="O90" s="168" t="s">
        <v>39</v>
      </c>
      <c r="P90" s="349" t="s">
        <v>410</v>
      </c>
      <c r="Q90" s="169"/>
      <c r="R90" s="170">
        <f>IF(Q90="",AS90,Q90)</f>
        <v>1617840.3755868543</v>
      </c>
      <c r="S90" s="168" t="s">
        <v>8</v>
      </c>
      <c r="T90" s="171" t="s">
        <v>385</v>
      </c>
      <c r="U90" s="168" t="s">
        <v>20</v>
      </c>
      <c r="V90" s="167" t="s">
        <v>371</v>
      </c>
      <c r="W90" s="172" t="s">
        <v>382</v>
      </c>
      <c r="X90" s="173">
        <f>IF(Y90="",VLOOKUP(H90,CLIENTS!$A$1:$O$649,5,FALSE),Y90)</f>
        <v>0</v>
      </c>
      <c r="Y90" s="174">
        <v>0</v>
      </c>
      <c r="Z90" s="173">
        <f>IF(AA90="",VLOOKUP(P90,CLIENTS!$A$1:$O$649,5,FALSE),AA90)</f>
        <v>0</v>
      </c>
      <c r="AA90" s="174">
        <v>0</v>
      </c>
      <c r="AB90" s="173" t="str">
        <f>IF(W90="via USD",IF(K90="EUR",K90&amp;"USD","USD"&amp;K90),IFERROR(VLOOKUP(K90&amp;S90,'FX RATES'!$H$2:$H$20,1,FALSE),S90&amp;K90))</f>
        <v>AEDRUB</v>
      </c>
      <c r="AC90" s="175">
        <f>IF(LEFT(AB90,3)=RIGHT(AB90,3),0,IFERROR(INDEX(CLIENTS!$A$1:$O$649,MATCH(H90,CLIENTS!$A$1:$A$649,0),MATCH(AB90,CLIENTS!$A$1:$O$1,0)),0))</f>
        <v>0</v>
      </c>
      <c r="AD90" s="176">
        <v>21.3</v>
      </c>
      <c r="AE90" s="177">
        <f>IF(W90="CLIENT","",IF(AD90="",AH90+AC90,AD90+AC90))</f>
        <v>21.3</v>
      </c>
      <c r="AF90" s="177" t="str">
        <f>E90&amp;AB90</f>
        <v>46038AEDRUB</v>
      </c>
      <c r="AG90" s="176">
        <v>21.1845</v>
      </c>
      <c r="AH90" s="178">
        <f ca="1">IF(LEFT(AB90,3)=RIGHT(AB90,3),1,VLOOKUP(AB90,'FX RATES'!$H$1:$I$20,2,FALSE))</f>
        <v>20.8843</v>
      </c>
      <c r="AI90" s="178">
        <f>IF(OR(AB90="USDAED",LEFT(AB90,3)=RIGHT(AB90,3)),AH90,IF(LEFT(AB90)="USD",AG90,IF(RIGHT(AB90,3)="USD",1,IFERROR(VLOOKUP(E90&amp;"USD"&amp;RIGHT(AB90,3),$AF:$AG,2,FALSE),VLOOKUP(E90&amp;"USD"&amp;RIGHT(AJ90,3),$AN:$AO,2,FALSE)))))</f>
        <v>77.8</v>
      </c>
      <c r="AJ90" s="173" t="str">
        <f>IF(W90="via USD",IF(S90="EUR",S90&amp;"USD","USD"&amp;S90),IFERROR(VLOOKUP(K90&amp;S90,'FX RATES'!$H$2:$H$20,1,FALSE),S90&amp;K90))</f>
        <v>AEDRUB</v>
      </c>
      <c r="AK90" s="175">
        <f>IF(LEFT(AJ90,3)=RIGHT(AJ90,3),0,IFERROR(INDEX(CLIENTS!$A$1:$O$649,MATCH(P90,CLIENTS!$A$1:$A$649,0),MATCH(AJ90,CLIENTS!$A$1:$O$1,0)),0))</f>
        <v>0</v>
      </c>
      <c r="AL90" s="176"/>
      <c r="AM90" s="177" t="str">
        <f>IF(W90="VENDOR","",IF(AL90="",AP90+AK90,AL90+AK90))</f>
        <v/>
      </c>
      <c r="AN90" s="177" t="str">
        <f>E90&amp;AJ90</f>
        <v>46038AEDRUB</v>
      </c>
      <c r="AO90" s="176"/>
      <c r="AP90" s="178">
        <f ca="1">IF(LEFT(AJ90,3)=RIGHT(AJ90,3),1,VLOOKUP(AJ90,'FX RATES'!$H$1:$I$20,2,FALSE))</f>
        <v>20.8843</v>
      </c>
      <c r="AQ90" s="178">
        <f>IF(OR(AJ90="USDAED",LEFT(AJ90,3)=RIGHT(AJ90,3)),AP90,IF(LEFT(AJ90)="USD",AO90,IF(RIGHT(AJ90,3)="USD",1,IFERROR(VLOOKUP(E90&amp;"USD"&amp;RIGHT(AJ90,3),$AN:$AO,2,FALSE),VLOOKUP(E90&amp;"USD"&amp;RIGHT(AB90,3),$AF:$AG,2,FALSE)))))</f>
        <v>77.8</v>
      </c>
      <c r="AR90" s="179">
        <f>-Q90*(1-Z90)/(1+X90)*IF(W90="CLIENT",IF(S90=RIGHT(AJ90,3),1/AM90,AM90),IF(W90="VENDOR",IF(S90=RIGHT(AJ90,3),1/AE90,AE90),AE90^(VLOOKUP(AB90,'FX RATES'!$H$1:$J$26,3,FALSE))/AM90^(VLOOKUP(AJ90,'FX RATES'!$H$1:$J$26,3,FALSE))))</f>
        <v>0</v>
      </c>
      <c r="AS90" s="179">
        <f>-I90*(1+X90)/(1-Z90)*IF(W90="VENDOR",IF(K90=RIGHT(AB90,3),1/AE90,AE90),IF(W90="CLIENT",IF(K90=RIGHT(AB90,3),1/AM90,AM90),AM90^(VLOOKUP(AJ90,'FX RATES'!$H$1:$J$26,3,FALSE))/AE90^(VLOOKUP(AB90,'FX RATES'!$H$1:$J$26,3,FALSE))))</f>
        <v>1617840.3755868543</v>
      </c>
      <c r="AT90" s="170">
        <f ca="1">IF(AB90&lt;&gt;AJ90,J90/IF(K90=RIGHT(AB90,3),AE90,1/AE90),IF(S90="USD",J90/IF(K90=RIGHT(AB90,3),IF(W90="CLIENT",AM90,AE90),1/IF(W90="CLIENT",AM90,AE90)),J90*VLOOKUP(K90,'FX RATES'!$E$1:$F$10,2,FALSE)))</f>
        <v>-449162.87041924911</v>
      </c>
      <c r="AU90" s="170">
        <f ca="1">IF(AB90&lt;&gt;AJ90,R90/IF(S90=RIGHT(AJ90,3),AM90,1/AM90),IF(K90="USD",R90/IF(S90=RIGHT(AJ90,3),IF(W90="CLIENT",AM90,AE90),1/IF(W90="CLIENT",AM90,AE90)),R90*VLOOKUP(S90,'FX RATES'!$E$1:$F$10,2,FALSE)))</f>
        <v>440516.3577810963</v>
      </c>
      <c r="AV90" s="170">
        <f ca="1">AT90+AU90</f>
        <v>-8646.5126381528098</v>
      </c>
      <c r="AW90" s="169"/>
      <c r="AX90" s="170">
        <f ca="1">IF(AND(ISERROR(SEARCH("INVOICE",T90)),ISERROR(SEARCH("SWITCH",T90)),ISERROR(SEARCH("FOREX",T90)),ISERROR(SEARCH("REFUND",A90)),ISERROR(SEARCH("CANCELLED",A90))),IF(AW90="",-AT90*X90+AU90*Z90,AW90),0)</f>
        <v>0</v>
      </c>
      <c r="AY90" s="170">
        <f>IF(AZ90="USD",AT90,IF(AZ90=K90,J90,-R90))</f>
        <v>-1617840.3755868543</v>
      </c>
      <c r="AZ90" s="170" t="str">
        <f>LEFT(AB90,3)</f>
        <v>AED</v>
      </c>
      <c r="BA90" s="542">
        <f>IF(OR(A90="REFUND",A90="CANCELLED"),0,IFERROR((IF(OR(AB90="USDAED",LEFT(AB90,3)=RIGHT(AB90,3)),AI90,AG90)-AE90)*-AY90*VLOOKUP(AB90,'FX RATES'!$H$1:$J$26,3,FALSE),0))</f>
        <v>-186860.56338028301</v>
      </c>
      <c r="BB90" s="170" t="str">
        <f>RIGHT(AB90,3)</f>
        <v>RUB</v>
      </c>
      <c r="BC90" s="542">
        <f>IF(BA90=0,0,IFERROR(BA90/IF(BB90&lt;&gt;"USD",AI90,1),"???"))</f>
        <v>-2401.8067272529952</v>
      </c>
      <c r="BD90" s="170">
        <f>IFERROR(-AC90/(IF(OR(AB90="USDAED",LEFT(AB90,3)=RIGHT(AB90,3)),AH90,AG90)-AE90)*BC90,0)</f>
        <v>0</v>
      </c>
      <c r="BE90" s="542">
        <f>BC90-BD90</f>
        <v>-2401.8067272529952</v>
      </c>
      <c r="BF90" s="170">
        <f>IF(BG90="USD",AU90,IF(BG90=S90,R90,-J90))</f>
        <v>1617840.3755868543</v>
      </c>
      <c r="BG90" s="170" t="str">
        <f>LEFT(AJ90,3)</f>
        <v>AED</v>
      </c>
      <c r="BH90" s="542">
        <f>IF(OR(A90="REFUND",A90="CANCELLED"),0,IFERROR((IF(OR(AJ90="USDAED",LEFT(AJ90,3)=RIGHT(AJ90,3)),AQ90,AO90)-AM90)*-BF90*VLOOKUP(AJ90,'FX RATES'!$H$1:$J$26,3,FALSE),0))</f>
        <v>0</v>
      </c>
      <c r="BI90" s="170" t="str">
        <f>RIGHT(AJ90,3)</f>
        <v>RUB</v>
      </c>
      <c r="BJ90" s="542">
        <f>IF(BH90=0,0,IFERROR(BH90/IF(BI90&lt;&gt;"USD",AQ90,1),"???"))</f>
        <v>0</v>
      </c>
      <c r="BK90" s="170">
        <f>IFERROR(-AK90/(IF(OR(AJ90="USDAED",LEFT(AJ90,3)=RIGHT(AJ90,3)),AP90,AO90)-AM90)*BJ90,0)</f>
        <v>0</v>
      </c>
      <c r="BL90" s="542">
        <f>BJ90-BK90</f>
        <v>0</v>
      </c>
      <c r="BM90" s="170">
        <f>IF(AND(ISERROR(SEARCH("REFUND",A90)),ISERROR(SEARCH("CANCELLED",A90))),BD90+BK90,0)</f>
        <v>0</v>
      </c>
      <c r="BN90" s="542">
        <f>IF(AND(ISERROR(SEARCH("REFUND",A90)),ISERROR(SEARCH("CANCELLED",A90))),BE90+BL90,0)</f>
        <v>-2401.8067272529952</v>
      </c>
    </row>
    <row r="92" spans="1:66" ht="19.5" customHeight="1">
      <c r="A92" s="167" t="s">
        <v>366</v>
      </c>
      <c r="B92" s="168" t="s">
        <v>43</v>
      </c>
      <c r="C92" s="168" t="s">
        <v>367</v>
      </c>
      <c r="D92" s="168" t="s">
        <v>368</v>
      </c>
      <c r="E92" s="171">
        <v>46038</v>
      </c>
      <c r="F92" s="171"/>
      <c r="G92" s="168" t="s">
        <v>43</v>
      </c>
      <c r="H92" s="168" t="s">
        <v>417</v>
      </c>
      <c r="I92" s="169"/>
      <c r="J92" s="170">
        <f>IF(I92="",AR92,I92)</f>
        <v>-584304.86501629988</v>
      </c>
      <c r="K92" s="168" t="s">
        <v>8</v>
      </c>
      <c r="L92" s="171" t="s">
        <v>16</v>
      </c>
      <c r="M92" s="168" t="s">
        <v>17</v>
      </c>
      <c r="N92" s="167" t="s">
        <v>371</v>
      </c>
      <c r="O92" s="168" t="s">
        <v>39</v>
      </c>
      <c r="P92" s="168" t="s">
        <v>460</v>
      </c>
      <c r="Q92" s="169">
        <v>12578000</v>
      </c>
      <c r="R92" s="170">
        <f>IF(Q92="",AS92,Q92)</f>
        <v>12578000</v>
      </c>
      <c r="S92" s="168" t="s">
        <v>9</v>
      </c>
      <c r="T92" s="171" t="s">
        <v>414</v>
      </c>
      <c r="U92" s="168" t="s">
        <v>25</v>
      </c>
      <c r="V92" s="167" t="s">
        <v>371</v>
      </c>
      <c r="W92" s="172" t="s">
        <v>375</v>
      </c>
      <c r="X92" s="173">
        <f>IF(Y92="",VLOOKUP(H92,CLIENTS!$A$1:$O$649,5,FALSE),Y92)</f>
        <v>0</v>
      </c>
      <c r="Y92" s="174">
        <v>0</v>
      </c>
      <c r="Z92" s="173">
        <f>IF(AA92="",VLOOKUP(P92,CLIENTS!$A$1:$O$649,5,FALSE),AA92)</f>
        <v>6.0000000000000001E-3</v>
      </c>
      <c r="AA92" s="174">
        <v>6.0000000000000001E-3</v>
      </c>
      <c r="AB92" s="173" t="str">
        <f>IF(W92="via USD",IF(K92="EUR",K92&amp;"USD","USD"&amp;K92),IFERROR(VLOOKUP(K92&amp;S92,'FX RATES'!$H$2:$H$20,1,FALSE),S92&amp;K92))</f>
        <v>USDAED</v>
      </c>
      <c r="AC92" s="175">
        <f>IF(LEFT(AB92,3)=RIGHT(AB92,3),0,IFERROR(INDEX(CLIENTS!$A$1:$O$649,MATCH(H92,CLIENTS!$A$1:$A$649,0),MATCH(AB92,CLIENTS!$A$1:$O$1,0)),0))</f>
        <v>0</v>
      </c>
      <c r="AD92" s="176">
        <v>3.67</v>
      </c>
      <c r="AE92" s="177">
        <f>IF(W92="CLIENT","",IF(AD92="",AH92+AC92,AD92+AC92))</f>
        <v>3.67</v>
      </c>
      <c r="AF92" s="177" t="str">
        <f>E92&amp;AB92</f>
        <v>46038USDAED</v>
      </c>
      <c r="AG92" s="176"/>
      <c r="AH92" s="178">
        <f>IF(LEFT(AB92,3)=RIGHT(AB92,3),1,VLOOKUP(AB92,'FX RATES'!$H$1:$I$20,2,FALSE))</f>
        <v>3.6724999999999999</v>
      </c>
      <c r="AI92" s="178">
        <f>IF(OR(AB92="USDAED",LEFT(AB92,3)=RIGHT(AB92,3)),AH92,IF(LEFT(AB92)="USD",AG92,IF(RIGHT(AB92,3)="USD",1,IFERROR(VLOOKUP(E92&amp;"USD"&amp;RIGHT(AB92,3),$AF:$AG,2,FALSE),VLOOKUP(E92&amp;"USD"&amp;RIGHT(AJ92,3),$AN:$AO,2,FALSE)))))</f>
        <v>3.6724999999999999</v>
      </c>
      <c r="AJ92" s="173" t="str">
        <f>IF(W92="via USD",IF(S92="EUR",S92&amp;"USD","USD"&amp;S92),IFERROR(VLOOKUP(K92&amp;S92,'FX RATES'!$H$2:$H$20,1,FALSE),S92&amp;K92))</f>
        <v>USDRUB</v>
      </c>
      <c r="AK92" s="175">
        <f>IF(LEFT(AJ92,3)=RIGHT(AJ92,3),0,IFERROR(INDEX(CLIENTS!$A$1:$O$649,MATCH(P92,CLIENTS!$A$1:$A$649,0),MATCH(AJ92,CLIENTS!$A$1:$O$1,0)),0))</f>
        <v>0</v>
      </c>
      <c r="AL92" s="176">
        <v>78.528000000000006</v>
      </c>
      <c r="AM92" s="177">
        <f>IF(W92="VENDOR","",IF(AL92="",AP92+AK92,AL92+AK92))</f>
        <v>78.528000000000006</v>
      </c>
      <c r="AN92" s="177" t="str">
        <f>E92&amp;AJ92</f>
        <v>46038USDRUB</v>
      </c>
      <c r="AO92" s="176">
        <v>77.8</v>
      </c>
      <c r="AP92" s="178">
        <f ca="1">IF(LEFT(AJ92,3)=RIGHT(AJ92,3),1,VLOOKUP(AJ92,'FX RATES'!$H$1:$I$20,2,FALSE))</f>
        <v>76.720500000000001</v>
      </c>
      <c r="AQ92" s="178">
        <f>IF(OR(AJ92="USDAED",LEFT(AJ92,3)=RIGHT(AJ92,3)),AP92,IF(LEFT(AJ92)="USD",AO92,IF(RIGHT(AJ92,3)="USD",1,IFERROR(VLOOKUP(E92&amp;"USD"&amp;RIGHT(AJ92,3),$AN:$AO,2,FALSE),VLOOKUP(E92&amp;"USD"&amp;RIGHT(AB92,3),$AF:$AG,2,FALSE)))))</f>
        <v>77.8</v>
      </c>
      <c r="AR92" s="179">
        <f>-Q92*(1-Z92)/(1+X92)*IF(W92="CLIENT",IF(S92=RIGHT(AJ92,3),1/AM92,AM92),IF(W92="VENDOR",IF(S92=RIGHT(AJ92,3),1/AE92,AE92),AE92^(VLOOKUP(AB92,'FX RATES'!$H$1:$J$26,3,FALSE))/AM92^(VLOOKUP(AJ92,'FX RATES'!$H$1:$J$26,3,FALSE))))</f>
        <v>-584304.86501629988</v>
      </c>
      <c r="AS92" s="179">
        <f>-I92*(1+X92)/(1-Z92)*IF(W92="VENDOR",IF(K92=RIGHT(AB92,3),1/AE92,AE92),IF(W92="CLIENT",IF(K92=RIGHT(AB92,3),1/AM92,AM92),AM92^(VLOOKUP(AJ92,'FX RATES'!$H$1:$J$26,3,FALSE))/AE92^(VLOOKUP(AB92,'FX RATES'!$H$1:$J$26,3,FALSE))))</f>
        <v>0</v>
      </c>
      <c r="AT92" s="170">
        <f>IF(AB92&lt;&gt;AJ92,J92/IF(K92=RIGHT(AB92,3),AE92,1/AE92),IF(S92="USD",J92/IF(K92=RIGHT(AB92,3),IF(W92="CLIENT",AM92,AE92),1/IF(W92="CLIENT",AM92,AE92)),J92*VLOOKUP(K92,'FX RATES'!$E$1:$F$10,2,FALSE)))</f>
        <v>-159211.13488182559</v>
      </c>
      <c r="AU92" s="170">
        <f>IF(AB92&lt;&gt;AJ92,R92/IF(S92=RIGHT(AJ92,3),AM92,1/AM92),IF(K92="USD",R92/IF(S92=RIGHT(AJ92,3),IF(W92="CLIENT",AM92,AE92),1/IF(W92="CLIENT",AM92,AE92)),R92*VLOOKUP(S92,'FX RATES'!$E$1:$F$10,2,FALSE)))</f>
        <v>160172.16788916054</v>
      </c>
      <c r="AV92" s="170">
        <f>AT92+AU92</f>
        <v>961.03300733494689</v>
      </c>
      <c r="AW92" s="169"/>
      <c r="AX92" s="170">
        <f>IF(AND(ISERROR(SEARCH("INVOICE",T92)),ISERROR(SEARCH("SWITCH",T92)),ISERROR(SEARCH("FOREX",T92)),ISERROR(SEARCH("REFUND",A92)),ISERROR(SEARCH("CANCELLED",A92))),IF(AW92="",-AT92*X92+AU92*Z92,AW92),0)</f>
        <v>961.03300733496326</v>
      </c>
      <c r="AY92" s="170">
        <f>IF(AZ92="USD",AT92,IF(AZ92=K92,J92,-R92))</f>
        <v>-159211.13488182559</v>
      </c>
      <c r="AZ92" s="170" t="str">
        <f>LEFT(AB92,3)</f>
        <v>USD</v>
      </c>
      <c r="BA92" s="542">
        <f>IF(OR(A92="REFUND",A92="CANCELLED"),0,IFERROR((IF(OR(AB92="USDAED",LEFT(AB92,3)=RIGHT(AB92,3)),AI92,AG92)-AE92)*-AY92*VLOOKUP(AB92,'FX RATES'!$H$1:$J$26,3,FALSE),0))</f>
        <v>398.02783720455551</v>
      </c>
      <c r="BB92" s="170" t="str">
        <f>RIGHT(AB92,3)</f>
        <v>AED</v>
      </c>
      <c r="BC92" s="542">
        <f>IF(BA92=0,0,IFERROR(BA92/IF(BB92&lt;&gt;"USD",AI92,1),"???"))</f>
        <v>108.38062279225474</v>
      </c>
      <c r="BD92" s="170">
        <f>IFERROR(-AC92/(IF(OR(AB92="USDAED",LEFT(AB92,3)=RIGHT(AB92,3)),AH92,AG92)-AE92)*BC92,0)</f>
        <v>0</v>
      </c>
      <c r="BE92" s="542">
        <f>BC92-BD92</f>
        <v>108.38062279225474</v>
      </c>
      <c r="BF92" s="170">
        <f>IF(BG92="USD",AU92,IF(BG92=S92,R92,-J92))</f>
        <v>160172.16788916054</v>
      </c>
      <c r="BG92" s="170" t="str">
        <f>LEFT(AJ92,3)</f>
        <v>USD</v>
      </c>
      <c r="BH92" s="542">
        <f>IF(OR(A92="REFUND",A92="CANCELLED"),0,IFERROR((IF(OR(AJ92="USDAED",LEFT(AJ92,3)=RIGHT(AJ92,3)),AQ92,AO92)-AM92)*-BF92*VLOOKUP(AJ92,'FX RATES'!$H$1:$J$26,3,FALSE),0))</f>
        <v>116605.33822331026</v>
      </c>
      <c r="BI92" s="170" t="str">
        <f>RIGHT(AJ92,3)</f>
        <v>RUB</v>
      </c>
      <c r="BJ92" s="542">
        <f>IF(BH92=0,0,IFERROR(BH92/IF(BI92&lt;&gt;"USD",AQ92,1),"???"))</f>
        <v>1498.7832676518028</v>
      </c>
      <c r="BK92" s="170">
        <f>IFERROR(-AK92/(IF(OR(AJ92="USDAED",LEFT(AJ92,3)=RIGHT(AJ92,3)),AP92,AO92)-AM92)*BJ92,0)</f>
        <v>0</v>
      </c>
      <c r="BL92" s="542">
        <f>BJ92-BK92</f>
        <v>1498.7832676518028</v>
      </c>
      <c r="BM92" s="170">
        <f>IF(AND(ISERROR(SEARCH("REFUND",A92)),ISERROR(SEARCH("CANCELLED",A92))),BD92+BK92,0)</f>
        <v>0</v>
      </c>
      <c r="BN92" s="542">
        <f>IF(AND(ISERROR(SEARCH("REFUND",A92)),ISERROR(SEARCH("CANCELLED",A92))),BE92+BL92,0)</f>
        <v>1607.1638904440576</v>
      </c>
    </row>
    <row r="93" spans="1:66" ht="19.5" customHeight="1">
      <c r="A93" s="167" t="s">
        <v>366</v>
      </c>
      <c r="B93" s="168" t="s">
        <v>39</v>
      </c>
      <c r="C93" s="168" t="s">
        <v>383</v>
      </c>
      <c r="D93" s="168" t="s">
        <v>128</v>
      </c>
      <c r="E93" s="171">
        <v>46038</v>
      </c>
      <c r="F93" s="171"/>
      <c r="G93" s="168" t="s">
        <v>39</v>
      </c>
      <c r="H93" s="168" t="s">
        <v>410</v>
      </c>
      <c r="I93" s="169">
        <f>-R92</f>
        <v>-12578000</v>
      </c>
      <c r="J93" s="170">
        <f>IF(I93="",AR93,I93)</f>
        <v>-12578000</v>
      </c>
      <c r="K93" s="168" t="s">
        <v>9</v>
      </c>
      <c r="L93" s="171" t="s">
        <v>411</v>
      </c>
      <c r="M93" s="168" t="s">
        <v>25</v>
      </c>
      <c r="N93" s="167" t="s">
        <v>371</v>
      </c>
      <c r="O93" s="168" t="s">
        <v>39</v>
      </c>
      <c r="P93" s="349" t="s">
        <v>410</v>
      </c>
      <c r="Q93" s="169"/>
      <c r="R93" s="170">
        <f>IF(Q93="",AS93,Q93)</f>
        <v>589409.55951265234</v>
      </c>
      <c r="S93" s="168" t="s">
        <v>8</v>
      </c>
      <c r="T93" s="171" t="s">
        <v>385</v>
      </c>
      <c r="U93" s="168" t="s">
        <v>20</v>
      </c>
      <c r="V93" s="167" t="s">
        <v>371</v>
      </c>
      <c r="W93" s="172" t="s">
        <v>382</v>
      </c>
      <c r="X93" s="173">
        <f>IF(Y93="",VLOOKUP(H93,CLIENTS!$A$1:$O$649,5,FALSE),Y93)</f>
        <v>0</v>
      </c>
      <c r="Y93" s="174">
        <v>0</v>
      </c>
      <c r="Z93" s="173">
        <f>IF(AA93="",VLOOKUP(P93,CLIENTS!$A$1:$O$649,5,FALSE),AA93)</f>
        <v>0</v>
      </c>
      <c r="AA93" s="174">
        <v>0</v>
      </c>
      <c r="AB93" s="173" t="str">
        <f>IF(W93="via USD",IF(K93="EUR",K93&amp;"USD","USD"&amp;K93),IFERROR(VLOOKUP(K93&amp;S93,'FX RATES'!$H$2:$H$20,1,FALSE),S93&amp;K93))</f>
        <v>AEDRUB</v>
      </c>
      <c r="AC93" s="175">
        <f>IF(LEFT(AB93,3)=RIGHT(AB93,3),0,IFERROR(INDEX(CLIENTS!$A$1:$O$649,MATCH(H93,CLIENTS!$A$1:$A$649,0),MATCH(AB93,CLIENTS!$A$1:$O$1,0)),0))</f>
        <v>0</v>
      </c>
      <c r="AD93" s="176">
        <v>21.34</v>
      </c>
      <c r="AE93" s="177">
        <f>IF(W93="CLIENT","",IF(AD93="",AH93+AC93,AD93+AC93))</f>
        <v>21.34</v>
      </c>
      <c r="AF93" s="177" t="str">
        <f>E93&amp;AB93</f>
        <v>46038AEDRUB</v>
      </c>
      <c r="AG93" s="176">
        <v>21.1845</v>
      </c>
      <c r="AH93" s="178">
        <f ca="1">IF(LEFT(AB93,3)=RIGHT(AB93,3),1,VLOOKUP(AB93,'FX RATES'!$H$1:$I$20,2,FALSE))</f>
        <v>20.8843</v>
      </c>
      <c r="AI93" s="178">
        <f>IF(OR(AB93="USDAED",LEFT(AB93,3)=RIGHT(AB93,3)),AH93,IF(LEFT(AB93)="USD",AG93,IF(RIGHT(AB93,3)="USD",1,IFERROR(VLOOKUP(E93&amp;"USD"&amp;RIGHT(AB93,3),$AF:$AG,2,FALSE),VLOOKUP(E93&amp;"USD"&amp;RIGHT(AJ93,3),$AN:$AO,2,FALSE)))))</f>
        <v>77.8</v>
      </c>
      <c r="AJ93" s="173" t="str">
        <f>IF(W93="via USD",IF(S93="EUR",S93&amp;"USD","USD"&amp;S93),IFERROR(VLOOKUP(K93&amp;S93,'FX RATES'!$H$2:$H$20,1,FALSE),S93&amp;K93))</f>
        <v>AEDRUB</v>
      </c>
      <c r="AK93" s="175">
        <f>IF(LEFT(AJ93,3)=RIGHT(AJ93,3),0,IFERROR(INDEX(CLIENTS!$A$1:$O$649,MATCH(P93,CLIENTS!$A$1:$A$649,0),MATCH(AJ93,CLIENTS!$A$1:$O$1,0)),0))</f>
        <v>0</v>
      </c>
      <c r="AL93" s="176"/>
      <c r="AM93" s="177" t="str">
        <f>IF(W93="VENDOR","",IF(AL93="",AP93+AK93,AL93+AK93))</f>
        <v/>
      </c>
      <c r="AN93" s="177" t="str">
        <f>E93&amp;AJ93</f>
        <v>46038AEDRUB</v>
      </c>
      <c r="AO93" s="176"/>
      <c r="AP93" s="178">
        <f ca="1">IF(LEFT(AJ93,3)=RIGHT(AJ93,3),1,VLOOKUP(AJ93,'FX RATES'!$H$1:$I$20,2,FALSE))</f>
        <v>20.8843</v>
      </c>
      <c r="AQ93" s="178">
        <f>IF(OR(AJ93="USDAED",LEFT(AJ93,3)=RIGHT(AJ93,3)),AP93,IF(LEFT(AJ93)="USD",AO93,IF(RIGHT(AJ93,3)="USD",1,IFERROR(VLOOKUP(E93&amp;"USD"&amp;RIGHT(AJ93,3),$AN:$AO,2,FALSE),VLOOKUP(E93&amp;"USD"&amp;RIGHT(AB93,3),$AF:$AG,2,FALSE)))))</f>
        <v>77.8</v>
      </c>
      <c r="AR93" s="179">
        <f>-Q93*(1-Z93)/(1+X93)*IF(W93="CLIENT",IF(S93=RIGHT(AJ93,3),1/AM93,AM93),IF(W93="VENDOR",IF(S93=RIGHT(AJ93,3),1/AE93,AE93),AE93^(VLOOKUP(AB93,'FX RATES'!$H$1:$J$26,3,FALSE))/AM93^(VLOOKUP(AJ93,'FX RATES'!$H$1:$J$26,3,FALSE))))</f>
        <v>0</v>
      </c>
      <c r="AS93" s="179">
        <f>-I93*(1+X93)/(1-Z93)*IF(W93="VENDOR",IF(K93=RIGHT(AB93,3),1/AE93,AE93),IF(W93="CLIENT",IF(K93=RIGHT(AB93,3),1/AM93,AM93),AM93^(VLOOKUP(AJ93,'FX RATES'!$H$1:$J$26,3,FALSE))/AE93^(VLOOKUP(AB93,'FX RATES'!$H$1:$J$26,3,FALSE))))</f>
        <v>589409.55951265234</v>
      </c>
      <c r="AT93" s="170">
        <f ca="1">IF(AB93&lt;&gt;AJ93,J93/IF(K93=RIGHT(AB93,3),AE93,1/AE93),IF(S93="USD",J93/IF(K93=RIGHT(AB93,3),IF(W93="CLIENT",AM93,AE93),1/IF(W93="CLIENT",AM93,AE93)),J93*VLOOKUP(K93,'FX RATES'!$E$1:$F$10,2,FALSE)))</f>
        <v>-163945.75113561563</v>
      </c>
      <c r="AU93" s="170">
        <f ca="1">IF(AB93&lt;&gt;AJ93,R93/IF(S93=RIGHT(AJ93,3),AM93,1/AM93),IF(K93="USD",R93/IF(S93=RIGHT(AJ93,3),IF(W93="CLIENT",AM93,AE93),1/IF(W93="CLIENT",AM93,AE93)),R93*VLOOKUP(S93,'FX RATES'!$E$1:$F$10,2,FALSE)))</f>
        <v>160488.36233530805</v>
      </c>
      <c r="AV93" s="170">
        <f ca="1">AT93+AU93</f>
        <v>-3457.3888003075845</v>
      </c>
      <c r="AW93" s="169"/>
      <c r="AX93" s="170">
        <f ca="1">IF(AND(ISERROR(SEARCH("INVOICE",T93)),ISERROR(SEARCH("SWITCH",T93)),ISERROR(SEARCH("FOREX",T93)),ISERROR(SEARCH("REFUND",A93)),ISERROR(SEARCH("CANCELLED",A93))),IF(AW93="",-AT93*X93+AU93*Z93,AW93),0)</f>
        <v>0</v>
      </c>
      <c r="AY93" s="170">
        <f>IF(AZ93="USD",AT93,IF(AZ93=K93,J93,-R93))</f>
        <v>-589409.55951265234</v>
      </c>
      <c r="AZ93" s="170" t="str">
        <f>LEFT(AB93,3)</f>
        <v>AED</v>
      </c>
      <c r="BA93" s="542">
        <f>IF(OR(A93="REFUND",A93="CANCELLED"),0,IFERROR((IF(OR(AB93="USDAED",LEFT(AB93,3)=RIGHT(AB93,3)),AI93,AG93)-AE93)*-AY93*VLOOKUP(AB93,'FX RATES'!$H$1:$J$26,3,FALSE),0))</f>
        <v>-91653.186504217418</v>
      </c>
      <c r="BB93" s="170" t="str">
        <f>RIGHT(AB93,3)</f>
        <v>RUB</v>
      </c>
      <c r="BC93" s="542">
        <f>IF(BA93=0,0,IFERROR(BA93/IF(BB93&lt;&gt;"USD",AI93,1),"???"))</f>
        <v>-1178.0615231904553</v>
      </c>
      <c r="BD93" s="170">
        <f>IFERROR(-AC93/(IF(OR(AB93="USDAED",LEFT(AB93,3)=RIGHT(AB93,3)),AH93,AG93)-AE93)*BC93,0)</f>
        <v>0</v>
      </c>
      <c r="BE93" s="542">
        <f>BC93-BD93</f>
        <v>-1178.0615231904553</v>
      </c>
      <c r="BF93" s="170">
        <f>IF(BG93="USD",AU93,IF(BG93=S93,R93,-J93))</f>
        <v>589409.55951265234</v>
      </c>
      <c r="BG93" s="170" t="str">
        <f>LEFT(AJ93,3)</f>
        <v>AED</v>
      </c>
      <c r="BH93" s="542">
        <f>IF(OR(A93="REFUND",A93="CANCELLED"),0,IFERROR((IF(OR(AJ93="USDAED",LEFT(AJ93,3)=RIGHT(AJ93,3)),AQ93,AO93)-AM93)*-BF93*VLOOKUP(AJ93,'FX RATES'!$H$1:$J$26,3,FALSE),0))</f>
        <v>0</v>
      </c>
      <c r="BI93" s="170" t="str">
        <f>RIGHT(AJ93,3)</f>
        <v>RUB</v>
      </c>
      <c r="BJ93" s="542">
        <f>IF(BH93=0,0,IFERROR(BH93/IF(BI93&lt;&gt;"USD",AQ93,1),"???"))</f>
        <v>0</v>
      </c>
      <c r="BK93" s="170">
        <f>IFERROR(-AK93/(IF(OR(AJ93="USDAED",LEFT(AJ93,3)=RIGHT(AJ93,3)),AP93,AO93)-AM93)*BJ93,0)</f>
        <v>0</v>
      </c>
      <c r="BL93" s="542">
        <f>BJ93-BK93</f>
        <v>0</v>
      </c>
      <c r="BM93" s="170">
        <f>IF(AND(ISERROR(SEARCH("REFUND",A93)),ISERROR(SEARCH("CANCELLED",A93))),BD93+BK93,0)</f>
        <v>0</v>
      </c>
      <c r="BN93" s="542">
        <f>IF(AND(ISERROR(SEARCH("REFUND",A93)),ISERROR(SEARCH("CANCELLED",A93))),BE93+BL93,0)</f>
        <v>-1178.0615231904553</v>
      </c>
    </row>
    <row r="94" spans="1:66" ht="19.5" customHeight="1">
      <c r="P94" s="167" t="s">
        <v>97</v>
      </c>
    </row>
    <row r="95" spans="1:66" ht="19.5" customHeight="1">
      <c r="A95" s="167" t="s">
        <v>366</v>
      </c>
      <c r="B95" s="168" t="s">
        <v>39</v>
      </c>
      <c r="C95" s="168" t="s">
        <v>367</v>
      </c>
      <c r="D95" s="168" t="s">
        <v>368</v>
      </c>
      <c r="E95" s="171">
        <v>46038</v>
      </c>
      <c r="F95" s="171"/>
      <c r="G95" s="168" t="s">
        <v>39</v>
      </c>
      <c r="H95" s="168" t="s">
        <v>461</v>
      </c>
      <c r="I95" s="169">
        <v>-198600</v>
      </c>
      <c r="J95" s="170">
        <f>IF(I95="",AR95,I95)</f>
        <v>-198600</v>
      </c>
      <c r="K95" s="168" t="s">
        <v>5</v>
      </c>
      <c r="L95" s="171" t="s">
        <v>462</v>
      </c>
      <c r="M95" s="168" t="s">
        <v>20</v>
      </c>
      <c r="N95" s="167" t="s">
        <v>371</v>
      </c>
      <c r="O95" s="168" t="s">
        <v>39</v>
      </c>
      <c r="P95" s="168" t="s">
        <v>463</v>
      </c>
      <c r="Q95" s="169"/>
      <c r="R95" s="170">
        <f>IF(Q95="",AS95,Q95)</f>
        <v>15747575.757575758</v>
      </c>
      <c r="S95" s="168" t="s">
        <v>9</v>
      </c>
      <c r="T95" s="171" t="s">
        <v>464</v>
      </c>
      <c r="U95" s="168" t="s">
        <v>25</v>
      </c>
      <c r="V95" s="167" t="s">
        <v>371</v>
      </c>
      <c r="W95" s="172" t="s">
        <v>375</v>
      </c>
      <c r="X95" s="173">
        <f>IF(Y95="",VLOOKUP(H95,CLIENTS!$A$1:$O$649,5,FALSE),Y95)</f>
        <v>0</v>
      </c>
      <c r="Y95" s="174">
        <v>0</v>
      </c>
      <c r="Z95" s="173">
        <f>IF(AA95="",VLOOKUP(P95,CLIENTS!$A$1:$O$649,5,FALSE),AA95)</f>
        <v>0.01</v>
      </c>
      <c r="AA95" s="174">
        <v>0.01</v>
      </c>
      <c r="AB95" s="173" t="str">
        <f>IF(W95="via USD",IF(K95="EUR",K95&amp;"USD","USD"&amp;K95),IFERROR(VLOOKUP(K95&amp;S95,'FX RATES'!$H$2:$H$20,1,FALSE),S95&amp;K95))</f>
        <v>USDUSD</v>
      </c>
      <c r="AC95" s="175">
        <f>IF(LEFT(AB95,3)=RIGHT(AB95,3),0,IFERROR(INDEX(CLIENTS!$A$1:$O$649,MATCH(H95,CLIENTS!$A$1:$A$649,0),MATCH(AB95,CLIENTS!$A$1:$O$1,0)),0))</f>
        <v>0</v>
      </c>
      <c r="AD95" s="176"/>
      <c r="AE95" s="177">
        <f>IF(W95="CLIENT","",IF(AD95="",AH95+AC95,AD95+AC95))</f>
        <v>1</v>
      </c>
      <c r="AF95" s="177" t="str">
        <f>E95&amp;AB95</f>
        <v>46038USDUSD</v>
      </c>
      <c r="AG95" s="176"/>
      <c r="AH95" s="178">
        <f>IF(LEFT(AB95,3)=RIGHT(AB95,3),1,VLOOKUP(AB95,'FX RATES'!$H$1:$I$20,2,FALSE))</f>
        <v>1</v>
      </c>
      <c r="AI95" s="178">
        <f>IF(OR(AB95="USDAED",LEFT(AB95,3)=RIGHT(AB95,3)),AH95,IF(LEFT(AB95)="USD",AG95,IF(RIGHT(AB95,3)="USD",1,IFERROR(VLOOKUP(E95&amp;"USD"&amp;RIGHT(AB95,3),$AF:$AG,2,FALSE),VLOOKUP(E95&amp;"USD"&amp;RIGHT(AJ95,3),$AN:$AO,2,FALSE)))))</f>
        <v>1</v>
      </c>
      <c r="AJ95" s="173" t="str">
        <f>IF(W95="via USD",IF(S95="EUR",S95&amp;"USD","USD"&amp;S95),IFERROR(VLOOKUP(K95&amp;S95,'FX RATES'!$H$2:$H$20,1,FALSE),S95&amp;K95))</f>
        <v>USDRUB</v>
      </c>
      <c r="AK95" s="175">
        <f>IF(LEFT(AJ95,3)=RIGHT(AJ95,3),0,IFERROR(INDEX(CLIENTS!$A$1:$O$649,MATCH(P95,CLIENTS!$A$1:$A$649,0),MATCH(AJ95,CLIENTS!$A$1:$O$1,0)),0))</f>
        <v>0</v>
      </c>
      <c r="AL95" s="176">
        <v>78.5</v>
      </c>
      <c r="AM95" s="177">
        <f>IF(W95="VENDOR","",IF(AL95="",AP95+AK95,AL95+AK95))</f>
        <v>78.5</v>
      </c>
      <c r="AN95" s="177" t="str">
        <f>E95&amp;AJ95</f>
        <v>46038USDRUB</v>
      </c>
      <c r="AO95" s="176">
        <v>77.8</v>
      </c>
      <c r="AP95" s="178">
        <f ca="1">IF(LEFT(AJ95,3)=RIGHT(AJ95,3),1,VLOOKUP(AJ95,'FX RATES'!$H$1:$I$20,2,FALSE))</f>
        <v>76.720500000000001</v>
      </c>
      <c r="AQ95" s="178">
        <f>IF(OR(AJ95="USDAED",LEFT(AJ95,3)=RIGHT(AJ95,3)),AP95,IF(LEFT(AJ95)="USD",AO95,IF(RIGHT(AJ95,3)="USD",1,IFERROR(VLOOKUP(E95&amp;"USD"&amp;RIGHT(AJ95,3),$AN:$AO,2,FALSE),VLOOKUP(E95&amp;"USD"&amp;RIGHT(AB95,3),$AF:$AG,2,FALSE)))))</f>
        <v>77.8</v>
      </c>
      <c r="AR95" s="179">
        <f>-Q95*(1-Z95)/(1+X95)*IF(W95="CLIENT",IF(S95=RIGHT(AJ95,3),1/AM95,AM95),IF(W95="VENDOR",IF(S95=RIGHT(AJ95,3),1/AE95,AE95),AE95^(VLOOKUP(AB95,'FX RATES'!$H$1:$J$26,3,FALSE))/AM95^(VLOOKUP(AJ95,'FX RATES'!$H$1:$J$26,3,FALSE))))</f>
        <v>0</v>
      </c>
      <c r="AS95" s="179">
        <f>-I95*(1+X95)/(1-Z95)*IF(W95="VENDOR",IF(K95=RIGHT(AB95,3),1/AE95,AE95),IF(W95="CLIENT",IF(K95=RIGHT(AB95,3),1/AM95,AM95),AM95^(VLOOKUP(AJ95,'FX RATES'!$H$1:$J$26,3,FALSE))/AE95^(VLOOKUP(AB95,'FX RATES'!$H$1:$J$26,3,FALSE))))</f>
        <v>15747575.757575758</v>
      </c>
      <c r="AT95" s="170">
        <f>IF(AB95&lt;&gt;AJ95,J95/IF(K95=RIGHT(AB95,3),AE95,1/AE95),IF(S95="USD",J95/IF(K95=RIGHT(AB95,3),IF(W95="CLIENT",AM95,AE95),1/IF(W95="CLIENT",AM95,AE95)),J95*VLOOKUP(K95,'FX RATES'!$E$1:$F$10,2,FALSE)))</f>
        <v>-198600</v>
      </c>
      <c r="AU95" s="170">
        <f>IF(AB95&lt;&gt;AJ95,R95/IF(S95=RIGHT(AJ95,3),AM95,1/AM95),IF(K95="USD",R95/IF(S95=RIGHT(AJ95,3),IF(W95="CLIENT",AM95,AE95),1/IF(W95="CLIENT",AM95,AE95)),R95*VLOOKUP(S95,'FX RATES'!$E$1:$F$10,2,FALSE)))</f>
        <v>200606.06060606061</v>
      </c>
      <c r="AV95" s="170">
        <f>AT95+AU95</f>
        <v>2006.0606060606078</v>
      </c>
      <c r="AW95" s="169"/>
      <c r="AX95" s="170">
        <f>IF(AND(ISERROR(SEARCH("INVOICE",T95)),ISERROR(SEARCH("SWITCH",T95)),ISERROR(SEARCH("FOREX",T95)),ISERROR(SEARCH("REFUND",A95)),ISERROR(SEARCH("CANCELLED",A95))),IF(AW95="",-AT95*X95+AU95*Z95,AW95),0)</f>
        <v>2006.0606060606062</v>
      </c>
      <c r="AY95" s="170">
        <f>IF(AZ95="USD",AT95,IF(AZ95=K95,J95,-R95))</f>
        <v>-198600</v>
      </c>
      <c r="AZ95" s="170" t="str">
        <f>LEFT(AB95,3)</f>
        <v>USD</v>
      </c>
      <c r="BA95" s="542">
        <f>IF(OR(A95="REFUND",A95="CANCELLED"),0,IFERROR((IF(OR(AB95="USDAED",LEFT(AB95,3)=RIGHT(AB95,3)),AI95,AG95)-AE95)*-AY95*VLOOKUP(AB95,'FX RATES'!$H$1:$J$26,3,FALSE),0))</f>
        <v>0</v>
      </c>
      <c r="BB95" s="170" t="str">
        <f>RIGHT(AB95,3)</f>
        <v>USD</v>
      </c>
      <c r="BC95" s="542">
        <f>IF(BA95=0,0,IFERROR(BA95/IF(BB95&lt;&gt;"USD",AI95,1),"???"))</f>
        <v>0</v>
      </c>
      <c r="BD95" s="170">
        <f>IFERROR(-AC95/(IF(OR(AB95="USDAED",LEFT(AB95,3)=RIGHT(AB95,3)),AH95,AG95)-AE95)*BC95,0)</f>
        <v>0</v>
      </c>
      <c r="BE95" s="542">
        <f>BC95-BD95</f>
        <v>0</v>
      </c>
      <c r="BF95" s="170">
        <f>IF(BG95="USD",AU95,IF(BG95=S95,R95,-J95))</f>
        <v>200606.06060606061</v>
      </c>
      <c r="BG95" s="170" t="str">
        <f>LEFT(AJ95,3)</f>
        <v>USD</v>
      </c>
      <c r="BH95" s="542">
        <f>IF(OR(A95="REFUND",A95="CANCELLED"),0,IFERROR((IF(OR(AJ95="USDAED",LEFT(AJ95,3)=RIGHT(AJ95,3)),AQ95,AO95)-AM95)*-BF95*VLOOKUP(AJ95,'FX RATES'!$H$1:$J$26,3,FALSE),0))</f>
        <v>140424.24242424298</v>
      </c>
      <c r="BI95" s="170" t="str">
        <f>RIGHT(AJ95,3)</f>
        <v>RUB</v>
      </c>
      <c r="BJ95" s="542">
        <f>IF(BH95=0,0,IFERROR(BH95/IF(BI95&lt;&gt;"USD",AQ95,1),"???"))</f>
        <v>1804.9388486406554</v>
      </c>
      <c r="BK95" s="170">
        <f>IFERROR(-AK95/(IF(OR(AJ95="USDAED",LEFT(AJ95,3)=RIGHT(AJ95,3)),AP95,AO95)-AM95)*BJ95,0)</f>
        <v>0</v>
      </c>
      <c r="BL95" s="542">
        <f>BJ95-BK95</f>
        <v>1804.9388486406554</v>
      </c>
      <c r="BM95" s="170">
        <f>IF(AND(ISERROR(SEARCH("REFUND",A95)),ISERROR(SEARCH("CANCELLED",A95))),BD95+BK95,0)</f>
        <v>0</v>
      </c>
      <c r="BN95" s="542">
        <f>IF(AND(ISERROR(SEARCH("REFUND",A95)),ISERROR(SEARCH("CANCELLED",A95))),BE95+BL95,0)</f>
        <v>1804.9388486406554</v>
      </c>
    </row>
    <row r="96" spans="1:66" ht="19.5" customHeight="1">
      <c r="A96" s="167" t="s">
        <v>366</v>
      </c>
      <c r="B96" s="168" t="s">
        <v>39</v>
      </c>
      <c r="C96" s="168" t="s">
        <v>383</v>
      </c>
      <c r="D96" s="168" t="s">
        <v>128</v>
      </c>
      <c r="E96" s="171">
        <v>46038</v>
      </c>
      <c r="F96" s="171"/>
      <c r="G96" s="168" t="s">
        <v>39</v>
      </c>
      <c r="H96" s="168" t="s">
        <v>410</v>
      </c>
      <c r="I96" s="169">
        <v>-15740000</v>
      </c>
      <c r="J96" s="170">
        <f>IF(I96="",AR96,I96)</f>
        <v>-15740000</v>
      </c>
      <c r="K96" s="168" t="s">
        <v>9</v>
      </c>
      <c r="L96" s="171" t="s">
        <v>411</v>
      </c>
      <c r="M96" s="168" t="s">
        <v>25</v>
      </c>
      <c r="N96" s="167" t="s">
        <v>371</v>
      </c>
      <c r="O96" s="168" t="s">
        <v>39</v>
      </c>
      <c r="P96" s="349" t="s">
        <v>410</v>
      </c>
      <c r="Q96" s="169"/>
      <c r="R96" s="170">
        <f>IF(Q96="",AS96,Q96)</f>
        <v>738967.13615023473</v>
      </c>
      <c r="S96" s="168" t="s">
        <v>8</v>
      </c>
      <c r="T96" s="171" t="s">
        <v>385</v>
      </c>
      <c r="U96" s="168" t="s">
        <v>20</v>
      </c>
      <c r="V96" s="167" t="s">
        <v>371</v>
      </c>
      <c r="W96" s="172" t="s">
        <v>382</v>
      </c>
      <c r="X96" s="173">
        <f>IF(Y96="",VLOOKUP(H96,CLIENTS!$A$1:$O$649,5,FALSE),Y96)</f>
        <v>0</v>
      </c>
      <c r="Y96" s="174">
        <v>0</v>
      </c>
      <c r="Z96" s="173">
        <f>IF(AA96="",VLOOKUP(P96,CLIENTS!$A$1:$O$649,5,FALSE),AA96)</f>
        <v>0</v>
      </c>
      <c r="AA96" s="174">
        <v>0</v>
      </c>
      <c r="AB96" s="173" t="str">
        <f>IF(W96="via USD",IF(K96="EUR",K96&amp;"USD","USD"&amp;K96),IFERROR(VLOOKUP(K96&amp;S96,'FX RATES'!$H$2:$H$20,1,FALSE),S96&amp;K96))</f>
        <v>AEDRUB</v>
      </c>
      <c r="AC96" s="175">
        <f>IF(LEFT(AB96,3)=RIGHT(AB96,3),0,IFERROR(INDEX(CLIENTS!$A$1:$O$649,MATCH(H96,CLIENTS!$A$1:$A$649,0),MATCH(AB96,CLIENTS!$A$1:$O$1,0)),0))</f>
        <v>0</v>
      </c>
      <c r="AD96" s="176">
        <v>21.3</v>
      </c>
      <c r="AE96" s="177">
        <f>IF(W96="CLIENT","",IF(AD96="",AH96+AC96,AD96+AC96))</f>
        <v>21.3</v>
      </c>
      <c r="AF96" s="177" t="str">
        <f>E96&amp;AB96</f>
        <v>46038AEDRUB</v>
      </c>
      <c r="AG96" s="176">
        <v>21.1845</v>
      </c>
      <c r="AH96" s="178">
        <f ca="1">IF(LEFT(AB96,3)=RIGHT(AB96,3),1,VLOOKUP(AB96,'FX RATES'!$H$1:$I$20,2,FALSE))</f>
        <v>20.8843</v>
      </c>
      <c r="AI96" s="178">
        <f>IF(OR(AB96="USDAED",LEFT(AB96,3)=RIGHT(AB96,3)),AH96,IF(LEFT(AB96)="USD",AG96,IF(RIGHT(AB96,3)="USD",1,IFERROR(VLOOKUP(E96&amp;"USD"&amp;RIGHT(AB96,3),$AF:$AG,2,FALSE),VLOOKUP(E96&amp;"USD"&amp;RIGHT(AJ96,3),$AN:$AO,2,FALSE)))))</f>
        <v>77.8</v>
      </c>
      <c r="AJ96" s="173" t="str">
        <f>IF(W96="via USD",IF(S96="EUR",S96&amp;"USD","USD"&amp;S96),IFERROR(VLOOKUP(K96&amp;S96,'FX RATES'!$H$2:$H$20,1,FALSE),S96&amp;K96))</f>
        <v>AEDRUB</v>
      </c>
      <c r="AK96" s="175">
        <f>IF(LEFT(AJ96,3)=RIGHT(AJ96,3),0,IFERROR(INDEX(CLIENTS!$A$1:$O$649,MATCH(P96,CLIENTS!$A$1:$A$649,0),MATCH(AJ96,CLIENTS!$A$1:$O$1,0)),0))</f>
        <v>0</v>
      </c>
      <c r="AL96" s="176"/>
      <c r="AM96" s="177" t="str">
        <f>IF(W96="VENDOR","",IF(AL96="",AP96+AK96,AL96+AK96))</f>
        <v/>
      </c>
      <c r="AN96" s="177" t="str">
        <f>E96&amp;AJ96</f>
        <v>46038AEDRUB</v>
      </c>
      <c r="AO96" s="176"/>
      <c r="AP96" s="178">
        <f ca="1">IF(LEFT(AJ96,3)=RIGHT(AJ96,3),1,VLOOKUP(AJ96,'FX RATES'!$H$1:$I$20,2,FALSE))</f>
        <v>20.8843</v>
      </c>
      <c r="AQ96" s="178">
        <f>IF(OR(AJ96="USDAED",LEFT(AJ96,3)=RIGHT(AJ96,3)),AP96,IF(LEFT(AJ96)="USD",AO96,IF(RIGHT(AJ96,3)="USD",1,IFERROR(VLOOKUP(E96&amp;"USD"&amp;RIGHT(AJ96,3),$AN:$AO,2,FALSE),VLOOKUP(E96&amp;"USD"&amp;RIGHT(AB96,3),$AF:$AG,2,FALSE)))))</f>
        <v>77.8</v>
      </c>
      <c r="AR96" s="179">
        <f>-Q96*(1-Z96)/(1+X96)*IF(W96="CLIENT",IF(S96=RIGHT(AJ96,3),1/AM96,AM96),IF(W96="VENDOR",IF(S96=RIGHT(AJ96,3),1/AE96,AE96),AE96^(VLOOKUP(AB96,'FX RATES'!$H$1:$J$26,3,FALSE))/AM96^(VLOOKUP(AJ96,'FX RATES'!$H$1:$J$26,3,FALSE))))</f>
        <v>0</v>
      </c>
      <c r="AS96" s="179">
        <f>-I96*(1+X96)/(1-Z96)*IF(W96="VENDOR",IF(K96=RIGHT(AB96,3),1/AE96,AE96),IF(W96="CLIENT",IF(K96=RIGHT(AB96,3),1/AM96,AM96),AM96^(VLOOKUP(AJ96,'FX RATES'!$H$1:$J$26,3,FALSE))/AE96^(VLOOKUP(AB96,'FX RATES'!$H$1:$J$26,3,FALSE))))</f>
        <v>738967.13615023473</v>
      </c>
      <c r="AT96" s="170">
        <f ca="1">IF(AB96&lt;&gt;AJ96,J96/IF(K96=RIGHT(AB96,3),AE96,1/AE96),IF(S96="USD",J96/IF(K96=RIGHT(AB96,3),IF(W96="CLIENT",AM96,AE96),1/IF(W96="CLIENT",AM96,AE96)),J96*VLOOKUP(K96,'FX RATES'!$E$1:$F$10,2,FALSE)))</f>
        <v>-205160.28962272144</v>
      </c>
      <c r="AU96" s="170">
        <f ca="1">IF(AB96&lt;&gt;AJ96,R96/IF(S96=RIGHT(AJ96,3),AM96,1/AM96),IF(K96="USD",R96/IF(S96=RIGHT(AJ96,3),IF(W96="CLIENT",AM96,AE96),1/IF(W96="CLIENT",AM96,AE96)),R96*VLOOKUP(S96,'FX RATES'!$E$1:$F$10,2,FALSE)))</f>
        <v>201210.89586402947</v>
      </c>
      <c r="AV96" s="170">
        <f ca="1">AT96+AU96</f>
        <v>-3949.3937586919637</v>
      </c>
      <c r="AW96" s="169"/>
      <c r="AX96" s="170">
        <f ca="1">IF(AND(ISERROR(SEARCH("INVOICE",T96)),ISERROR(SEARCH("SWITCH",T96)),ISERROR(SEARCH("FOREX",T96)),ISERROR(SEARCH("REFUND",A96)),ISERROR(SEARCH("CANCELLED",A96))),IF(AW96="",-AT96*X96+AU96*Z96,AW96),0)</f>
        <v>0</v>
      </c>
      <c r="AY96" s="170">
        <f>IF(AZ96="USD",AT96,IF(AZ96=K96,J96,-R96))</f>
        <v>-738967.13615023473</v>
      </c>
      <c r="AZ96" s="170" t="str">
        <f>LEFT(AB96,3)</f>
        <v>AED</v>
      </c>
      <c r="BA96" s="542">
        <f>IF(OR(A96="REFUND",A96="CANCELLED"),0,IFERROR((IF(OR(AB96="USDAED",LEFT(AB96,3)=RIGHT(AB96,3)),AI96,AG96)-AE96)*-AY96*VLOOKUP(AB96,'FX RATES'!$H$1:$J$26,3,FALSE),0))</f>
        <v>-85350.704225352718</v>
      </c>
      <c r="BB96" s="170" t="str">
        <f>RIGHT(AB96,3)</f>
        <v>RUB</v>
      </c>
      <c r="BC96" s="542">
        <f>IF(BA96=0,0,IFERROR(BA96/IF(BB96&lt;&gt;"USD",AI96,1),"???"))</f>
        <v>-1097.052753539238</v>
      </c>
      <c r="BD96" s="170">
        <f>IFERROR(-AC96/(IF(OR(AB96="USDAED",LEFT(AB96,3)=RIGHT(AB96,3)),AH96,AG96)-AE96)*BC96,0)</f>
        <v>0</v>
      </c>
      <c r="BE96" s="542">
        <f>BC96-BD96</f>
        <v>-1097.052753539238</v>
      </c>
      <c r="BF96" s="170">
        <f>IF(BG96="USD",AU96,IF(BG96=S96,R96,-J96))</f>
        <v>738967.13615023473</v>
      </c>
      <c r="BG96" s="170" t="str">
        <f>LEFT(AJ96,3)</f>
        <v>AED</v>
      </c>
      <c r="BH96" s="542">
        <f>IF(OR(A96="REFUND",A96="CANCELLED"),0,IFERROR((IF(OR(AJ96="USDAED",LEFT(AJ96,3)=RIGHT(AJ96,3)),AQ96,AO96)-AM96)*-BF96*VLOOKUP(AJ96,'FX RATES'!$H$1:$J$26,3,FALSE),0))</f>
        <v>0</v>
      </c>
      <c r="BI96" s="170" t="str">
        <f>RIGHT(AJ96,3)</f>
        <v>RUB</v>
      </c>
      <c r="BJ96" s="542">
        <f>IF(BH96=0,0,IFERROR(BH96/IF(BI96&lt;&gt;"USD",AQ96,1),"???"))</f>
        <v>0</v>
      </c>
      <c r="BK96" s="170">
        <f>IFERROR(-AK96/(IF(OR(AJ96="USDAED",LEFT(AJ96,3)=RIGHT(AJ96,3)),AP96,AO96)-AM96)*BJ96,0)</f>
        <v>0</v>
      </c>
      <c r="BL96" s="542">
        <f>BJ96-BK96</f>
        <v>0</v>
      </c>
      <c r="BM96" s="170">
        <f>IF(AND(ISERROR(SEARCH("REFUND",A96)),ISERROR(SEARCH("CANCELLED",A96))),BD96+BK96,0)</f>
        <v>0</v>
      </c>
      <c r="BN96" s="542">
        <f>IF(AND(ISERROR(SEARCH("REFUND",A96)),ISERROR(SEARCH("CANCELLED",A96))),BE96+BL96,0)</f>
        <v>-1097.052753539238</v>
      </c>
    </row>
    <row r="98" spans="1:66" ht="19.5" customHeight="1">
      <c r="A98" s="167" t="s">
        <v>366</v>
      </c>
      <c r="B98" s="168" t="s">
        <v>39</v>
      </c>
      <c r="C98" s="168" t="s">
        <v>367</v>
      </c>
      <c r="D98" s="168" t="s">
        <v>368</v>
      </c>
      <c r="E98" s="171">
        <v>46038</v>
      </c>
      <c r="F98" s="171"/>
      <c r="G98" s="168" t="s">
        <v>39</v>
      </c>
      <c r="H98" s="168" t="s">
        <v>417</v>
      </c>
      <c r="I98" s="169"/>
      <c r="J98" s="170">
        <f>IF(I98="",AR98,I98)</f>
        <v>-2088683.1698502444</v>
      </c>
      <c r="K98" s="168" t="s">
        <v>8</v>
      </c>
      <c r="L98" s="171" t="s">
        <v>16</v>
      </c>
      <c r="M98" s="168" t="s">
        <v>20</v>
      </c>
      <c r="N98" s="167" t="s">
        <v>371</v>
      </c>
      <c r="O98" s="168" t="s">
        <v>39</v>
      </c>
      <c r="P98" s="168" t="s">
        <v>417</v>
      </c>
      <c r="Q98" s="169">
        <v>44961900</v>
      </c>
      <c r="R98" s="170">
        <f>IF(Q98="",AS98,Q98)</f>
        <v>44961900</v>
      </c>
      <c r="S98" s="168" t="s">
        <v>9</v>
      </c>
      <c r="T98" s="171" t="s">
        <v>414</v>
      </c>
      <c r="U98" s="168" t="s">
        <v>25</v>
      </c>
      <c r="V98" s="167" t="s">
        <v>371</v>
      </c>
      <c r="W98" s="172" t="s">
        <v>375</v>
      </c>
      <c r="X98" s="173">
        <f>IF(Y98="",VLOOKUP(H98,CLIENTS!$A$1:$O$649,5,FALSE),Y98)</f>
        <v>0</v>
      </c>
      <c r="Y98" s="174">
        <v>0</v>
      </c>
      <c r="Z98" s="173">
        <f>IF(AA98="",VLOOKUP(P98,CLIENTS!$A$1:$O$649,5,FALSE),AA98)</f>
        <v>6.0000000000000001E-3</v>
      </c>
      <c r="AA98" s="174">
        <v>6.0000000000000001E-3</v>
      </c>
      <c r="AB98" s="173" t="str">
        <f>IF(W98="via USD",IF(K98="EUR",K98&amp;"USD","USD"&amp;K98),IFERROR(VLOOKUP(K98&amp;S98,'FX RATES'!$H$2:$H$20,1,FALSE),S98&amp;K98))</f>
        <v>USDAED</v>
      </c>
      <c r="AC98" s="175">
        <f>IF(LEFT(AB98,3)=RIGHT(AB98,3),0,IFERROR(INDEX(CLIENTS!$A$1:$O$649,MATCH(H98,CLIENTS!$A$1:$A$649,0),MATCH(AB98,CLIENTS!$A$1:$O$1,0)),0))</f>
        <v>0</v>
      </c>
      <c r="AD98" s="176">
        <v>3.67</v>
      </c>
      <c r="AE98" s="177">
        <f>IF(W98="CLIENT","",IF(AD98="",AH98+AC98,AD98+AC98))</f>
        <v>3.67</v>
      </c>
      <c r="AF98" s="177" t="str">
        <f>E98&amp;AB98</f>
        <v>46038USDAED</v>
      </c>
      <c r="AG98" s="176"/>
      <c r="AH98" s="178">
        <f>IF(LEFT(AB98,3)=RIGHT(AB98,3),1,VLOOKUP(AB98,'FX RATES'!$H$1:$I$20,2,FALSE))</f>
        <v>3.6724999999999999</v>
      </c>
      <c r="AI98" s="178">
        <f>IF(OR(AB98="USDAED",LEFT(AB98,3)=RIGHT(AB98,3)),AH98,IF(LEFT(AB98)="USD",AG98,IF(RIGHT(AB98,3)="USD",1,IFERROR(VLOOKUP(E98&amp;"USD"&amp;RIGHT(AB98,3),$AF:$AG,2,FALSE),VLOOKUP(E98&amp;"USD"&amp;RIGHT(AJ98,3),$AN:$AO,2,FALSE)))))</f>
        <v>3.6724999999999999</v>
      </c>
      <c r="AJ98" s="173" t="str">
        <f>IF(W98="via USD",IF(S98="EUR",S98&amp;"USD","USD"&amp;S98),IFERROR(VLOOKUP(K98&amp;S98,'FX RATES'!$H$2:$H$20,1,FALSE),S98&amp;K98))</f>
        <v>USDRUB</v>
      </c>
      <c r="AK98" s="175">
        <f>IF(LEFT(AJ98,3)=RIGHT(AJ98,3),0,IFERROR(INDEX(CLIENTS!$A$1:$O$649,MATCH(P98,CLIENTS!$A$1:$A$649,0),MATCH(AJ98,CLIENTS!$A$1:$O$1,0)),0))</f>
        <v>0</v>
      </c>
      <c r="AL98" s="176">
        <v>78.528000000000006</v>
      </c>
      <c r="AM98" s="177">
        <f>IF(W98="VENDOR","",IF(AL98="",AP98+AK98,AL98+AK98))</f>
        <v>78.528000000000006</v>
      </c>
      <c r="AN98" s="177" t="str">
        <f>E98&amp;AJ98</f>
        <v>46038USDRUB</v>
      </c>
      <c r="AO98" s="176">
        <v>77.8</v>
      </c>
      <c r="AP98" s="178">
        <f ca="1">IF(LEFT(AJ98,3)=RIGHT(AJ98,3),1,VLOOKUP(AJ98,'FX RATES'!$H$1:$I$20,2,FALSE))</f>
        <v>76.720500000000001</v>
      </c>
      <c r="AQ98" s="178">
        <f>IF(OR(AJ98="USDAED",LEFT(AJ98,3)=RIGHT(AJ98,3)),AP98,IF(LEFT(AJ98)="USD",AO98,IF(RIGHT(AJ98,3)="USD",1,IFERROR(VLOOKUP(E98&amp;"USD"&amp;RIGHT(AJ98,3),$AN:$AO,2,FALSE),VLOOKUP(E98&amp;"USD"&amp;RIGHT(AB98,3),$AF:$AG,2,FALSE)))))</f>
        <v>77.8</v>
      </c>
      <c r="AR98" s="179">
        <f>-Q98*(1-Z98)/(1+X98)*IF(W98="CLIENT",IF(S98=RIGHT(AJ98,3),1/AM98,AM98),IF(W98="VENDOR",IF(S98=RIGHT(AJ98,3),1/AE98,AE98),AE98^(VLOOKUP(AB98,'FX RATES'!$H$1:$J$26,3,FALSE))/AM98^(VLOOKUP(AJ98,'FX RATES'!$H$1:$J$26,3,FALSE))))</f>
        <v>-2088683.1698502444</v>
      </c>
      <c r="AS98" s="179">
        <f>-I98*(1+X98)/(1-Z98)*IF(W98="VENDOR",IF(K98=RIGHT(AB98,3),1/AE98,AE98),IF(W98="CLIENT",IF(K98=RIGHT(AB98,3),1/AM98,AM98),AM98^(VLOOKUP(AJ98,'FX RATES'!$H$1:$J$26,3,FALSE))/AE98^(VLOOKUP(AB98,'FX RATES'!$H$1:$J$26,3,FALSE))))</f>
        <v>0</v>
      </c>
      <c r="AT98" s="170">
        <f>IF(AB98&lt;&gt;AJ98,J98/IF(K98=RIGHT(AB98,3),AE98,1/AE98),IF(S98="USD",J98/IF(K98=RIGHT(AB98,3),IF(W98="CLIENT",AM98,AE98),1/IF(W98="CLIENT",AM98,AE98)),J98*VLOOKUP(K98,'FX RATES'!$E$1:$F$10,2,FALSE)))</f>
        <v>-569123.47952322732</v>
      </c>
      <c r="AU98" s="170">
        <f>IF(AB98&lt;&gt;AJ98,R98/IF(S98=RIGHT(AJ98,3),AM98,1/AM98),IF(K98="USD",R98/IF(S98=RIGHT(AJ98,3),IF(W98="CLIENT",AM98,AE98),1/IF(W98="CLIENT",AM98,AE98)),R98*VLOOKUP(S98,'FX RATES'!$E$1:$F$10,2,FALSE)))</f>
        <v>572558.83251833741</v>
      </c>
      <c r="AV98" s="170">
        <f>AT98+AU98</f>
        <v>3435.3529951100936</v>
      </c>
      <c r="AW98" s="169"/>
      <c r="AX98" s="170">
        <f>IF(AND(ISERROR(SEARCH("INVOICE",T98)),ISERROR(SEARCH("SWITCH",T98)),ISERROR(SEARCH("FOREX",T98)),ISERROR(SEARCH("REFUND",A98)),ISERROR(SEARCH("CANCELLED",A98))),IF(AW98="",-AT98*X98+AU98*Z98,AW98),0)</f>
        <v>3435.3529951100245</v>
      </c>
      <c r="AY98" s="170">
        <f>IF(AZ98="USD",AT98,IF(AZ98=K98,J98,-R98))</f>
        <v>-569123.47952322732</v>
      </c>
      <c r="AZ98" s="170" t="str">
        <f>LEFT(AB98,3)</f>
        <v>USD</v>
      </c>
      <c r="BA98" s="542">
        <f>IF(OR(A98="REFUND",A98="CANCELLED"),0,IFERROR((IF(OR(AB98="USDAED",LEFT(AB98,3)=RIGHT(AB98,3)),AI98,AG98)-AE98)*-AY98*VLOOKUP(AB98,'FX RATES'!$H$1:$J$26,3,FALSE),0))</f>
        <v>1422.8086988080379</v>
      </c>
      <c r="BB98" s="170" t="str">
        <f>RIGHT(AB98,3)</f>
        <v>AED</v>
      </c>
      <c r="BC98" s="542">
        <f>IF(BA98=0,0,IFERROR(BA98/IF(BB98&lt;&gt;"USD",AI98,1),"???"))</f>
        <v>387.42238224861484</v>
      </c>
      <c r="BD98" s="170">
        <f>IFERROR(-AC98/(IF(OR(AB98="USDAED",LEFT(AB98,3)=RIGHT(AB98,3)),AH98,AG98)-AE98)*BC98,0)</f>
        <v>0</v>
      </c>
      <c r="BE98" s="542">
        <f>BC98-BD98</f>
        <v>387.42238224861484</v>
      </c>
      <c r="BF98" s="170">
        <f>IF(BG98="USD",AU98,IF(BG98=S98,R98,-J98))</f>
        <v>572558.83251833741</v>
      </c>
      <c r="BG98" s="170" t="str">
        <f>LEFT(AJ98,3)</f>
        <v>USD</v>
      </c>
      <c r="BH98" s="542">
        <f>IF(OR(A98="REFUND",A98="CANCELLED"),0,IFERROR((IF(OR(AJ98="USDAED",LEFT(AJ98,3)=RIGHT(AJ98,3)),AQ98,AO98)-AM98)*-BF98*VLOOKUP(AJ98,'FX RATES'!$H$1:$J$26,3,FALSE),0))</f>
        <v>416822.83007335459</v>
      </c>
      <c r="BI98" s="170" t="str">
        <f>RIGHT(AJ98,3)</f>
        <v>RUB</v>
      </c>
      <c r="BJ98" s="542">
        <f>IF(BH98=0,0,IFERROR(BH98/IF(BI98&lt;&gt;"USD",AQ98,1),"???"))</f>
        <v>5357.6199238220388</v>
      </c>
      <c r="BK98" s="170">
        <f>IFERROR(-AK98/(IF(OR(AJ98="USDAED",LEFT(AJ98,3)=RIGHT(AJ98,3)),AP98,AO98)-AM98)*BJ98,0)</f>
        <v>0</v>
      </c>
      <c r="BL98" s="542">
        <f>BJ98-BK98</f>
        <v>5357.6199238220388</v>
      </c>
      <c r="BM98" s="170">
        <f>IF(AND(ISERROR(SEARCH("REFUND",A98)),ISERROR(SEARCH("CANCELLED",A98))),BD98+BK98,0)</f>
        <v>0</v>
      </c>
      <c r="BN98" s="542">
        <f>IF(AND(ISERROR(SEARCH("REFUND",A98)),ISERROR(SEARCH("CANCELLED",A98))),BE98+BL98,0)</f>
        <v>5745.0423060706535</v>
      </c>
    </row>
    <row r="99" spans="1:66" ht="19.5" customHeight="1">
      <c r="A99" s="167" t="s">
        <v>366</v>
      </c>
      <c r="B99" s="168" t="s">
        <v>39</v>
      </c>
      <c r="C99" s="168" t="s">
        <v>383</v>
      </c>
      <c r="D99" s="168" t="s">
        <v>128</v>
      </c>
      <c r="E99" s="171">
        <v>46038</v>
      </c>
      <c r="F99" s="171"/>
      <c r="G99" s="168" t="s">
        <v>39</v>
      </c>
      <c r="H99" s="168" t="s">
        <v>410</v>
      </c>
      <c r="I99" s="169">
        <v>-44961000</v>
      </c>
      <c r="J99" s="170">
        <f>IF(I99="",AR99,I99)</f>
        <v>-44961000</v>
      </c>
      <c r="K99" s="168" t="s">
        <v>9</v>
      </c>
      <c r="L99" s="171" t="s">
        <v>411</v>
      </c>
      <c r="M99" s="168" t="s">
        <v>25</v>
      </c>
      <c r="N99" s="167" t="s">
        <v>371</v>
      </c>
      <c r="O99" s="168" t="s">
        <v>39</v>
      </c>
      <c r="P99" s="349" t="s">
        <v>410</v>
      </c>
      <c r="Q99" s="169"/>
      <c r="R99" s="170">
        <f>IF(Q99="",AS99,Q99)</f>
        <v>2107876.2306610406</v>
      </c>
      <c r="S99" s="168" t="s">
        <v>8</v>
      </c>
      <c r="T99" s="171" t="s">
        <v>385</v>
      </c>
      <c r="U99" s="168" t="s">
        <v>20</v>
      </c>
      <c r="V99" s="167" t="s">
        <v>371</v>
      </c>
      <c r="W99" s="172" t="s">
        <v>382</v>
      </c>
      <c r="X99" s="173">
        <f>IF(Y99="",VLOOKUP(H99,CLIENTS!$A$1:$O$649,5,FALSE),Y99)</f>
        <v>0</v>
      </c>
      <c r="Y99" s="174">
        <v>0</v>
      </c>
      <c r="Z99" s="173">
        <f>IF(AA99="",VLOOKUP(P99,CLIENTS!$A$1:$O$649,5,FALSE),AA99)</f>
        <v>0</v>
      </c>
      <c r="AA99" s="174">
        <v>0</v>
      </c>
      <c r="AB99" s="173" t="str">
        <f>IF(W99="via USD",IF(K99="EUR",K99&amp;"USD","USD"&amp;K99),IFERROR(VLOOKUP(K99&amp;S99,'FX RATES'!$H$2:$H$20,1,FALSE),S99&amp;K99))</f>
        <v>AEDRUB</v>
      </c>
      <c r="AC99" s="175">
        <f>IF(LEFT(AB99,3)=RIGHT(AB99,3),0,IFERROR(INDEX(CLIENTS!$A$1:$O$649,MATCH(H99,CLIENTS!$A$1:$A$649,0),MATCH(AB99,CLIENTS!$A$1:$O$1,0)),0))</f>
        <v>0</v>
      </c>
      <c r="AD99" s="176">
        <v>21.33</v>
      </c>
      <c r="AE99" s="177">
        <f>IF(W99="CLIENT","",IF(AD99="",AH99+AC99,AD99+AC99))</f>
        <v>21.33</v>
      </c>
      <c r="AF99" s="177" t="str">
        <f>E99&amp;AB99</f>
        <v>46038AEDRUB</v>
      </c>
      <c r="AG99" s="176">
        <v>21.1845</v>
      </c>
      <c r="AH99" s="178">
        <f ca="1">IF(LEFT(AB99,3)=RIGHT(AB99,3),1,VLOOKUP(AB99,'FX RATES'!$H$1:$I$20,2,FALSE))</f>
        <v>20.8843</v>
      </c>
      <c r="AI99" s="178">
        <f>IF(OR(AB99="USDAED",LEFT(AB99,3)=RIGHT(AB99,3)),AH99,IF(LEFT(AB99)="USD",AG99,IF(RIGHT(AB99,3)="USD",1,IFERROR(VLOOKUP(E99&amp;"USD"&amp;RIGHT(AB99,3),$AF:$AG,2,FALSE),VLOOKUP(E99&amp;"USD"&amp;RIGHT(AJ99,3),$AN:$AO,2,FALSE)))))</f>
        <v>77.8</v>
      </c>
      <c r="AJ99" s="173" t="str">
        <f>IF(W99="via USD",IF(S99="EUR",S99&amp;"USD","USD"&amp;S99),IFERROR(VLOOKUP(K99&amp;S99,'FX RATES'!$H$2:$H$20,1,FALSE),S99&amp;K99))</f>
        <v>AEDRUB</v>
      </c>
      <c r="AK99" s="175">
        <f>IF(LEFT(AJ99,3)=RIGHT(AJ99,3),0,IFERROR(INDEX(CLIENTS!$A$1:$O$649,MATCH(P99,CLIENTS!$A$1:$A$649,0),MATCH(AJ99,CLIENTS!$A$1:$O$1,0)),0))</f>
        <v>0</v>
      </c>
      <c r="AL99" s="176"/>
      <c r="AM99" s="177" t="str">
        <f>IF(W99="VENDOR","",IF(AL99="",AP99+AK99,AL99+AK99))</f>
        <v/>
      </c>
      <c r="AN99" s="177" t="str">
        <f>E99&amp;AJ99</f>
        <v>46038AEDRUB</v>
      </c>
      <c r="AO99" s="176"/>
      <c r="AP99" s="178">
        <f ca="1">IF(LEFT(AJ99,3)=RIGHT(AJ99,3),1,VLOOKUP(AJ99,'FX RATES'!$H$1:$I$20,2,FALSE))</f>
        <v>20.8843</v>
      </c>
      <c r="AQ99" s="178">
        <f>IF(OR(AJ99="USDAED",LEFT(AJ99,3)=RIGHT(AJ99,3)),AP99,IF(LEFT(AJ99)="USD",AO99,IF(RIGHT(AJ99,3)="USD",1,IFERROR(VLOOKUP(E99&amp;"USD"&amp;RIGHT(AJ99,3),$AN:$AO,2,FALSE),VLOOKUP(E99&amp;"USD"&amp;RIGHT(AB99,3),$AF:$AG,2,FALSE)))))</f>
        <v>77.8</v>
      </c>
      <c r="AR99" s="179">
        <f>-Q99*(1-Z99)/(1+X99)*IF(W99="CLIENT",IF(S99=RIGHT(AJ99,3),1/AM99,AM99),IF(W99="VENDOR",IF(S99=RIGHT(AJ99,3),1/AE99,AE99),AE99^(VLOOKUP(AB99,'FX RATES'!$H$1:$J$26,3,FALSE))/AM99^(VLOOKUP(AJ99,'FX RATES'!$H$1:$J$26,3,FALSE))))</f>
        <v>0</v>
      </c>
      <c r="AS99" s="179">
        <f>-I99*(1+X99)/(1-Z99)*IF(W99="VENDOR",IF(K99=RIGHT(AB99,3),1/AE99,AE99),IF(W99="CLIENT",IF(K99=RIGHT(AB99,3),1/AM99,AM99),AM99^(VLOOKUP(AJ99,'FX RATES'!$H$1:$J$26,3,FALSE))/AE99^(VLOOKUP(AB99,'FX RATES'!$H$1:$J$26,3,FALSE))))</f>
        <v>2107876.2306610406</v>
      </c>
      <c r="AT99" s="170">
        <f ca="1">IF(AB99&lt;&gt;AJ99,J99/IF(K99=RIGHT(AB99,3),AE99,1/AE99),IF(S99="USD",J99/IF(K99=RIGHT(AB99,3),IF(W99="CLIENT",AM99,AE99),1/IF(W99="CLIENT",AM99,AE99)),J99*VLOOKUP(K99,'FX RATES'!$E$1:$F$10,2,FALSE)))</f>
        <v>-586036.32666627562</v>
      </c>
      <c r="AU99" s="170">
        <f ca="1">IF(AB99&lt;&gt;AJ99,R99/IF(S99=RIGHT(AJ99,3),AM99,1/AM99),IF(K99="USD",R99/IF(S99=RIGHT(AJ99,3),IF(W99="CLIENT",AM99,AE99),1/IF(W99="CLIENT",AM99,AE99)),R99*VLOOKUP(S99,'FX RATES'!$E$1:$F$10,2,FALSE)))</f>
        <v>573946.5857052335</v>
      </c>
      <c r="AV99" s="170">
        <f ca="1">AT99+AU99</f>
        <v>-12089.740961042116</v>
      </c>
      <c r="AW99" s="169"/>
      <c r="AX99" s="170">
        <f ca="1">IF(AND(ISERROR(SEARCH("INVOICE",T99)),ISERROR(SEARCH("SWITCH",T99)),ISERROR(SEARCH("FOREX",T99)),ISERROR(SEARCH("REFUND",A99)),ISERROR(SEARCH("CANCELLED",A99))),IF(AW99="",-AT99*X99+AU99*Z99,AW99),0)</f>
        <v>0</v>
      </c>
      <c r="AY99" s="170">
        <f>IF(AZ99="USD",AT99,IF(AZ99=K99,J99,-R99))</f>
        <v>-2107876.2306610406</v>
      </c>
      <c r="AZ99" s="170" t="str">
        <f>LEFT(AB99,3)</f>
        <v>AED</v>
      </c>
      <c r="BA99" s="542">
        <f>IF(OR(A99="REFUND",A99="CANCELLED"),0,IFERROR((IF(OR(AB99="USDAED",LEFT(AB99,3)=RIGHT(AB99,3)),AI99,AG99)-AE99)*-AY99*VLOOKUP(AB99,'FX RATES'!$H$1:$J$26,3,FALSE),0))</f>
        <v>-306695.99156117806</v>
      </c>
      <c r="BB99" s="170" t="str">
        <f>RIGHT(AB99,3)</f>
        <v>RUB</v>
      </c>
      <c r="BC99" s="542">
        <f>IF(BA99=0,0,IFERROR(BA99/IF(BB99&lt;&gt;"USD",AI99,1),"???"))</f>
        <v>-3942.1078606835226</v>
      </c>
      <c r="BD99" s="170">
        <f>IFERROR(-AC99/(IF(OR(AB99="USDAED",LEFT(AB99,3)=RIGHT(AB99,3)),AH99,AG99)-AE99)*BC99,0)</f>
        <v>0</v>
      </c>
      <c r="BE99" s="542">
        <f>BC99-BD99</f>
        <v>-3942.1078606835226</v>
      </c>
      <c r="BF99" s="170">
        <f>IF(BG99="USD",AU99,IF(BG99=S99,R99,-J99))</f>
        <v>2107876.2306610406</v>
      </c>
      <c r="BG99" s="170" t="str">
        <f>LEFT(AJ99,3)</f>
        <v>AED</v>
      </c>
      <c r="BH99" s="542">
        <f>IF(OR(A99="REFUND",A99="CANCELLED"),0,IFERROR((IF(OR(AJ99="USDAED",LEFT(AJ99,3)=RIGHT(AJ99,3)),AQ99,AO99)-AM99)*-BF99*VLOOKUP(AJ99,'FX RATES'!$H$1:$J$26,3,FALSE),0))</f>
        <v>0</v>
      </c>
      <c r="BI99" s="170" t="str">
        <f>RIGHT(AJ99,3)</f>
        <v>RUB</v>
      </c>
      <c r="BJ99" s="542">
        <f>IF(BH99=0,0,IFERROR(BH99/IF(BI99&lt;&gt;"USD",AQ99,1),"???"))</f>
        <v>0</v>
      </c>
      <c r="BK99" s="170">
        <f>IFERROR(-AK99/(IF(OR(AJ99="USDAED",LEFT(AJ99,3)=RIGHT(AJ99,3)),AP99,AO99)-AM99)*BJ99,0)</f>
        <v>0</v>
      </c>
      <c r="BL99" s="542">
        <f>BJ99-BK99</f>
        <v>0</v>
      </c>
      <c r="BM99" s="170">
        <f>IF(AND(ISERROR(SEARCH("REFUND",A99)),ISERROR(SEARCH("CANCELLED",A99))),BD99+BK99,0)</f>
        <v>0</v>
      </c>
      <c r="BN99" s="542">
        <f>IF(AND(ISERROR(SEARCH("REFUND",A99)),ISERROR(SEARCH("CANCELLED",A99))),BE99+BL99,0)</f>
        <v>-3942.1078606835226</v>
      </c>
    </row>
    <row r="101" spans="1:66" ht="19.5" customHeight="1">
      <c r="A101" s="167" t="s">
        <v>366</v>
      </c>
      <c r="B101" s="181" t="s">
        <v>39</v>
      </c>
      <c r="C101" s="181" t="s">
        <v>367</v>
      </c>
      <c r="D101" s="181" t="s">
        <v>418</v>
      </c>
      <c r="E101" s="171">
        <v>46041</v>
      </c>
      <c r="F101" s="171"/>
      <c r="G101" s="181" t="s">
        <v>39</v>
      </c>
      <c r="H101" s="168" t="s">
        <v>428</v>
      </c>
      <c r="I101" s="169"/>
      <c r="J101" s="170">
        <f>IF(I101="",AR101,I101)</f>
        <v>-299400</v>
      </c>
      <c r="K101" s="168" t="s">
        <v>5</v>
      </c>
      <c r="L101" s="168" t="s">
        <v>28</v>
      </c>
      <c r="M101" s="168" t="s">
        <v>20</v>
      </c>
      <c r="N101" s="167" t="s">
        <v>371</v>
      </c>
      <c r="O101" s="168" t="s">
        <v>52</v>
      </c>
      <c r="P101" s="168" t="s">
        <v>428</v>
      </c>
      <c r="Q101" s="169">
        <v>300000</v>
      </c>
      <c r="R101" s="170">
        <f>IF(Q101="",AS101,Q101)</f>
        <v>300000</v>
      </c>
      <c r="S101" s="168" t="s">
        <v>53</v>
      </c>
      <c r="T101" s="168" t="s">
        <v>420</v>
      </c>
      <c r="U101" s="168" t="s">
        <v>54</v>
      </c>
      <c r="V101" s="167" t="s">
        <v>371</v>
      </c>
      <c r="W101" s="172" t="s">
        <v>375</v>
      </c>
      <c r="X101" s="173">
        <f>IF(Y101="",VLOOKUP(H101,CLIENTS!$A$1:$O$649,5,FALSE),Y101)</f>
        <v>0</v>
      </c>
      <c r="Y101" s="174">
        <v>0</v>
      </c>
      <c r="Z101" s="173">
        <f>IF(AA101="",VLOOKUP(P101,CLIENTS!$A$1:$O$649,5,FALSE),AA101)</f>
        <v>2E-3</v>
      </c>
      <c r="AA101" s="174">
        <v>2E-3</v>
      </c>
      <c r="AB101" s="173" t="str">
        <f>IF(W101="via USD",IF(K101="EUR",K101&amp;"USD","USD"&amp;K101),IFERROR(VLOOKUP(K101&amp;S101,'FX RATES'!$H$2:$H$20,1,FALSE),S101&amp;K101))</f>
        <v>USDUSD</v>
      </c>
      <c r="AC101" s="175">
        <f>IF(LEFT(AB101,3)=RIGHT(AB101,3),0,IFERROR(INDEX(CLIENTS!$A$1:$O$649,MATCH(H101,CLIENTS!$A$1:$A$649,0),MATCH(AB101,CLIENTS!$A$1:$O$1,0)),0))</f>
        <v>0</v>
      </c>
      <c r="AD101" s="176"/>
      <c r="AE101" s="177">
        <f>IF(W101="CLIENT","",IF(AD101="",AH101+AC101,AD101+AC101))</f>
        <v>1</v>
      </c>
      <c r="AF101" s="177" t="str">
        <f>E101&amp;AB101</f>
        <v>46041USDUSD</v>
      </c>
      <c r="AG101" s="176"/>
      <c r="AH101" s="178">
        <f>IF(LEFT(AB101,3)=RIGHT(AB101,3),1,VLOOKUP(AB101,'FX RATES'!$H$1:$I$20,2,FALSE))</f>
        <v>1</v>
      </c>
      <c r="AI101" s="178">
        <f>IF(OR(AB101="USDAED",LEFT(AB101,3)=RIGHT(AB101,3)),AH101,IF(LEFT(AB101)="USD",AG101,IF(RIGHT(AB101,3)="USD",1,IFERROR(VLOOKUP(E101&amp;"USD"&amp;RIGHT(AB101,3),$AF:$AG,2,FALSE),VLOOKUP(E101&amp;"USD"&amp;RIGHT(AJ101,3),$AN:$AO,2,FALSE)))))</f>
        <v>1</v>
      </c>
      <c r="AJ101" s="173" t="str">
        <f>IF(W101="via USD",IF(S101="EUR",S101&amp;"USD","USD"&amp;S101),IFERROR(VLOOKUP(K101&amp;S101,'FX RATES'!$H$2:$H$20,1,FALSE),S101&amp;K101))</f>
        <v>USDUSDT</v>
      </c>
      <c r="AK101" s="175">
        <f>IF(LEFT(AJ101,3)=RIGHT(AJ101,3),0,IFERROR(INDEX(CLIENTS!$A$1:$O$649,MATCH(P101,CLIENTS!$A$1:$A$649,0),MATCH(AJ101,CLIENTS!$A$1:$O$1,0)),0))</f>
        <v>0</v>
      </c>
      <c r="AL101" s="176"/>
      <c r="AM101" s="177">
        <f>IF(W101="VENDOR","",IF(AL101="",AP101+AK101,AL101+AK101))</f>
        <v>1</v>
      </c>
      <c r="AN101" s="177" t="str">
        <f>E101&amp;AJ101</f>
        <v>46041USDUSDT</v>
      </c>
      <c r="AO101" s="176">
        <v>1</v>
      </c>
      <c r="AP101" s="178">
        <f>IF(LEFT(AJ101,3)=RIGHT(AJ101,3),1,VLOOKUP(AJ101,'FX RATES'!$H$1:$I$50,2,FALSE))</f>
        <v>1</v>
      </c>
      <c r="AQ101" s="178">
        <f>IF(OR(AJ101="USDAED",LEFT(AJ101,3)=RIGHT(AJ101,3),AJ101="USDUSDT",AJ101="USDTUSD"),AP101,IF(LEFT(AJ101)="USD",AO101,IF(RIGHT(AJ101,3)="USD",1,IFERROR(VLOOKUP(E101&amp;"USD"&amp;RIGHT(AJ101,3),$AN:$AO,2,FALSE),VLOOKUP(E101&amp;"USD"&amp;RIGHT(AB101,3),$AF:$AG,2,FALSE)))))</f>
        <v>1</v>
      </c>
      <c r="AR101" s="179">
        <f>-Q101*(1-Z101)/(1+X101)*IF(W101="CLIENT",IF(S101=RIGHT(AJ101,3),1/AM101,AM101),IF(W101="VENDOR",IF(S101=RIGHT(AJ101,3),1/AE101,AE101),AE101^(VLOOKUP(AB101,'FX RATES'!$H$1:$J$26,3,FALSE))/AM101^(VLOOKUP(AJ101,'FX RATES'!$H$1:$J$26,3,FALSE))))</f>
        <v>-299400</v>
      </c>
      <c r="AS101" s="179">
        <f>-I101*(1+X101)/(1-Z101)*IF(W101="VENDOR",IF(K101=RIGHT(AB101,3),1/AE101,AE101),IF(W101="CLIENT",IF(K101=RIGHT(AB101,3),1/AM101,AM101),AM101^(VLOOKUP(AJ101,'FX RATES'!$H$1:$J$26,3,FALSE))/AE101^(VLOOKUP(AB101,'FX RATES'!$H$1:$J$26,3,FALSE))))</f>
        <v>0</v>
      </c>
      <c r="AT101" s="170">
        <f>IF(AB101&lt;&gt;AJ101,J101/IF(K101=RIGHT(AB101,3),AE101,1/AE101),IF(S101="USD",J101/IF(K101=RIGHT(AB101,3),IF(W101="CLIENT",AM101,AE101),1/IF(W101="CLIENT",AM101,AE101)),J101*VLOOKUP(K101,'FX RATES'!$E$1:$F$10,2,FALSE)))</f>
        <v>-299400</v>
      </c>
      <c r="AU101" s="170">
        <f>IF(AB101&lt;&gt;AJ101,R101/IF(S101=RIGHT(AJ101,3),AM101,1/AM101),IF(K101="USD",R101/IF(S101=RIGHT(AJ101,3),IF(W101="CLIENT",AM101,AE101),1/IF(W101="CLIENT",AM101,AE101)),R101*VLOOKUP(S101,'FX RATES'!$E$1:$F$10,2,FALSE)))</f>
        <v>300000</v>
      </c>
      <c r="AV101" s="170">
        <f>AT101+AU101</f>
        <v>600</v>
      </c>
      <c r="AW101" s="169"/>
      <c r="AX101" s="170">
        <f>IF(AND(ISERROR(SEARCH("INVOICE",T101)),ISERROR(SEARCH("SWITCH",T101)),ISERROR(SEARCH("FOREX",T101)),ISERROR(SEARCH("REFUND",A101)),ISERROR(SEARCH("CANCELLED",A101))),IF(AW101="",-AT101*X101+AU101*Z101,AW101),0)</f>
        <v>600</v>
      </c>
      <c r="AY101" s="170">
        <f>IF(AZ101="USD",AT101,IF(AZ101=K101,J101,-R101))</f>
        <v>-299400</v>
      </c>
      <c r="AZ101" s="170" t="str">
        <f>LEFT(AB101,3)</f>
        <v>USD</v>
      </c>
      <c r="BA101" s="542">
        <f>IF(OR(A101="REFUND",A101="CANCELLED"),0,IFERROR((IF(OR(AB101="USDAED",LEFT(AB101,3)=RIGHT(AB101,3)),AI101,AG101)-AE101)*-AY101*VLOOKUP(AB101,'FX RATES'!$H$1:$J$26,3,FALSE),0))</f>
        <v>0</v>
      </c>
      <c r="BB101" s="170" t="str">
        <f>RIGHT(AB101,3)</f>
        <v>USD</v>
      </c>
      <c r="BC101" s="542">
        <f>IF(BA101=0,0,IFERROR(BA101/IF(BB101&lt;&gt;"USD",AI101,1),"???"))</f>
        <v>0</v>
      </c>
      <c r="BD101" s="170">
        <f>IFERROR(-AC101/(IF(OR(AB101="USDAED",LEFT(AB101,3)=RIGHT(AB101,3)),AH101,AG101)-AE101)*BC101,0)</f>
        <v>0</v>
      </c>
      <c r="BE101" s="542">
        <f>BC101-BD101</f>
        <v>0</v>
      </c>
      <c r="BF101" s="170">
        <f>IF(BG101="USD",AU101,IF(BG101=S101,R101,-J101))</f>
        <v>300000</v>
      </c>
      <c r="BG101" s="170" t="str">
        <f>LEFT(AJ101,3)</f>
        <v>USD</v>
      </c>
      <c r="BH101" s="542">
        <f>IF(OR(A101="REFUND",A101="CANCELLED"),0,IFERROR((IF(OR(AJ101="USDAED",LEFT(AJ101,3)=RIGHT(AJ101,3),AJ101="USDUSDT",AJ101="USDTUSD"),AQ101,AO101)-AM101)*-BF101*VLOOKUP(AJ101,'FX RATES'!$H$1:$J$26,3,FALSE),0))</f>
        <v>0</v>
      </c>
      <c r="BI101" s="170" t="str">
        <f>RIGHT(AJ101,4)</f>
        <v>USDT</v>
      </c>
      <c r="BJ101" s="542">
        <f>IF(BH101=0,0,IFERROR(BH101/IF(BI101&lt;&gt;"USD",AQ101,1),"???"))</f>
        <v>0</v>
      </c>
      <c r="BK101" s="170">
        <f>IFERROR(-AK101/(IF(OR(AJ101="USDAED",LEFT(AJ101,3)=RIGHT(AJ101,3)),AP101,AO101)-AM101)*BJ101,0)</f>
        <v>0</v>
      </c>
      <c r="BL101" s="542">
        <f>BJ101-BK101</f>
        <v>0</v>
      </c>
      <c r="BM101" s="170">
        <f>IF(AND(ISERROR(SEARCH("REFUND",A101)),ISERROR(SEARCH("CANCELLED",A101))),BD101+BK101,0)</f>
        <v>0</v>
      </c>
      <c r="BN101" s="542">
        <f>IF(AND(ISERROR(SEARCH("REFUND",A101)),ISERROR(SEARCH("CANCELLED",A101))),BE101+BL101,0)</f>
        <v>0</v>
      </c>
    </row>
    <row r="102" spans="1:66" ht="19.5" customHeight="1">
      <c r="A102" s="167" t="s">
        <v>366</v>
      </c>
      <c r="B102" s="168" t="s">
        <v>52</v>
      </c>
      <c r="C102" s="168" t="s">
        <v>367</v>
      </c>
      <c r="D102" s="168" t="s">
        <v>465</v>
      </c>
      <c r="E102" s="171">
        <v>46041</v>
      </c>
      <c r="F102" s="171"/>
      <c r="G102" s="168" t="s">
        <v>52</v>
      </c>
      <c r="H102" s="168" t="s">
        <v>466</v>
      </c>
      <c r="I102" s="169">
        <v>-300000</v>
      </c>
      <c r="J102" s="170">
        <f>IF(I102="",AR102,I102)</f>
        <v>-300000</v>
      </c>
      <c r="K102" s="168" t="s">
        <v>53</v>
      </c>
      <c r="L102" s="168" t="s">
        <v>420</v>
      </c>
      <c r="M102" s="168" t="s">
        <v>54</v>
      </c>
      <c r="N102" s="167" t="s">
        <v>371</v>
      </c>
      <c r="O102" s="168" t="s">
        <v>39</v>
      </c>
      <c r="P102" s="168" t="s">
        <v>466</v>
      </c>
      <c r="Q102" s="169"/>
      <c r="R102" s="170">
        <f>IF(Q102="",AS102,Q102)</f>
        <v>1103970</v>
      </c>
      <c r="S102" s="168" t="s">
        <v>8</v>
      </c>
      <c r="T102" s="168" t="s">
        <v>40</v>
      </c>
      <c r="U102" s="168" t="s">
        <v>15</v>
      </c>
      <c r="V102" s="167" t="s">
        <v>371</v>
      </c>
      <c r="W102" s="172" t="s">
        <v>375</v>
      </c>
      <c r="X102" s="173">
        <f>IF(Y102="",VLOOKUP(H102,CLIENTS!$A$1:$O$649,5,FALSE),Y102)</f>
        <v>0</v>
      </c>
      <c r="Y102" s="174">
        <v>0</v>
      </c>
      <c r="Z102" s="173">
        <f>IF(AA102="",VLOOKUP(P102,CLIENTS!$A$1:$O$649,5,FALSE),AA102)</f>
        <v>0</v>
      </c>
      <c r="AA102" s="174">
        <v>0</v>
      </c>
      <c r="AB102" s="173" t="str">
        <f>IF(W102="via USD",IF(K102="EUR",K102&amp;"USD","USD"&amp;K102),IFERROR(VLOOKUP(K102&amp;S102,'FX RATES'!$H$2:$H$20,1,FALSE),S102&amp;K102))</f>
        <v>USDUSDT</v>
      </c>
      <c r="AC102" s="175">
        <f>IF(LEFT(AB102,3)=RIGHT(AB102,3),0,IFERROR(INDEX(CLIENTS!$A$1:$O$649,MATCH(H102,CLIENTS!$A$1:$A$649,0),MATCH(AB102,CLIENTS!$A$1:$O$1,0)),0))</f>
        <v>0</v>
      </c>
      <c r="AD102" s="176"/>
      <c r="AE102" s="177">
        <f>IF(W102="CLIENT","",IF(AD102="",AH102+AC102,AD102+AC102))</f>
        <v>1</v>
      </c>
      <c r="AF102" s="177" t="str">
        <f>E102&amp;AB102</f>
        <v>46041USDUSDT</v>
      </c>
      <c r="AG102" s="176"/>
      <c r="AH102" s="178">
        <f>IF(LEFT(AB102,3)=RIGHT(AB102,3),1,VLOOKUP(AB102,'FX RATES'!$H$1:$I$50,2,FALSE))</f>
        <v>1</v>
      </c>
      <c r="AI102" s="178">
        <f>IF(OR(AB102="USDAED",LEFT(AB102,3)=RIGHT(AB102,3),AB102="USDUSDT",AB102="USDTUSD"),AH102,IF(LEFT(AB102)="USD",AG102,IF(RIGHT(AB102,3)="USD",1,IFERROR(VLOOKUP(E102&amp;"USD"&amp;RIGHT(AB102,3),$AF:$AG,2,FALSE),VLOOKUP(E102&amp;"USD"&amp;RIGHT(AJ102,3),$AN:$AO,2,FALSE)))))</f>
        <v>1</v>
      </c>
      <c r="AJ102" s="173" t="str">
        <f>IF(W102="via USD",IF(S102="EUR",S102&amp;"USD","USD"&amp;S102),IFERROR(VLOOKUP(K102&amp;S102,'FX RATES'!$H$2:$H$20,1,FALSE),S102&amp;K102))</f>
        <v>USDAED</v>
      </c>
      <c r="AK102" s="175">
        <f>IF(LEFT(AJ102,3)=RIGHT(AJ102,3),0,IFERROR(INDEX(CLIENTS!$A$1:$O$649,MATCH(P102,CLIENTS!$A$1:$A$649,0),MATCH(AJ102,CLIENTS!$A$1:$O$1,0)),0))</f>
        <v>0</v>
      </c>
      <c r="AL102" s="176">
        <v>3.6798999999999999</v>
      </c>
      <c r="AM102" s="177">
        <f>IF(W102="VENDOR","",IF(AL102="",AP102+AK102,AL102+AK102))</f>
        <v>3.6798999999999999</v>
      </c>
      <c r="AN102" s="177" t="str">
        <f>E102&amp;AJ102</f>
        <v>46041USDAED</v>
      </c>
      <c r="AO102" s="176"/>
      <c r="AP102" s="178">
        <f>IF(LEFT(AJ102,3)=RIGHT(AJ102,3),1,VLOOKUP(AJ102,'FX RATES'!$H$1:$I$20,2,FALSE))</f>
        <v>3.6724999999999999</v>
      </c>
      <c r="AQ102" s="178">
        <f>IF(OR(AJ102="USDAED",LEFT(AJ102,3)=RIGHT(AJ102,3)),AP102,IF(LEFT(AJ102)="USD",AO102,IF(RIGHT(AJ102,3)="USD",1,IFERROR(VLOOKUP(E102&amp;"USD"&amp;RIGHT(AJ102,3),$AN:$AO,2,FALSE),VLOOKUP(E102&amp;"USD"&amp;RIGHT(AB102,3),$AF:$AG,2,FALSE)))))</f>
        <v>3.6724999999999999</v>
      </c>
      <c r="AR102" s="179">
        <f>-Q102*(1-Z102)/(1+X102)*IF(W102="CLIENT",IF(S102=RIGHT(AJ102,3),1/AM102,AM102),IF(W102="VENDOR",IF(S102=RIGHT(AJ102,3),1/AE102,AE102),AE102^(VLOOKUP(AB102,'FX RATES'!$H$1:$J$26,3,FALSE))/AM102^(VLOOKUP(AJ102,'FX RATES'!$H$1:$J$26,3,FALSE))))</f>
        <v>0</v>
      </c>
      <c r="AS102" s="179">
        <f>-I102*(1+X102)/(1-Z102)*IF(W102="VENDOR",IF(K102=RIGHT(AB102,3),1/AE102,AE102),IF(W102="CLIENT",IF(K102=RIGHT(AB102,3),1/AM102,AM102),AM102^(VLOOKUP(AJ102,'FX RATES'!$H$1:$J$26,3,FALSE))/AE102^(VLOOKUP(AB102,'FX RATES'!$H$1:$J$26,3,FALSE))))</f>
        <v>1103970</v>
      </c>
      <c r="AT102" s="170">
        <f>IF(AB102&lt;&gt;AJ102,J102/IF(K102=RIGHT(AB102,3),AE102,1/AE102),IF(S102="USD",J102/IF(K102=RIGHT(AB102,3),IF(W102="CLIENT",AM102,AE102),1/IF(W102="CLIENT",AM102,AE102)),J102*VLOOKUP(K102,'FX RATES'!$E$1:$F$10,2,FALSE)))</f>
        <v>-300000</v>
      </c>
      <c r="AU102" s="170">
        <f>IF(AB102&lt;&gt;AJ102,R102/IF(S102=RIGHT(AJ102,3),AM102,1/AM102),IF(K102="USD",R102/IF(S102=RIGHT(AJ102,3),IF(W102="CLIENT",AM102,AE102),1/IF(W102="CLIENT",AM102,AE102)),R102*VLOOKUP(S102,'FX RATES'!$E$1:$F$10,2,FALSE)))</f>
        <v>300000</v>
      </c>
      <c r="AV102" s="170">
        <f>AT102+AU102</f>
        <v>0</v>
      </c>
      <c r="AW102" s="169"/>
      <c r="AX102" s="170">
        <f>IF(AND(ISERROR(SEARCH("INVOICE",T102)),ISERROR(SEARCH("SWITCH",T102)),ISERROR(SEARCH("FOREX",T102)),ISERROR(SEARCH("REFUND",A102)),ISERROR(SEARCH("CANCELLED",A102))),IF(AW102="",-AT102*X102+AU102*Z102,AW102),0)</f>
        <v>0</v>
      </c>
      <c r="AY102" s="170">
        <f>IF(AZ102="USD",AT102,IF(AZ102=K102,J102,-R102))</f>
        <v>-300000</v>
      </c>
      <c r="AZ102" s="170" t="str">
        <f>LEFT(AB102,3)</f>
        <v>USD</v>
      </c>
      <c r="BA102" s="542">
        <f>IF(OR(A102="REFUND",A102="CANCELLED"),0,IFERROR((IF(OR(AB102="USDAED",LEFT(AB102,3)=RIGHT(AB102,3),AB102="USDUSDT",AB102="USDTUSD"),AI102,AG102)-AE102)*-AY102*VLOOKUP(AB102,'FX RATES'!$H$1:$J$26,3,FALSE),0))</f>
        <v>0</v>
      </c>
      <c r="BB102" s="170" t="str">
        <f>RIGHT(AB102,4)</f>
        <v>USDT</v>
      </c>
      <c r="BC102" s="542">
        <f>IF(BA102=0,0,IFERROR(BA102/IF(BB102&lt;&gt;"USD",AI102,1),"???"))</f>
        <v>0</v>
      </c>
      <c r="BD102" s="170">
        <f>IFERROR(-AC102/(IF(OR(AB102="USDAED",LEFT(AB102,3)=RIGHT(AB102,3)),AH102,AG102)-AE102)*BC102,0)</f>
        <v>0</v>
      </c>
      <c r="BE102" s="542">
        <f>BC102-BD102</f>
        <v>0</v>
      </c>
      <c r="BF102" s="170">
        <f>IF(BG102="USD",AU102,IF(BG102=S102,R102,-J102))</f>
        <v>300000</v>
      </c>
      <c r="BG102" s="170" t="str">
        <f>LEFT(AJ102,3)</f>
        <v>USD</v>
      </c>
      <c r="BH102" s="542">
        <f>IF(OR(A102="REFUND",A102="CANCELLED"),0,IFERROR((IF(OR(AJ102="USDAED",LEFT(AJ102,3)=RIGHT(AJ102,3)),AQ102,AO102)-AM102)*-BF102*VLOOKUP(AJ102,'FX RATES'!$H$1:$J$26,3,FALSE),0))</f>
        <v>2220.0000000000218</v>
      </c>
      <c r="BI102" s="170" t="str">
        <f>RIGHT(AJ102,3)</f>
        <v>AED</v>
      </c>
      <c r="BJ102" s="542">
        <f>IF(BH102=0,0,IFERROR(BH102/IF(BI102&lt;&gt;"USD",AQ102,1),"???"))</f>
        <v>604.49285228046881</v>
      </c>
      <c r="BK102" s="170">
        <f>IFERROR(-AK102/(IF(OR(AJ102="USDAED",LEFT(AJ102,3)=RIGHT(AJ102,3)),AP102,AO102)-AM102)*BJ102,0)</f>
        <v>0</v>
      </c>
      <c r="BL102" s="542">
        <f>BJ102-BK102</f>
        <v>604.49285228046881</v>
      </c>
      <c r="BM102" s="170">
        <f>IF(AND(ISERROR(SEARCH("REFUND",A102)),ISERROR(SEARCH("CANCELLED",A102))),BD102+BK102,0)</f>
        <v>0</v>
      </c>
      <c r="BN102" s="542">
        <f>IF(AND(ISERROR(SEARCH("REFUND",A102)),ISERROR(SEARCH("CANCELLED",A102))),BE102+BL102,0)</f>
        <v>604.49285228046881</v>
      </c>
    </row>
    <row r="104" spans="1:66" ht="19.5" customHeight="1">
      <c r="A104" s="167" t="s">
        <v>366</v>
      </c>
      <c r="B104" s="168" t="s">
        <v>39</v>
      </c>
      <c r="C104" s="168" t="s">
        <v>367</v>
      </c>
      <c r="D104" s="168" t="s">
        <v>418</v>
      </c>
      <c r="E104" s="171">
        <v>46041</v>
      </c>
      <c r="F104" s="171"/>
      <c r="G104" s="168" t="s">
        <v>39</v>
      </c>
      <c r="H104" s="181" t="s">
        <v>467</v>
      </c>
      <c r="I104" s="169">
        <v>-570015.59</v>
      </c>
      <c r="J104" s="170">
        <f>IF(I104="",AR104,I104)</f>
        <v>-570015.59</v>
      </c>
      <c r="K104" s="168" t="s">
        <v>8</v>
      </c>
      <c r="L104" s="171" t="s">
        <v>36</v>
      </c>
      <c r="M104" s="168" t="s">
        <v>17</v>
      </c>
      <c r="N104" s="167" t="s">
        <v>371</v>
      </c>
      <c r="O104" s="168" t="s">
        <v>39</v>
      </c>
      <c r="P104" s="168" t="s">
        <v>468</v>
      </c>
      <c r="Q104" s="169"/>
      <c r="R104" s="170">
        <f>IF(Q104="",AS104,Q104)</f>
        <v>12373372.618514778</v>
      </c>
      <c r="S104" s="168" t="s">
        <v>9</v>
      </c>
      <c r="T104" s="171" t="s">
        <v>469</v>
      </c>
      <c r="U104" s="168" t="s">
        <v>25</v>
      </c>
      <c r="V104" s="167" t="s">
        <v>371</v>
      </c>
      <c r="W104" s="172" t="s">
        <v>375</v>
      </c>
      <c r="X104" s="173">
        <f>IF(Y104="",VLOOKUP(H104,CLIENTS!$A$1:$O$649,5,FALSE),Y104)</f>
        <v>0</v>
      </c>
      <c r="Y104" s="174">
        <v>0</v>
      </c>
      <c r="Z104" s="173">
        <f>IF(AA104="",VLOOKUP(P104,CLIENTS!$A$1:$O$649,5,FALSE),AA104)</f>
        <v>1.4999999999999999E-2</v>
      </c>
      <c r="AA104" s="174">
        <v>1.4999999999999999E-2</v>
      </c>
      <c r="AB104" s="173" t="str">
        <f>IF(W104="via USD",IF(K104="EUR",K104&amp;"USD","USD"&amp;K104),IFERROR(VLOOKUP(K104&amp;S104,'FX RATES'!$H$2:$H$20,1,FALSE),S104&amp;K104))</f>
        <v>USDAED</v>
      </c>
      <c r="AC104" s="175">
        <f>IF(LEFT(AB104,3)=RIGHT(AB104,3),0,IFERROR(INDEX(CLIENTS!$A$1:$O$649,MATCH(H104,CLIENTS!$A$1:$A$649,0),MATCH(AB104,CLIENTS!$A$1:$O$1,0)),0))</f>
        <v>-2.5000000000000001E-3</v>
      </c>
      <c r="AD104" s="176"/>
      <c r="AE104" s="177">
        <f>IF(W104="CLIENT","",IF(AD104="",AH104+AC104,AD104+AC104))</f>
        <v>3.67</v>
      </c>
      <c r="AF104" s="177" t="str">
        <f>E104&amp;AB104</f>
        <v>46041USDAED</v>
      </c>
      <c r="AG104" s="176"/>
      <c r="AH104" s="178">
        <f>IF(LEFT(AB104,3)=RIGHT(AB104,3),1,VLOOKUP(AB104,'FX RATES'!$H$1:$I$20,2,FALSE))</f>
        <v>3.6724999999999999</v>
      </c>
      <c r="AI104" s="178">
        <f>IF(OR(AB104="USDAED",LEFT(AB104,3)=RIGHT(AB104,3)),AH104,IF(LEFT(AB104)="USD",AG104,IF(RIGHT(AB104,3)="USD",1,IFERROR(VLOOKUP(E104&amp;"USD"&amp;RIGHT(AB104,3),$AF:$AG,2,FALSE),VLOOKUP(E104&amp;"USD"&amp;RIGHT(AJ104,3),$AN:$AO,2,FALSE)))))</f>
        <v>3.6724999999999999</v>
      </c>
      <c r="AJ104" s="173" t="str">
        <f>IF(W104="via USD",IF(S104="EUR",S104&amp;"USD","USD"&amp;S104),IFERROR(VLOOKUP(K104&amp;S104,'FX RATES'!$H$2:$H$20,1,FALSE),S104&amp;K104))</f>
        <v>USDRUB</v>
      </c>
      <c r="AK104" s="175">
        <f>IF(LEFT(AJ104,3)=RIGHT(AJ104,3),0,IFERROR(INDEX(CLIENTS!$A$1:$O$649,MATCH(P104,CLIENTS!$A$1:$A$649,0),MATCH(AJ104,CLIENTS!$A$1:$O$1,0)),0))-0.2</f>
        <v>0</v>
      </c>
      <c r="AL104" s="176">
        <v>78.47</v>
      </c>
      <c r="AM104" s="177">
        <f>IF(W104="VENDOR","",IF(AL104="",AP104+AK104,AL104+AK104))</f>
        <v>78.47</v>
      </c>
      <c r="AN104" s="177" t="str">
        <f>E104&amp;AJ104</f>
        <v>46041USDRUB</v>
      </c>
      <c r="AO104" s="176">
        <v>77.900000000000006</v>
      </c>
      <c r="AP104" s="178">
        <f ca="1">IF(LEFT(AJ104,3)=RIGHT(AJ104,3),1,VLOOKUP(AJ104,'FX RATES'!$H$1:$I$20,2,FALSE))</f>
        <v>76.720500000000001</v>
      </c>
      <c r="AQ104" s="178">
        <f>IF(OR(AJ104="USDAED",LEFT(AJ104,3)=RIGHT(AJ104,3)),AP104,IF(LEFT(AJ104)="USD",AO104,IF(RIGHT(AJ104,3)="USD",1,IFERROR(VLOOKUP(E104&amp;"USD"&amp;RIGHT(AJ104,3),$AN:$AO,2,FALSE),VLOOKUP(E104&amp;"USD"&amp;RIGHT(AB104,3),$AF:$AG,2,FALSE)))))</f>
        <v>77.900000000000006</v>
      </c>
      <c r="AR104" s="179">
        <f>-Q104*(1-Z104)/(1+X104)*IF(W104="CLIENT",IF(S104=RIGHT(AJ104,3),1/AM104,AM104),IF(W104="VENDOR",IF(S104=RIGHT(AJ104,3),1/AE104,AE104),AE104^(VLOOKUP(AB104,'FX RATES'!$H$1:$J$26,3,FALSE))/AM104^(VLOOKUP(AJ104,'FX RATES'!$H$1:$J$26,3,FALSE))))</f>
        <v>0</v>
      </c>
      <c r="AS104" s="179">
        <f>-I104*(1+X104)/(1-Z104)*IF(W104="VENDOR",IF(K104=RIGHT(AB104,3),1/AE104,AE104),IF(W104="CLIENT",IF(K104=RIGHT(AB104,3),1/AM104,AM104),AM104^(VLOOKUP(AJ104,'FX RATES'!$H$1:$J$26,3,FALSE))/AE104^(VLOOKUP(AB104,'FX RATES'!$H$1:$J$26,3,FALSE))))</f>
        <v>12373372.618514778</v>
      </c>
      <c r="AT104" s="170">
        <f>IF(AB104&lt;&gt;AJ104,J104/IF(K104=RIGHT(AB104,3),AE104,1/AE104),IF(S104="USD",J104/IF(K104=RIGHT(AB104,3),IF(W104="CLIENT",AM104,AE104),1/IF(W104="CLIENT",AM104,AE104)),J104*VLOOKUP(K104,'FX RATES'!$E$1:$F$10,2,FALSE)))</f>
        <v>-155317.59945504088</v>
      </c>
      <c r="AU104" s="170">
        <f>IF(AB104&lt;&gt;AJ104,R104/IF(S104=RIGHT(AJ104,3),AM104,1/AM104),IF(K104="USD",R104/IF(S104=RIGHT(AJ104,3),IF(W104="CLIENT",AM104,AE104),1/IF(W104="CLIENT",AM104,AE104)),R104*VLOOKUP(S104,'FX RATES'!$E$1:$F$10,2,FALSE)))</f>
        <v>157682.84208633591</v>
      </c>
      <c r="AV104" s="170">
        <f>AT104+AU104</f>
        <v>2365.2426312950265</v>
      </c>
      <c r="AW104" s="169"/>
      <c r="AX104" s="170">
        <f>IF(AND(ISERROR(SEARCH("INVOICE",T104)),ISERROR(SEARCH("SWITCH",T104)),ISERROR(SEARCH("FOREX",T104)),ISERROR(SEARCH("REFUND",A104)),ISERROR(SEARCH("CANCELLED",A104))),IF(AW104="",-AT104*X104+AU104*Z104,AW104),0)</f>
        <v>2365.2426312950383</v>
      </c>
      <c r="AY104" s="170">
        <f>IF(AZ104="USD",AT104,IF(AZ104=K104,J104,-R104))</f>
        <v>-155317.59945504088</v>
      </c>
      <c r="AZ104" s="170" t="str">
        <f>LEFT(AB104,3)</f>
        <v>USD</v>
      </c>
      <c r="BA104" s="542">
        <f>IF(OR(A104="REFUND",A104="CANCELLED"),0,IFERROR((IF(OR(AB104="USDAED",LEFT(AB104,3)=RIGHT(AB104,3)),AI104,AG104)-AE104)*-AY104*VLOOKUP(AB104,'FX RATES'!$H$1:$J$26,3,FALSE),0))</f>
        <v>388.29399863759392</v>
      </c>
      <c r="BB104" s="170" t="str">
        <f>RIGHT(AB104,3)</f>
        <v>AED</v>
      </c>
      <c r="BC104" s="542">
        <f>IF(BA104=0,0,IFERROR(BA104/IF(BB104&lt;&gt;"USD",AI104,1),"???"))</f>
        <v>105.73015619811952</v>
      </c>
      <c r="BD104" s="170">
        <f>IFERROR(-AC104/(IF(OR(AB104="USDAED",LEFT(AB104,3)=RIGHT(AB104,3)),AH104,AG104)-AE104)*BC104,0)</f>
        <v>105.73015619812178</v>
      </c>
      <c r="BE104" s="542">
        <f>BC104-BD104</f>
        <v>-2.2595258997171186E-12</v>
      </c>
      <c r="BF104" s="170">
        <f>IF(BG104="USD",AU104,IF(BG104=S104,R104,-J104))</f>
        <v>157682.84208633591</v>
      </c>
      <c r="BG104" s="170" t="str">
        <f>LEFT(AJ104,3)</f>
        <v>USD</v>
      </c>
      <c r="BH104" s="542">
        <f>IF(OR(A104="REFUND",A104="CANCELLED"),0,IFERROR((IF(OR(AJ104="USDAED",LEFT(AJ104,3)=RIGHT(AJ104,3)),AQ104,AO104)-AM104)*-BF104*VLOOKUP(AJ104,'FX RATES'!$H$1:$J$26,3,FALSE),0))</f>
        <v>89879.219989210396</v>
      </c>
      <c r="BI104" s="170" t="str">
        <f>RIGHT(AJ104,3)</f>
        <v>RUB</v>
      </c>
      <c r="BJ104" s="542">
        <f>IF(BH104=0,0,IFERROR(BH104/IF(BI104&lt;&gt;"USD",AQ104,1),"???"))</f>
        <v>1153.7768933146392</v>
      </c>
      <c r="BK104" s="170">
        <f>IFERROR(-AK104/(IF(OR(AJ104="USDAED",LEFT(AJ104,3)=RIGHT(AJ104,3)),AP104,AO104)-AM104)*BJ104,0)</f>
        <v>0</v>
      </c>
      <c r="BL104" s="542">
        <f>BJ104-BK104</f>
        <v>1153.7768933146392</v>
      </c>
      <c r="BM104" s="170">
        <f>IF(AND(ISERROR(SEARCH("REFUND",A104)),ISERROR(SEARCH("CANCELLED",A104))),BD104+BK104,0)</f>
        <v>105.73015619812178</v>
      </c>
      <c r="BN104" s="542">
        <f>IF(AND(ISERROR(SEARCH("REFUND",A104)),ISERROR(SEARCH("CANCELLED",A104))),BE104+BL104,0)</f>
        <v>1153.7768933146369</v>
      </c>
    </row>
    <row r="105" spans="1:66" ht="19.5" customHeight="1">
      <c r="A105" s="167" t="s">
        <v>366</v>
      </c>
      <c r="B105" s="168" t="s">
        <v>45</v>
      </c>
      <c r="C105" s="168" t="s">
        <v>367</v>
      </c>
      <c r="D105" s="168" t="s">
        <v>418</v>
      </c>
      <c r="E105" s="171">
        <v>46041</v>
      </c>
      <c r="F105" s="171"/>
      <c r="G105" s="168" t="s">
        <v>45</v>
      </c>
      <c r="H105" s="181" t="s">
        <v>470</v>
      </c>
      <c r="I105" s="169">
        <f>-81473.53</f>
        <v>-81473.53</v>
      </c>
      <c r="J105" s="398">
        <f>IF(I105="",AR105,I105)</f>
        <v>-81473.53</v>
      </c>
      <c r="K105" s="168" t="s">
        <v>5</v>
      </c>
      <c r="L105" s="171" t="s">
        <v>36</v>
      </c>
      <c r="M105" s="168" t="s">
        <v>49</v>
      </c>
      <c r="N105" s="167" t="s">
        <v>371</v>
      </c>
      <c r="O105" s="168" t="s">
        <v>39</v>
      </c>
      <c r="P105" s="168" t="s">
        <v>468</v>
      </c>
      <c r="Q105" s="169"/>
      <c r="R105" s="170">
        <f>IF(Q105="",AS105,Q105)</f>
        <v>6490586.6995939082</v>
      </c>
      <c r="S105" s="168" t="s">
        <v>9</v>
      </c>
      <c r="T105" s="171" t="s">
        <v>469</v>
      </c>
      <c r="U105" s="168" t="s">
        <v>25</v>
      </c>
      <c r="V105" s="167" t="s">
        <v>371</v>
      </c>
      <c r="W105" s="172" t="s">
        <v>375</v>
      </c>
      <c r="X105" s="173">
        <f>IF(Y105="",VLOOKUP(H105,CLIENTS!$A$1:$O$649,5,FALSE),Y105)</f>
        <v>0</v>
      </c>
      <c r="Y105" s="174">
        <v>0</v>
      </c>
      <c r="Z105" s="173">
        <f>IF(AA105="",VLOOKUP(P105,CLIENTS!$A$1:$O$649,5,FALSE),AA105)</f>
        <v>1.4999999999999999E-2</v>
      </c>
      <c r="AA105" s="174">
        <v>1.4999999999999999E-2</v>
      </c>
      <c r="AB105" s="173" t="str">
        <f>IF(W105="via USD",IF(K105="EUR",K105&amp;"USD","USD"&amp;K105),IFERROR(VLOOKUP(K105&amp;S105,'FX RATES'!$H$2:$H$20,1,FALSE),S105&amp;K105))</f>
        <v>USDUSD</v>
      </c>
      <c r="AC105" s="175">
        <f>IF(LEFT(AB105,3)=RIGHT(AB105,3),0,IFERROR(INDEX(CLIENTS!$A$1:$O$649,MATCH(H105,CLIENTS!$A$1:$A$649,0),MATCH(AB105,CLIENTS!$A$1:$O$1,0)),0))</f>
        <v>0</v>
      </c>
      <c r="AD105" s="176"/>
      <c r="AE105" s="177">
        <f>IF(W105="CLIENT","",IF(AD105="",AH105+AC105,AD105+AC105))</f>
        <v>1</v>
      </c>
      <c r="AF105" s="177" t="str">
        <f>E105&amp;AB105</f>
        <v>46041USDUSD</v>
      </c>
      <c r="AG105" s="176"/>
      <c r="AH105" s="178">
        <f>IF(LEFT(AB105,3)=RIGHT(AB105,3),1,VLOOKUP(AB105,'FX RATES'!$H$1:$I$20,2,FALSE))</f>
        <v>1</v>
      </c>
      <c r="AI105" s="178">
        <f>IF(OR(AB105="USDAED",LEFT(AB105,3)=RIGHT(AB105,3)),AH105,IF(LEFT(AB105)="USD",AG105,IF(RIGHT(AB105,3)="USD",1,IFERROR(VLOOKUP(E105&amp;"USD"&amp;RIGHT(AB105,3),$AF:$AG,2,FALSE),VLOOKUP(E105&amp;"USD"&amp;RIGHT(AJ105,3),$AN:$AO,2,FALSE)))))</f>
        <v>1</v>
      </c>
      <c r="AJ105" s="173" t="str">
        <f>IF(W105="via USD",IF(S105="EUR",S105&amp;"USD","USD"&amp;S105),IFERROR(VLOOKUP(K105&amp;S105,'FX RATES'!$H$2:$H$20,1,FALSE),S105&amp;K105))</f>
        <v>USDRUB</v>
      </c>
      <c r="AK105" s="175">
        <f>IF(LEFT(AJ105,3)=RIGHT(AJ105,3),0,IFERROR(INDEX(CLIENTS!$A$1:$O$649,MATCH(P105,CLIENTS!$A$1:$A$649,0),MATCH(AJ105,CLIENTS!$A$1:$O$1,0)),0))-0.2</f>
        <v>0</v>
      </c>
      <c r="AL105" s="176">
        <v>78.47</v>
      </c>
      <c r="AM105" s="177">
        <f>IF(W105="VENDOR","",IF(AL105="",AP105+AK105,AL105+AK105))</f>
        <v>78.47</v>
      </c>
      <c r="AN105" s="177" t="str">
        <f>E105&amp;AJ105</f>
        <v>46041USDRUB</v>
      </c>
      <c r="AO105" s="176">
        <v>77.900000000000006</v>
      </c>
      <c r="AP105" s="178">
        <f ca="1">IF(LEFT(AJ105,3)=RIGHT(AJ105,3),1,VLOOKUP(AJ105,'FX RATES'!$H$1:$I$20,2,FALSE))</f>
        <v>76.720500000000001</v>
      </c>
      <c r="AQ105" s="178">
        <f>IF(OR(AJ105="USDAED",LEFT(AJ105,3)=RIGHT(AJ105,3)),AP105,IF(LEFT(AJ105)="USD",AO105,IF(RIGHT(AJ105,3)="USD",1,IFERROR(VLOOKUP(E105&amp;"USD"&amp;RIGHT(AJ105,3),$AN:$AO,2,FALSE),VLOOKUP(E105&amp;"USD"&amp;RIGHT(AB105,3),$AF:$AG,2,FALSE)))))</f>
        <v>77.900000000000006</v>
      </c>
      <c r="AR105" s="179">
        <f>-Q105*(1-Z105)/(1+X105)*IF(W105="CLIENT",IF(S105=RIGHT(AJ105,3),1/AM105,AM105),IF(W105="VENDOR",IF(S105=RIGHT(AJ105,3),1/AE105,AE105),AE105^(VLOOKUP(AB105,'FX RATES'!$H$1:$J$26,3,FALSE))/AM105^(VLOOKUP(AJ105,'FX RATES'!$H$1:$J$26,3,FALSE))))</f>
        <v>0</v>
      </c>
      <c r="AS105" s="179">
        <f>-I105*(1+X105)/(1-Z105)*IF(W105="VENDOR",IF(K105=RIGHT(AB105,3),1/AE105,AE105),IF(W105="CLIENT",IF(K105=RIGHT(AB105,3),1/AM105,AM105),AM105^(VLOOKUP(AJ105,'FX RATES'!$H$1:$J$26,3,FALSE))/AE105^(VLOOKUP(AB105,'FX RATES'!$H$1:$J$26,3,FALSE))))</f>
        <v>6490586.6995939082</v>
      </c>
      <c r="AT105" s="170">
        <f>IF(AB105&lt;&gt;AJ105,J105/IF(K105=RIGHT(AB105,3),AE105,1/AE105),IF(S105="USD",J105/IF(K105=RIGHT(AB105,3),IF(W105="CLIENT",AM105,AE105),1/IF(W105="CLIENT",AM105,AE105)),J105*VLOOKUP(K105,'FX RATES'!$E$1:$F$10,2,FALSE)))</f>
        <v>-81473.53</v>
      </c>
      <c r="AU105" s="170">
        <f>IF(AB105&lt;&gt;AJ105,R105/IF(S105=RIGHT(AJ105,3),AM105,1/AM105),IF(K105="USD",R105/IF(S105=RIGHT(AJ105,3),IF(W105="CLIENT",AM105,AE105),1/IF(W105="CLIENT",AM105,AE105)),R105*VLOOKUP(S105,'FX RATES'!$E$1:$F$10,2,FALSE)))</f>
        <v>82714.243654822334</v>
      </c>
      <c r="AV105" s="170">
        <f>AT105+AU105</f>
        <v>1240.7136548223352</v>
      </c>
      <c r="AW105" s="169"/>
      <c r="AX105" s="170">
        <f>IF(AND(ISERROR(SEARCH("INVOICE",T105)),ISERROR(SEARCH("SWITCH",T105)),ISERROR(SEARCH("FOREX",T105)),ISERROR(SEARCH("REFUND",A105)),ISERROR(SEARCH("CANCELLED",A105))),IF(AW105="",-AT105*X105+AU105*Z105,AW105),0)</f>
        <v>1240.713654822335</v>
      </c>
      <c r="AY105" s="170">
        <f>IF(AZ105="USD",AT105,IF(AZ105=K105,J105,-R105))</f>
        <v>-81473.53</v>
      </c>
      <c r="AZ105" s="170" t="str">
        <f>LEFT(AB105,3)</f>
        <v>USD</v>
      </c>
      <c r="BA105" s="542">
        <f>IF(OR(A105="REFUND",A105="CANCELLED"),0,IFERROR((IF(OR(AB105="USDAED",LEFT(AB105,3)=RIGHT(AB105,3)),AI105,AG105)-AE105)*-AY105*VLOOKUP(AB105,'FX RATES'!$H$1:$J$26,3,FALSE),0))</f>
        <v>0</v>
      </c>
      <c r="BB105" s="170" t="str">
        <f>RIGHT(AB105,3)</f>
        <v>USD</v>
      </c>
      <c r="BC105" s="542">
        <f>IF(BA105=0,0,IFERROR(BA105/IF(BB105&lt;&gt;"USD",AI105,1),"???"))</f>
        <v>0</v>
      </c>
      <c r="BD105" s="170">
        <f>IFERROR(-AC105/(IF(OR(AB105="USDAED",LEFT(AB105,3)=RIGHT(AB105,3)),AH105,AG105)-AE105)*BC105,0)</f>
        <v>0</v>
      </c>
      <c r="BE105" s="542">
        <f>BC105-BD105</f>
        <v>0</v>
      </c>
      <c r="BF105" s="170">
        <f>IF(BG105="USD",AU105,IF(BG105=S105,R105,-J105))</f>
        <v>82714.243654822334</v>
      </c>
      <c r="BG105" s="170" t="str">
        <f>LEFT(AJ105,3)</f>
        <v>USD</v>
      </c>
      <c r="BH105" s="542">
        <f>IF(OR(A105="REFUND",A105="CANCELLED"),0,IFERROR((IF(OR(AJ105="USDAED",LEFT(AJ105,3)=RIGHT(AJ105,3)),AQ105,AO105)-AM105)*-BF105*VLOOKUP(AJ105,'FX RATES'!$H$1:$J$26,3,FALSE),0))</f>
        <v>47147.118883248164</v>
      </c>
      <c r="BI105" s="170" t="str">
        <f>RIGHT(AJ105,3)</f>
        <v>RUB</v>
      </c>
      <c r="BJ105" s="542">
        <f>IF(BH105=0,0,IFERROR(BH105/IF(BI105&lt;&gt;"USD",AQ105,1),"???"))</f>
        <v>605.22617308405859</v>
      </c>
      <c r="BK105" s="170">
        <f>IFERROR(-AK105/(IF(OR(AJ105="USDAED",LEFT(AJ105,3)=RIGHT(AJ105,3)),AP105,AO105)-AM105)*BJ105,0)</f>
        <v>0</v>
      </c>
      <c r="BL105" s="542">
        <f>BJ105-BK105</f>
        <v>605.22617308405859</v>
      </c>
      <c r="BM105" s="170">
        <f>IF(AND(ISERROR(SEARCH("REFUND",A105)),ISERROR(SEARCH("CANCELLED",A105))),BD105+BK105,0)</f>
        <v>0</v>
      </c>
      <c r="BN105" s="542">
        <f>IF(AND(ISERROR(SEARCH("REFUND",A105)),ISERROR(SEARCH("CANCELLED",A105))),BE105+BL105,0)</f>
        <v>605.22617308405859</v>
      </c>
    </row>
    <row r="106" spans="1:66" ht="19.5" customHeight="1">
      <c r="A106" s="167" t="s">
        <v>366</v>
      </c>
      <c r="B106" s="168" t="s">
        <v>39</v>
      </c>
      <c r="C106" s="168" t="s">
        <v>367</v>
      </c>
      <c r="D106" s="168" t="s">
        <v>368</v>
      </c>
      <c r="E106" s="171">
        <v>46041</v>
      </c>
      <c r="F106" s="171"/>
      <c r="G106" s="168" t="s">
        <v>39</v>
      </c>
      <c r="H106" s="168" t="s">
        <v>393</v>
      </c>
      <c r="I106" s="169"/>
      <c r="J106" s="170">
        <f>IF(I106="",AR106,I106)</f>
        <v>-97911.884920830693</v>
      </c>
      <c r="K106" s="168" t="s">
        <v>5</v>
      </c>
      <c r="L106" s="171" t="s">
        <v>378</v>
      </c>
      <c r="M106" s="168" t="s">
        <v>20</v>
      </c>
      <c r="N106" s="167" t="s">
        <v>371</v>
      </c>
      <c r="O106" s="168" t="s">
        <v>39</v>
      </c>
      <c r="P106" s="168" t="s">
        <v>471</v>
      </c>
      <c r="Q106" s="169">
        <v>7674516.9400000004</v>
      </c>
      <c r="R106" s="170">
        <f>IF(Q106="",AS106,Q106)</f>
        <v>7674516.9400000004</v>
      </c>
      <c r="S106" s="168" t="s">
        <v>9</v>
      </c>
      <c r="T106" s="171" t="s">
        <v>25</v>
      </c>
      <c r="U106" s="168" t="s">
        <v>25</v>
      </c>
      <c r="V106" s="167" t="s">
        <v>371</v>
      </c>
      <c r="W106" s="172" t="s">
        <v>389</v>
      </c>
      <c r="X106" s="173">
        <f>IF(Y106="",VLOOKUP(H106,CLIENTS!$A$1:$O$649,5,FALSE),Y106)</f>
        <v>0</v>
      </c>
      <c r="Y106" s="174">
        <v>0</v>
      </c>
      <c r="Z106" s="173">
        <f>IF(AA106="",VLOOKUP(P106,CLIENTS!$A$1:$O$649,5,FALSE),AA106)</f>
        <v>1.4272829589431213E-3</v>
      </c>
      <c r="AA106" s="174">
        <v>1.4272829589431213E-3</v>
      </c>
      <c r="AB106" s="173" t="str">
        <f>IF(W106="via USD",IF(K106="EUR",K106&amp;"USD","USD"&amp;K106),IFERROR(VLOOKUP(K106&amp;S106,'FX RATES'!$H$2:$H$20,1,FALSE),S106&amp;K106))</f>
        <v>USDRUB</v>
      </c>
      <c r="AC106" s="175">
        <f>IF(LEFT(AB106,3)=RIGHT(AB106,3),0,IFERROR(INDEX(CLIENTS!$A$1:$O$649,MATCH(H106,CLIENTS!$A$1:$A$649,0),MATCH(AB106,CLIENTS!$A$1:$O$1,0)),0))</f>
        <v>0</v>
      </c>
      <c r="AD106" s="176"/>
      <c r="AE106" s="177" t="str">
        <f>IF(W106="CLIENT","",IF(AD106="",AH106+AC106,AD106+AC106))</f>
        <v/>
      </c>
      <c r="AF106" s="177" t="str">
        <f>E106&amp;AB106</f>
        <v>46041USDRUB</v>
      </c>
      <c r="AG106" s="176">
        <v>77.900000000000006</v>
      </c>
      <c r="AH106" s="178">
        <f ca="1">IF(LEFT(AB106,3)=RIGHT(AB106,3),1,VLOOKUP(AB106,'FX RATES'!$H$1:$I$20,2,FALSE))</f>
        <v>76.720500000000001</v>
      </c>
      <c r="AI106" s="178">
        <f>IF(OR(AB106="USDAED",LEFT(AB106,3)=RIGHT(AB106,3)),AH106,IF(LEFT(AB106)="USD",AG106,IF(RIGHT(AB106,3)="USD",1,IFERROR(VLOOKUP(E106&amp;"USD"&amp;RIGHT(AB106,3),$AF:$AG,2,FALSE),VLOOKUP(E106&amp;"USD"&amp;RIGHT(AJ106,3),$AN:$AO,2,FALSE)))))</f>
        <v>77.900000000000006</v>
      </c>
      <c r="AJ106" s="173" t="str">
        <f>IF(W106="via USD",IF(S106="EUR",S106&amp;"USD","USD"&amp;S106),IFERROR(VLOOKUP(K106&amp;S106,'FX RATES'!$H$2:$H$20,1,FALSE),S106&amp;K106))</f>
        <v>USDRUB</v>
      </c>
      <c r="AK106" s="175">
        <f>IF(LEFT(AJ106,3)=RIGHT(AJ106,3),0,IFERROR(INDEX(CLIENTS!$A$1:$O$649,MATCH(P106,CLIENTS!$A$1:$A$649,0),MATCH(AJ106,CLIENTS!$A$1:$O$1,0)),0))</f>
        <v>0</v>
      </c>
      <c r="AL106" s="176">
        <v>78.27</v>
      </c>
      <c r="AM106" s="177">
        <f>IF(W106="VENDOR","",IF(AL106="",AP106+AK106,AL106+AK106))</f>
        <v>78.27</v>
      </c>
      <c r="AN106" s="177" t="str">
        <f>E106&amp;AJ106</f>
        <v>46041USDRUB</v>
      </c>
      <c r="AO106" s="176">
        <v>77.900000000000006</v>
      </c>
      <c r="AP106" s="178">
        <f ca="1">IF(LEFT(AJ106,3)=RIGHT(AJ106,3),1,VLOOKUP(AJ106,'FX RATES'!$H$1:$I$20,2,FALSE))</f>
        <v>76.720500000000001</v>
      </c>
      <c r="AQ106" s="178">
        <f>IF(OR(AJ106="USDAED",LEFT(AJ106,3)=RIGHT(AJ106,3)),AP106,IF(LEFT(AJ106)="USD",AO106,IF(RIGHT(AJ106,3)="USD",1,IFERROR(VLOOKUP(E106&amp;"USD"&amp;RIGHT(AJ106,3),$AN:$AO,2,FALSE),VLOOKUP(E106&amp;"USD"&amp;RIGHT(AB106,3),$AF:$AG,2,FALSE)))))</f>
        <v>77.900000000000006</v>
      </c>
      <c r="AR106" s="179">
        <f>-Q106*(1-Z106)/(1+X106)*IF(W106="CLIENT",IF(S106=RIGHT(AJ106,3),1/AM106,AM106),IF(W106="VENDOR",IF(S106=RIGHT(AJ106,3),1/AE106,AE106),AE106^(VLOOKUP(AB106,'FX RATES'!$H$1:$J$26,3,FALSE))/AM106^(VLOOKUP(AJ106,'FX RATES'!$H$1:$J$26,3,FALSE))))</f>
        <v>-97911.884920830693</v>
      </c>
      <c r="AS106" s="179">
        <f>-I106*(1+X106)/(1-Z106)*IF(W106="VENDOR",IF(K106=RIGHT(AB106,3),1/AE106,AE106),IF(W106="CLIENT",IF(K106=RIGHT(AB106,3),1/AM106,AM106),AM106^(VLOOKUP(AJ106,'FX RATES'!$H$1:$J$26,3,FALSE))/AE106^(VLOOKUP(AB106,'FX RATES'!$H$1:$J$26,3,FALSE))))</f>
        <v>0</v>
      </c>
      <c r="AT106" s="170">
        <f>IF(AB106&lt;&gt;AJ106,J106/IF(K106=RIGHT(AB106,3),AE106,1/AE106),IF(S106="USD",J106/IF(K106=RIGHT(AB106,3),IF(W106="CLIENT",AM106,AE106),1/IF(W106="CLIENT",AM106,AE106)),J106*VLOOKUP(K106,'FX RATES'!$E$1:$F$10,2,FALSE)))</f>
        <v>-97911.884920830693</v>
      </c>
      <c r="AU106" s="170">
        <f>IF(AB106&lt;&gt;AJ106,R106/IF(S106=RIGHT(AJ106,3),AM106,1/AM106),IF(K106="USD",R106/IF(S106=RIGHT(AJ106,3),IF(W106="CLIENT",AM106,AE106),1/IF(W106="CLIENT",AM106,AE106)),R106*VLOOKUP(S106,'FX RATES'!$E$1:$F$10,2,FALSE)))</f>
        <v>98051.832630637553</v>
      </c>
      <c r="AV106" s="170">
        <f>AT106+AU106</f>
        <v>139.94770980686008</v>
      </c>
      <c r="AW106" s="169"/>
      <c r="AX106" s="170">
        <f>IF(AND(ISERROR(SEARCH("INVOICE",T106)),ISERROR(SEARCH("SWITCH",T106)),ISERROR(SEARCH("FOREX",T106)),ISERROR(SEARCH("REFUND",A106)),ISERROR(SEARCH("CANCELLED",A106))),IF(AW106="",-AT106*X106+AU106*Z106,AW106),0)</f>
        <v>139.94770980685206</v>
      </c>
      <c r="AY106" s="170">
        <f>IF(AZ106="USD",AT106,IF(AZ106=K106,J106,-R106))</f>
        <v>-97911.884920830693</v>
      </c>
      <c r="AZ106" s="170" t="str">
        <f>LEFT(AB106,3)</f>
        <v>USD</v>
      </c>
      <c r="BA106" s="542">
        <f>IF(OR(A106="REFUND",A106="CANCELLED"),0,IFERROR((IF(OR(AB106="USDAED",LEFT(AB106,3)=RIGHT(AB106,3)),AI106,AG106)-AE106)*-AY106*VLOOKUP(AB106,'FX RATES'!$H$1:$J$26,3,FALSE),0))</f>
        <v>0</v>
      </c>
      <c r="BB106" s="170" t="str">
        <f>RIGHT(AB106,3)</f>
        <v>RUB</v>
      </c>
      <c r="BC106" s="542">
        <f>IF(BA106=0,0,IFERROR(BA106/IF(BB106&lt;&gt;"USD",AI106,1),"???"))</f>
        <v>0</v>
      </c>
      <c r="BD106" s="170">
        <f>IFERROR(-AC106/(IF(OR(AB106="USDAED",LEFT(AB106,3)=RIGHT(AB106,3)),AH106,AG106)-AE106)*BC106,0)</f>
        <v>0</v>
      </c>
      <c r="BE106" s="542">
        <f>BC106-BD106</f>
        <v>0</v>
      </c>
      <c r="BF106" s="170">
        <f>IF(BG106="USD",AU106,IF(BG106=S106,R106,-J106))</f>
        <v>98051.832630637553</v>
      </c>
      <c r="BG106" s="170" t="str">
        <f>LEFT(AJ106,3)</f>
        <v>USD</v>
      </c>
      <c r="BH106" s="542">
        <f>IF(OR(A106="REFUND",A106="CANCELLED"),0,IFERROR((IF(OR(AJ106="USDAED",LEFT(AJ106,3)=RIGHT(AJ106,3)),AQ106,AO106)-AM106)*-BF106*VLOOKUP(AJ106,'FX RATES'!$H$1:$J$26,3,FALSE),0))</f>
        <v>36279.178073334944</v>
      </c>
      <c r="BI106" s="170" t="str">
        <f>RIGHT(AJ106,3)</f>
        <v>RUB</v>
      </c>
      <c r="BJ106" s="542">
        <f>IF(BH106=0,0,IFERROR(BH106/IF(BI106&lt;&gt;"USD",AQ106,1),"???"))</f>
        <v>465.71473778350372</v>
      </c>
      <c r="BK106" s="170">
        <f>IFERROR(-AK106/(IF(OR(AJ106="USDAED",LEFT(AJ106,3)=RIGHT(AJ106,3)),AP106,AO106)-AM106)*BJ106,0)</f>
        <v>0</v>
      </c>
      <c r="BL106" s="542">
        <f>BJ106-BK106</f>
        <v>465.71473778350372</v>
      </c>
      <c r="BM106" s="170">
        <f>IF(AND(ISERROR(SEARCH("REFUND",A106)),ISERROR(SEARCH("CANCELLED",A106))),BD106+BK106,0)</f>
        <v>0</v>
      </c>
      <c r="BN106" s="542">
        <f>IF(AND(ISERROR(SEARCH("REFUND",A106)),ISERROR(SEARCH("CANCELLED",A106))),BE106+BL106,0)</f>
        <v>465.71473778350372</v>
      </c>
    </row>
    <row r="107" spans="1:66" ht="19.5" customHeight="1">
      <c r="A107" s="167" t="s">
        <v>366</v>
      </c>
      <c r="B107" s="168" t="s">
        <v>39</v>
      </c>
      <c r="C107" s="168" t="s">
        <v>367</v>
      </c>
      <c r="D107" s="168" t="s">
        <v>368</v>
      </c>
      <c r="E107" s="171">
        <v>46041</v>
      </c>
      <c r="F107" s="171"/>
      <c r="G107" s="168" t="s">
        <v>39</v>
      </c>
      <c r="H107" s="168" t="s">
        <v>393</v>
      </c>
      <c r="I107" s="169"/>
      <c r="J107" s="170">
        <f>IF(I107="",AR107,I107)</f>
        <v>-67086.279534311805</v>
      </c>
      <c r="K107" s="168" t="s">
        <v>5</v>
      </c>
      <c r="L107" s="171" t="s">
        <v>378</v>
      </c>
      <c r="M107" s="168" t="s">
        <v>20</v>
      </c>
      <c r="N107" s="167" t="s">
        <v>371</v>
      </c>
      <c r="O107" s="168" t="s">
        <v>52</v>
      </c>
      <c r="P107" s="168" t="s">
        <v>394</v>
      </c>
      <c r="Q107" s="169">
        <v>5258348.25</v>
      </c>
      <c r="R107" s="170">
        <f>IF(Q107="",AS107,Q107)</f>
        <v>5258348.25</v>
      </c>
      <c r="S107" s="168" t="s">
        <v>9</v>
      </c>
      <c r="T107" s="171" t="s">
        <v>25</v>
      </c>
      <c r="U107" s="168" t="s">
        <v>25</v>
      </c>
      <c r="V107" s="167" t="s">
        <v>371</v>
      </c>
      <c r="W107" s="172" t="s">
        <v>389</v>
      </c>
      <c r="X107" s="173">
        <f>IF(Y107="",VLOOKUP(H107,CLIENTS!$A$1:$O$649,5,FALSE),Y107)</f>
        <v>0</v>
      </c>
      <c r="Y107" s="174">
        <v>0</v>
      </c>
      <c r="Z107" s="173">
        <f>IF(AA107="",VLOOKUP(P107,CLIENTS!$A$1:$O$649,5,FALSE),AA107)</f>
        <v>1.4272829589433433E-3</v>
      </c>
      <c r="AA107" s="174">
        <v>1.4272829589433433E-3</v>
      </c>
      <c r="AB107" s="173" t="str">
        <f>IF(W107="via USD",IF(K107="EUR",K107&amp;"USD","USD"&amp;K107),IFERROR(VLOOKUP(K107&amp;S107,'FX RATES'!$H$2:$H$20,1,FALSE),S107&amp;K107))</f>
        <v>USDRUB</v>
      </c>
      <c r="AC107" s="175">
        <f>IF(LEFT(AB107,3)=RIGHT(AB107,3),0,IFERROR(INDEX(CLIENTS!$A$1:$O$649,MATCH(H107,CLIENTS!$A$1:$A$649,0),MATCH(AB107,CLIENTS!$A$1:$O$1,0)),0))</f>
        <v>0</v>
      </c>
      <c r="AD107" s="176"/>
      <c r="AE107" s="177" t="str">
        <f>IF(W107="CLIENT","",IF(AD107="",AH107+AC107,AD107+AC107))</f>
        <v/>
      </c>
      <c r="AF107" s="177" t="str">
        <f>E107&amp;AB107</f>
        <v>46041USDRUB</v>
      </c>
      <c r="AG107" s="176">
        <v>77.900000000000006</v>
      </c>
      <c r="AH107" s="178">
        <f ca="1">IF(LEFT(AB107,3)=RIGHT(AB107,3),1,VLOOKUP(AB107,'FX RATES'!$H$1:$I$20,2,FALSE))</f>
        <v>76.720500000000001</v>
      </c>
      <c r="AI107" s="178">
        <f>IF(OR(AB107="USDAED",LEFT(AB107,3)=RIGHT(AB107,3)),AH107,IF(LEFT(AB107)="USD",AG107,IF(RIGHT(AB107,3)="USD",1,IFERROR(VLOOKUP(E107&amp;"USD"&amp;RIGHT(AB107,3),$AF:$AG,2,FALSE),VLOOKUP(E107&amp;"USD"&amp;RIGHT(AJ107,3),$AN:$AO,2,FALSE)))))</f>
        <v>77.900000000000006</v>
      </c>
      <c r="AJ107" s="173" t="str">
        <f>IF(W107="via USD",IF(S107="EUR",S107&amp;"USD","USD"&amp;S107),IFERROR(VLOOKUP(K107&amp;S107,'FX RATES'!$H$2:$H$20,1,FALSE),S107&amp;K107))</f>
        <v>USDRUB</v>
      </c>
      <c r="AK107" s="175">
        <f>IF(LEFT(AJ107,3)=RIGHT(AJ107,3),0,IFERROR(INDEX(CLIENTS!$A$1:$O$649,MATCH(P107,CLIENTS!$A$1:$A$649,0),MATCH(AJ107,CLIENTS!$A$1:$O$1,0)),0))</f>
        <v>0</v>
      </c>
      <c r="AL107" s="176">
        <v>78.27</v>
      </c>
      <c r="AM107" s="177">
        <f>IF(W107="VENDOR","",IF(AL107="",AP107+AK107,AL107+AK107))</f>
        <v>78.27</v>
      </c>
      <c r="AN107" s="177" t="str">
        <f>E107&amp;AJ107</f>
        <v>46041USDRUB</v>
      </c>
      <c r="AO107" s="176">
        <v>77.900000000000006</v>
      </c>
      <c r="AP107" s="178">
        <f ca="1">IF(LEFT(AJ107,3)=RIGHT(AJ107,3),1,VLOOKUP(AJ107,'FX RATES'!$H$1:$I$20,2,FALSE))</f>
        <v>76.720500000000001</v>
      </c>
      <c r="AQ107" s="178">
        <f>IF(OR(AJ107="USDAED",LEFT(AJ107,3)=RIGHT(AJ107,3)),AP107,IF(LEFT(AJ107)="USD",AO107,IF(RIGHT(AJ107,3)="USD",1,IFERROR(VLOOKUP(E107&amp;"USD"&amp;RIGHT(AJ107,3),$AN:$AO,2,FALSE),VLOOKUP(E107&amp;"USD"&amp;RIGHT(AB107,3),$AF:$AG,2,FALSE)))))</f>
        <v>77.900000000000006</v>
      </c>
      <c r="AR107" s="179">
        <f>-Q107*(1-Z107)/(1+X107)*IF(W107="CLIENT",IF(S107=RIGHT(AJ107,3),1/AM107,AM107),IF(W107="VENDOR",IF(S107=RIGHT(AJ107,3),1/AE107,AE107),AE107^(VLOOKUP(AB107,'FX RATES'!$H$1:$J$26,3,FALSE))/AM107^(VLOOKUP(AJ107,'FX RATES'!$H$1:$J$26,3,FALSE))))</f>
        <v>-67086.279534311805</v>
      </c>
      <c r="AS107" s="179">
        <f>-I107*(1+X107)/(1-Z107)*IF(W107="VENDOR",IF(K107=RIGHT(AB107,3),1/AE107,AE107),IF(W107="CLIENT",IF(K107=RIGHT(AB107,3),1/AM107,AM107),AM107^(VLOOKUP(AJ107,'FX RATES'!$H$1:$J$26,3,FALSE))/AE107^(VLOOKUP(AB107,'FX RATES'!$H$1:$J$26,3,FALSE))))</f>
        <v>0</v>
      </c>
      <c r="AT107" s="170">
        <f>IF(AB107&lt;&gt;AJ107,J107/IF(K107=RIGHT(AB107,3),AE107,1/AE107),IF(S107="USD",J107/IF(K107=RIGHT(AB107,3),IF(W107="CLIENT",AM107,AE107),1/IF(W107="CLIENT",AM107,AE107)),J107*VLOOKUP(K107,'FX RATES'!$E$1:$F$10,2,FALSE)))</f>
        <v>-67086.279534311805</v>
      </c>
      <c r="AU107" s="170">
        <f>IF(AB107&lt;&gt;AJ107,R107/IF(S107=RIGHT(AJ107,3),AM107,1/AM107),IF(K107="USD",R107/IF(S107=RIGHT(AJ107,3),IF(W107="CLIENT",AM107,AE107),1/IF(W107="CLIENT",AM107,AE107)),R107*VLOOKUP(S107,'FX RATES'!$E$1:$F$10,2,FALSE)))</f>
        <v>67182.167497125338</v>
      </c>
      <c r="AV107" s="170">
        <f>AT107+AU107</f>
        <v>95.887962813532795</v>
      </c>
      <c r="AW107" s="169"/>
      <c r="AX107" s="170">
        <f>IF(AND(ISERROR(SEARCH("INVOICE",T107)),ISERROR(SEARCH("SWITCH",T107)),ISERROR(SEARCH("FOREX",T107)),ISERROR(SEARCH("REFUND",A107)),ISERROR(SEARCH("CANCELLED",A107))),IF(AW107="",-AT107*X107+AU107*Z107,AW107),0)</f>
        <v>95.887962813524354</v>
      </c>
      <c r="AY107" s="170">
        <f>IF(AZ107="USD",AT107,IF(AZ107=K107,J107,-R107))</f>
        <v>-67086.279534311805</v>
      </c>
      <c r="AZ107" s="170" t="str">
        <f>LEFT(AB107,3)</f>
        <v>USD</v>
      </c>
      <c r="BA107" s="542">
        <f>IF(OR(A107="REFUND",A107="CANCELLED"),0,IFERROR((IF(OR(AB107="USDAED",LEFT(AB107,3)=RIGHT(AB107,3)),AI107,AG107)-AE107)*-AY107*VLOOKUP(AB107,'FX RATES'!$H$1:$J$26,3,FALSE),0))</f>
        <v>0</v>
      </c>
      <c r="BB107" s="170" t="str">
        <f>RIGHT(AB107,3)</f>
        <v>RUB</v>
      </c>
      <c r="BC107" s="542">
        <f>IF(BA107=0,0,IFERROR(BA107/IF(BB107&lt;&gt;"USD",AI107,1),"???"))</f>
        <v>0</v>
      </c>
      <c r="BD107" s="170">
        <f>IFERROR(-AC107/(IF(OR(AB107="USDAED",LEFT(AB107,3)=RIGHT(AB107,3)),AH107,AG107)-AE107)*BC107,0)</f>
        <v>0</v>
      </c>
      <c r="BE107" s="542">
        <f>BC107-BD107</f>
        <v>0</v>
      </c>
      <c r="BF107" s="170">
        <f>IF(BG107="USD",AU107,IF(BG107=S107,R107,-J107))</f>
        <v>67182.167497125338</v>
      </c>
      <c r="BG107" s="170" t="str">
        <f>LEFT(AJ107,3)</f>
        <v>USD</v>
      </c>
      <c r="BH107" s="542">
        <f>IF(OR(A107="REFUND",A107="CANCELLED"),0,IFERROR((IF(OR(AJ107="USDAED",LEFT(AJ107,3)=RIGHT(AJ107,3)),AQ107,AO107)-AM107)*-BF107*VLOOKUP(AJ107,'FX RATES'!$H$1:$J$26,3,FALSE),0))</f>
        <v>24857.401973935725</v>
      </c>
      <c r="BI107" s="170" t="str">
        <f>RIGHT(AJ107,3)</f>
        <v>RUB</v>
      </c>
      <c r="BJ107" s="542">
        <f>IF(BH107=0,0,IFERROR(BH107/IF(BI107&lt;&gt;"USD",AQ107,1),"???"))</f>
        <v>319.09373522382185</v>
      </c>
      <c r="BK107" s="170">
        <f>IFERROR(-AK107/(IF(OR(AJ107="USDAED",LEFT(AJ107,3)=RIGHT(AJ107,3)),AP107,AO107)-AM107)*BJ107,0)</f>
        <v>0</v>
      </c>
      <c r="BL107" s="542">
        <f>BJ107-BK107</f>
        <v>319.09373522382185</v>
      </c>
      <c r="BM107" s="170">
        <f>IF(AND(ISERROR(SEARCH("REFUND",A107)),ISERROR(SEARCH("CANCELLED",A107))),BD107+BK107,0)</f>
        <v>0</v>
      </c>
      <c r="BN107" s="542">
        <f>IF(AND(ISERROR(SEARCH("REFUND",A107)),ISERROR(SEARCH("CANCELLED",A107))),BE107+BL107,0)</f>
        <v>319.09373522382185</v>
      </c>
    </row>
    <row r="108" spans="1:66" ht="19.5" customHeight="1">
      <c r="A108" s="167" t="s">
        <v>366</v>
      </c>
      <c r="B108" s="168" t="s">
        <v>39</v>
      </c>
      <c r="C108" s="168" t="s">
        <v>383</v>
      </c>
      <c r="D108" s="168" t="s">
        <v>128</v>
      </c>
      <c r="E108" s="171">
        <v>46041</v>
      </c>
      <c r="F108" s="171"/>
      <c r="G108" s="168" t="s">
        <v>39</v>
      </c>
      <c r="H108" s="168" t="s">
        <v>410</v>
      </c>
      <c r="I108" s="169">
        <v>-31790000</v>
      </c>
      <c r="J108" s="170">
        <f>IF(I108="",AR108,I108)</f>
        <v>-31790000</v>
      </c>
      <c r="K108" s="168" t="s">
        <v>9</v>
      </c>
      <c r="L108" s="171" t="s">
        <v>411</v>
      </c>
      <c r="M108" s="168" t="s">
        <v>25</v>
      </c>
      <c r="N108" s="167" t="s">
        <v>371</v>
      </c>
      <c r="O108" s="168" t="s">
        <v>39</v>
      </c>
      <c r="P108" s="349" t="s">
        <v>410</v>
      </c>
      <c r="Q108" s="169"/>
      <c r="R108" s="170">
        <f>IF(Q108="",AS108,Q108)</f>
        <v>1491787.8930079774</v>
      </c>
      <c r="S108" s="168" t="s">
        <v>8</v>
      </c>
      <c r="T108" s="171" t="s">
        <v>385</v>
      </c>
      <c r="U108" s="168" t="s">
        <v>20</v>
      </c>
      <c r="V108" s="167" t="s">
        <v>371</v>
      </c>
      <c r="W108" s="172" t="s">
        <v>382</v>
      </c>
      <c r="X108" s="173">
        <f>IF(Y108="",VLOOKUP(H108,CLIENTS!$A$1:$O$649,5,FALSE),Y108)</f>
        <v>0</v>
      </c>
      <c r="Y108" s="174">
        <v>0</v>
      </c>
      <c r="Z108" s="173">
        <f>IF(AA108="",VLOOKUP(P108,CLIENTS!$A$1:$O$649,5,FALSE),AA108)</f>
        <v>0</v>
      </c>
      <c r="AA108" s="174">
        <v>0</v>
      </c>
      <c r="AB108" s="173" t="str">
        <f>IF(W108="via USD",IF(K108="EUR",K108&amp;"USD","USD"&amp;K108),IFERROR(VLOOKUP(K108&amp;S108,'FX RATES'!$H$2:$H$20,1,FALSE),S108&amp;K108))</f>
        <v>AEDRUB</v>
      </c>
      <c r="AC108" s="175">
        <f>IF(LEFT(AB108,3)=RIGHT(AB108,3),0,IFERROR(INDEX(CLIENTS!$A$1:$O$649,MATCH(H108,CLIENTS!$A$1:$A$649,0),MATCH(AB108,CLIENTS!$A$1:$O$1,0)),0))</f>
        <v>0</v>
      </c>
      <c r="AD108" s="176">
        <v>21.31</v>
      </c>
      <c r="AE108" s="177">
        <f>IF(W108="CLIENT","",IF(AD108="",AH108+AC108,AD108+AC108))</f>
        <v>21.31</v>
      </c>
      <c r="AF108" s="177" t="str">
        <f>E108&amp;AB108</f>
        <v>46041AEDRUB</v>
      </c>
      <c r="AG108" s="176">
        <v>21.2117</v>
      </c>
      <c r="AH108" s="178">
        <f ca="1">IF(LEFT(AB108,3)=RIGHT(AB108,3),1,VLOOKUP(AB108,'FX RATES'!$H$1:$I$20,2,FALSE))</f>
        <v>20.8843</v>
      </c>
      <c r="AI108" s="178">
        <f>IF(OR(AB108="USDAED",LEFT(AB108,3)=RIGHT(AB108,3)),AH108,IF(LEFT(AB108)="USD",AG108,IF(RIGHT(AB108,3)="USD",1,IFERROR(VLOOKUP(E108&amp;"USD"&amp;RIGHT(AB108,3),$AF:$AG,2,FALSE),VLOOKUP(E108&amp;"USD"&amp;RIGHT(AJ108,3),$AN:$AO,2,FALSE)))))</f>
        <v>77.900000000000006</v>
      </c>
      <c r="AJ108" s="173" t="str">
        <f>IF(W108="via USD",IF(S108="EUR",S108&amp;"USD","USD"&amp;S108),IFERROR(VLOOKUP(K108&amp;S108,'FX RATES'!$H$2:$H$20,1,FALSE),S108&amp;K108))</f>
        <v>AEDRUB</v>
      </c>
      <c r="AK108" s="175">
        <f>IF(LEFT(AJ108,3)=RIGHT(AJ108,3),0,IFERROR(INDEX(CLIENTS!$A$1:$O$649,MATCH(P108,CLIENTS!$A$1:$A$649,0),MATCH(AJ108,CLIENTS!$A$1:$O$1,0)),0))</f>
        <v>0</v>
      </c>
      <c r="AL108" s="176"/>
      <c r="AM108" s="177" t="str">
        <f>IF(W108="VENDOR","",IF(AL108="",AP108+AK108,AL108+AK108))</f>
        <v/>
      </c>
      <c r="AN108" s="177" t="str">
        <f>E108&amp;AJ108</f>
        <v>46041AEDRUB</v>
      </c>
      <c r="AO108" s="176"/>
      <c r="AP108" s="178">
        <f ca="1">IF(LEFT(AJ108,3)=RIGHT(AJ108,3),1,VLOOKUP(AJ108,'FX RATES'!$H$1:$I$20,2,FALSE))</f>
        <v>20.8843</v>
      </c>
      <c r="AQ108" s="178">
        <f>IF(OR(AJ108="USDAED",LEFT(AJ108,3)=RIGHT(AJ108,3)),AP108,IF(LEFT(AJ108)="USD",AO108,IF(RIGHT(AJ108,3)="USD",1,IFERROR(VLOOKUP(E108&amp;"USD"&amp;RIGHT(AJ108,3),$AN:$AO,2,FALSE),VLOOKUP(E108&amp;"USD"&amp;RIGHT(AB108,3),$AF:$AG,2,FALSE)))))</f>
        <v>77.900000000000006</v>
      </c>
      <c r="AR108" s="179">
        <f>-Q108*(1-Z108)/(1+X108)*IF(W108="CLIENT",IF(S108=RIGHT(AJ108,3),1/AM108,AM108),IF(W108="VENDOR",IF(S108=RIGHT(AJ108,3),1/AE108,AE108),AE108^(VLOOKUP(AB108,'FX RATES'!$H$1:$J$26,3,FALSE))/AM108^(VLOOKUP(AJ108,'FX RATES'!$H$1:$J$26,3,FALSE))))</f>
        <v>0</v>
      </c>
      <c r="AS108" s="179">
        <f>-I108*(1+X108)/(1-Z108)*IF(W108="VENDOR",IF(K108=RIGHT(AB108,3),1/AE108,AE108),IF(W108="CLIENT",IF(K108=RIGHT(AB108,3),1/AM108,AM108),AM108^(VLOOKUP(AJ108,'FX RATES'!$H$1:$J$26,3,FALSE))/AE108^(VLOOKUP(AB108,'FX RATES'!$H$1:$J$26,3,FALSE))))</f>
        <v>1491787.8930079774</v>
      </c>
      <c r="AT108" s="170">
        <f ca="1">IF(AB108&lt;&gt;AJ108,J108/IF(K108=RIGHT(AB108,3),AE108,1/AE108),IF(S108="USD",J108/IF(K108=RIGHT(AB108,3),IF(W108="CLIENT",AM108,AE108),1/IF(W108="CLIENT",AM108,AE108)),J108*VLOOKUP(K108,'FX RATES'!$E$1:$F$10,2,FALSE)))</f>
        <v>-414361.22027359047</v>
      </c>
      <c r="AU108" s="170">
        <f ca="1">IF(AB108&lt;&gt;AJ108,R108/IF(S108=RIGHT(AJ108,3),AM108,1/AM108),IF(K108="USD",R108/IF(S108=RIGHT(AJ108,3),IF(W108="CLIENT",AM108,AE108),1/IF(W108="CLIENT",AM108,AE108)),R108*VLOOKUP(S108,'FX RATES'!$E$1:$F$10,2,FALSE)))</f>
        <v>406193.94788650476</v>
      </c>
      <c r="AV108" s="170">
        <f ca="1">AT108+AU108</f>
        <v>-8167.2723870857153</v>
      </c>
      <c r="AW108" s="169"/>
      <c r="AX108" s="170">
        <f ca="1">IF(AND(ISERROR(SEARCH("INVOICE",T108)),ISERROR(SEARCH("SWITCH",T108)),ISERROR(SEARCH("FOREX",T108)),ISERROR(SEARCH("REFUND",A108)),ISERROR(SEARCH("CANCELLED",A108))),IF(AW108="",-AT108*X108+AU108*Z108,AW108),0)</f>
        <v>0</v>
      </c>
      <c r="AY108" s="170">
        <f>IF(AZ108="USD",AT108,IF(AZ108=K108,J108,-R108))</f>
        <v>-1491787.8930079774</v>
      </c>
      <c r="AZ108" s="170" t="str">
        <f>LEFT(AB108,3)</f>
        <v>AED</v>
      </c>
      <c r="BA108" s="542">
        <f>IF(OR(A108="REFUND",A108="CANCELLED"),0,IFERROR((IF(OR(AB108="USDAED",LEFT(AB108,3)=RIGHT(AB108,3)),AI108,AG108)-AE108)*-AY108*VLOOKUP(AB108,'FX RATES'!$H$1:$J$26,3,FALSE),0))</f>
        <v>-146642.74988268162</v>
      </c>
      <c r="BB108" s="170" t="str">
        <f>RIGHT(AB108,3)</f>
        <v>RUB</v>
      </c>
      <c r="BC108" s="542">
        <f>IF(BA108=0,0,IFERROR(BA108/IF(BB108&lt;&gt;"USD",AI108,1),"???"))</f>
        <v>-1882.4486506120872</v>
      </c>
      <c r="BD108" s="170">
        <f>IFERROR(-AC108/(IF(OR(AB108="USDAED",LEFT(AB108,3)=RIGHT(AB108,3)),AH108,AG108)-AE108)*BC108,0)</f>
        <v>0</v>
      </c>
      <c r="BE108" s="542">
        <f>BC108-BD108</f>
        <v>-1882.4486506120872</v>
      </c>
      <c r="BF108" s="170">
        <f>IF(BG108="USD",AU108,IF(BG108=S108,R108,-J108))</f>
        <v>1491787.8930079774</v>
      </c>
      <c r="BG108" s="170" t="str">
        <f>LEFT(AJ108,3)</f>
        <v>AED</v>
      </c>
      <c r="BH108" s="542">
        <f>IF(OR(A108="REFUND",A108="CANCELLED"),0,IFERROR((IF(OR(AJ108="USDAED",LEFT(AJ108,3)=RIGHT(AJ108,3)),AQ108,AO108)-AM108)*-BF108*VLOOKUP(AJ108,'FX RATES'!$H$1:$J$26,3,FALSE),0))</f>
        <v>0</v>
      </c>
      <c r="BI108" s="170" t="str">
        <f>RIGHT(AJ108,3)</f>
        <v>RUB</v>
      </c>
      <c r="BJ108" s="542">
        <f>IF(BH108=0,0,IFERROR(BH108/IF(BI108&lt;&gt;"USD",AQ108,1),"???"))</f>
        <v>0</v>
      </c>
      <c r="BK108" s="170">
        <f>IFERROR(-AK108/(IF(OR(AJ108="USDAED",LEFT(AJ108,3)=RIGHT(AJ108,3)),AP108,AO108)-AM108)*BJ108,0)</f>
        <v>0</v>
      </c>
      <c r="BL108" s="542">
        <f>BJ108-BK108</f>
        <v>0</v>
      </c>
      <c r="BM108" s="170">
        <f>IF(AND(ISERROR(SEARCH("REFUND",A108)),ISERROR(SEARCH("CANCELLED",A108))),BD108+BK108,0)</f>
        <v>0</v>
      </c>
      <c r="BN108" s="542">
        <f>IF(AND(ISERROR(SEARCH("REFUND",A108)),ISERROR(SEARCH("CANCELLED",A108))),BE108+BL108,0)</f>
        <v>-1882.4486506120872</v>
      </c>
    </row>
    <row r="109" spans="1:66" ht="19.5" customHeight="1">
      <c r="A109" s="167"/>
      <c r="B109" s="182"/>
      <c r="C109" s="182"/>
      <c r="D109" s="182"/>
      <c r="E109" s="184"/>
      <c r="F109" s="184"/>
      <c r="G109" s="182"/>
      <c r="H109" s="182"/>
      <c r="I109" s="170"/>
      <c r="J109" s="170"/>
      <c r="K109" s="182"/>
      <c r="L109" s="184"/>
      <c r="M109" s="182"/>
      <c r="O109" s="182"/>
      <c r="P109" s="444"/>
      <c r="Q109" s="170"/>
      <c r="R109" s="170"/>
      <c r="S109" s="182"/>
      <c r="T109" s="184"/>
      <c r="U109" s="182"/>
      <c r="X109" s="173"/>
      <c r="Y109" s="173"/>
      <c r="Z109" s="173"/>
      <c r="AA109" s="173"/>
      <c r="AB109" s="173"/>
      <c r="AC109" s="175"/>
      <c r="AD109" s="177"/>
      <c r="AE109" s="177"/>
      <c r="AF109" s="177"/>
      <c r="AG109" s="177"/>
      <c r="AH109" s="178"/>
      <c r="AI109" s="178"/>
      <c r="AJ109" s="173"/>
      <c r="AK109" s="175"/>
      <c r="AL109" s="177"/>
      <c r="AM109" s="177"/>
      <c r="AN109" s="177"/>
      <c r="AO109" s="177"/>
      <c r="AP109" s="178"/>
      <c r="AQ109" s="178"/>
      <c r="AR109" s="185"/>
      <c r="AS109" s="185"/>
      <c r="AT109" s="170"/>
      <c r="AU109" s="170"/>
      <c r="AV109" s="170"/>
      <c r="AW109" s="170"/>
      <c r="AX109" s="170"/>
      <c r="AY109" s="170"/>
      <c r="AZ109" s="170"/>
      <c r="BA109" s="542"/>
      <c r="BB109" s="170"/>
      <c r="BC109" s="542"/>
      <c r="BD109" s="170"/>
      <c r="BE109" s="542"/>
      <c r="BF109" s="170"/>
      <c r="BG109" s="170"/>
      <c r="BH109" s="542"/>
      <c r="BI109" s="170"/>
      <c r="BJ109" s="542"/>
      <c r="BK109" s="170"/>
      <c r="BL109" s="542"/>
      <c r="BM109" s="170"/>
      <c r="BN109" s="542"/>
    </row>
    <row r="110" spans="1:66" ht="19.5" customHeight="1">
      <c r="A110" s="167" t="s">
        <v>366</v>
      </c>
      <c r="B110" s="168" t="s">
        <v>39</v>
      </c>
      <c r="C110" s="168" t="s">
        <v>367</v>
      </c>
      <c r="D110" s="168" t="s">
        <v>472</v>
      </c>
      <c r="E110" s="171">
        <v>46041</v>
      </c>
      <c r="F110" s="171"/>
      <c r="G110" s="168" t="s">
        <v>39</v>
      </c>
      <c r="H110" s="181" t="s">
        <v>473</v>
      </c>
      <c r="I110" s="169">
        <v>-175272</v>
      </c>
      <c r="J110" s="170">
        <f>IF(I110="",AR110,I110)</f>
        <v>-175272</v>
      </c>
      <c r="K110" s="168" t="s">
        <v>5</v>
      </c>
      <c r="L110" s="168" t="s">
        <v>14</v>
      </c>
      <c r="M110" s="168" t="s">
        <v>20</v>
      </c>
      <c r="N110" s="167" t="s">
        <v>371</v>
      </c>
      <c r="O110" s="168" t="s">
        <v>39</v>
      </c>
      <c r="P110" s="168" t="s">
        <v>474</v>
      </c>
      <c r="Q110" s="169"/>
      <c r="R110" s="170">
        <f>IF(Q110="",AS110,Q110)</f>
        <v>13849726.528324874</v>
      </c>
      <c r="S110" s="168" t="s">
        <v>9</v>
      </c>
      <c r="T110" s="171" t="s">
        <v>475</v>
      </c>
      <c r="U110" s="168" t="s">
        <v>25</v>
      </c>
      <c r="V110" s="167" t="s">
        <v>371</v>
      </c>
      <c r="W110" s="172" t="s">
        <v>375</v>
      </c>
      <c r="X110" s="173">
        <f>IF(Y110="",VLOOKUP(H110,CLIENTS!$A$1:$O$649,5,FALSE),Y110)</f>
        <v>0</v>
      </c>
      <c r="Y110" s="174">
        <v>0</v>
      </c>
      <c r="Z110" s="173">
        <f>IF(AA110="",VLOOKUP(P110,CLIENTS!$A$1:$O$649,5,FALSE),AA110)</f>
        <v>1.0358047722565766E-2</v>
      </c>
      <c r="AA110" s="174">
        <v>1.0358047722565766E-2</v>
      </c>
      <c r="AB110" s="173" t="str">
        <f>IF(W110="via USD",IF(K110="EUR",K110&amp;"USD","USD"&amp;K110),IFERROR(VLOOKUP(K110&amp;S110,'FX RATES'!$H$2:$H$20,1,FALSE),S110&amp;K110))</f>
        <v>USDUSD</v>
      </c>
      <c r="AC110" s="175">
        <f>IF(LEFT(AB110,3)=RIGHT(AB110,3),0,IFERROR(INDEX(CLIENTS!$A$1:$O$649,MATCH(H110,CLIENTS!$A$1:$A$649,0),MATCH(AB110,CLIENTS!$A$1:$O$1,0)),0))</f>
        <v>0</v>
      </c>
      <c r="AD110" s="176"/>
      <c r="AE110" s="177">
        <f>IF(W110="CLIENT","",IF(AD110="",AH110+AC110,AD110+AC110))</f>
        <v>1</v>
      </c>
      <c r="AF110" s="177" t="str">
        <f>E110&amp;AB110</f>
        <v>46041USDUSD</v>
      </c>
      <c r="AG110" s="176"/>
      <c r="AH110" s="178">
        <f>IF(LEFT(AB110,3)=RIGHT(AB110,3),1,VLOOKUP(AB110,'FX RATES'!$H$1:$I$20,2,FALSE))</f>
        <v>1</v>
      </c>
      <c r="AI110" s="178">
        <f>IF(OR(AB110="USDAED",LEFT(AB110,3)=RIGHT(AB110,3)),AH110,IF(LEFT(AB110)="USD",AG110,IF(RIGHT(AB110,3)="USD",1,IFERROR(VLOOKUP(E110&amp;"USD"&amp;RIGHT(AB110,3),$AF:$AG,2,FALSE),VLOOKUP(E110&amp;"USD"&amp;RIGHT(AJ110,3),$AN:$AO,2,FALSE)))))</f>
        <v>1</v>
      </c>
      <c r="AJ110" s="173" t="str">
        <f>IF(W110="via USD",IF(S110="EUR",S110&amp;"USD","USD"&amp;S110),IFERROR(VLOOKUP(K110&amp;S110,'FX RATES'!$H$2:$H$20,1,FALSE),S110&amp;K110))</f>
        <v>USDRUB</v>
      </c>
      <c r="AK110" s="175">
        <f>IF(LEFT(AJ110,3)=RIGHT(AJ110,3),0,IFERROR(INDEX(CLIENTS!$A$1:$O$649,MATCH(P110,CLIENTS!$A$1:$A$649,0),MATCH(AJ110,CLIENTS!$A$1:$O$1,0)),0))</f>
        <v>0</v>
      </c>
      <c r="AL110" s="176">
        <v>78.2</v>
      </c>
      <c r="AM110" s="177">
        <f>IF(W110="VENDOR","",IF(AL110="",AP110+AK110,AL110+AK110))</f>
        <v>78.2</v>
      </c>
      <c r="AN110" s="177" t="str">
        <f>E110&amp;AJ110</f>
        <v>46041USDRUB</v>
      </c>
      <c r="AO110" s="176">
        <v>77.900000000000006</v>
      </c>
      <c r="AP110" s="178">
        <f ca="1">IF(LEFT(AJ110,3)=RIGHT(AJ110,3),1,VLOOKUP(AJ110,'FX RATES'!$H$1:$I$20,2,FALSE))</f>
        <v>76.720500000000001</v>
      </c>
      <c r="AQ110" s="178">
        <f>IF(OR(AJ110="USDAED",LEFT(AJ110,3)=RIGHT(AJ110,3)),AP110,IF(LEFT(AJ110)="USD",AO110,IF(RIGHT(AJ110,3)="USD",1,IFERROR(VLOOKUP(E110&amp;"USD"&amp;RIGHT(AJ110,3),$AN:$AO,2,FALSE),VLOOKUP(E110&amp;"USD"&amp;RIGHT(AB110,3),$AF:$AG,2,FALSE)))))</f>
        <v>77.900000000000006</v>
      </c>
      <c r="AR110" s="179">
        <f>-Q110*(1-Z110)/(1+X110)*IF(W110="CLIENT",IF(S110=RIGHT(AJ110,3),1/AM110,AM110),IF(W110="VENDOR",IF(S110=RIGHT(AJ110,3),1/AE110,AE110),AE110^(VLOOKUP(AB110,'FX RATES'!$H$1:$J$26,3,FALSE))/AM110^(VLOOKUP(AJ110,'FX RATES'!$H$1:$J$26,3,FALSE))))</f>
        <v>0</v>
      </c>
      <c r="AS110" s="179">
        <f>-I110*(1+X110)/(1-Z110)*IF(W110="VENDOR",IF(K110=RIGHT(AB110,3),1/AE110,AE110),IF(W110="CLIENT",IF(K110=RIGHT(AB110,3),1/AM110,AM110),AM110^(VLOOKUP(AJ110,'FX RATES'!$H$1:$J$26,3,FALSE))/AE110^(VLOOKUP(AB110,'FX RATES'!$H$1:$J$26,3,FALSE))))</f>
        <v>13849726.528324874</v>
      </c>
      <c r="AT110" s="170">
        <f>IF(AB110&lt;&gt;AJ110,J110/IF(K110=RIGHT(AB110,3),AE110,1/AE110),IF(S110="USD",J110/IF(K110=RIGHT(AB110,3),IF(W110="CLIENT",AM110,AE110),1/IF(W110="CLIENT",AM110,AE110)),J110*VLOOKUP(K110,'FX RATES'!$E$1:$F$10,2,FALSE)))</f>
        <v>-175272</v>
      </c>
      <c r="AU110" s="170">
        <f>IF(AB110&lt;&gt;AJ110,R110/IF(S110=RIGHT(AJ110,3),AM110,1/AM110),IF(K110="USD",R110/IF(S110=RIGHT(AJ110,3),IF(W110="CLIENT",AM110,AE110),1/IF(W110="CLIENT",AM110,AE110)),R110*VLOOKUP(S110,'FX RATES'!$E$1:$F$10,2,FALSE)))</f>
        <v>177106.47734430784</v>
      </c>
      <c r="AV110" s="170">
        <f>AT110+AU110</f>
        <v>1834.4773443078448</v>
      </c>
      <c r="AW110" s="169"/>
      <c r="AX110" s="170">
        <f>IF(AND(ISERROR(SEARCH("INVOICE",T110)),ISERROR(SEARCH("SWITCH",T110)),ISERROR(SEARCH("FOREX",T110)),ISERROR(SEARCH("REFUND",A110)),ISERROR(SEARCH("CANCELLED",A110))),IF(AW110="",-AT110*X110+AU110*Z110,AW110),0)</f>
        <v>1834.4773443078534</v>
      </c>
      <c r="AY110" s="170">
        <f>IF(AZ110="USD",AT110,IF(AZ110=K110,J110,-R110))</f>
        <v>-175272</v>
      </c>
      <c r="AZ110" s="170" t="str">
        <f>LEFT(AB110,3)</f>
        <v>USD</v>
      </c>
      <c r="BA110" s="542">
        <f>IF(OR(A110="REFUND",A110="CANCELLED"),0,IFERROR((IF(OR(AB110="USDAED",LEFT(AB110,3)=RIGHT(AB110,3)),AI110,AG110)-AE110)*-AY110*VLOOKUP(AB110,'FX RATES'!$H$1:$J$26,3,FALSE),0))</f>
        <v>0</v>
      </c>
      <c r="BB110" s="170" t="str">
        <f>RIGHT(AB110,3)</f>
        <v>USD</v>
      </c>
      <c r="BC110" s="542">
        <f>IF(BA110=0,0,IFERROR(BA110/IF(BB110&lt;&gt;"USD",AI110,1),"???"))</f>
        <v>0</v>
      </c>
      <c r="BD110" s="170">
        <f>IFERROR(-AC110/(IF(OR(AB110="USDAED",LEFT(AB110,3)=RIGHT(AB110,3)),AH110,AG110)-AE110)*BC110,0)</f>
        <v>0</v>
      </c>
      <c r="BE110" s="542">
        <f>BC110-BD110</f>
        <v>0</v>
      </c>
      <c r="BF110" s="170">
        <f>IF(BG110="USD",AU110,IF(BG110=S110,R110,-J110))</f>
        <v>177106.47734430784</v>
      </c>
      <c r="BG110" s="170" t="str">
        <f>LEFT(AJ110,3)</f>
        <v>USD</v>
      </c>
      <c r="BH110" s="542">
        <f>IF(OR(A110="REFUND",A110="CANCELLED"),0,IFERROR((IF(OR(AJ110="USDAED",LEFT(AJ110,3)=RIGHT(AJ110,3)),AQ110,AO110)-AM110)*-BF110*VLOOKUP(AJ110,'FX RATES'!$H$1:$J$26,3,FALSE),0))</f>
        <v>53131.943203291848</v>
      </c>
      <c r="BI110" s="170" t="str">
        <f>RIGHT(AJ110,3)</f>
        <v>RUB</v>
      </c>
      <c r="BJ110" s="542">
        <f>IF(BH110=0,0,IFERROR(BH110/IF(BI110&lt;&gt;"USD",AQ110,1),"???"))</f>
        <v>682.05318617832916</v>
      </c>
      <c r="BK110" s="170">
        <f>IFERROR(-AK110/(IF(OR(AJ110="USDAED",LEFT(AJ110,3)=RIGHT(AJ110,3)),AP110,AO110)-AM110)*BJ110,0)</f>
        <v>0</v>
      </c>
      <c r="BL110" s="542">
        <f>BJ110-BK110</f>
        <v>682.05318617832916</v>
      </c>
      <c r="BM110" s="170">
        <f>IF(AND(ISERROR(SEARCH("REFUND",A110)),ISERROR(SEARCH("CANCELLED",A110))),BD110+BK110,0)</f>
        <v>0</v>
      </c>
      <c r="BN110" s="542">
        <f>IF(AND(ISERROR(SEARCH("REFUND",A110)),ISERROR(SEARCH("CANCELLED",A110))),BE110+BL110,0)</f>
        <v>682.05318617832916</v>
      </c>
    </row>
    <row r="111" spans="1:66" ht="19.5" customHeight="1">
      <c r="A111" s="167" t="s">
        <v>366</v>
      </c>
      <c r="B111" s="168" t="s">
        <v>39</v>
      </c>
      <c r="C111" s="168" t="s">
        <v>383</v>
      </c>
      <c r="D111" s="168" t="s">
        <v>128</v>
      </c>
      <c r="E111" s="171">
        <v>46041</v>
      </c>
      <c r="F111" s="171"/>
      <c r="G111" s="168" t="s">
        <v>39</v>
      </c>
      <c r="H111" s="168" t="s">
        <v>410</v>
      </c>
      <c r="I111" s="169">
        <v>-13840000</v>
      </c>
      <c r="J111" s="170">
        <f>IF(I111="",AR111,I111)</f>
        <v>-13840000</v>
      </c>
      <c r="K111" s="168" t="s">
        <v>9</v>
      </c>
      <c r="L111" s="171" t="s">
        <v>411</v>
      </c>
      <c r="M111" s="168" t="s">
        <v>25</v>
      </c>
      <c r="N111" s="167" t="s">
        <v>371</v>
      </c>
      <c r="O111" s="168" t="s">
        <v>39</v>
      </c>
      <c r="P111" s="349" t="s">
        <v>410</v>
      </c>
      <c r="Q111" s="169"/>
      <c r="R111" s="170">
        <f>IF(Q111="",AS111,Q111)</f>
        <v>650681.71133051254</v>
      </c>
      <c r="S111" s="168" t="s">
        <v>8</v>
      </c>
      <c r="T111" s="171" t="s">
        <v>385</v>
      </c>
      <c r="U111" s="168" t="s">
        <v>20</v>
      </c>
      <c r="V111" s="167" t="s">
        <v>371</v>
      </c>
      <c r="W111" s="172" t="s">
        <v>382</v>
      </c>
      <c r="X111" s="173">
        <f>IF(Y111="",VLOOKUP(H111,CLIENTS!$A$1:$O$649,5,FALSE),Y111)</f>
        <v>0</v>
      </c>
      <c r="Y111" s="174">
        <v>0</v>
      </c>
      <c r="Z111" s="173">
        <f>IF(AA111="",VLOOKUP(P111,CLIENTS!$A$1:$O$649,5,FALSE),AA111)</f>
        <v>0</v>
      </c>
      <c r="AA111" s="174">
        <v>0</v>
      </c>
      <c r="AB111" s="173" t="str">
        <f>IF(W111="via USD",IF(K111="EUR",K111&amp;"USD","USD"&amp;K111),IFERROR(VLOOKUP(K111&amp;S111,'FX RATES'!$H$2:$H$20,1,FALSE),S111&amp;K111))</f>
        <v>AEDRUB</v>
      </c>
      <c r="AC111" s="175">
        <f>IF(LEFT(AB111,3)=RIGHT(AB111,3),0,IFERROR(INDEX(CLIENTS!$A$1:$O$649,MATCH(H111,CLIENTS!$A$1:$A$649,0),MATCH(AB111,CLIENTS!$A$1:$O$1,0)),0))</f>
        <v>0</v>
      </c>
      <c r="AD111" s="176">
        <v>21.27</v>
      </c>
      <c r="AE111" s="177">
        <f>IF(W111="CLIENT","",IF(AD111="",AH111+AC111,AD111+AC111))</f>
        <v>21.27</v>
      </c>
      <c r="AF111" s="177" t="str">
        <f>E111&amp;AB111</f>
        <v>46041AEDRUB</v>
      </c>
      <c r="AG111" s="176">
        <v>21.2117</v>
      </c>
      <c r="AH111" s="178">
        <f ca="1">IF(LEFT(AB111,3)=RIGHT(AB111,3),1,VLOOKUP(AB111,'FX RATES'!$H$1:$I$20,2,FALSE))</f>
        <v>20.8843</v>
      </c>
      <c r="AI111" s="178">
        <f>IF(OR(AB111="USDAED",LEFT(AB111,3)=RIGHT(AB111,3)),AH111,IF(LEFT(AB111)="USD",AG111,IF(RIGHT(AB111,3)="USD",1,IFERROR(VLOOKUP(E111&amp;"USD"&amp;RIGHT(AB111,3),$AF:$AG,2,FALSE),VLOOKUP(E111&amp;"USD"&amp;RIGHT(AJ111,3),$AN:$AO,2,FALSE)))))</f>
        <v>77.900000000000006</v>
      </c>
      <c r="AJ111" s="173" t="str">
        <f>IF(W111="via USD",IF(S111="EUR",S111&amp;"USD","USD"&amp;S111),IFERROR(VLOOKUP(K111&amp;S111,'FX RATES'!$H$2:$H$20,1,FALSE),S111&amp;K111))</f>
        <v>AEDRUB</v>
      </c>
      <c r="AK111" s="175">
        <f>IF(LEFT(AJ111,3)=RIGHT(AJ111,3),0,IFERROR(INDEX(CLIENTS!$A$1:$O$649,MATCH(P111,CLIENTS!$A$1:$A$649,0),MATCH(AJ111,CLIENTS!$A$1:$O$1,0)),0))</f>
        <v>0</v>
      </c>
      <c r="AL111" s="176"/>
      <c r="AM111" s="177" t="str">
        <f>IF(W111="VENDOR","",IF(AL111="",AP111+AK111,AL111+AK111))</f>
        <v/>
      </c>
      <c r="AN111" s="177" t="str">
        <f>E111&amp;AJ111</f>
        <v>46041AEDRUB</v>
      </c>
      <c r="AO111" s="176"/>
      <c r="AP111" s="178">
        <f ca="1">IF(LEFT(AJ111,3)=RIGHT(AJ111,3),1,VLOOKUP(AJ111,'FX RATES'!$H$1:$I$20,2,FALSE))</f>
        <v>20.8843</v>
      </c>
      <c r="AQ111" s="178">
        <f>IF(OR(AJ111="USDAED",LEFT(AJ111,3)=RIGHT(AJ111,3)),AP111,IF(LEFT(AJ111)="USD",AO111,IF(RIGHT(AJ111,3)="USD",1,IFERROR(VLOOKUP(E111&amp;"USD"&amp;RIGHT(AJ111,3),$AN:$AO,2,FALSE),VLOOKUP(E111&amp;"USD"&amp;RIGHT(AB111,3),$AF:$AG,2,FALSE)))))</f>
        <v>77.900000000000006</v>
      </c>
      <c r="AR111" s="179">
        <f>-Q111*(1-Z111)/(1+X111)*IF(W111="CLIENT",IF(S111=RIGHT(AJ111,3),1/AM111,AM111),IF(W111="VENDOR",IF(S111=RIGHT(AJ111,3),1/AE111,AE111),AE111^(VLOOKUP(AB111,'FX RATES'!$H$1:$J$26,3,FALSE))/AM111^(VLOOKUP(AJ111,'FX RATES'!$H$1:$J$26,3,FALSE))))</f>
        <v>0</v>
      </c>
      <c r="AS111" s="179">
        <f>-I111*(1+X111)/(1-Z111)*IF(W111="VENDOR",IF(K111=RIGHT(AB111,3),1/AE111,AE111),IF(W111="CLIENT",IF(K111=RIGHT(AB111,3),1/AM111,AM111),AM111^(VLOOKUP(AJ111,'FX RATES'!$H$1:$J$26,3,FALSE))/AE111^(VLOOKUP(AB111,'FX RATES'!$H$1:$J$26,3,FALSE))))</f>
        <v>650681.71133051254</v>
      </c>
      <c r="AT111" s="170">
        <f ca="1">IF(AB111&lt;&gt;AJ111,J111/IF(K111=RIGHT(AB111,3),AE111,1/AE111),IF(S111="USD",J111/IF(K111=RIGHT(AB111,3),IF(W111="CLIENT",AM111,AE111),1/IF(W111="CLIENT",AM111,AE111)),J111*VLOOKUP(K111,'FX RATES'!$E$1:$F$10,2,FALSE)))</f>
        <v>-180395.07041794565</v>
      </c>
      <c r="AU111" s="170">
        <f ca="1">IF(AB111&lt;&gt;AJ111,R111/IF(S111=RIGHT(AJ111,3),AM111,1/AM111),IF(K111="USD",R111/IF(S111=RIGHT(AJ111,3),IF(W111="CLIENT",AM111,AE111),1/IF(W111="CLIENT",AM111,AE111)),R111*VLOOKUP(S111,'FX RATES'!$E$1:$F$10,2,FALSE)))</f>
        <v>177171.95211308406</v>
      </c>
      <c r="AV111" s="170">
        <f ca="1">AT111+AU111</f>
        <v>-3223.1183048615931</v>
      </c>
      <c r="AW111" s="169"/>
      <c r="AX111" s="170">
        <f ca="1">IF(AND(ISERROR(SEARCH("INVOICE",T111)),ISERROR(SEARCH("SWITCH",T111)),ISERROR(SEARCH("FOREX",T111)),ISERROR(SEARCH("REFUND",A111)),ISERROR(SEARCH("CANCELLED",A111))),IF(AW111="",-AT111*X111+AU111*Z111,AW111),0)</f>
        <v>0</v>
      </c>
      <c r="AY111" s="170">
        <f>IF(AZ111="USD",AT111,IF(AZ111=K111,J111,-R111))</f>
        <v>-650681.71133051254</v>
      </c>
      <c r="AZ111" s="170" t="str">
        <f>LEFT(AB111,3)</f>
        <v>AED</v>
      </c>
      <c r="BA111" s="542">
        <f>IF(OR(A111="REFUND",A111="CANCELLED"),0,IFERROR((IF(OR(AB111="USDAED",LEFT(AB111,3)=RIGHT(AB111,3)),AI111,AG111)-AE111)*-AY111*VLOOKUP(AB111,'FX RATES'!$H$1:$J$26,3,FALSE),0))</f>
        <v>-37934.743770568319</v>
      </c>
      <c r="BB111" s="170" t="str">
        <f>RIGHT(AB111,3)</f>
        <v>RUB</v>
      </c>
      <c r="BC111" s="542">
        <f>IF(BA111=0,0,IFERROR(BA111/IF(BB111&lt;&gt;"USD",AI111,1),"???"))</f>
        <v>-486.96718575825821</v>
      </c>
      <c r="BD111" s="170">
        <f>IFERROR(-AC111/(IF(OR(AB111="USDAED",LEFT(AB111,3)=RIGHT(AB111,3)),AH111,AG111)-AE111)*BC111,0)</f>
        <v>0</v>
      </c>
      <c r="BE111" s="542">
        <f>BC111-BD111</f>
        <v>-486.96718575825821</v>
      </c>
      <c r="BF111" s="170">
        <f>IF(BG111="USD",AU111,IF(BG111=S111,R111,-J111))</f>
        <v>650681.71133051254</v>
      </c>
      <c r="BG111" s="170" t="str">
        <f>LEFT(AJ111,3)</f>
        <v>AED</v>
      </c>
      <c r="BH111" s="542">
        <f>IF(OR(A111="REFUND",A111="CANCELLED"),0,IFERROR((IF(OR(AJ111="USDAED",LEFT(AJ111,3)=RIGHT(AJ111,3)),AQ111,AO111)-AM111)*-BF111*VLOOKUP(AJ111,'FX RATES'!$H$1:$J$26,3,FALSE),0))</f>
        <v>0</v>
      </c>
      <c r="BI111" s="170" t="str">
        <f>RIGHT(AJ111,3)</f>
        <v>RUB</v>
      </c>
      <c r="BJ111" s="542">
        <f>IF(BH111=0,0,IFERROR(BH111/IF(BI111&lt;&gt;"USD",AQ111,1),"???"))</f>
        <v>0</v>
      </c>
      <c r="BK111" s="170">
        <f>IFERROR(-AK111/(IF(OR(AJ111="USDAED",LEFT(AJ111,3)=RIGHT(AJ111,3)),AP111,AO111)-AM111)*BJ111,0)</f>
        <v>0</v>
      </c>
      <c r="BL111" s="542">
        <f>BJ111-BK111</f>
        <v>0</v>
      </c>
      <c r="BM111" s="170">
        <f>IF(AND(ISERROR(SEARCH("REFUND",A111)),ISERROR(SEARCH("CANCELLED",A111))),BD111+BK111,0)</f>
        <v>0</v>
      </c>
      <c r="BN111" s="542">
        <f>IF(AND(ISERROR(SEARCH("REFUND",A111)),ISERROR(SEARCH("CANCELLED",A111))),BE111+BL111,0)</f>
        <v>-486.96718575825821</v>
      </c>
    </row>
    <row r="113" spans="1:66" ht="19.5" customHeight="1">
      <c r="A113" s="167" t="s">
        <v>366</v>
      </c>
      <c r="B113" s="168" t="s">
        <v>102</v>
      </c>
      <c r="C113" s="181" t="s">
        <v>367</v>
      </c>
      <c r="D113" s="181" t="s">
        <v>418</v>
      </c>
      <c r="E113" s="171">
        <v>46041</v>
      </c>
      <c r="F113" s="171"/>
      <c r="G113" s="168" t="s">
        <v>102</v>
      </c>
      <c r="H113" s="168" t="s">
        <v>419</v>
      </c>
      <c r="I113" s="169">
        <v>-400000</v>
      </c>
      <c r="J113" s="170">
        <f>IF(I113="",AR113,I113)</f>
        <v>-400000</v>
      </c>
      <c r="K113" s="168" t="s">
        <v>5</v>
      </c>
      <c r="L113" s="168" t="s">
        <v>420</v>
      </c>
      <c r="M113" s="168" t="s">
        <v>420</v>
      </c>
      <c r="N113" s="167" t="s">
        <v>371</v>
      </c>
      <c r="O113" s="168" t="s">
        <v>52</v>
      </c>
      <c r="P113" s="168" t="s">
        <v>421</v>
      </c>
      <c r="Q113" s="169"/>
      <c r="R113" s="170">
        <f>IF(Q113="",AS113,Q113)</f>
        <v>402010.05025125627</v>
      </c>
      <c r="S113" s="168" t="s">
        <v>53</v>
      </c>
      <c r="T113" s="168" t="s">
        <v>420</v>
      </c>
      <c r="U113" s="168" t="s">
        <v>54</v>
      </c>
      <c r="V113" s="167" t="s">
        <v>371</v>
      </c>
      <c r="W113" s="172" t="s">
        <v>375</v>
      </c>
      <c r="X113" s="173">
        <f>IF(Y113="",VLOOKUP(H113,CLIENTS!$A$1:$O$649,5,FALSE),Y113)</f>
        <v>0</v>
      </c>
      <c r="Y113" s="174">
        <v>0</v>
      </c>
      <c r="Z113" s="173">
        <f>IF(AA113="",VLOOKUP(P113,CLIENTS!$A$1:$O$649,5,FALSE),AA113)</f>
        <v>5.0000000000000001E-3</v>
      </c>
      <c r="AA113" s="174">
        <v>5.0000000000000001E-3</v>
      </c>
      <c r="AB113" s="173" t="str">
        <f>IF(W113="via USD",IF(K113="EUR",K113&amp;"USD","USD"&amp;K113),IFERROR(VLOOKUP(K113&amp;S113,'FX RATES'!$H$2:$H$20,1,FALSE),S113&amp;K113))</f>
        <v>USDUSD</v>
      </c>
      <c r="AC113" s="175">
        <f>IF(LEFT(AB113,3)=RIGHT(AB113,3),0,IFERROR(INDEX(CLIENTS!$A$1:$O$649,MATCH(H113,CLIENTS!$A$1:$A$649,0),MATCH(AB113,CLIENTS!$A$1:$O$1,0)),0))</f>
        <v>0</v>
      </c>
      <c r="AD113" s="176"/>
      <c r="AE113" s="177">
        <f>IF(W113="CLIENT","",IF(AD113="",AH113+AC113,AD113+AC113))</f>
        <v>1</v>
      </c>
      <c r="AF113" s="177" t="str">
        <f>E113&amp;AB113</f>
        <v>46041USDUSD</v>
      </c>
      <c r="AG113" s="176"/>
      <c r="AH113" s="178">
        <f>IF(LEFT(AB113,3)=RIGHT(AB113,3),1,VLOOKUP(AB113,'FX RATES'!$H$1:$I$20,2,FALSE))</f>
        <v>1</v>
      </c>
      <c r="AI113" s="178">
        <f>IF(OR(AB113="USDAED",LEFT(AB113,3)=RIGHT(AB113,3)),AH113,IF(LEFT(AB113)="USD",AG113,IF(RIGHT(AB113,3)="USD",1,IFERROR(VLOOKUP(E113&amp;"USD"&amp;RIGHT(AB113,3),$AF:$AG,2,FALSE),VLOOKUP(E113&amp;"USD"&amp;RIGHT(AJ113,3),$AN:$AO,2,FALSE)))))</f>
        <v>1</v>
      </c>
      <c r="AJ113" s="173" t="str">
        <f>IF(W113="via USD",IF(S113="EUR",S113&amp;"USD","USD"&amp;S113),IFERROR(VLOOKUP(K113&amp;S113,'FX RATES'!$H$2:$H$20,1,FALSE),S113&amp;K113))</f>
        <v>USDUSDT</v>
      </c>
      <c r="AK113" s="175">
        <f>IF(LEFT(AJ113,3)=RIGHT(AJ113,3),0,IFERROR(INDEX(CLIENTS!$A$1:$O$649,MATCH(P113,CLIENTS!$A$1:$A$649,0),MATCH(AJ113,CLIENTS!$A$1:$O$1,0)),0))</f>
        <v>0</v>
      </c>
      <c r="AL113" s="176"/>
      <c r="AM113" s="177">
        <f>IF(W113="VENDOR","",IF(AL113="",AP113+AK113,AL113+AK113))</f>
        <v>1</v>
      </c>
      <c r="AN113" s="177" t="str">
        <f>E113&amp;AJ113</f>
        <v>46041USDUSDT</v>
      </c>
      <c r="AO113" s="176"/>
      <c r="AP113" s="178">
        <f>IF(LEFT(AJ113,3)=RIGHT(AJ113,3),1,VLOOKUP(AJ113,'FX RATES'!$H$1:$I$50,2,FALSE))</f>
        <v>1</v>
      </c>
      <c r="AQ113" s="178">
        <f>IF(OR(AJ113="USDAED",LEFT(AJ113,3)=RIGHT(AJ113,3),AJ113="USDUSDT",AJ113="USDTUSD"),AP113,IF(LEFT(AJ113)="USD",AO113,IF(RIGHT(AJ113,3)="USD",1,IFERROR(VLOOKUP(E113&amp;"USD"&amp;RIGHT(AJ113,3),$AN:$AO,2,FALSE),VLOOKUP(E113&amp;"USD"&amp;RIGHT(AB113,3),$AF:$AG,2,FALSE)))))</f>
        <v>1</v>
      </c>
      <c r="AR113" s="179">
        <f>-Q113*(1-Z113)/(1+X113)*IF(W113="CLIENT",IF(S113=RIGHT(AJ113,3),1/AM113,AM113),IF(W113="VENDOR",IF(S113=RIGHT(AJ113,3),1/AE113,AE113),AE113^(VLOOKUP(AB113,'FX RATES'!$H$1:$J$26,3,FALSE))/AM113^(VLOOKUP(AJ113,'FX RATES'!$H$1:$J$26,3,FALSE))))</f>
        <v>0</v>
      </c>
      <c r="AS113" s="179">
        <f>-I113*(1+X113)/(1-Z113)*IF(W113="VENDOR",IF(K113=RIGHT(AB113,3),1/AE113,AE113),IF(W113="CLIENT",IF(K113=RIGHT(AB113,3),1/AM113,AM113),AM113^(VLOOKUP(AJ113,'FX RATES'!$H$1:$J$26,3,FALSE))/AE113^(VLOOKUP(AB113,'FX RATES'!$H$1:$J$26,3,FALSE))))</f>
        <v>402010.05025125627</v>
      </c>
      <c r="AT113" s="170">
        <f>IF(AB113&lt;&gt;AJ113,J113/IF(K113=RIGHT(AB113,3),AE113,1/AE113),IF(S113="USD",J113/IF(K113=RIGHT(AB113,3),IF(W113="CLIENT",AM113,AE113),1/IF(W113="CLIENT",AM113,AE113)),J113*VLOOKUP(K113,'FX RATES'!$E$1:$F$10,2,FALSE)))</f>
        <v>-400000</v>
      </c>
      <c r="AU113" s="170">
        <f>IF(AB113&lt;&gt;AJ113,R113/IF(S113=RIGHT(AJ113,3),AM113,1/AM113),IF(K113="USD",R113/IF(S113=RIGHT(AJ113,3),IF(W113="CLIENT",AM113,AE113),1/IF(W113="CLIENT",AM113,AE113)),R113*VLOOKUP(S113,'FX RATES'!$E$1:$F$10,2,FALSE)))</f>
        <v>402010.05025125627</v>
      </c>
      <c r="AV113" s="170">
        <f>AT113+AU113</f>
        <v>2010.0502512562671</v>
      </c>
      <c r="AW113" s="169"/>
      <c r="AX113" s="170">
        <f>IF(AND(ISERROR(SEARCH("INVOICE",T113)),ISERROR(SEARCH("SWITCH",T113)),ISERROR(SEARCH("FOREX",T113)),ISERROR(SEARCH("REFUND",A113)),ISERROR(SEARCH("CANCELLED",A113))),IF(AW113="",-AT113*X113+AU113*Z113,AW113),0)</f>
        <v>2010.0502512562814</v>
      </c>
      <c r="AY113" s="170">
        <f>IF(AZ113="USD",AT113,IF(AZ113=K113,J113,-R113))</f>
        <v>-400000</v>
      </c>
      <c r="AZ113" s="170" t="str">
        <f>LEFT(AB113,3)</f>
        <v>USD</v>
      </c>
      <c r="BA113" s="542">
        <f>IF(OR(A113="REFUND",A113="CANCELLED"),0,IFERROR((IF(OR(AB113="USDAED",LEFT(AB113,3)=RIGHT(AB113,3)),AI113,AG113)-AE113)*-AY113*VLOOKUP(AB113,'FX RATES'!$H$1:$J$26,3,FALSE),0))</f>
        <v>0</v>
      </c>
      <c r="BB113" s="170" t="str">
        <f>RIGHT(AB113,3)</f>
        <v>USD</v>
      </c>
      <c r="BC113" s="542">
        <f>IF(BA113=0,0,IFERROR(BA113/IF(BB113&lt;&gt;"USD",AI113,1),"???"))</f>
        <v>0</v>
      </c>
      <c r="BD113" s="170">
        <f>IFERROR(-AC113/(IF(OR(AB113="USDAED",LEFT(AB113,3)=RIGHT(AB113,3)),AH113,AG113)-AE113)*BC113,0)</f>
        <v>0</v>
      </c>
      <c r="BE113" s="542">
        <f>BC113-BD113</f>
        <v>0</v>
      </c>
      <c r="BF113" s="170">
        <f>IF(BG113="USD",AU113,IF(BG113=S113,R113,-J113))</f>
        <v>402010.05025125627</v>
      </c>
      <c r="BG113" s="170" t="str">
        <f>LEFT(AJ113,3)</f>
        <v>USD</v>
      </c>
      <c r="BH113" s="542">
        <f>IF(OR(A113="REFUND",A113="CANCELLED"),0,IFERROR((IF(OR(AJ113="USDAED",LEFT(AJ113,3)=RIGHT(AJ113,3),AJ113="USDUSDT",AJ113="USDTUSD"),AQ113,AO113)-AM113)*-BF113*VLOOKUP(AJ113,'FX RATES'!$H$1:$J$26,3,FALSE),0))</f>
        <v>0</v>
      </c>
      <c r="BI113" s="170" t="str">
        <f>RIGHT(AJ113,4)</f>
        <v>USDT</v>
      </c>
      <c r="BJ113" s="542">
        <f>IF(BH113=0,0,IFERROR(BH113/IF(BI113&lt;&gt;"USD",AQ113,1),"???"))</f>
        <v>0</v>
      </c>
      <c r="BK113" s="170">
        <f>IFERROR(-AK113/(IF(OR(AJ113="USDAED",LEFT(AJ113,3)=RIGHT(AJ113,3)),AP113,AO113)-AM113)*BJ113,0)</f>
        <v>0</v>
      </c>
      <c r="BL113" s="542">
        <f>BJ113-BK113</f>
        <v>0</v>
      </c>
      <c r="BM113" s="170">
        <f>IF(AND(ISERROR(SEARCH("REFUND",A113)),ISERROR(SEARCH("CANCELLED",A113))),BD113+BK113,0)</f>
        <v>0</v>
      </c>
      <c r="BN113" s="542">
        <f>IF(AND(ISERROR(SEARCH("REFUND",A113)),ISERROR(SEARCH("CANCELLED",A113))),BE113+BL113,0)</f>
        <v>0</v>
      </c>
    </row>
    <row r="114" spans="1:66" ht="19.5" customHeight="1">
      <c r="A114" s="167" t="s">
        <v>366</v>
      </c>
      <c r="B114" s="172" t="s">
        <v>102</v>
      </c>
      <c r="C114" s="172" t="s">
        <v>102</v>
      </c>
      <c r="D114" s="181" t="s">
        <v>368</v>
      </c>
      <c r="E114" s="171">
        <v>46041</v>
      </c>
      <c r="F114" s="171"/>
      <c r="G114" s="172" t="s">
        <v>102</v>
      </c>
      <c r="H114" s="172" t="s">
        <v>104</v>
      </c>
      <c r="I114" s="169"/>
      <c r="J114" s="170">
        <f>IF(I114="",AR114,I114)</f>
        <v>-401600</v>
      </c>
      <c r="K114" s="172" t="s">
        <v>53</v>
      </c>
      <c r="L114" s="172" t="s">
        <v>420</v>
      </c>
      <c r="M114" s="172" t="s">
        <v>54</v>
      </c>
      <c r="N114" s="167" t="s">
        <v>371</v>
      </c>
      <c r="O114" s="172" t="s">
        <v>102</v>
      </c>
      <c r="P114" s="172" t="s">
        <v>104</v>
      </c>
      <c r="Q114" s="169">
        <f>-J113</f>
        <v>400000</v>
      </c>
      <c r="R114" s="170">
        <f>IF(Q114="",AS114,Q114)</f>
        <v>400000</v>
      </c>
      <c r="S114" s="172" t="s">
        <v>5</v>
      </c>
      <c r="T114" s="171" t="s">
        <v>420</v>
      </c>
      <c r="U114" s="172" t="s">
        <v>54</v>
      </c>
      <c r="V114" s="167" t="s">
        <v>371</v>
      </c>
      <c r="W114" s="172" t="s">
        <v>375</v>
      </c>
      <c r="X114" s="173">
        <f>IF(Y114="",VLOOKUP(H114,CLIENTS!$A$1:$O$649,5,FALSE),Y114)</f>
        <v>0</v>
      </c>
      <c r="Y114" s="174">
        <v>0</v>
      </c>
      <c r="Z114" s="173">
        <f>IF(AA114="",VLOOKUP(P114,CLIENTS!$A$1:$O$649,5,FALSE),AA114)</f>
        <v>-4.0000000000000001E-3</v>
      </c>
      <c r="AA114" s="174">
        <v>-4.0000000000000001E-3</v>
      </c>
      <c r="AB114" s="173" t="str">
        <f>IF(W114="via USD",IF(K114="EUR",K114&amp;"USD","USD"&amp;K114),IFERROR(VLOOKUP(K114&amp;S114,'FX RATES'!$H$2:$H$55,1,FALSE),S114&amp;K114))</f>
        <v>USDUSDT</v>
      </c>
      <c r="AC114" s="175">
        <f>IF(LEFT(AB114,3)=RIGHT(AB114,3),0,IFERROR(INDEX(CLIENTS!$A$1:$O$649,MATCH(H114,CLIENTS!$A$1:$A$649,0),MATCH(AB114,CLIENTS!$A$1:$O$1,0)),0))</f>
        <v>0</v>
      </c>
      <c r="AD114" s="176"/>
      <c r="AE114" s="177">
        <f>IF(W114="CLIENT","",IF(AD114="",AH114+AC114,AD114+AC114))</f>
        <v>1</v>
      </c>
      <c r="AF114" s="177" t="str">
        <f>E114&amp;AB114</f>
        <v>46041USDUSDT</v>
      </c>
      <c r="AG114" s="176">
        <v>1</v>
      </c>
      <c r="AH114" s="178">
        <f>IF(OR(LEFT(AB114,3)=RIGHT(AB114,3),OR(AB114="USDUSDT",AB114="USDTUSD")),1,VLOOKUP(AB114,'FX RATES'!$H$1:$I$20,2,FALSE))</f>
        <v>1</v>
      </c>
      <c r="AI114" s="178">
        <f>IF(OR(AB114="USDAED",LEFT(AB114,3)=RIGHT(AB114,3)),AH114,IF(LEFT(AB114)="USD",AG114,IF(OR(RIGHT(AB114,3)="USD",RIGHT(AB114,4)="USDT"),1,IFERROR(VLOOKUP(E114&amp;"USD"&amp;RIGHT(AB114,3),$AF:$AG,2,FALSE),VLOOKUP(E114&amp;"USD"&amp;RIGHT(AJ114,3),$AN:$AO,2,FALSE)))))</f>
        <v>1</v>
      </c>
      <c r="AJ114" s="173" t="str">
        <f>IF(W114="via USD",IF(S114="EUR",S114&amp;"USD","USD"&amp;S114),IFERROR(VLOOKUP(K114&amp;S114,'FX RATES'!$H$2:$H$20,1,FALSE),S114&amp;K114))</f>
        <v>USDUSD</v>
      </c>
      <c r="AK114" s="175">
        <f>IF(LEFT(AJ114,3)=RIGHT(AJ114,3),0,IFERROR(INDEX(CLIENTS!$A$1:$O$649,MATCH(P114,CLIENTS!$A$1:$A$649,0),MATCH(AJ114,CLIENTS!$A$1:$O$1,0)),0))</f>
        <v>0</v>
      </c>
      <c r="AL114" s="176"/>
      <c r="AM114" s="177">
        <f>IF(W114="VENDOR","",IF(AL114="",AP114+AK114,AL114+AK114))</f>
        <v>1</v>
      </c>
      <c r="AN114" s="177" t="str">
        <f>E114&amp;AJ114</f>
        <v>46041USDUSD</v>
      </c>
      <c r="AO114" s="176"/>
      <c r="AP114" s="178">
        <f>IF(OR(LEFT(AJ114,3)=RIGHT(AJ114,3),AND(OR(AB114="USDUSDT",AB114="USDTUSD"),OR(AJ114="USDUSDT",AJ114="USDTUSD"))),1,VLOOKUP(AJ114,'FX RATES'!$H$1:$I$20,2,FALSE))</f>
        <v>1</v>
      </c>
      <c r="AQ114" s="178">
        <f>IF(OR(AJ114="USDAED",LEFT(AJ114,3)=RIGHT(AJ114,3)),AP114,IF(LEFT(AJ114)="USD",AO114,IF(OR(RIGHT(AB114,3)="USD",RIGHT(AB114,4)="USDT"),1,IFERROR(VLOOKUP(E114&amp;"USD"&amp;RIGHT(AJ114,3),$AN:$AO,2,FALSE),VLOOKUP(E114&amp;"USD"&amp;RIGHT(AB114,3),$AF:$AG,2,FALSE)))))</f>
        <v>1</v>
      </c>
      <c r="AR114" s="179">
        <f>-Q114*(1-Z114)/(1+X114)*IF(W114="CLIENT",IF(S114=RIGHT(AJ114,3),1/AM114,AM114),IF(W114="VENDOR",IF(S114=RIGHT(AJ114,3),1/AE114,AE114),AE114^(VLOOKUP(AB114,'FX RATES'!$H$1:$J$26,3,FALSE))/AM114^(VLOOKUP(AJ114,'FX RATES'!$H$1:$J$26,3,FALSE))))</f>
        <v>-401600</v>
      </c>
      <c r="AS114" s="179">
        <f>-I114*(1+X114)/(1-Z114)*IF(W114="VENDOR",IF(K114=RIGHT(AB114,3),1/AE114,AE114),IF(W114="CLIENT",IF(K114=RIGHT(AB114,3),1/AM114,AM114),AM114^(VLOOKUP(AJ114,'FX RATES'!$H$1:$J$26,3,FALSE))/AE114^(VLOOKUP(AB114,'FX RATES'!$H$1:$J$26,3,FALSE))))</f>
        <v>0</v>
      </c>
      <c r="AT114" s="170">
        <f>IF(AB114&lt;&gt;AJ114,J114/IF(K114=RIGHT(AB114,3),AE114,1/AE114),IF(S114="USD",J114/IF(K114=RIGHT(AB114,3),IF(W114="CLIENT",AM114,AE114),1/IF(W114="CLIENT",AM114,AE114)),J114*VLOOKUP(K114,'FX RATES'!$E$1:$F$10,2,FALSE)))</f>
        <v>-401600</v>
      </c>
      <c r="AU114" s="170">
        <f>IF(AB114&lt;&gt;AJ114,R114/IF(S114=RIGHT(AJ114,3),AM114,1/AM114),IF(K114="USD",R114/IF(S114=RIGHT(AJ114,3),IF(W114="CLIENT",AM114,AE114),1/IF(W114="CLIENT",AM114,AE114)),R114*VLOOKUP(S114,'FX RATES'!$E$1:$F$10,2,FALSE)))</f>
        <v>400000</v>
      </c>
      <c r="AV114" s="170">
        <f>AT114+AU114</f>
        <v>-1600</v>
      </c>
      <c r="AW114" s="169"/>
      <c r="AX114" s="170">
        <f>IF(AND(ISERROR(SEARCH("INVOICE",T114)),ISERROR(SEARCH("SWITCH",T114)),ISERROR(SEARCH("FOREX",T114)),ISERROR(SEARCH("REFUND",A114)),ISERROR(SEARCH("CANCELLED",A114))),IF(AW114="",-AT114*X114+AU114*Z114,AW114),0)</f>
        <v>-1600</v>
      </c>
      <c r="AY114" s="170">
        <f>IF(AZ114="USD",AT114,IF(AZ114=K114,J114,-R114))</f>
        <v>-401600</v>
      </c>
      <c r="AZ114" s="170" t="str">
        <f>LEFT(AB114,3)</f>
        <v>USD</v>
      </c>
      <c r="BA114" s="542">
        <f>IF(OR(A114="REFUND",A114="CANCELLED"),0,IFERROR((IF(OR(AB114="USDAED",LEFT(AB114,3)=RIGHT(AB114,3)),AI114,AG114)-AE114)*-AY114*VLOOKUP(AB114,'FX RATES'!$H$1:$J$26,3,FALSE),0))</f>
        <v>0</v>
      </c>
      <c r="BB114" s="170" t="str">
        <f>RIGHT(AB114,4)</f>
        <v>USDT</v>
      </c>
      <c r="BC114" s="542">
        <f>IF(BA114=0,0,IFERROR(BA114/IF(BB114&lt;&gt;"USD",AI114,1),"???"))</f>
        <v>0</v>
      </c>
      <c r="BD114" s="170">
        <f>IFERROR(-AC114/(IF(OR(AB114="USDAED",LEFT(AB114,3)=RIGHT(AB114,3)),AH114,AG114)-AE114)*BC114,0)</f>
        <v>0</v>
      </c>
      <c r="BE114" s="542">
        <f>BC114-BD114</f>
        <v>0</v>
      </c>
      <c r="BF114" s="170">
        <f>IF(BG114="USD",AU114,IF(BG114=S114,R114,-J114))</f>
        <v>400000</v>
      </c>
      <c r="BG114" s="170" t="str">
        <f>LEFT(AJ114,3)</f>
        <v>USD</v>
      </c>
      <c r="BH114" s="542">
        <f>IF(OR(A114="REFUND",A114="CANCELLED"),0,IFERROR((IF(OR(AJ114="USDAED",LEFT(AJ114,3)=RIGHT(AJ114,3)),AQ114,AO114)-AM114)*-BF114*VLOOKUP(AJ114,'FX RATES'!$H$1:$J$26,3,FALSE),0))</f>
        <v>0</v>
      </c>
      <c r="BI114" s="170" t="str">
        <f>RIGHT(AJ114,3)</f>
        <v>USD</v>
      </c>
      <c r="BJ114" s="542">
        <f>IF(BH114=0,0,IFERROR(BH114/IF(BI114&lt;&gt;"USD",AQ114,1),"???"))</f>
        <v>0</v>
      </c>
      <c r="BK114" s="170">
        <f>IFERROR(-AK114/(IF(OR(AJ114="USDAED",LEFT(AJ114,3)=RIGHT(AJ114,3)),AP114,AO114)-AM114)*BJ114,0)</f>
        <v>0</v>
      </c>
      <c r="BL114" s="542">
        <f>BJ114-BK114</f>
        <v>0</v>
      </c>
      <c r="BM114" s="170">
        <f>IF(AND(ISERROR(SEARCH("REFUND",A114)),ISERROR(SEARCH("CANCELLED",A114))),BD114+BK114,0)</f>
        <v>0</v>
      </c>
      <c r="BN114" s="542">
        <f>IF(AND(ISERROR(SEARCH("REFUND",A114)),ISERROR(SEARCH("CANCELLED",A114))),BE114+BL114,0)</f>
        <v>0</v>
      </c>
    </row>
    <row r="116" spans="1:66" ht="19.5" customHeight="1">
      <c r="A116" s="167" t="s">
        <v>366</v>
      </c>
      <c r="B116" s="168" t="s">
        <v>52</v>
      </c>
      <c r="C116" s="168" t="s">
        <v>381</v>
      </c>
      <c r="D116" s="168" t="s">
        <v>128</v>
      </c>
      <c r="E116" s="171">
        <v>46041</v>
      </c>
      <c r="F116" s="171"/>
      <c r="G116" s="168" t="s">
        <v>52</v>
      </c>
      <c r="H116" s="181" t="s">
        <v>52</v>
      </c>
      <c r="I116" s="169"/>
      <c r="J116" s="170">
        <f>IF(I116="",AR116,I116)</f>
        <v>-4741651.8600000003</v>
      </c>
      <c r="K116" s="168" t="s">
        <v>9</v>
      </c>
      <c r="L116" s="171" t="s">
        <v>25</v>
      </c>
      <c r="M116" s="168" t="s">
        <v>25</v>
      </c>
      <c r="N116" s="167" t="s">
        <v>371</v>
      </c>
      <c r="O116" s="168" t="s">
        <v>52</v>
      </c>
      <c r="P116" s="168" t="s">
        <v>52</v>
      </c>
      <c r="Q116" s="169">
        <v>4741651.8600000003</v>
      </c>
      <c r="R116" s="170">
        <f>IF(Q116="",AS116,Q116)</f>
        <v>4741651.8600000003</v>
      </c>
      <c r="S116" s="168" t="s">
        <v>9</v>
      </c>
      <c r="T116" s="171" t="s">
        <v>25</v>
      </c>
      <c r="U116" s="168" t="s">
        <v>25</v>
      </c>
      <c r="V116" s="167" t="s">
        <v>371</v>
      </c>
      <c r="W116" s="172" t="s">
        <v>382</v>
      </c>
      <c r="X116" s="173">
        <f>IF(Y116="",VLOOKUP(H116,CLIENTS!$A$1:$O$649,5,FALSE),Y116)</f>
        <v>0</v>
      </c>
      <c r="Y116" s="174"/>
      <c r="Z116" s="173">
        <f>IF(AA116="",VLOOKUP(P116,CLIENTS!$A$1:$O$649,5,FALSE),AA116)</f>
        <v>0</v>
      </c>
      <c r="AA116" s="174"/>
      <c r="AB116" s="173" t="str">
        <f>IF(W116="via USD",IF(K116="EUR",K116&amp;"USD","USD"&amp;K116),IFERROR(VLOOKUP(K116&amp;S116,'FX RATES'!$H$2:$H$20,1,FALSE),S116&amp;K116))</f>
        <v>RUBRUB</v>
      </c>
      <c r="AC116" s="175">
        <f>IF(LEFT(AB116,3)=RIGHT(AB116,3),0,IFERROR(INDEX(CLIENTS!$A$1:$O$649,MATCH(H116,CLIENTS!$A$1:$A$649,0),MATCH(AB116,CLIENTS!$A$1:$O$1,0)),0))</f>
        <v>0</v>
      </c>
      <c r="AD116" s="176"/>
      <c r="AE116" s="177">
        <f>IF(W116="CLIENT","",IF(AD116="",AH116+AC116,AD116+AC116))</f>
        <v>1</v>
      </c>
      <c r="AF116" s="177" t="str">
        <f>E116&amp;AB116</f>
        <v>46041RUBRUB</v>
      </c>
      <c r="AG116" s="176"/>
      <c r="AH116" s="178">
        <f>IF(LEFT(AB116,3)=RIGHT(AB116,3),1,VLOOKUP(AB116,'FX RATES'!$H$1:$I$20,2,FALSE))</f>
        <v>1</v>
      </c>
      <c r="AI116" s="178">
        <f>IF(OR(AB116="USDAED",LEFT(AB116,3)=RIGHT(AB116,3)),AH116,IF(LEFT(AB116)="USD",AG116,IF(RIGHT(AB116,3)="USD",1,IFERROR(VLOOKUP(E116&amp;"USD"&amp;RIGHT(AB116,3),$AF:$AG,2,FALSE),VLOOKUP(E116&amp;"USD"&amp;RIGHT(AJ116,3),$AN:$AO,2,FALSE)))))</f>
        <v>1</v>
      </c>
      <c r="AJ116" s="173" t="str">
        <f>IF(W116="via USD",IF(S116="EUR",S116&amp;"USD","USD"&amp;S116),IFERROR(VLOOKUP(K116&amp;S116,'FX RATES'!$H$2:$H$20,1,FALSE),S116&amp;K116))</f>
        <v>RUBRUB</v>
      </c>
      <c r="AK116" s="175">
        <f>IF(LEFT(AJ116,3)=RIGHT(AJ116,3),0,IFERROR(INDEX(CLIENTS!$A$1:$O$649,MATCH(P116,CLIENTS!$A$1:$A$649,0),MATCH(AJ116,CLIENTS!$A$1:$O$1,0)),0))</f>
        <v>0</v>
      </c>
      <c r="AL116" s="176"/>
      <c r="AM116" s="177" t="str">
        <f>IF(W116="VENDOR","",IF(AL116="",AP116+AK116,AL116+AK116))</f>
        <v/>
      </c>
      <c r="AN116" s="177" t="str">
        <f>E116&amp;AJ116</f>
        <v>46041RUBRUB</v>
      </c>
      <c r="AO116" s="176"/>
      <c r="AP116" s="178">
        <f>IF(LEFT(AJ116,3)=RIGHT(AJ116,3),1,VLOOKUP(AJ116,'FX RATES'!$H$1:$I$20,2,FALSE))</f>
        <v>1</v>
      </c>
      <c r="AQ116" s="178">
        <f>IF(OR(AJ116="USDAED",LEFT(AJ116,3)=RIGHT(AJ116,3)),AP116,IF(LEFT(AJ116)="USD",AO116,IF(RIGHT(AJ116,3)="USD",1,IFERROR(VLOOKUP(E116&amp;"USD"&amp;RIGHT(AJ116,3),$AN:$AO,2,FALSE),VLOOKUP(E116&amp;"USD"&amp;RIGHT(AB116,3),$AF:$AG,2,FALSE)))))</f>
        <v>1</v>
      </c>
      <c r="AR116" s="179">
        <f>-Q116*(1-Z116)/(1+X116)*IF(W116="CLIENT",IF(S116=RIGHT(AJ116,3),1/AM116,AM116),IF(W116="VENDOR",IF(S116=RIGHT(AJ116,3),1/AE116,AE116),AE116^(VLOOKUP(AB116,'FX RATES'!$H$1:$J$26,3,FALSE))/AM116^(VLOOKUP(AJ116,'FX RATES'!$H$1:$J$26,3,FALSE))))</f>
        <v>-4741651.8600000003</v>
      </c>
      <c r="AS116" s="179">
        <f>-I116*(1+X116)/(1-Z116)*IF(W116="VENDOR",IF(K116=RIGHT(AB116,3),1/AE116,AE116),IF(W116="CLIENT",IF(K116=RIGHT(AB116,3),1/AM116,AM116),AM116^(VLOOKUP(AJ116,'FX RATES'!$H$1:$J$26,3,FALSE))/AE116^(VLOOKUP(AB116,'FX RATES'!$H$1:$J$26,3,FALSE))))</f>
        <v>0</v>
      </c>
      <c r="AT116" s="170">
        <f ca="1">IF(AB116&lt;&gt;AJ116,J116/IF(K116=RIGHT(AB116,3),AE116,1/AE116),IF(S116="USD",J116/IF(K116=RIGHT(AB116,3),IF(W116="CLIENT",AM116,AE116),1/IF(W116="CLIENT",AM116,AE116)),J116*VLOOKUP(K116,'FX RATES'!$E$1:$F$10,2,FALSE)))</f>
        <v>-61804.235634543576</v>
      </c>
      <c r="AU116" s="170">
        <f ca="1">IF(AB116&lt;&gt;AJ116,R116/IF(S116=RIGHT(AJ116,3),AM116,1/AM116),IF(K116="USD",R116/IF(S116=RIGHT(AJ116,3),IF(W116="CLIENT",AM116,AE116),1/IF(W116="CLIENT",AM116,AE116)),R116*VLOOKUP(S116,'FX RATES'!$E$1:$F$10,2,FALSE)))</f>
        <v>61804.235634543576</v>
      </c>
      <c r="AV116" s="170">
        <f ca="1">AT116+AU116</f>
        <v>0</v>
      </c>
      <c r="AW116" s="169"/>
      <c r="AX116" s="170">
        <f ca="1">IF(AND(ISERROR(SEARCH("INVOICE",T116)),ISERROR(SEARCH("SWITCH",T116)),ISERROR(SEARCH("FOREX",T116)),ISERROR(SEARCH("REFUND",A116)),ISERROR(SEARCH("CANCELLED",A116))),IF(AW116="",-AT116*X116+AU116*Z116,AW116),0)</f>
        <v>0</v>
      </c>
      <c r="AY116" s="170">
        <f>IF(AZ116="USD",AT116,IF(AZ116=K116,J116,-R116))</f>
        <v>-4741651.8600000003</v>
      </c>
      <c r="AZ116" s="170" t="str">
        <f>LEFT(AB116,3)</f>
        <v>RUB</v>
      </c>
      <c r="BA116" s="542">
        <f>IF(OR(A116="REFUND",A116="CANCELLED"),0,IFERROR((IF(OR(AB116="USDAED",LEFT(AB116,3)=RIGHT(AB116,3)),AI116,AG116)-AE116)*-AY116*VLOOKUP(AB116,'FX RATES'!$H$1:$J$26,3,FALSE),0))</f>
        <v>0</v>
      </c>
      <c r="BB116" s="170" t="str">
        <f>RIGHT(AB116,3)</f>
        <v>RUB</v>
      </c>
      <c r="BC116" s="542">
        <f>IF(BA116=0,0,IFERROR(BA116/IF(BB116&lt;&gt;"USD",AI116,1),"???"))</f>
        <v>0</v>
      </c>
      <c r="BD116" s="170">
        <f>IFERROR(-AC116/(IF(OR(AB116="USDAED",LEFT(AB116,3)=RIGHT(AB116,3)),AH116,AG116)-AE116)*BC116,0)</f>
        <v>0</v>
      </c>
      <c r="BE116" s="542">
        <f>BC116-BD116</f>
        <v>0</v>
      </c>
      <c r="BF116" s="170">
        <f>IF(BG116="USD",AU116,IF(BG116=S116,R116,-J116))</f>
        <v>4741651.8600000003</v>
      </c>
      <c r="BG116" s="170" t="str">
        <f>LEFT(AJ116,3)</f>
        <v>RUB</v>
      </c>
      <c r="BH116" s="542">
        <f>IF(OR(A116="REFUND",A116="CANCELLED"),0,IFERROR((IF(OR(AJ116="USDAED",LEFT(AJ116,3)=RIGHT(AJ116,3)),AQ116,AO116)-AM116)*-BF116*VLOOKUP(AJ116,'FX RATES'!$H$1:$J$26,3,FALSE),0))</f>
        <v>0</v>
      </c>
      <c r="BI116" s="170" t="str">
        <f>RIGHT(AJ116,3)</f>
        <v>RUB</v>
      </c>
      <c r="BJ116" s="542">
        <f>IF(BH116=0,0,IFERROR(BH116/IF(BI116&lt;&gt;"USD",AQ116,1),"???"))</f>
        <v>0</v>
      </c>
      <c r="BK116" s="170">
        <f>IFERROR(-AK116/(IF(OR(AJ116="USDAED",LEFT(AJ116,3)=RIGHT(AJ116,3)),AP116,AO116)-AM116)*BJ116,0)</f>
        <v>0</v>
      </c>
      <c r="BL116" s="542">
        <f>BJ116-BK116</f>
        <v>0</v>
      </c>
      <c r="BM116" s="170">
        <f>IF(AND(ISERROR(SEARCH("REFUND",A116)),ISERROR(SEARCH("CANCELLED",A116))),BD116+BK116,0)</f>
        <v>0</v>
      </c>
      <c r="BN116" s="542">
        <f>IF(AND(ISERROR(SEARCH("REFUND",A116)),ISERROR(SEARCH("CANCELLED",A116))),BE116+BL116,0)</f>
        <v>0</v>
      </c>
    </row>
    <row r="117" spans="1:66" ht="19.5" customHeight="1">
      <c r="A117" s="167" t="s">
        <v>366</v>
      </c>
      <c r="B117" s="168" t="s">
        <v>0</v>
      </c>
      <c r="C117" s="168" t="s">
        <v>383</v>
      </c>
      <c r="D117" s="168" t="s">
        <v>121</v>
      </c>
      <c r="E117" s="171">
        <v>46041</v>
      </c>
      <c r="F117" s="171"/>
      <c r="G117" s="168" t="s">
        <v>52</v>
      </c>
      <c r="H117" s="181" t="s">
        <v>476</v>
      </c>
      <c r="I117" s="169">
        <f>-R116</f>
        <v>-4741651.8600000003</v>
      </c>
      <c r="J117" s="170">
        <f>IF(I117="",AR117,I117)</f>
        <v>-4741651.8600000003</v>
      </c>
      <c r="K117" s="168" t="s">
        <v>9</v>
      </c>
      <c r="L117" s="171" t="s">
        <v>25</v>
      </c>
      <c r="M117" s="168" t="s">
        <v>25</v>
      </c>
      <c r="N117" s="167" t="s">
        <v>371</v>
      </c>
      <c r="O117" s="168" t="s">
        <v>0</v>
      </c>
      <c r="P117" s="168" t="s">
        <v>0</v>
      </c>
      <c r="Q117" s="169"/>
      <c r="R117" s="170">
        <f>IF(Q117="",AS117,Q117)</f>
        <v>61440.25733722061</v>
      </c>
      <c r="S117" s="168" t="s">
        <v>5</v>
      </c>
      <c r="T117" s="171" t="s">
        <v>477</v>
      </c>
      <c r="U117" s="168" t="s">
        <v>25</v>
      </c>
      <c r="V117" s="167" t="s">
        <v>371</v>
      </c>
      <c r="W117" s="172" t="s">
        <v>382</v>
      </c>
      <c r="X117" s="173">
        <f>IF(Y117="",VLOOKUP(H117,CLIENTS!$A$1:$O$649,5,FALSE),Y117)</f>
        <v>0</v>
      </c>
      <c r="Y117" s="174"/>
      <c r="Z117" s="173">
        <f>IF(AA117="",VLOOKUP(P117,CLIENTS!$A$1:$O$649,5,FALSE),AA117)</f>
        <v>0</v>
      </c>
      <c r="AA117" s="174"/>
      <c r="AB117" s="173" t="str">
        <f>IF(W117="via USD",IF(K117="EUR",K117&amp;"USD","USD"&amp;K117),IFERROR(VLOOKUP(K117&amp;S117,'FX RATES'!$H$2:$H$20,1,FALSE),S117&amp;K117))</f>
        <v>USDRUB</v>
      </c>
      <c r="AC117" s="175">
        <f>IF(LEFT(AB117,3)=RIGHT(AB117,3),0,IFERROR(INDEX(CLIENTS!$A$1:$O$649,MATCH(H117,CLIENTS!$A$1:$A$649,0),MATCH(AB117,CLIENTS!$A$1:$O$1,0)),0))+0.07</f>
        <v>0</v>
      </c>
      <c r="AD117" s="176">
        <v>77.174999999999997</v>
      </c>
      <c r="AE117" s="177">
        <f>IF(W117="CLIENT","",IF(AD117="",AH117+AC117,AD117+AC117))</f>
        <v>77.174999999999997</v>
      </c>
      <c r="AF117" s="177" t="str">
        <f>E117&amp;AB117</f>
        <v>46041USDRUB</v>
      </c>
      <c r="AG117" s="176">
        <v>77.900000000000006</v>
      </c>
      <c r="AH117" s="178">
        <f ca="1">IF(LEFT(AB117,3)=RIGHT(AB117,3),1,VLOOKUP(AB117,'FX RATES'!$H$1:$I$20,2,FALSE))</f>
        <v>76.720500000000001</v>
      </c>
      <c r="AI117" s="178">
        <f>IF(OR(AB117="USDAED",LEFT(AB117,3)=RIGHT(AB117,3)),AH117,IF(LEFT(AB117)="USD",AG117,IF(RIGHT(AB117,3)="USD",1,IFERROR(VLOOKUP(E117&amp;"USD"&amp;RIGHT(AB117,3),$AF:$AG,2,FALSE),VLOOKUP(E117&amp;"USD"&amp;RIGHT(AJ117,3),$AN:$AO,2,FALSE)))))</f>
        <v>77.900000000000006</v>
      </c>
      <c r="AJ117" s="173" t="str">
        <f>IF(W117="via USD",IF(S117="EUR",S117&amp;"USD","USD"&amp;S117),IFERROR(VLOOKUP(K117&amp;S117,'FX RATES'!$H$2:$H$20,1,FALSE),S117&amp;K117))</f>
        <v>USDRUB</v>
      </c>
      <c r="AK117" s="175">
        <f>IF(LEFT(AJ117,3)=RIGHT(AJ117,3),0,IFERROR(INDEX(CLIENTS!$A$1:$O$649,MATCH(P117,CLIENTS!$A$1:$A$649,0),MATCH(AJ117,CLIENTS!$A$1:$O$1,0)),0))</f>
        <v>0</v>
      </c>
      <c r="AL117" s="176"/>
      <c r="AM117" s="177" t="str">
        <f>IF(W117="VENDOR","",IF(AL117="",AP117+AK117,AL117+AK117))</f>
        <v/>
      </c>
      <c r="AN117" s="177" t="str">
        <f>E117&amp;AJ117</f>
        <v>46041USDRUB</v>
      </c>
      <c r="AO117" s="176"/>
      <c r="AP117" s="178">
        <f ca="1">IF(LEFT(AJ117,3)=RIGHT(AJ117,3),1,VLOOKUP(AJ117,'FX RATES'!$H$1:$I$20,2,FALSE))</f>
        <v>76.720500000000001</v>
      </c>
      <c r="AQ117" s="178">
        <f>IF(OR(AJ117="USDAED",LEFT(AJ117,3)=RIGHT(AJ117,3)),AP117,IF(LEFT(AJ117)="USD",AO117,IF(RIGHT(AJ117,3)="USD",1,IFERROR(VLOOKUP(E117&amp;"USD"&amp;RIGHT(AJ117,3),$AN:$AO,2,FALSE),VLOOKUP(E117&amp;"USD"&amp;RIGHT(AB117,3),$AF:$AG,2,FALSE)))))</f>
        <v>77.900000000000006</v>
      </c>
      <c r="AR117" s="179">
        <f>-Q117*(1-Z117)/(1+X117)*IF(W117="CLIENT",IF(S117=RIGHT(AJ117,3),1/AM117,AM117),IF(W117="VENDOR",IF(S117=RIGHT(AJ117,3),1/AE117,AE117),AE117^(VLOOKUP(AB117,'FX RATES'!$H$1:$J$26,3,FALSE))/AM117^(VLOOKUP(AJ117,'FX RATES'!$H$1:$J$26,3,FALSE))))</f>
        <v>0</v>
      </c>
      <c r="AS117" s="179">
        <f>-I117*(1+X117)/(1-Z117)*IF(W117="VENDOR",IF(K117=RIGHT(AB117,3),1/AE117,AE117),IF(W117="CLIENT",IF(K117=RIGHT(AB117,3),1/AM117,AM117),AM117^(VLOOKUP(AJ117,'FX RATES'!$H$1:$J$26,3,FALSE))/AE117^(VLOOKUP(AB117,'FX RATES'!$H$1:$J$26,3,FALSE))))</f>
        <v>61440.25733722061</v>
      </c>
      <c r="AT117" s="170">
        <f>IF(AB117&lt;&gt;AJ117,J117/IF(K117=RIGHT(AB117,3),AE117,1/AE117),IF(S117="USD",J117/IF(K117=RIGHT(AB117,3),IF(W117="CLIENT",AM117,AE117),1/IF(W117="CLIENT",AM117,AE117)),J117*VLOOKUP(K117,'FX RATES'!$E$1:$F$10,2,FALSE)))</f>
        <v>-61440.25733722061</v>
      </c>
      <c r="AU117" s="170">
        <f>IF(AB117&lt;&gt;AJ117,R117/IF(S117=RIGHT(AJ117,3),AM117,1/AM117),IF(K117="USD",R117/IF(S117=RIGHT(AJ117,3),IF(W117="CLIENT",AM117,AE117),1/IF(W117="CLIENT",AM117,AE117)),R117*VLOOKUP(S117,'FX RATES'!$E$1:$F$10,2,FALSE)))</f>
        <v>61440.25733722061</v>
      </c>
      <c r="AV117" s="170">
        <f>AT117+AU117</f>
        <v>0</v>
      </c>
      <c r="AW117" s="169"/>
      <c r="AX117" s="170">
        <f>IF(AND(ISERROR(SEARCH("INVOICE",T117)),ISERROR(SEARCH("SWITCH",T117)),ISERROR(SEARCH("FOREX",T117)),ISERROR(SEARCH("REFUND",A117)),ISERROR(SEARCH("CANCELLED",A117))),IF(AW117="",-AT117*X117+AU117*Z117,AW117),0)</f>
        <v>0</v>
      </c>
      <c r="AY117" s="170">
        <f>IF(AZ117="USD",AT117,IF(AZ117=K117,J117,-R117))</f>
        <v>-61440.25733722061</v>
      </c>
      <c r="AZ117" s="170" t="str">
        <f>LEFT(AB117,3)</f>
        <v>USD</v>
      </c>
      <c r="BA117" s="542">
        <f>IF(OR(A117="REFUND",A117="CANCELLED"),0,IFERROR((IF(OR(AB117="USDAED",LEFT(AB117,3)=RIGHT(AB117,3)),AI117,AG117)-AE117)*-AY117*VLOOKUP(AB117,'FX RATES'!$H$1:$J$26,3,FALSE),0))</f>
        <v>44544.186569485464</v>
      </c>
      <c r="BB117" s="170" t="str">
        <f>RIGHT(AB117,3)</f>
        <v>RUB</v>
      </c>
      <c r="BC117" s="542">
        <f>IF(BA117=0,0,IFERROR(BA117/IF(BB117&lt;&gt;"USD",AI117,1),"???"))</f>
        <v>571.81240782394684</v>
      </c>
      <c r="BD117" s="170">
        <f>IFERROR(-AC117/(IF(OR(AB117="USDAED",LEFT(AB117,3)=RIGHT(AB117,3)),AH117,AG117)-AE117)*BC117,0)</f>
        <v>0</v>
      </c>
      <c r="BE117" s="542">
        <f>BC117-BD117</f>
        <v>571.81240782394684</v>
      </c>
      <c r="BF117" s="170">
        <f>IF(BG117="USD",AU117,IF(BG117=S117,R117,-J117))</f>
        <v>61440.25733722061</v>
      </c>
      <c r="BG117" s="170" t="str">
        <f>LEFT(AJ117,3)</f>
        <v>USD</v>
      </c>
      <c r="BH117" s="542">
        <f>IF(OR(A117="REFUND",A117="CANCELLED"),0,IFERROR((IF(OR(AJ117="USDAED",LEFT(AJ117,3)=RIGHT(AJ117,3)),AQ117,AO117)-AM117)*-BF117*VLOOKUP(AJ117,'FX RATES'!$H$1:$J$26,3,FALSE),0))</f>
        <v>0</v>
      </c>
      <c r="BI117" s="170" t="str">
        <f>RIGHT(AJ117,3)</f>
        <v>RUB</v>
      </c>
      <c r="BJ117" s="542">
        <f>IF(BH117=0,0,IFERROR(BH117/IF(BI117&lt;&gt;"USD",AQ117,1),"???"))</f>
        <v>0</v>
      </c>
      <c r="BK117" s="170">
        <f>IFERROR(-AK117/(IF(OR(AJ117="USDAED",LEFT(AJ117,3)=RIGHT(AJ117,3)),AP117,AO117)-AM117)*BJ117,0)</f>
        <v>0</v>
      </c>
      <c r="BL117" s="542">
        <f>BJ117-BK117</f>
        <v>0</v>
      </c>
      <c r="BM117" s="170">
        <f>IF(AND(ISERROR(SEARCH("REFUND",A117)),ISERROR(SEARCH("CANCELLED",A117))),BD117+BK117,0)</f>
        <v>0</v>
      </c>
      <c r="BN117" s="542">
        <f>IF(AND(ISERROR(SEARCH("REFUND",A117)),ISERROR(SEARCH("CANCELLED",A117))),BE117+BL117,0)</f>
        <v>571.81240782394684</v>
      </c>
    </row>
    <row r="119" spans="1:66" ht="19.5" customHeight="1">
      <c r="A119" s="167" t="s">
        <v>366</v>
      </c>
      <c r="B119" s="181" t="s">
        <v>39</v>
      </c>
      <c r="C119" s="181" t="s">
        <v>367</v>
      </c>
      <c r="D119" s="181" t="s">
        <v>418</v>
      </c>
      <c r="E119" s="171">
        <v>46042</v>
      </c>
      <c r="F119" s="171"/>
      <c r="G119" s="181" t="s">
        <v>39</v>
      </c>
      <c r="H119" s="168" t="s">
        <v>428</v>
      </c>
      <c r="I119" s="169"/>
      <c r="J119" s="170">
        <f>IF(I119="",AR119,I119)</f>
        <v>-199700</v>
      </c>
      <c r="K119" s="168" t="s">
        <v>5</v>
      </c>
      <c r="L119" s="168" t="s">
        <v>28</v>
      </c>
      <c r="M119" s="168" t="s">
        <v>20</v>
      </c>
      <c r="N119" s="167" t="s">
        <v>371</v>
      </c>
      <c r="O119" s="168" t="s">
        <v>52</v>
      </c>
      <c r="P119" s="168" t="s">
        <v>428</v>
      </c>
      <c r="Q119" s="169">
        <v>200000</v>
      </c>
      <c r="R119" s="170">
        <f>IF(Q119="",AS119,Q119)</f>
        <v>200000</v>
      </c>
      <c r="S119" s="168" t="s">
        <v>53</v>
      </c>
      <c r="T119" s="168" t="s">
        <v>420</v>
      </c>
      <c r="U119" s="168" t="s">
        <v>54</v>
      </c>
      <c r="V119" s="167" t="s">
        <v>371</v>
      </c>
      <c r="W119" s="172" t="s">
        <v>375</v>
      </c>
      <c r="X119" s="173">
        <f>IF(Y119="",VLOOKUP(H119,CLIENTS!$A$1:$O$649,5,FALSE),Y119)</f>
        <v>0</v>
      </c>
      <c r="Y119" s="174">
        <v>0</v>
      </c>
      <c r="Z119" s="173">
        <f>IF(AA119="",VLOOKUP(P119,CLIENTS!$A$1:$O$649,5,FALSE),AA119)</f>
        <v>1.5E-3</v>
      </c>
      <c r="AA119" s="174">
        <v>1.5E-3</v>
      </c>
      <c r="AB119" s="173" t="str">
        <f>IF(W119="via USD",IF(K119="EUR",K119&amp;"USD","USD"&amp;K119),IFERROR(VLOOKUP(K119&amp;S119,'FX RATES'!$H$2:$H$20,1,FALSE),S119&amp;K119))</f>
        <v>USDUSD</v>
      </c>
      <c r="AC119" s="175">
        <f>IF(LEFT(AB119,3)=RIGHT(AB119,3),0,IFERROR(INDEX(CLIENTS!$A$1:$O$649,MATCH(H119,CLIENTS!$A$1:$A$649,0),MATCH(AB119,CLIENTS!$A$1:$O$1,0)),0))</f>
        <v>0</v>
      </c>
      <c r="AD119" s="176"/>
      <c r="AE119" s="177">
        <f>IF(W119="CLIENT","",IF(AD119="",AH119+AC119,AD119+AC119))</f>
        <v>1</v>
      </c>
      <c r="AF119" s="177" t="str">
        <f>E119&amp;AB119</f>
        <v>46042USDUSD</v>
      </c>
      <c r="AG119" s="176"/>
      <c r="AH119" s="178">
        <f>IF(LEFT(AB119,3)=RIGHT(AB119,3),1,VLOOKUP(AB119,'FX RATES'!$H$1:$I$20,2,FALSE))</f>
        <v>1</v>
      </c>
      <c r="AI119" s="178">
        <f>IF(OR(AB119="USDAED",LEFT(AB119,3)=RIGHT(AB119,3)),AH119,IF(LEFT(AB119)="USD",AG119,IF(RIGHT(AB119,3)="USD",1,IFERROR(VLOOKUP(E119&amp;"USD"&amp;RIGHT(AB119,3),$AF:$AG,2,FALSE),VLOOKUP(E119&amp;"USD"&amp;RIGHT(AJ119,3),$AN:$AO,2,FALSE)))))</f>
        <v>1</v>
      </c>
      <c r="AJ119" s="173" t="str">
        <f>IF(W119="via USD",IF(S119="EUR",S119&amp;"USD","USD"&amp;S119),IFERROR(VLOOKUP(K119&amp;S119,'FX RATES'!$H$2:$H$20,1,FALSE),S119&amp;K119))</f>
        <v>USDUSDT</v>
      </c>
      <c r="AK119" s="175">
        <f>IF(LEFT(AJ119,3)=RIGHT(AJ119,3),0,IFERROR(INDEX(CLIENTS!$A$1:$O$649,MATCH(P119,CLIENTS!$A$1:$A$649,0),MATCH(AJ119,CLIENTS!$A$1:$O$1,0)),0))</f>
        <v>0</v>
      </c>
      <c r="AL119" s="176"/>
      <c r="AM119" s="177">
        <f>IF(W119="VENDOR","",IF(AL119="",AP119+AK119,AL119+AK119))</f>
        <v>1</v>
      </c>
      <c r="AN119" s="177" t="str">
        <f>E119&amp;AJ119</f>
        <v>46042USDUSDT</v>
      </c>
      <c r="AO119" s="176">
        <v>1</v>
      </c>
      <c r="AP119" s="178">
        <f>IF(LEFT(AJ119,3)=RIGHT(AJ119,3),1,VLOOKUP(AJ119,'FX RATES'!$H$1:$I$50,2,FALSE))</f>
        <v>1</v>
      </c>
      <c r="AQ119" s="178">
        <f>IF(OR(AJ119="USDAED",LEFT(AJ119,3)=RIGHT(AJ119,3),AJ119="USDUSDT",AJ119="USDTUSD"),AP119,IF(LEFT(AJ119)="USD",AO119,IF(RIGHT(AJ119,3)="USD",1,IFERROR(VLOOKUP(E119&amp;"USD"&amp;RIGHT(AJ119,3),$AN:$AO,2,FALSE),VLOOKUP(E119&amp;"USD"&amp;RIGHT(AB119,3),$AF:$AG,2,FALSE)))))</f>
        <v>1</v>
      </c>
      <c r="AR119" s="179">
        <f>-Q119*(1-Z119)/(1+X119)*IF(W119="CLIENT",IF(S119=RIGHT(AJ119,3),1/AM119,AM119),IF(W119="VENDOR",IF(S119=RIGHT(AJ119,3),1/AE119,AE119),AE119^(VLOOKUP(AB119,'FX RATES'!$H$1:$J$26,3,FALSE))/AM119^(VLOOKUP(AJ119,'FX RATES'!$H$1:$J$26,3,FALSE))))</f>
        <v>-199700</v>
      </c>
      <c r="AS119" s="179">
        <f>-I119*(1+X119)/(1-Z119)*IF(W119="VENDOR",IF(K119=RIGHT(AB119,3),1/AE119,AE119),IF(W119="CLIENT",IF(K119=RIGHT(AB119,3),1/AM119,AM119),AM119^(VLOOKUP(AJ119,'FX RATES'!$H$1:$J$26,3,FALSE))/AE119^(VLOOKUP(AB119,'FX RATES'!$H$1:$J$26,3,FALSE))))</f>
        <v>0</v>
      </c>
      <c r="AT119" s="170">
        <f>IF(AB119&lt;&gt;AJ119,J119/IF(K119=RIGHT(AB119,3),AE119,1/AE119),IF(S119="USD",J119/IF(K119=RIGHT(AB119,3),IF(W119="CLIENT",AM119,AE119),1/IF(W119="CLIENT",AM119,AE119)),J119*VLOOKUP(K119,'FX RATES'!$E$1:$F$10,2,FALSE)))</f>
        <v>-199700</v>
      </c>
      <c r="AU119" s="170">
        <f>IF(AB119&lt;&gt;AJ119,R119/IF(S119=RIGHT(AJ119,3),AM119,1/AM119),IF(K119="USD",R119/IF(S119=RIGHT(AJ119,3),IF(W119="CLIENT",AM119,AE119),1/IF(W119="CLIENT",AM119,AE119)),R119*VLOOKUP(S119,'FX RATES'!$E$1:$F$10,2,FALSE)))</f>
        <v>200000</v>
      </c>
      <c r="AV119" s="170">
        <f>AT119+AU119</f>
        <v>300</v>
      </c>
      <c r="AW119" s="169"/>
      <c r="AX119" s="170">
        <f>IF(AND(ISERROR(SEARCH("INVOICE",T119)),ISERROR(SEARCH("SWITCH",T119)),ISERROR(SEARCH("FOREX",T119)),ISERROR(SEARCH("REFUND",A119)),ISERROR(SEARCH("CANCELLED",A119))),IF(AW119="",-AT119*X119+AU119*Z119,AW119),0)</f>
        <v>300</v>
      </c>
      <c r="AY119" s="170">
        <f>IF(AZ119="USD",AT119,IF(AZ119=K119,J119,-R119))</f>
        <v>-199700</v>
      </c>
      <c r="AZ119" s="170" t="str">
        <f>LEFT(AB119,3)</f>
        <v>USD</v>
      </c>
      <c r="BA119" s="542">
        <f>IF(OR(A119="REFUND",A119="CANCELLED"),0,IFERROR((IF(OR(AB119="USDAED",LEFT(AB119,3)=RIGHT(AB119,3)),AI119,AG119)-AE119)*-AY119*VLOOKUP(AB119,'FX RATES'!$H$1:$J$26,3,FALSE),0))</f>
        <v>0</v>
      </c>
      <c r="BB119" s="170" t="str">
        <f>RIGHT(AB119,3)</f>
        <v>USD</v>
      </c>
      <c r="BC119" s="542">
        <f>IF(BA119=0,0,IFERROR(BA119/IF(BB119&lt;&gt;"USD",AI119,1),"???"))</f>
        <v>0</v>
      </c>
      <c r="BD119" s="170">
        <f>IFERROR(-AC119/(IF(OR(AB119="USDAED",LEFT(AB119,3)=RIGHT(AB119,3)),AH119,AG119)-AE119)*BC119,0)</f>
        <v>0</v>
      </c>
      <c r="BE119" s="542">
        <f>BC119-BD119</f>
        <v>0</v>
      </c>
      <c r="BF119" s="170">
        <f>IF(BG119="USD",AU119,IF(BG119=S119,R119,-J119))</f>
        <v>200000</v>
      </c>
      <c r="BG119" s="170" t="str">
        <f>LEFT(AJ119,3)</f>
        <v>USD</v>
      </c>
      <c r="BH119" s="542">
        <f>IF(OR(A119="REFUND",A119="CANCELLED"),0,IFERROR((IF(OR(AJ119="USDAED",LEFT(AJ119,3)=RIGHT(AJ119,3),AJ119="USDUSDT",AJ119="USDTUSD"),AQ119,AO119)-AM119)*-BF119*VLOOKUP(AJ119,'FX RATES'!$H$1:$J$26,3,FALSE),0))</f>
        <v>0</v>
      </c>
      <c r="BI119" s="170" t="str">
        <f>RIGHT(AJ119,4)</f>
        <v>USDT</v>
      </c>
      <c r="BJ119" s="542">
        <f>IF(BH119=0,0,IFERROR(BH119/IF(BI119&lt;&gt;"USD",AQ119,1),"???"))</f>
        <v>0</v>
      </c>
      <c r="BK119" s="170">
        <f>IFERROR(-AK119/(IF(OR(AJ119="USDAED",LEFT(AJ119,3)=RIGHT(AJ119,3)),AP119,AO119)-AM119)*BJ119,0)</f>
        <v>0</v>
      </c>
      <c r="BL119" s="542">
        <f>BJ119-BK119</f>
        <v>0</v>
      </c>
      <c r="BM119" s="170">
        <f>IF(AND(ISERROR(SEARCH("REFUND",A119)),ISERROR(SEARCH("CANCELLED",A119))),BD119+BK119,0)</f>
        <v>0</v>
      </c>
      <c r="BN119" s="542">
        <f>IF(AND(ISERROR(SEARCH("REFUND",A119)),ISERROR(SEARCH("CANCELLED",A119))),BE119+BL119,0)</f>
        <v>0</v>
      </c>
    </row>
    <row r="120" spans="1:66" ht="19.5" customHeight="1">
      <c r="P120" s="451"/>
    </row>
    <row r="121" spans="1:66" ht="19.5" customHeight="1">
      <c r="A121" s="167" t="s">
        <v>366</v>
      </c>
      <c r="B121" s="168" t="s">
        <v>39</v>
      </c>
      <c r="C121" s="168" t="s">
        <v>367</v>
      </c>
      <c r="D121" s="168" t="s">
        <v>368</v>
      </c>
      <c r="E121" s="171">
        <v>46042</v>
      </c>
      <c r="F121" s="171"/>
      <c r="G121" s="168" t="s">
        <v>39</v>
      </c>
      <c r="H121" s="168" t="s">
        <v>393</v>
      </c>
      <c r="I121" s="169">
        <v>-401771.13</v>
      </c>
      <c r="J121" s="170">
        <f>IF(I121="",AR121,I121)</f>
        <v>-401771.13</v>
      </c>
      <c r="K121" s="168" t="s">
        <v>5</v>
      </c>
      <c r="L121" s="171" t="s">
        <v>378</v>
      </c>
      <c r="M121" s="168" t="s">
        <v>20</v>
      </c>
      <c r="N121" s="167" t="s">
        <v>371</v>
      </c>
      <c r="O121" s="168" t="s">
        <v>52</v>
      </c>
      <c r="P121" s="168" t="s">
        <v>423</v>
      </c>
      <c r="Q121" s="169">
        <v>31461390.739999998</v>
      </c>
      <c r="R121" s="170">
        <f t="shared" ref="R121:R134" si="69">IF(Q121="",AS121,Q121)</f>
        <v>31461390.739999998</v>
      </c>
      <c r="S121" s="168" t="s">
        <v>9</v>
      </c>
      <c r="T121" s="171" t="s">
        <v>25</v>
      </c>
      <c r="U121" s="168" t="s">
        <v>25</v>
      </c>
      <c r="V121" s="167" t="s">
        <v>371</v>
      </c>
      <c r="W121" s="172" t="s">
        <v>389</v>
      </c>
      <c r="X121" s="173">
        <f>IF(Y121="",VLOOKUP(H121,CLIENTS!$A$1:$O$649,5,FALSE),Y121)</f>
        <v>0</v>
      </c>
      <c r="Y121" s="174">
        <v>0</v>
      </c>
      <c r="Z121" s="173">
        <f>IF(AA121="",VLOOKUP(P121,CLIENTS!$A$1:$O$649,5,FALSE),AA121)</f>
        <v>7.0000000000000001E-3</v>
      </c>
      <c r="AA121" s="174">
        <v>7.0000000000000001E-3</v>
      </c>
      <c r="AB121" s="173" t="str">
        <f>IF(W121="via USD",IF(K121="EUR",K121&amp;"USD","USD"&amp;K121),IFERROR(VLOOKUP(K121&amp;S121,'FX RATES'!$H$2:$H$20,1,FALSE),S121&amp;K121))</f>
        <v>USDRUB</v>
      </c>
      <c r="AC121" s="175">
        <f>IF(LEFT(AB121,3)=RIGHT(AB121,3),0,IFERROR(INDEX(CLIENTS!$A$1:$O$649,MATCH(H121,CLIENTS!$A$1:$A$649,0),MATCH(AB121,CLIENTS!$A$1:$O$1,0)),0))</f>
        <v>0</v>
      </c>
      <c r="AD121" s="176"/>
      <c r="AE121" s="177" t="str">
        <f>IF(W121="CLIENT","",IF(AD121="",AH121+AC121,AD121+AC121))</f>
        <v/>
      </c>
      <c r="AF121" s="177" t="str">
        <f>E121&amp;AB121</f>
        <v>46042USDRUB</v>
      </c>
      <c r="AG121" s="176">
        <v>77.8</v>
      </c>
      <c r="AH121" s="178">
        <f ca="1">IF(LEFT(AB121,3)=RIGHT(AB121,3),1,VLOOKUP(AB121,'FX RATES'!$H$1:$I$20,2,FALSE))</f>
        <v>76.720500000000001</v>
      </c>
      <c r="AI121" s="178">
        <f>IF(OR(AB121="USDAED",LEFT(AB121,3)=RIGHT(AB121,3)),AH121,IF(LEFT(AB121)="USD",AG121,IF(RIGHT(AB121,3)="USD",1,IFERROR(VLOOKUP(E121&amp;"USD"&amp;RIGHT(AB121,3),$AF:$AG,2,FALSE),VLOOKUP(E121&amp;"USD"&amp;RIGHT(AJ121,3),$AN:$AO,2,FALSE)))))</f>
        <v>77.8</v>
      </c>
      <c r="AJ121" s="173" t="str">
        <f>IF(W121="via USD",IF(S121="EUR",S121&amp;"USD","USD"&amp;S121),IFERROR(VLOOKUP(K121&amp;S121,'FX RATES'!$H$2:$H$20,1,FALSE),S121&amp;K121))</f>
        <v>USDRUB</v>
      </c>
      <c r="AK121" s="175">
        <f>IF(LEFT(AJ121,3)=RIGHT(AJ121,3),0,IFERROR(INDEX(CLIENTS!$A$1:$O$649,MATCH(P121,CLIENTS!$A$1:$A$649,0),MATCH(AJ121,CLIENTS!$A$1:$O$1,0)),0))</f>
        <v>0</v>
      </c>
      <c r="AL121" s="176">
        <v>77.758600000000001</v>
      </c>
      <c r="AM121" s="177">
        <f>IF(W121="VENDOR","",IF(AL121="",AP121+AK121,AL121+AK121))</f>
        <v>77.758600000000001</v>
      </c>
      <c r="AN121" s="177" t="str">
        <f>E121&amp;AJ121</f>
        <v>46042USDRUB</v>
      </c>
      <c r="AO121" s="176">
        <v>77.7</v>
      </c>
      <c r="AP121" s="178">
        <f ca="1">IF(LEFT(AJ121,3)=RIGHT(AJ121,3),1,VLOOKUP(AJ121,'FX RATES'!$H$1:$I$20,2,FALSE))</f>
        <v>76.720500000000001</v>
      </c>
      <c r="AQ121" s="178">
        <f>IF(OR(AJ121="USDAED",LEFT(AJ121,3)=RIGHT(AJ121,3)),AP121,IF(LEFT(AJ121)="USD",AO121,IF(RIGHT(AJ121,3)="USD",1,IFERROR(VLOOKUP(E121&amp;"USD"&amp;RIGHT(AJ121,3),$AN:$AO,2,FALSE),VLOOKUP(E121&amp;"USD"&amp;RIGHT(AB121,3),$AF:$AG,2,FALSE)))))</f>
        <v>77.7</v>
      </c>
      <c r="AR121" s="179">
        <f>-Q121*(1-Z121)/(1+X121)*IF(W121="CLIENT",IF(S121=RIGHT(AJ121,3),1/AM121,AM121),IF(W121="VENDOR",IF(S121=RIGHT(AJ121,3),1/AE121,AE121),AE121^(VLOOKUP(AB121,'FX RATES'!$H$1:$J$26,3,FALSE))/AM121^(VLOOKUP(AJ121,'FX RATES'!$H$1:$J$26,3,FALSE))))</f>
        <v>-401771.13534477208</v>
      </c>
      <c r="AS121" s="179">
        <f>-I121*(1+X121)/(1-Z121)*IF(W121="VENDOR",IF(K121=RIGHT(AB121,3),1/AE121,AE121),IF(W121="CLIENT",IF(K121=RIGHT(AB121,3),1/AM121,AM121),AM121^(VLOOKUP(AJ121,'FX RATES'!$H$1:$J$26,3,FALSE))/AE121^(VLOOKUP(AB121,'FX RATES'!$H$1:$J$26,3,FALSE))))</f>
        <v>31461390.321468279</v>
      </c>
      <c r="AT121" s="170">
        <f>IF(AB121&lt;&gt;AJ121,J121/IF(K121=RIGHT(AB121,3),AE121,1/AE121),IF(S121="USD",J121/IF(K121=RIGHT(AB121,3),IF(W121="CLIENT",AM121,AE121),1/IF(W121="CLIENT",AM121,AE121)),J121*VLOOKUP(K121,'FX RATES'!$E$1:$F$10,2,FALSE)))</f>
        <v>-401771.13</v>
      </c>
      <c r="AU121" s="170">
        <f>IF(AB121&lt;&gt;AJ121,R121/IF(S121=RIGHT(AJ121,3),AM121,1/AM121),IF(K121="USD",R121/IF(S121=RIGHT(AJ121,3),IF(W121="CLIENT",AM121,AE121),1/IF(W121="CLIENT",AM121,AE121)),R121*VLOOKUP(S121,'FX RATES'!$E$1:$F$10,2,FALSE)))</f>
        <v>404603.35885676951</v>
      </c>
      <c r="AV121" s="170">
        <f>AT121+AU121</f>
        <v>2832.2288567695068</v>
      </c>
      <c r="AW121" s="169"/>
      <c r="AX121" s="170">
        <f>IF(AND(ISERROR(SEARCH("INVOICE",T121)),ISERROR(SEARCH("SWITCH",T121)),ISERROR(SEARCH("FOREX",T121)),ISERROR(SEARCH("REFUND",A121)),ISERROR(SEARCH("CANCELLED",A121))),IF(AW121="",-AT121*X121+AU121*Z121,AW121),0)</f>
        <v>2832.2235119973866</v>
      </c>
      <c r="AY121" s="170">
        <f>IF(AZ121="USD",AT121,IF(AZ121=K121,J121,-R121))</f>
        <v>-401771.13</v>
      </c>
      <c r="AZ121" s="170" t="str">
        <f>LEFT(AB121,3)</f>
        <v>USD</v>
      </c>
      <c r="BA121" s="542">
        <f>IF(OR(A121="REFUND",A121="CANCELLED"),0,IFERROR((IF(OR(AB121="USDAED",LEFT(AB121,3)=RIGHT(AB121,3)),AI121,AG121)-AE121)*-AY121*VLOOKUP(AB121,'FX RATES'!$H$1:$J$26,3,FALSE),0))</f>
        <v>0</v>
      </c>
      <c r="BB121" s="170" t="str">
        <f>RIGHT(AB121,3)</f>
        <v>RUB</v>
      </c>
      <c r="BC121" s="542">
        <f>IF(BA121=0,0,IFERROR(BA121/IF(BB121&lt;&gt;"USD",AI121,1),"???"))</f>
        <v>0</v>
      </c>
      <c r="BD121" s="170">
        <f>IFERROR(-AC121/(IF(OR(AB121="USDAED",LEFT(AB121,3)=RIGHT(AB121,3)),AH121,AG121)-AE121)*BC121,0)</f>
        <v>0</v>
      </c>
      <c r="BE121" s="542">
        <f>BC121-BD121</f>
        <v>0</v>
      </c>
      <c r="BF121" s="170">
        <f>IF(BG121="USD",AU121,IF(BG121=S121,R121,-J121))</f>
        <v>404603.35885676951</v>
      </c>
      <c r="BG121" s="170" t="str">
        <f>LEFT(AJ121,3)</f>
        <v>USD</v>
      </c>
      <c r="BH121" s="542">
        <f>IF(OR(A121="REFUND",A121="CANCELLED"),0,IFERROR((IF(OR(AJ121="USDAED",LEFT(AJ121,3)=RIGHT(AJ121,3)),AQ121,AO121)-AM121)*-BF121*VLOOKUP(AJ121,'FX RATES'!$H$1:$J$26,3,FALSE),0))</f>
        <v>23709.756829006059</v>
      </c>
      <c r="BI121" s="170" t="str">
        <f>RIGHT(AJ121,3)</f>
        <v>RUB</v>
      </c>
      <c r="BJ121" s="542">
        <f>IF(BH121=0,0,IFERROR(BH121/IF(BI121&lt;&gt;"USD",AQ121,1),"???"))</f>
        <v>305.14487553418348</v>
      </c>
      <c r="BK121" s="170">
        <f>IFERROR(-AK121/(IF(OR(AJ121="USDAED",LEFT(AJ121,3)=RIGHT(AJ121,3)),AP121,AO121)-AM121)*BJ121,0)</f>
        <v>0</v>
      </c>
      <c r="BL121" s="542">
        <f>BJ121-BK121</f>
        <v>305.14487553418348</v>
      </c>
      <c r="BM121" s="170">
        <f>IF(AND(ISERROR(SEARCH("REFUND",A121)),ISERROR(SEARCH("CANCELLED",A121))),BD121+BK121,0)</f>
        <v>0</v>
      </c>
      <c r="BN121" s="542">
        <f>IF(AND(ISERROR(SEARCH("REFUND",A121)),ISERROR(SEARCH("CANCELLED",A121))),BE121+BL121,0)</f>
        <v>305.14487553418348</v>
      </c>
    </row>
    <row r="122" spans="1:66" ht="19.5" customHeight="1">
      <c r="A122" s="167" t="s">
        <v>366</v>
      </c>
      <c r="B122" s="168" t="s">
        <v>39</v>
      </c>
      <c r="C122" s="168" t="s">
        <v>367</v>
      </c>
      <c r="D122" s="168" t="s">
        <v>368</v>
      </c>
      <c r="E122" s="171">
        <v>46042</v>
      </c>
      <c r="F122" s="171"/>
      <c r="G122" s="168" t="s">
        <v>39</v>
      </c>
      <c r="H122" s="168" t="s">
        <v>478</v>
      </c>
      <c r="I122" s="169">
        <v>-107376.86</v>
      </c>
      <c r="J122" s="170">
        <f>IF(I122="",AR122,I122)</f>
        <v>-107376.86</v>
      </c>
      <c r="K122" s="168" t="s">
        <v>5</v>
      </c>
      <c r="L122" s="171" t="s">
        <v>479</v>
      </c>
      <c r="M122" s="168" t="s">
        <v>20</v>
      </c>
      <c r="N122" s="167" t="s">
        <v>371</v>
      </c>
      <c r="O122" s="168" t="s">
        <v>52</v>
      </c>
      <c r="P122" s="168" t="s">
        <v>394</v>
      </c>
      <c r="Q122" s="169">
        <v>8408332.63443706</v>
      </c>
      <c r="R122" s="170">
        <f t="shared" si="69"/>
        <v>8408332.63443706</v>
      </c>
      <c r="S122" s="168" t="s">
        <v>9</v>
      </c>
      <c r="T122" s="171" t="s">
        <v>25</v>
      </c>
      <c r="U122" s="168" t="s">
        <v>25</v>
      </c>
      <c r="V122" s="167" t="s">
        <v>371</v>
      </c>
      <c r="W122" s="172" t="s">
        <v>389</v>
      </c>
      <c r="X122" s="173">
        <f>IF(Y122="",VLOOKUP(H122,CLIENTS!$A$1:$O$649,5,FALSE),Y122)</f>
        <v>0</v>
      </c>
      <c r="Y122" s="174">
        <v>0</v>
      </c>
      <c r="Z122" s="173">
        <f>IF(AA122="",VLOOKUP(P122,CLIENTS!$A$1:$O$649,5,FALSE),AA122)</f>
        <v>7.0000000000000001E-3</v>
      </c>
      <c r="AA122" s="174">
        <v>7.0000000000000001E-3</v>
      </c>
      <c r="AB122" s="173" t="str">
        <f>IF(W122="via USD",IF(K122="EUR",K122&amp;"USD","USD"&amp;K122),IFERROR(VLOOKUP(K122&amp;S122,'FX RATES'!$H$2:$H$20,1,FALSE),S122&amp;K122))</f>
        <v>USDRUB</v>
      </c>
      <c r="AC122" s="175">
        <f>IF(LEFT(AB122,3)=RIGHT(AB122,3),0,IFERROR(INDEX(CLIENTS!$A$1:$O$649,MATCH(H122,CLIENTS!$A$1:$A$649,0),MATCH(AB122,CLIENTS!$A$1:$O$1,0)),0))</f>
        <v>0</v>
      </c>
      <c r="AD122" s="176"/>
      <c r="AE122" s="177" t="str">
        <f>IF(W122="CLIENT","",IF(AD122="",AH122+AC122,AD122+AC122))</f>
        <v/>
      </c>
      <c r="AF122" s="177" t="str">
        <f>E122&amp;AB122</f>
        <v>46042USDRUB</v>
      </c>
      <c r="AG122" s="176"/>
      <c r="AH122" s="178">
        <f ca="1">IF(LEFT(AB122,3)=RIGHT(AB122,3),1,VLOOKUP(AB122,'FX RATES'!$H$1:$I$20,2,FALSE))</f>
        <v>76.720500000000001</v>
      </c>
      <c r="AI122" s="178">
        <f>IF(OR(AB122="USDAED",LEFT(AB122,3)=RIGHT(AB122,3)),AH122,IF(LEFT(AB122)="USD",AG122,IF(RIGHT(AB122,3)="USD",1,IFERROR(VLOOKUP(E122&amp;"USD"&amp;RIGHT(AB122,3),$AF:$AG,2,FALSE),VLOOKUP(E122&amp;"USD"&amp;RIGHT(AJ122,3),$AN:$AO,2,FALSE)))))</f>
        <v>77.8</v>
      </c>
      <c r="AJ122" s="173" t="str">
        <f>IF(W122="via USD",IF(S122="EUR",S122&amp;"USD","USD"&amp;S122),IFERROR(VLOOKUP(K122&amp;S122,'FX RATES'!$H$2:$H$20,1,FALSE),S122&amp;K122))</f>
        <v>USDRUB</v>
      </c>
      <c r="AK122" s="175">
        <f>IF(LEFT(AJ122,3)=RIGHT(AJ122,3),0,IFERROR(INDEX(CLIENTS!$A$1:$O$649,MATCH(P122,CLIENTS!$A$1:$A$649,0),MATCH(AJ122,CLIENTS!$A$1:$O$1,0)),0))</f>
        <v>0</v>
      </c>
      <c r="AL122" s="176">
        <v>77.758600000000001</v>
      </c>
      <c r="AM122" s="177">
        <f>IF(W122="VENDOR","",IF(AL122="",AP122+AK122,AL122+AK122))</f>
        <v>77.758600000000001</v>
      </c>
      <c r="AN122" s="177" t="str">
        <f>E122&amp;AJ122</f>
        <v>46042USDRUB</v>
      </c>
      <c r="AO122" s="176">
        <v>77.7</v>
      </c>
      <c r="AP122" s="178">
        <f ca="1">IF(LEFT(AJ122,3)=RIGHT(AJ122,3),1,VLOOKUP(AJ122,'FX RATES'!$H$1:$I$20,2,FALSE))</f>
        <v>76.720500000000001</v>
      </c>
      <c r="AQ122" s="178">
        <f>IF(OR(AJ122="USDAED",LEFT(AJ122,3)=RIGHT(AJ122,3)),AP122,IF(LEFT(AJ122)="USD",AO122,IF(RIGHT(AJ122,3)="USD",1,IFERROR(VLOOKUP(E122&amp;"USD"&amp;RIGHT(AJ122,3),$AN:$AO,2,FALSE),VLOOKUP(E122&amp;"USD"&amp;RIGHT(AB122,3),$AF:$AG,2,FALSE)))))</f>
        <v>77.7</v>
      </c>
      <c r="AR122" s="179">
        <f>-Q122*(1-Z122)/(1+X122)*IF(W122="CLIENT",IF(S122=RIGHT(AJ122,3),1/AM122,AM122),IF(W122="VENDOR",IF(S122=RIGHT(AJ122,3),1/AE122,AE122),AE122^(VLOOKUP(AB122,'FX RATES'!$H$1:$J$26,3,FALSE))/AM122^(VLOOKUP(AJ122,'FX RATES'!$H$1:$J$26,3,FALSE))))</f>
        <v>-107376.86</v>
      </c>
      <c r="AS122" s="179">
        <f>-I122*(1+X122)/(1-Z122)*IF(W122="VENDOR",IF(K122=RIGHT(AB122,3),1/AE122,AE122),IF(W122="CLIENT",IF(K122=RIGHT(AB122,3),1/AM122,AM122),AM122^(VLOOKUP(AJ122,'FX RATES'!$H$1:$J$26,3,FALSE))/AE122^(VLOOKUP(AB122,'FX RATES'!$H$1:$J$26,3,FALSE))))</f>
        <v>8408332.63443706</v>
      </c>
      <c r="AT122" s="170">
        <f>IF(AB122&lt;&gt;AJ122,J122/IF(K122=RIGHT(AB122,3),AE122,1/AE122),IF(S122="USD",J122/IF(K122=RIGHT(AB122,3),IF(W122="CLIENT",AM122,AE122),1/IF(W122="CLIENT",AM122,AE122)),J122*VLOOKUP(K122,'FX RATES'!$E$1:$F$10,2,FALSE)))</f>
        <v>-107376.86</v>
      </c>
      <c r="AU122" s="170">
        <f>IF(AB122&lt;&gt;AJ122,R122/IF(S122=RIGHT(AJ122,3),AM122,1/AM122),IF(K122="USD",R122/IF(S122=RIGHT(AJ122,3),IF(W122="CLIENT",AM122,AE122),1/IF(W122="CLIENT",AM122,AE122)),R122*VLOOKUP(S122,'FX RATES'!$E$1:$F$10,2,FALSE)))</f>
        <v>108133.79657603223</v>
      </c>
      <c r="AV122" s="170">
        <f>AT122+AU122</f>
        <v>756.93657603222528</v>
      </c>
      <c r="AW122" s="169"/>
      <c r="AX122" s="170">
        <f>IF(AND(ISERROR(SEARCH("INVOICE",T122)),ISERROR(SEARCH("SWITCH",T122)),ISERROR(SEARCH("FOREX",T122)),ISERROR(SEARCH("REFUND",A122)),ISERROR(SEARCH("CANCELLED",A122))),IF(AW122="",-AT122*X122+AU122*Z122,AW122),0)</f>
        <v>756.93657603222562</v>
      </c>
      <c r="AY122" s="170">
        <f>IF(AZ122="USD",AT122,IF(AZ122=K122,J122,-R122))</f>
        <v>-107376.86</v>
      </c>
      <c r="AZ122" s="170" t="str">
        <f>LEFT(AB122,3)</f>
        <v>USD</v>
      </c>
      <c r="BA122" s="542">
        <f>IF(OR(A122="REFUND",A122="CANCELLED"),0,IFERROR((IF(OR(AB122="USDAED",LEFT(AB122,3)=RIGHT(AB122,3)),AI122,AG122)-AE122)*-AY122*VLOOKUP(AB122,'FX RATES'!$H$1:$J$26,3,FALSE),0))</f>
        <v>0</v>
      </c>
      <c r="BB122" s="170" t="str">
        <f>RIGHT(AB122,3)</f>
        <v>RUB</v>
      </c>
      <c r="BC122" s="542">
        <f>IF(BA122=0,0,IFERROR(BA122/IF(BB122&lt;&gt;"USD",AI122,1),"???"))</f>
        <v>0</v>
      </c>
      <c r="BD122" s="170">
        <f>IFERROR(-AC122/(IF(OR(AB122="USDAED",LEFT(AB122,3)=RIGHT(AB122,3)),AH122,AG122)-AE122)*BC122,0)</f>
        <v>0</v>
      </c>
      <c r="BE122" s="542">
        <f>BC122-BD122</f>
        <v>0</v>
      </c>
      <c r="BF122" s="170">
        <f>IF(BG122="USD",AU122,IF(BG122=S122,R122,-J122))</f>
        <v>108133.79657603223</v>
      </c>
      <c r="BG122" s="170" t="str">
        <f>LEFT(AJ122,3)</f>
        <v>USD</v>
      </c>
      <c r="BH122" s="542">
        <f>IF(OR(A122="REFUND",A122="CANCELLED"),0,IFERROR((IF(OR(AJ122="USDAED",LEFT(AJ122,3)=RIGHT(AJ122,3)),AQ122,AO122)-AM122)*-BF122*VLOOKUP(AJ122,'FX RATES'!$H$1:$J$26,3,FALSE),0))</f>
        <v>6336.6404793553183</v>
      </c>
      <c r="BI122" s="170" t="str">
        <f>RIGHT(AJ122,3)</f>
        <v>RUB</v>
      </c>
      <c r="BJ122" s="542">
        <f>IF(BH122=0,0,IFERROR(BH122/IF(BI122&lt;&gt;"USD",AQ122,1),"???"))</f>
        <v>81.552644521947471</v>
      </c>
      <c r="BK122" s="170">
        <f>IFERROR(-AK122/(IF(OR(AJ122="USDAED",LEFT(AJ122,3)=RIGHT(AJ122,3)),AP122,AO122)-AM122)*BJ122,0)</f>
        <v>0</v>
      </c>
      <c r="BL122" s="542">
        <f>BJ122-BK122</f>
        <v>81.552644521947471</v>
      </c>
      <c r="BM122" s="170">
        <f>IF(AND(ISERROR(SEARCH("REFUND",A122)),ISERROR(SEARCH("CANCELLED",A122))),BD122+BK122,0)</f>
        <v>0</v>
      </c>
      <c r="BN122" s="542">
        <f>IF(AND(ISERROR(SEARCH("REFUND",A122)),ISERROR(SEARCH("CANCELLED",A122))),BE122+BL122,0)</f>
        <v>81.552644521947471</v>
      </c>
    </row>
    <row r="123" spans="1:66" ht="19.5" customHeight="1">
      <c r="A123" s="167" t="s">
        <v>366</v>
      </c>
      <c r="B123" s="168" t="s">
        <v>31</v>
      </c>
      <c r="C123" s="168" t="s">
        <v>367</v>
      </c>
      <c r="D123" s="168" t="s">
        <v>368</v>
      </c>
      <c r="E123" s="171">
        <v>46042</v>
      </c>
      <c r="F123" s="171"/>
      <c r="G123" s="168" t="s">
        <v>31</v>
      </c>
      <c r="H123" s="181" t="s">
        <v>377</v>
      </c>
      <c r="I123" s="169">
        <v>-410150</v>
      </c>
      <c r="J123" s="170">
        <f>IF(I123="",AR123,I123)</f>
        <v>-410150</v>
      </c>
      <c r="K123" s="168" t="s">
        <v>5</v>
      </c>
      <c r="L123" s="168" t="s">
        <v>378</v>
      </c>
      <c r="M123" s="168" t="s">
        <v>14</v>
      </c>
      <c r="N123" s="167" t="s">
        <v>371</v>
      </c>
      <c r="O123" s="168" t="s">
        <v>52</v>
      </c>
      <c r="P123" s="168" t="s">
        <v>379</v>
      </c>
      <c r="Q123" s="169"/>
      <c r="R123" s="170">
        <f t="shared" si="69"/>
        <v>32052954.562814072</v>
      </c>
      <c r="S123" s="168" t="s">
        <v>9</v>
      </c>
      <c r="T123" s="171" t="s">
        <v>380</v>
      </c>
      <c r="U123" s="168" t="s">
        <v>25</v>
      </c>
      <c r="V123" s="167" t="s">
        <v>371</v>
      </c>
      <c r="W123" s="172" t="s">
        <v>375</v>
      </c>
      <c r="X123" s="173">
        <f>IF(Y123="",VLOOKUP(H123,CLIENTS!$A$1:$O$649,5,FALSE),Y123)</f>
        <v>0</v>
      </c>
      <c r="Y123" s="174">
        <v>0</v>
      </c>
      <c r="Z123" s="173">
        <f>IF(AA123="",VLOOKUP(P123,CLIENTS!$A$1:$O$649,5,FALSE),AA123)</f>
        <v>5.0000000000000001E-3</v>
      </c>
      <c r="AA123" s="174">
        <v>5.0000000000000001E-3</v>
      </c>
      <c r="AB123" s="173" t="str">
        <f>IF(W123="via USD",IF(K123="EUR",K123&amp;"USD","USD"&amp;K123),IFERROR(VLOOKUP(K123&amp;S123,'FX RATES'!$H$2:$H$20,1,FALSE),S123&amp;K123))</f>
        <v>USDUSD</v>
      </c>
      <c r="AC123" s="175">
        <f>IF(LEFT(AB123,3)=RIGHT(AB123,3),0,IFERROR(INDEX(CLIENTS!$A$1:$O$649,MATCH(H123,CLIENTS!$A$1:$A$649,0),MATCH(AB123,CLIENTS!$A$1:$O$1,0)),0))</f>
        <v>0</v>
      </c>
      <c r="AD123" s="176"/>
      <c r="AE123" s="177">
        <f>IF(W123="CLIENT","",IF(AD123="",AH123+AC123,AD123+AC123))</f>
        <v>1</v>
      </c>
      <c r="AF123" s="177" t="str">
        <f>E123&amp;AB123</f>
        <v>46042USDUSD</v>
      </c>
      <c r="AG123" s="176"/>
      <c r="AH123" s="178">
        <f>IF(LEFT(AB123,3)=RIGHT(AB123,3),1,VLOOKUP(AB123,'FX RATES'!$H$1:$I$20,2,FALSE))</f>
        <v>1</v>
      </c>
      <c r="AI123" s="178">
        <f>IF(OR(AB123="USDAED",LEFT(AB123,3)=RIGHT(AB123,3)),AH123,IF(LEFT(AB123)="USD",AG123,IF(RIGHT(AB123,3)="USD",1,IFERROR(VLOOKUP(E123&amp;"USD"&amp;RIGHT(AB123,3),$AF:$AG,2,FALSE),VLOOKUP(E123&amp;"USD"&amp;RIGHT(AJ123,3),$AN:$AO,2,FALSE)))))</f>
        <v>1</v>
      </c>
      <c r="AJ123" s="173" t="str">
        <f>IF(W123="via USD",IF(S123="EUR",S123&amp;"USD","USD"&amp;S123),IFERROR(VLOOKUP(K123&amp;S123,'FX RATES'!$H$2:$H$20,1,FALSE),S123&amp;K123))</f>
        <v>USDRUB</v>
      </c>
      <c r="AK123" s="175">
        <f>IF(LEFT(AJ123,3)=RIGHT(AJ123,3),0,IFERROR(INDEX(CLIENTS!$A$1:$O$649,MATCH(P123,CLIENTS!$A$1:$A$649,0),MATCH(AJ123,CLIENTS!$A$1:$O$1,0)),0))</f>
        <v>0</v>
      </c>
      <c r="AL123" s="176">
        <v>77.758600000000001</v>
      </c>
      <c r="AM123" s="177">
        <f>IF(W123="VENDOR","",IF(AL123="",AP123+AK123,AL123+AK123))</f>
        <v>77.758600000000001</v>
      </c>
      <c r="AN123" s="177" t="str">
        <f>E123&amp;AJ123</f>
        <v>46042USDRUB</v>
      </c>
      <c r="AO123" s="176">
        <v>77.7</v>
      </c>
      <c r="AP123" s="178">
        <f ca="1">IF(LEFT(AJ123,3)=RIGHT(AJ123,3),1,VLOOKUP(AJ123,'FX RATES'!$H$1:$I$20,2,FALSE))</f>
        <v>76.720500000000001</v>
      </c>
      <c r="AQ123" s="178">
        <f>IF(OR(AJ123="USDAED",LEFT(AJ123,3)=RIGHT(AJ123,3)),AP123,IF(LEFT(AJ123)="USD",AO123,IF(RIGHT(AJ123,3)="USD",1,IFERROR(VLOOKUP(E123&amp;"USD"&amp;RIGHT(AJ123,3),$AN:$AO,2,FALSE),VLOOKUP(E123&amp;"USD"&amp;RIGHT(AB123,3),$AF:$AG,2,FALSE)))))</f>
        <v>77.7</v>
      </c>
      <c r="AR123" s="179">
        <f>-Q123*(1-Z123)/(1+X123)*IF(W123="CLIENT",IF(S123=RIGHT(AJ123,3),1/AM123,AM123),IF(W123="VENDOR",IF(S123=RIGHT(AJ123,3),1/AE123,AE123),AE123^(VLOOKUP(AB123,'FX RATES'!$H$1:$J$26,3,FALSE))/AM123^(VLOOKUP(AJ123,'FX RATES'!$H$1:$J$26,3,FALSE))))</f>
        <v>0</v>
      </c>
      <c r="AS123" s="179">
        <f>-I123*(1+X123)/(1-Z123)*IF(W123="VENDOR",IF(K123=RIGHT(AB123,3),1/AE123,AE123),IF(W123="CLIENT",IF(K123=RIGHT(AB123,3),1/AM123,AM123),AM123^(VLOOKUP(AJ123,'FX RATES'!$H$1:$J$26,3,FALSE))/AE123^(VLOOKUP(AB123,'FX RATES'!$H$1:$J$26,3,FALSE))))</f>
        <v>32052954.562814072</v>
      </c>
      <c r="AT123" s="170">
        <f>IF(AB123&lt;&gt;AJ123,J123/IF(K123=RIGHT(AB123,3),AE123,1/AE123),IF(S123="USD",J123/IF(K123=RIGHT(AB123,3),IF(W123="CLIENT",AM123,AE123),1/IF(W123="CLIENT",AM123,AE123)),J123*VLOOKUP(K123,'FX RATES'!$E$1:$F$10,2,FALSE)))</f>
        <v>-410150</v>
      </c>
      <c r="AU123" s="170">
        <f>IF(AB123&lt;&gt;AJ123,R123/IF(S123=RIGHT(AJ123,3),AM123,1/AM123),IF(K123="USD",R123/IF(S123=RIGHT(AJ123,3),IF(W123="CLIENT",AM123,AE123),1/IF(W123="CLIENT",AM123,AE123)),R123*VLOOKUP(S123,'FX RATES'!$E$1:$F$10,2,FALSE)))</f>
        <v>412211.0552763819</v>
      </c>
      <c r="AV123" s="170">
        <f>AT123+AU123</f>
        <v>2061.0552763818996</v>
      </c>
      <c r="AW123" s="169"/>
      <c r="AX123" s="170">
        <f>IF(AND(ISERROR(SEARCH("INVOICE",T123)),ISERROR(SEARCH("SWITCH",T123)),ISERROR(SEARCH("FOREX",T123)),ISERROR(SEARCH("REFUND",A123)),ISERROR(SEARCH("CANCELLED",A123))),IF(AW123="",-AT123*X123+AU123*Z123,AW123),0)</f>
        <v>2061.0552763819096</v>
      </c>
      <c r="AY123" s="170">
        <f>IF(AZ123="USD",AT123,IF(AZ123=K123,J123,-R123))</f>
        <v>-410150</v>
      </c>
      <c r="AZ123" s="170" t="str">
        <f>LEFT(AB123,3)</f>
        <v>USD</v>
      </c>
      <c r="BA123" s="542">
        <f>IF(OR(A123="REFUND",A123="CANCELLED"),0,IFERROR((IF(OR(AB123="USDAED",LEFT(AB123,3)=RIGHT(AB123,3)),AI123,AG123)-AE123)*-AY123*VLOOKUP(AB123,'FX RATES'!$H$1:$J$26,3,FALSE),0))</f>
        <v>0</v>
      </c>
      <c r="BB123" s="170" t="str">
        <f>RIGHT(AB123,3)</f>
        <v>USD</v>
      </c>
      <c r="BC123" s="542">
        <f>IF(BA123=0,0,IFERROR(BA123/IF(BB123&lt;&gt;"USD",AI123,1),"???"))</f>
        <v>0</v>
      </c>
      <c r="BD123" s="170">
        <f>IFERROR(-AC123/(IF(OR(AB123="USDAED",LEFT(AB123,3)=RIGHT(AB123,3)),AH123,AG123)-AE123)*BC123,0)</f>
        <v>0</v>
      </c>
      <c r="BE123" s="542">
        <f>BC123-BD123</f>
        <v>0</v>
      </c>
      <c r="BF123" s="170">
        <f>IF(BG123="USD",AU123,IF(BG123=S123,R123,-J123))</f>
        <v>412211.0552763819</v>
      </c>
      <c r="BG123" s="170" t="str">
        <f>LEFT(AJ123,3)</f>
        <v>USD</v>
      </c>
      <c r="BH123" s="542">
        <f>IF(OR(A123="REFUND",A123="CANCELLED"),0,IFERROR((IF(OR(AJ123="USDAED",LEFT(AJ123,3)=RIGHT(AJ123,3)),AQ123,AO123)-AM123)*-BF123*VLOOKUP(AJ123,'FX RATES'!$H$1:$J$26,3,FALSE),0))</f>
        <v>24155.567839195333</v>
      </c>
      <c r="BI123" s="170" t="str">
        <f>RIGHT(AJ123,3)</f>
        <v>RUB</v>
      </c>
      <c r="BJ123" s="542">
        <f>IF(BH123=0,0,IFERROR(BH123/IF(BI123&lt;&gt;"USD",AQ123,1),"???"))</f>
        <v>310.88246897291287</v>
      </c>
      <c r="BK123" s="170">
        <f>IFERROR(-AK123/(IF(OR(AJ123="USDAED",LEFT(AJ123,3)=RIGHT(AJ123,3)),AP123,AO123)-AM123)*BJ123,0)</f>
        <v>0</v>
      </c>
      <c r="BL123" s="542">
        <f>BJ123-BK123</f>
        <v>310.88246897291287</v>
      </c>
      <c r="BM123" s="170">
        <f>IF(AND(ISERROR(SEARCH("REFUND",A123)),ISERROR(SEARCH("CANCELLED",A123))),BD123+BK123,0)</f>
        <v>0</v>
      </c>
      <c r="BN123" s="542">
        <f>IF(AND(ISERROR(SEARCH("REFUND",A123)),ISERROR(SEARCH("CANCELLED",A123))),BE123+BL123,0)</f>
        <v>310.88246897291287</v>
      </c>
    </row>
    <row r="124" spans="1:66" ht="19.5" customHeight="1">
      <c r="A124" s="167" t="s">
        <v>366</v>
      </c>
      <c r="B124" s="168" t="s">
        <v>39</v>
      </c>
      <c r="C124" s="168" t="s">
        <v>367</v>
      </c>
      <c r="D124" s="168" t="s">
        <v>368</v>
      </c>
      <c r="E124" s="171">
        <v>46042</v>
      </c>
      <c r="F124" s="171"/>
      <c r="G124" s="168" t="s">
        <v>39</v>
      </c>
      <c r="H124" s="168" t="s">
        <v>480</v>
      </c>
      <c r="I124" s="169"/>
      <c r="J124" s="170">
        <f t="shared" ref="J124:J134" si="70">IF(I124="",AR124,I124)</f>
        <v>-401616.161595502</v>
      </c>
      <c r="K124" s="168" t="s">
        <v>5</v>
      </c>
      <c r="L124" s="171" t="s">
        <v>481</v>
      </c>
      <c r="M124" s="168" t="s">
        <v>20</v>
      </c>
      <c r="N124" s="167" t="s">
        <v>371</v>
      </c>
      <c r="O124" s="168" t="s">
        <v>52</v>
      </c>
      <c r="P124" s="168" t="s">
        <v>482</v>
      </c>
      <c r="Q124" s="169">
        <v>31417616.16</v>
      </c>
      <c r="R124" s="170">
        <f t="shared" si="69"/>
        <v>31417616.16</v>
      </c>
      <c r="S124" s="168" t="s">
        <v>9</v>
      </c>
      <c r="T124" s="171" t="s">
        <v>25</v>
      </c>
      <c r="U124" s="168" t="s">
        <v>25</v>
      </c>
      <c r="V124" s="167" t="s">
        <v>371</v>
      </c>
      <c r="W124" s="172" t="s">
        <v>389</v>
      </c>
      <c r="X124" s="173">
        <f>IF(Y124="",VLOOKUP(H124,CLIENTS!$A$1:$O$649,5,FALSE),Y124)</f>
        <v>0</v>
      </c>
      <c r="Y124" s="174">
        <v>0</v>
      </c>
      <c r="Z124" s="173">
        <f>IF(AA124="",VLOOKUP(P124,CLIENTS!$A$1:$O$649,5,FALSE),AA124)</f>
        <v>6.0000000000000001E-3</v>
      </c>
      <c r="AA124" s="174">
        <v>6.0000000000000001E-3</v>
      </c>
      <c r="AB124" s="173" t="str">
        <f>IF(W124="via USD",IF(K124="EUR",K124&amp;"USD","USD"&amp;K124),IFERROR(VLOOKUP(K124&amp;S124,'FX RATES'!$H$2:$H$20,1,FALSE),S124&amp;K124))</f>
        <v>USDRUB</v>
      </c>
      <c r="AC124" s="175">
        <f>IF(LEFT(AB124,3)=RIGHT(AB124,3),0,IFERROR(INDEX(CLIENTS!$A$1:$O$649,MATCH(H124,CLIENTS!$A$1:$A$649,0),MATCH(AB124,CLIENTS!$A$1:$O$1,0)),0))</f>
        <v>0</v>
      </c>
      <c r="AD124" s="176"/>
      <c r="AE124" s="177" t="str">
        <f t="shared" ref="AE124:AE134" si="71">IF(W124="CLIENT","",IF(AD124="",AH124+AC124,AD124+AC124))</f>
        <v/>
      </c>
      <c r="AF124" s="177" t="str">
        <f t="shared" ref="AF124:AF134" si="72">E124&amp;AB124</f>
        <v>46042USDRUB</v>
      </c>
      <c r="AG124" s="176"/>
      <c r="AH124" s="178">
        <f ca="1">IF(LEFT(AB124,3)=RIGHT(AB124,3),1,VLOOKUP(AB124,'FX RATES'!$H$1:$I$20,2,FALSE))</f>
        <v>76.720500000000001</v>
      </c>
      <c r="AI124" s="178">
        <f>IF(OR(AB124="USDAED",LEFT(AB124,3)=RIGHT(AB124,3)),AH124,IF(LEFT(AB124)="USD",AG124,IF(RIGHT(AB124,3)="USD",1,IFERROR(VLOOKUP(E124&amp;"USD"&amp;RIGHT(AB124,3),$AF:$AG,2,FALSE),VLOOKUP(E124&amp;"USD"&amp;RIGHT(AJ124,3),$AN:$AO,2,FALSE)))))</f>
        <v>77.8</v>
      </c>
      <c r="AJ124" s="173" t="str">
        <f>IF(W124="via USD",IF(S124="EUR",S124&amp;"USD","USD"&amp;S124),IFERROR(VLOOKUP(K124&amp;S124,'FX RATES'!$H$2:$H$20,1,FALSE),S124&amp;K124))</f>
        <v>USDRUB</v>
      </c>
      <c r="AK124" s="175">
        <f>IF(LEFT(AJ124,3)=RIGHT(AJ124,3),0,IFERROR(INDEX(CLIENTS!$A$1:$O$649,MATCH(P124,CLIENTS!$A$1:$A$649,0),MATCH(AJ124,CLIENTS!$A$1:$O$1,0)),0))</f>
        <v>0</v>
      </c>
      <c r="AL124" s="176">
        <v>77.758600000000001</v>
      </c>
      <c r="AM124" s="177">
        <f t="shared" ref="AM124:AM134" si="73">IF(W124="VENDOR","",IF(AL124="",AP124+AK124,AL124+AK124))</f>
        <v>77.758600000000001</v>
      </c>
      <c r="AN124" s="177" t="str">
        <f t="shared" ref="AN124:AN134" si="74">E124&amp;AJ124</f>
        <v>46042USDRUB</v>
      </c>
      <c r="AO124" s="176">
        <v>77.7</v>
      </c>
      <c r="AP124" s="178">
        <f ca="1">IF(LEFT(AJ124,3)=RIGHT(AJ124,3),1,VLOOKUP(AJ124,'FX RATES'!$H$1:$I$20,2,FALSE))</f>
        <v>76.720500000000001</v>
      </c>
      <c r="AQ124" s="178">
        <f>IF(OR(AJ124="USDAED",LEFT(AJ124,3)=RIGHT(AJ124,3)),AP124,IF(LEFT(AJ124)="USD",AO124,IF(RIGHT(AJ124,3)="USD",1,IFERROR(VLOOKUP(E124&amp;"USD"&amp;RIGHT(AJ124,3),$AN:$AO,2,FALSE),VLOOKUP(E124&amp;"USD"&amp;RIGHT(AB124,3),$AF:$AG,2,FALSE)))))</f>
        <v>77.7</v>
      </c>
      <c r="AR124" s="179">
        <f>-Q124*(1-Z124)/(1+X124)*IF(W124="CLIENT",IF(S124=RIGHT(AJ124,3),1/AM124,AM124),IF(W124="VENDOR",IF(S124=RIGHT(AJ124,3),1/AE124,AE124),AE124^(VLOOKUP(AB124,'FX RATES'!$H$1:$J$26,3,FALSE))/AM124^(VLOOKUP(AJ124,'FX RATES'!$H$1:$J$26,3,FALSE))))</f>
        <v>-401616.161595502</v>
      </c>
      <c r="AS124" s="179">
        <f>-I124*(1+X124)/(1-Z124)*IF(W124="VENDOR",IF(K124=RIGHT(AB124,3),1/AE124,AE124),IF(W124="CLIENT",IF(K124=RIGHT(AB124,3),1/AM124,AM124),AM124^(VLOOKUP(AJ124,'FX RATES'!$H$1:$J$26,3,FALSE))/AE124^(VLOOKUP(AB124,'FX RATES'!$H$1:$J$26,3,FALSE))))</f>
        <v>0</v>
      </c>
      <c r="AT124" s="170">
        <f>IF(AB124&lt;&gt;AJ124,J124/IF(K124=RIGHT(AB124,3),AE124,1/AE124),IF(S124="USD",J124/IF(K124=RIGHT(AB124,3),IF(W124="CLIENT",AM124,AE124),1/IF(W124="CLIENT",AM124,AE124)),J124*VLOOKUP(K124,'FX RATES'!$E$1:$F$10,2,FALSE)))</f>
        <v>-401616.161595502</v>
      </c>
      <c r="AU124" s="170">
        <f>IF(AB124&lt;&gt;AJ124,R124/IF(S124=RIGHT(AJ124,3),AM124,1/AM124),IF(K124="USD",R124/IF(S124=RIGHT(AJ124,3),IF(W124="CLIENT",AM124,AE124),1/IF(W124="CLIENT",AM124,AE124)),R124*VLOOKUP(S124,'FX RATES'!$E$1:$F$10,2,FALSE)))</f>
        <v>404040.40401961969</v>
      </c>
      <c r="AV124" s="170">
        <f t="shared" ref="AV124:AV134" si="75">AT124+AU124</f>
        <v>2424.2424241176923</v>
      </c>
      <c r="AW124" s="169"/>
      <c r="AX124" s="170">
        <f t="shared" ref="AX124:AX134" si="76">IF(AND(ISERROR(SEARCH("INVOICE",T124)),ISERROR(SEARCH("SWITCH",T124)),ISERROR(SEARCH("FOREX",T124)),ISERROR(SEARCH("REFUND",A124)),ISERROR(SEARCH("CANCELLED",A124))),IF(AW124="",-AT124*X124+AU124*Z124,AW124),0)</f>
        <v>2424.2424241177182</v>
      </c>
      <c r="AY124" s="170">
        <f t="shared" ref="AY124:AY134" si="77">IF(AZ124="USD",AT124,IF(AZ124=K124,J124,-R124))</f>
        <v>-401616.161595502</v>
      </c>
      <c r="AZ124" s="170" t="str">
        <f t="shared" ref="AZ124:AZ134" si="78">LEFT(AB124,3)</f>
        <v>USD</v>
      </c>
      <c r="BA124" s="542">
        <f>IF(OR(A124="REFUND",A124="CANCELLED"),0,IFERROR((IF(OR(AB124="USDAED",LEFT(AB124,3)=RIGHT(AB124,3)),AI124,AG124)-AE124)*-AY124*VLOOKUP(AB124,'FX RATES'!$H$1:$J$26,3,FALSE),0))</f>
        <v>0</v>
      </c>
      <c r="BB124" s="170" t="str">
        <f>RIGHT(AB124,3)</f>
        <v>RUB</v>
      </c>
      <c r="BC124" s="542">
        <f t="shared" ref="BC124:BC134" si="79">IF(BA124=0,0,IFERROR(BA124/IF(BB124&lt;&gt;"USD",AI124,1),"???"))</f>
        <v>0</v>
      </c>
      <c r="BD124" s="170">
        <f t="shared" ref="BD124:BD134" si="80">IFERROR(-AC124/(IF(OR(AB124="USDAED",LEFT(AB124,3)=RIGHT(AB124,3)),AH124,AG124)-AE124)*BC124,0)</f>
        <v>0</v>
      </c>
      <c r="BE124" s="542">
        <f t="shared" ref="BE124:BE134" si="81">BC124-BD124</f>
        <v>0</v>
      </c>
      <c r="BF124" s="170">
        <f t="shared" ref="BF124:BF134" si="82">IF(BG124="USD",AU124,IF(BG124=S124,R124,-J124))</f>
        <v>404040.40401961969</v>
      </c>
      <c r="BG124" s="170" t="str">
        <f t="shared" ref="BG124:BG134" si="83">LEFT(AJ124,3)</f>
        <v>USD</v>
      </c>
      <c r="BH124" s="542">
        <f>IF(OR(A124="REFUND",A124="CANCELLED"),0,IFERROR((IF(OR(AJ124="USDAED",LEFT(AJ124,3)=RIGHT(AJ124,3)),AQ124,AO124)-AM124)*-BF124*VLOOKUP(AJ124,'FX RATES'!$H$1:$J$26,3,FALSE),0))</f>
        <v>23676.767675549079</v>
      </c>
      <c r="BI124" s="170" t="str">
        <f>RIGHT(AJ124,3)</f>
        <v>RUB</v>
      </c>
      <c r="BJ124" s="542">
        <f t="shared" ref="BJ124:BJ134" si="84">IF(BH124=0,0,IFERROR(BH124/IF(BI124&lt;&gt;"USD",AQ124,1),"???"))</f>
        <v>304.72030470462136</v>
      </c>
      <c r="BK124" s="170">
        <f t="shared" ref="BK124:BK134" si="85">IFERROR(-AK124/(IF(OR(AJ124="USDAED",LEFT(AJ124,3)=RIGHT(AJ124,3)),AP124,AO124)-AM124)*BJ124,0)</f>
        <v>0</v>
      </c>
      <c r="BL124" s="542">
        <f t="shared" ref="BL124:BL134" si="86">BJ124-BK124</f>
        <v>304.72030470462136</v>
      </c>
      <c r="BM124" s="170">
        <f t="shared" ref="BM124:BM134" si="87">IF(AND(ISERROR(SEARCH("REFUND",A124)),ISERROR(SEARCH("CANCELLED",A124))),BD124+BK124,0)</f>
        <v>0</v>
      </c>
      <c r="BN124" s="542">
        <f t="shared" ref="BN124:BN134" si="88">IF(AND(ISERROR(SEARCH("REFUND",A124)),ISERROR(SEARCH("CANCELLED",A124))),BE124+BL124,0)</f>
        <v>304.72030470462136</v>
      </c>
    </row>
    <row r="125" spans="1:66" ht="19.5" customHeight="1">
      <c r="A125" s="167" t="s">
        <v>366</v>
      </c>
      <c r="B125" s="168" t="s">
        <v>39</v>
      </c>
      <c r="C125" s="168" t="s">
        <v>367</v>
      </c>
      <c r="D125" s="181" t="s">
        <v>368</v>
      </c>
      <c r="E125" s="171">
        <v>46042</v>
      </c>
      <c r="F125" s="171"/>
      <c r="G125" s="168" t="s">
        <v>39</v>
      </c>
      <c r="H125" s="181" t="s">
        <v>483</v>
      </c>
      <c r="I125" s="169">
        <v>-984558</v>
      </c>
      <c r="J125" s="170">
        <f t="shared" si="70"/>
        <v>-984558</v>
      </c>
      <c r="K125" s="168" t="s">
        <v>5</v>
      </c>
      <c r="L125" s="168" t="s">
        <v>402</v>
      </c>
      <c r="M125" s="168" t="s">
        <v>20</v>
      </c>
      <c r="N125" s="167" t="s">
        <v>371</v>
      </c>
      <c r="O125" s="168" t="s">
        <v>52</v>
      </c>
      <c r="P125" s="168" t="s">
        <v>379</v>
      </c>
      <c r="Q125" s="169"/>
      <c r="R125" s="170">
        <f t="shared" si="69"/>
        <v>76942564.521407038</v>
      </c>
      <c r="S125" s="168" t="s">
        <v>9</v>
      </c>
      <c r="T125" s="171" t="s">
        <v>380</v>
      </c>
      <c r="U125" s="171" t="s">
        <v>25</v>
      </c>
      <c r="V125" s="167" t="s">
        <v>371</v>
      </c>
      <c r="W125" s="172" t="s">
        <v>375</v>
      </c>
      <c r="X125" s="173">
        <f>IF(Y125="",VLOOKUP(H125,CLIENTS!$A$1:$O$649,5,FALSE),Y125)</f>
        <v>0</v>
      </c>
      <c r="Y125" s="174">
        <v>0</v>
      </c>
      <c r="Z125" s="173">
        <f>IF(AA125="",VLOOKUP(P125,CLIENTS!$A$1:$O$649,5,FALSE),AA125)</f>
        <v>5.0000000000000001E-3</v>
      </c>
      <c r="AA125" s="174">
        <v>5.0000000000000001E-3</v>
      </c>
      <c r="AB125" s="173" t="str">
        <f>IF(W125="via USD",IF(K125="EUR",K125&amp;"USD","USD"&amp;K125),IFERROR(VLOOKUP(K125&amp;S125,'FX RATES'!$H$2:$H$20,1,FALSE),S125&amp;K125))</f>
        <v>USDUSD</v>
      </c>
      <c r="AC125" s="175">
        <f>IF(LEFT(AB125,3)=RIGHT(AB125,3),0,IFERROR(INDEX(CLIENTS!$A$1:$O$649,MATCH(H125,CLIENTS!$A$1:$A$649,0),MATCH(AB125,CLIENTS!$A$1:$O$1,0)),0))</f>
        <v>0</v>
      </c>
      <c r="AD125" s="176"/>
      <c r="AE125" s="177">
        <f t="shared" si="71"/>
        <v>1</v>
      </c>
      <c r="AF125" s="177" t="str">
        <f t="shared" si="72"/>
        <v>46042USDUSD</v>
      </c>
      <c r="AG125" s="176"/>
      <c r="AH125" s="178">
        <f>IF(LEFT(AB125,3)=RIGHT(AB125,3),1,VLOOKUP(AB125,'FX RATES'!$H$1:$I$20,2,FALSE))</f>
        <v>1</v>
      </c>
      <c r="AI125" s="178">
        <f>IF(OR(AB125="USDAED",LEFT(AB125,3)=RIGHT(AB125,3)),AH125,IF(LEFT(AB125)="USD",AG125,IF(RIGHT(AB125,3)="USD",1,IFERROR(VLOOKUP(E125&amp;"USD"&amp;RIGHT(AB125,3),$AF:$AG,2,FALSE),VLOOKUP(E125&amp;"USD"&amp;RIGHT(AJ125,3),$AN:$AO,2,FALSE)))))</f>
        <v>1</v>
      </c>
      <c r="AJ125" s="173" t="str">
        <f>IF(W125="via USD",IF(S125="EUR",S125&amp;"USD","USD"&amp;S125),IFERROR(VLOOKUP(K125&amp;S125,'FX RATES'!$H$2:$H$20,1,FALSE),S125&amp;K125))</f>
        <v>USDRUB</v>
      </c>
      <c r="AK125" s="175">
        <f>IF(LEFT(AJ125,3)=RIGHT(AJ125,3),0,IFERROR(INDEX(CLIENTS!$A$1:$O$649,MATCH(P125,CLIENTS!$A$1:$A$649,0),MATCH(AJ125,CLIENTS!$A$1:$O$1,0)),0))</f>
        <v>0</v>
      </c>
      <c r="AL125" s="176">
        <v>77.758600000000001</v>
      </c>
      <c r="AM125" s="177">
        <f t="shared" si="73"/>
        <v>77.758600000000001</v>
      </c>
      <c r="AN125" s="177" t="str">
        <f t="shared" si="74"/>
        <v>46042USDRUB</v>
      </c>
      <c r="AO125" s="176">
        <v>77.7</v>
      </c>
      <c r="AP125" s="178">
        <f ca="1">IF(LEFT(AJ125,3)=RIGHT(AJ125,3),1,VLOOKUP(AJ125,'FX RATES'!$H$1:$I$20,2,FALSE))</f>
        <v>76.720500000000001</v>
      </c>
      <c r="AQ125" s="178">
        <f>IF(OR(AJ125="USDAED",LEFT(AJ125,3)=RIGHT(AJ125,3)),AP125,IF(LEFT(AJ125)="USD",AO125,IF(RIGHT(AJ125,3)="USD",1,IFERROR(VLOOKUP(E125&amp;"USD"&amp;RIGHT(AJ125,3),$AN:$AO,2,FALSE),VLOOKUP(E125&amp;"USD"&amp;RIGHT(AB125,3),$AF:$AG,2,FALSE)))))</f>
        <v>77.7</v>
      </c>
      <c r="AR125" s="179">
        <f>-Q125*(1-Z125)/(1+X125)*IF(W125="CLIENT",IF(S125=RIGHT(AJ125,3),1/AM125,AM125),IF(W125="VENDOR",IF(S125=RIGHT(AJ125,3),1/AE125,AE125),AE125^(VLOOKUP(AB125,'FX RATES'!$H$1:$J$26,3,FALSE))/AM125^(VLOOKUP(AJ125,'FX RATES'!$H$1:$J$26,3,FALSE))))</f>
        <v>0</v>
      </c>
      <c r="AS125" s="179">
        <f>-I125*(1+X125)/(1-Z125)*IF(W125="VENDOR",IF(K125=RIGHT(AB125,3),1/AE125,AE125),IF(W125="CLIENT",IF(K125=RIGHT(AB125,3),1/AM125,AM125),AM125^(VLOOKUP(AJ125,'FX RATES'!$H$1:$J$26,3,FALSE))/AE125^(VLOOKUP(AB125,'FX RATES'!$H$1:$J$26,3,FALSE))))</f>
        <v>76942564.521407038</v>
      </c>
      <c r="AT125" s="170">
        <f>IF(AB125&lt;&gt;AJ125,J125/IF(K125=RIGHT(AB125,3),AE125,1/AE125),IF(S125="USD",J125/IF(K125=RIGHT(AB125,3),IF(W125="CLIENT",AM125,AE125),1/IF(W125="CLIENT",AM125,AE125)),J125*VLOOKUP(K125,'FX RATES'!$E$1:$F$10,2,FALSE)))</f>
        <v>-984558</v>
      </c>
      <c r="AU125" s="170">
        <f>IF(AB125&lt;&gt;AJ125,R125/IF(S125=RIGHT(AJ125,3),AM125,1/AM125),IF(K125="USD",R125/IF(S125=RIGHT(AJ125,3),IF(W125="CLIENT",AM125,AE125),1/IF(W125="CLIENT",AM125,AE125)),R125*VLOOKUP(S125,'FX RATES'!$E$1:$F$10,2,FALSE)))</f>
        <v>989505.52763819101</v>
      </c>
      <c r="AV125" s="170">
        <f t="shared" si="75"/>
        <v>4947.527638191008</v>
      </c>
      <c r="AW125" s="169"/>
      <c r="AX125" s="170">
        <f t="shared" si="76"/>
        <v>4947.5276381909553</v>
      </c>
      <c r="AY125" s="170">
        <f t="shared" si="77"/>
        <v>-984558</v>
      </c>
      <c r="AZ125" s="170" t="str">
        <f t="shared" si="78"/>
        <v>USD</v>
      </c>
      <c r="BA125" s="542">
        <f>IF(OR(A125="REFUND",A125="CANCELLED"),0,IFERROR((IF(OR(AB125="USDAED",LEFT(AB125,3)=RIGHT(AB125,3)),AI125,AG125)-AE125)*-AY125*VLOOKUP(AB125,'FX RATES'!$H$1:$J$26,3,FALSE),0))</f>
        <v>0</v>
      </c>
      <c r="BB125" s="170" t="str">
        <f>RIGHT(AB125,3)</f>
        <v>USD</v>
      </c>
      <c r="BC125" s="542">
        <f t="shared" si="79"/>
        <v>0</v>
      </c>
      <c r="BD125" s="170">
        <f t="shared" si="80"/>
        <v>0</v>
      </c>
      <c r="BE125" s="542">
        <f t="shared" si="81"/>
        <v>0</v>
      </c>
      <c r="BF125" s="170">
        <f t="shared" si="82"/>
        <v>989505.52763819101</v>
      </c>
      <c r="BG125" s="170" t="str">
        <f t="shared" si="83"/>
        <v>USD</v>
      </c>
      <c r="BH125" s="542">
        <f>IF(OR(A125="REFUND",A125="CANCELLED"),0,IFERROR((IF(OR(AJ125="USDAED",LEFT(AJ125,3)=RIGHT(AJ125,3)),AQ125,AO125)-AM125)*-BF125*VLOOKUP(AJ125,'FX RATES'!$H$1:$J$26,3,FALSE),0))</f>
        <v>57985.023919596439</v>
      </c>
      <c r="BI125" s="170" t="str">
        <f>RIGHT(AJ125,3)</f>
        <v>RUB</v>
      </c>
      <c r="BJ125" s="542">
        <f t="shared" si="84"/>
        <v>746.26800411321028</v>
      </c>
      <c r="BK125" s="170">
        <f t="shared" si="85"/>
        <v>0</v>
      </c>
      <c r="BL125" s="542">
        <f t="shared" si="86"/>
        <v>746.26800411321028</v>
      </c>
      <c r="BM125" s="170">
        <f t="shared" si="87"/>
        <v>0</v>
      </c>
      <c r="BN125" s="542">
        <f t="shared" si="88"/>
        <v>746.26800411321028</v>
      </c>
    </row>
    <row r="126" spans="1:66" ht="19.5" customHeight="1">
      <c r="A126" s="167" t="s">
        <v>366</v>
      </c>
      <c r="B126" s="172" t="s">
        <v>52</v>
      </c>
      <c r="C126" s="172" t="s">
        <v>484</v>
      </c>
      <c r="D126" s="181" t="s">
        <v>368</v>
      </c>
      <c r="E126" s="171">
        <v>46042</v>
      </c>
      <c r="F126" s="171"/>
      <c r="G126" s="172" t="s">
        <v>52</v>
      </c>
      <c r="H126" s="172" t="s">
        <v>485</v>
      </c>
      <c r="I126" s="169">
        <f>-190587.757289</f>
        <v>-190587.757289</v>
      </c>
      <c r="J126" s="170">
        <f t="shared" si="70"/>
        <v>-190587.757289</v>
      </c>
      <c r="K126" s="172" t="s">
        <v>53</v>
      </c>
      <c r="L126" s="172" t="s">
        <v>420</v>
      </c>
      <c r="M126" s="172" t="s">
        <v>54</v>
      </c>
      <c r="N126" s="167" t="s">
        <v>371</v>
      </c>
      <c r="O126" s="172" t="s">
        <v>52</v>
      </c>
      <c r="P126" s="172" t="s">
        <v>485</v>
      </c>
      <c r="Q126" s="169"/>
      <c r="R126" s="170">
        <f t="shared" si="69"/>
        <v>61.000000000310401</v>
      </c>
      <c r="S126" s="172" t="s">
        <v>486</v>
      </c>
      <c r="T126" s="171" t="s">
        <v>420</v>
      </c>
      <c r="U126" s="172" t="s">
        <v>54</v>
      </c>
      <c r="V126" s="167" t="s">
        <v>371</v>
      </c>
      <c r="W126" s="172" t="s">
        <v>389</v>
      </c>
      <c r="X126" s="173">
        <f>IF(Y126="",VLOOKUP(H126,CLIENTS!$A$1:$O$649,5,FALSE),Y126)</f>
        <v>0</v>
      </c>
      <c r="Y126" s="174">
        <v>0</v>
      </c>
      <c r="Z126" s="173">
        <f>IF(AA126="",VLOOKUP(P126,CLIENTS!$A$1:$O$649,5,FALSE),AA126)</f>
        <v>0</v>
      </c>
      <c r="AA126" s="174">
        <v>0</v>
      </c>
      <c r="AB126" s="173" t="str">
        <f>IF(W126="via USD",IF(K126="EUR",K126&amp;"USD","USD"&amp;K126),IFERROR(VLOOKUP(K126&amp;S126,'FX RATES'!$H$2:$H$55,1,FALSE),S126&amp;K126))</f>
        <v>ETHUSDT</v>
      </c>
      <c r="AC126" s="175">
        <f>IF(LEFT(AB126,3)=RIGHT(AB126,3),0,IFERROR(INDEX(CLIENTS!$A$1:$O$649,MATCH(H126,CLIENTS!$A$1:$A$649,0),MATCH(AB126,CLIENTS!$A$1:$O$1,0)),0))</f>
        <v>0</v>
      </c>
      <c r="AD126" s="176"/>
      <c r="AE126" s="177" t="str">
        <f t="shared" si="71"/>
        <v/>
      </c>
      <c r="AF126" s="177" t="str">
        <f t="shared" si="72"/>
        <v>46042ETHUSDT</v>
      </c>
      <c r="AG126" s="176"/>
      <c r="AH126" s="178">
        <f ca="1">IF(OR(LEFT(AB126,3)=RIGHT(AB126,3),OR(AB126="USDUSDT",AB126="USDTUSD")),1,VLOOKUP(AB126,'FX RATES'!$H$1:$I$50,2,FALSE))</f>
        <v>1964.42</v>
      </c>
      <c r="AI126" s="178">
        <f>IF(OR(AB126="USDAED",LEFT(AB126,3)=RIGHT(AB126,3)),AH126,IF(LEFT(AB126)="USD",AG126,IF(OR(RIGHT(AB126,3)="USD",RIGHT(AB126,4)="USDT"),1,IFERROR(VLOOKUP(E126&amp;"USD"&amp;RIGHT(AB126,3),$AF:$AG,2,FALSE),VLOOKUP(E126&amp;"USD"&amp;RIGHT(AJ126,3),$AN:$AO,2,FALSE)))))</f>
        <v>1</v>
      </c>
      <c r="AJ126" s="173" t="str">
        <f>IF(W126="via USD",IF(S126="EUR",S126&amp;"USD","USD"&amp;S126),IFERROR(VLOOKUP(K126&amp;S126,'FX RATES'!$H$2:$H$20,1,FALSE),S126&amp;K126))</f>
        <v>ETHUSDT</v>
      </c>
      <c r="AK126" s="175">
        <f>IF(LEFT(AJ126,3)=RIGHT(AJ126,3),0,IFERROR(INDEX(CLIENTS!$A$1:$O$649,MATCH(P126,CLIENTS!$A$1:$A$649,0),MATCH(AJ126,CLIENTS!$A$1:$O$1,0)),0))</f>
        <v>0</v>
      </c>
      <c r="AL126" s="176">
        <v>3124.3894637382</v>
      </c>
      <c r="AM126" s="177">
        <f t="shared" si="73"/>
        <v>3124.3894637382</v>
      </c>
      <c r="AN126" s="177" t="str">
        <f t="shared" si="74"/>
        <v>46042ETHUSDT</v>
      </c>
      <c r="AO126" s="176">
        <v>3124.3894637382</v>
      </c>
      <c r="AP126" s="178">
        <f ca="1">IF(OR(LEFT(AJ126,3)=RIGHT(AJ126,3),AND(OR(AB126="USDUSDT",AB126="USDTUSD"),OR(AJ126="USDUSDT",AJ126="USDTUSD"))),1,VLOOKUP(AJ126,'FX RATES'!$H$1:$I$50,2,FALSE))</f>
        <v>1964.42</v>
      </c>
      <c r="AQ126" s="178">
        <f>IF(OR(AJ126="USDAED",LEFT(AJ126,3)=RIGHT(AJ126,3)),AP126,IF(LEFT(AJ126)="USD",AO126,IF(OR(RIGHT(AB126,3)="USD",RIGHT(AB126,4)="USDT"),1,IFERROR(VLOOKUP(E126&amp;"USD"&amp;RIGHT(AJ126,3),$AN:$AO,2,FALSE),VLOOKUP(E126&amp;"USD"&amp;RIGHT(AB126,3),$AF:$AG,2,FALSE)))))</f>
        <v>1</v>
      </c>
      <c r="AR126" s="179">
        <f>-Q126*(1-Z126)/(1+X126)*IF(W126="CLIENT",IF(S126=RIGHT(AJ126,3),1/AM126,AM126),IF(W126="VENDOR",IF(S126=RIGHT(AJ126,3),1/AE126,AE126),AE126^(VLOOKUP(AB126,'FX RATES'!$H$1:$J$50,3,FALSE))/AM126^(VLOOKUP(AJ126,'FX RATES'!$H$1:$J$50,3,FALSE))))</f>
        <v>0</v>
      </c>
      <c r="AS126" s="179">
        <f>-I126*(1+X126)/(1-Z126)*IF(W126="VENDOR",IF(K126=RIGHT(AB126,3),1/AE126,AE126),IF(W126="CLIENT",IF(K126=RIGHT(AB126,4),1/AM126,AM126),AM126^(VLOOKUP(AJ126,'FX RATES'!$H$1:$J$50,3,FALSE))/AE126^(VLOOKUP(AB126,'FX RATES'!$H$1:$J$50,3,FALSE))))</f>
        <v>61.000000000310401</v>
      </c>
      <c r="AT126" s="170">
        <f>IF(AB126&lt;&gt;AJ126,J126/IF(K126=RIGHT(AB126,3),AE126,1/AE126),IF(S126="USD",J126/IF(K126=RIGHT(AB126,3),IF(W126="CLIENT",AM126,AE126),1/IF(W126="CLIENT",AM126,AE126)),J126*VLOOKUP(K126,'FX RATES'!$E$1:$F$50,2,FALSE)))</f>
        <v>-190587.757289</v>
      </c>
      <c r="AU126" s="170">
        <f ca="1">IF(AB126&lt;&gt;AJ126,R126/IF(S126=RIGHT(AJ126,3),AM126,1/AM126),IF(K126="USD",R126/IF(S126=RIGHT(AJ126,3),IF(W126="CLIENT",AM126,AE126),1/IF(W126="CLIENT",AM126,AE126)),R126*VLOOKUP(S126,'FX RATES'!$E$1:$F$50,2,FALSE)))</f>
        <v>119829.62000060976</v>
      </c>
      <c r="AV126" s="170">
        <f t="shared" ca="1" si="75"/>
        <v>-70758.137288390237</v>
      </c>
      <c r="AW126" s="169"/>
      <c r="AX126" s="170">
        <f t="shared" ca="1" si="76"/>
        <v>0</v>
      </c>
      <c r="AY126" s="170">
        <f t="shared" si="77"/>
        <v>-61.000000000310401</v>
      </c>
      <c r="AZ126" s="170" t="str">
        <f t="shared" si="78"/>
        <v>ETH</v>
      </c>
      <c r="BA126" s="542">
        <f>IF(OR(A126="REFUND",A126="CANCELLED"),0,IFERROR((IF(OR(AB126="USDAED",LEFT(AB126,3)=RIGHT(AB126,3)),AI126,AG126)-AE126)*-AY126*VLOOKUP(AB126,'FX RATES'!$H$1:$J$26,3,FALSE),0))</f>
        <v>0</v>
      </c>
      <c r="BB126" s="170" t="str">
        <f>RIGHT(AB126,4)</f>
        <v>USDT</v>
      </c>
      <c r="BC126" s="542">
        <f t="shared" si="79"/>
        <v>0</v>
      </c>
      <c r="BD126" s="170">
        <f t="shared" si="80"/>
        <v>0</v>
      </c>
      <c r="BE126" s="542">
        <f t="shared" si="81"/>
        <v>0</v>
      </c>
      <c r="BF126" s="170">
        <f t="shared" si="82"/>
        <v>61.000000000310401</v>
      </c>
      <c r="BG126" s="170" t="str">
        <f t="shared" si="83"/>
        <v>ETH</v>
      </c>
      <c r="BH126" s="542">
        <f>IF(OR(A126="REFUND",A126="CANCELLED"),0,IFERROR((IF(OR(AJ126="USDAED",LEFT(AJ126,3)=RIGHT(AJ126,3)),AQ126,AO126)-AM126)*-BF126*VLOOKUP(AJ126,'FX RATES'!$H$1:$J$26,3,FALSE),0))</f>
        <v>0</v>
      </c>
      <c r="BI126" s="170" t="str">
        <f>RIGHT(AJ126,4)</f>
        <v>USDT</v>
      </c>
      <c r="BJ126" s="542">
        <f t="shared" si="84"/>
        <v>0</v>
      </c>
      <c r="BK126" s="170">
        <f t="shared" si="85"/>
        <v>0</v>
      </c>
      <c r="BL126" s="542">
        <f t="shared" si="86"/>
        <v>0</v>
      </c>
      <c r="BM126" s="170">
        <f t="shared" si="87"/>
        <v>0</v>
      </c>
      <c r="BN126" s="542">
        <f t="shared" si="88"/>
        <v>0</v>
      </c>
    </row>
    <row r="127" spans="1:66" ht="19.5" customHeight="1">
      <c r="A127" s="167" t="s">
        <v>366</v>
      </c>
      <c r="B127" s="172" t="s">
        <v>52</v>
      </c>
      <c r="C127" s="172" t="s">
        <v>484</v>
      </c>
      <c r="D127" s="181" t="s">
        <v>368</v>
      </c>
      <c r="E127" s="171">
        <v>46042</v>
      </c>
      <c r="F127" s="171"/>
      <c r="G127" s="172" t="s">
        <v>52</v>
      </c>
      <c r="H127" s="172" t="s">
        <v>487</v>
      </c>
      <c r="I127" s="169">
        <v>-60</v>
      </c>
      <c r="J127" s="170">
        <f t="shared" si="70"/>
        <v>-60</v>
      </c>
      <c r="K127" s="172" t="s">
        <v>486</v>
      </c>
      <c r="L127" s="172" t="s">
        <v>420</v>
      </c>
      <c r="M127" s="172" t="s">
        <v>54</v>
      </c>
      <c r="N127" s="167" t="s">
        <v>371</v>
      </c>
      <c r="O127" s="172" t="s">
        <v>99</v>
      </c>
      <c r="P127" s="172" t="s">
        <v>487</v>
      </c>
      <c r="Q127" s="169"/>
      <c r="R127" s="170">
        <f t="shared" si="69"/>
        <v>14760000.000000093</v>
      </c>
      <c r="S127" s="172" t="s">
        <v>9</v>
      </c>
      <c r="T127" s="171" t="s">
        <v>391</v>
      </c>
      <c r="U127" s="172" t="s">
        <v>391</v>
      </c>
      <c r="V127" s="167" t="s">
        <v>371</v>
      </c>
      <c r="W127" s="172" t="s">
        <v>375</v>
      </c>
      <c r="X127" s="173">
        <f>IF(Y127="",VLOOKUP(H127,CLIENTS!$A$1:$O$649,5,FALSE),Y127)</f>
        <v>0</v>
      </c>
      <c r="Y127" s="174">
        <v>0</v>
      </c>
      <c r="Z127" s="173">
        <f>IF(AA127="",VLOOKUP(P127,CLIENTS!$A$1:$O$649,5,FALSE),AA127)</f>
        <v>0</v>
      </c>
      <c r="AA127" s="174">
        <v>0</v>
      </c>
      <c r="AB127" s="173" t="str">
        <f>IF(W127="via USD",IF(OR(K127="EUR", K127="ETH", K127="BTC"),K127&amp;"USD","USD"&amp;K127),IFERROR(VLOOKUP(K127&amp;S127,'FX RATES'!$H$2:$H$55,1,FALSE),S127&amp;K127))</f>
        <v>ETHUSD</v>
      </c>
      <c r="AC127" s="175">
        <f>IF(LEFT(AB127,3)=RIGHT(AB127,3),0,IFERROR(INDEX(CLIENTS!$A$1:$O$649,MATCH(H127,CLIENTS!$A$1:$A$649,0),MATCH(AB127,CLIENTS!$A$1:$O$1,0)),0))</f>
        <v>0</v>
      </c>
      <c r="AD127" s="176">
        <v>3141.7624521072999</v>
      </c>
      <c r="AE127" s="177">
        <f t="shared" si="71"/>
        <v>3141.7624521072999</v>
      </c>
      <c r="AF127" s="177" t="str">
        <f t="shared" si="72"/>
        <v>46042ETHUSD</v>
      </c>
      <c r="AG127" s="176">
        <v>3124.3894637382</v>
      </c>
      <c r="AH127" s="178">
        <f ca="1">IF(OR(LEFT(AB127,3)=RIGHT(AB127,3),OR(AB127="USDUSDT",AB127="USDTUSD")),1,VLOOKUP(AB127,'FX RATES'!$H$1:$I$50,2,FALSE))</f>
        <v>1964.42</v>
      </c>
      <c r="AI127" s="178">
        <f>IF(OR(AB127="USDAED",LEFT(AB127,3)=RIGHT(AB127,3)),AH127,IF(LEFT(AB127)="USD",AG127,IF(OR(RIGHT(AB127,3)="USD",RIGHT(AB127,4)="USDT"),1,IFERROR(VLOOKUP(E127&amp;"USD"&amp;RIGHT(AB127,3),$AF:$AG,2,FALSE),VLOOKUP(E127&amp;"USD"&amp;RIGHT(AJ127,3),$AN:$AO,2,FALSE)))))</f>
        <v>1</v>
      </c>
      <c r="AJ127" s="173" t="str">
        <f>IF(W127="via USD",IF(S127="EUR",S127&amp;"USD","USD"&amp;S127),IFERROR(VLOOKUP(K127&amp;S127,'FX RATES'!$H$2:$H$20,1,FALSE),S127&amp;K127))</f>
        <v>USDRUB</v>
      </c>
      <c r="AK127" s="175">
        <f>IF(LEFT(AJ127,3)=RIGHT(AJ127,3),0,IFERROR(INDEX(CLIENTS!$A$1:$O$649,MATCH(P127,CLIENTS!$A$1:$A$649,0),MATCH(AJ127,CLIENTS!$A$1:$O$1,0)),0))</f>
        <v>0</v>
      </c>
      <c r="AL127" s="176">
        <v>78.3</v>
      </c>
      <c r="AM127" s="177">
        <f t="shared" si="73"/>
        <v>78.3</v>
      </c>
      <c r="AN127" s="177" t="str">
        <f t="shared" si="74"/>
        <v>46042USDRUB</v>
      </c>
      <c r="AO127" s="176">
        <v>77.7</v>
      </c>
      <c r="AP127" s="178">
        <f ca="1">IF(OR(LEFT(AJ127,3)=RIGHT(AJ127,3),AND(OR(AB127="USDUSDT",AB127="USDTUSD"),OR(AJ127="USDUSDT",AJ127="USDTUSD"))),1,VLOOKUP(AJ127,'FX RATES'!$H$1:$I$50,2,FALSE))</f>
        <v>76.720500000000001</v>
      </c>
      <c r="AQ127" s="178">
        <f>IF(OR(AJ127="USDAED",LEFT(AJ127,3)=RIGHT(AJ127,3)),AP127,IF(LEFT(AJ127)="USD",AO127,IF(RIGHT(AJ127,3)="USD",1,IFERROR(VLOOKUP(E127&amp;"USD"&amp;RIGHT(AJ127,3),$AN:$AO,2,FALSE),VLOOKUP(E127&amp;"USD"&amp;RIGHT(AB127,3),$AF:$AG,2,FALSE)))))</f>
        <v>77.7</v>
      </c>
      <c r="AR127" s="179">
        <f>-Q127*(1-Z127)/(1+X127)*IF(W127="CLIENT",IF(S127=RIGHT(AJ127,3),1/AM127,AM127),IF(W127="VENDOR",IF(S127=RIGHT(AJ127,3),1/AE127,AE127),AE127^(VLOOKUP(AB127,'FX RATES'!$H$1:$J$50,3,FALSE))/AM127^(VLOOKUP(AJ127,'FX RATES'!$H$1:$J$50,3,FALSE))))</f>
        <v>0</v>
      </c>
      <c r="AS127" s="179">
        <f>-I127*(1+X127)/(1-Z127)*IF(W127="VENDOR",IF(K127=RIGHT(AB127,3),1/AE127,AE127),IF(W127="CLIENT",IF(K127=RIGHT(AB127,4),1/AM127,AM127),AM127^(VLOOKUP(AJ127,'FX RATES'!$H$1:$J$50,3,FALSE))/AE127^(VLOOKUP(AB127,'FX RATES'!$H$1:$J$50,3,FALSE))))</f>
        <v>14760000.000000093</v>
      </c>
      <c r="AT127" s="170">
        <f>IF(AB127&lt;&gt;AJ127,J127/IF(K127=RIGHT(AB127,3),AE127,1/AE127),IF(S127="USD",J127/IF(K127=RIGHT(AB127,3),IF(W127="CLIENT",AM127,AE127),1/IF(W127="CLIENT",AM127,AE127)),J127*VLOOKUP(K127,'FX RATES'!$E$1:$F$50,2,FALSE)))</f>
        <v>-188505.74712643799</v>
      </c>
      <c r="AU127" s="170">
        <f>IF(AB127&lt;&gt;AJ127,R127/IF(S127=RIGHT(AJ127,3),AM127,1/AM127),IF(K127="USD",R127/IF(S127=RIGHT(AJ127,3),IF(W127="CLIENT",AM127,AE127),1/IF(W127="CLIENT",AM127,AE127)),R127*VLOOKUP(S127,'FX RATES'!$E$1:$F$50,2,FALSE)))</f>
        <v>188505.74712643799</v>
      </c>
      <c r="AV127" s="170">
        <f t="shared" si="75"/>
        <v>0</v>
      </c>
      <c r="AW127" s="169"/>
      <c r="AX127" s="170">
        <f t="shared" si="76"/>
        <v>0</v>
      </c>
      <c r="AY127" s="170">
        <f t="shared" si="77"/>
        <v>-60</v>
      </c>
      <c r="AZ127" s="170" t="str">
        <f t="shared" si="78"/>
        <v>ETH</v>
      </c>
      <c r="BA127" s="542">
        <f>IF(OR(A127="REFUND",A127="CANCELLED"),0,IFERROR((IF(OR(AB127="USDAED",LEFT(AB127,3)=RIGHT(AB127,3)),AI127,AG127)-AE127)*-AY127*VLOOKUP(AB127,'FX RATES'!$H$1:$J$26,3,FALSE),0))</f>
        <v>1042.3793021459915</v>
      </c>
      <c r="BB127" s="170" t="str">
        <f t="shared" ref="BB127:BB134" si="89">RIGHT(AB127,3)</f>
        <v>USD</v>
      </c>
      <c r="BC127" s="542">
        <f t="shared" si="79"/>
        <v>1042.3793021459915</v>
      </c>
      <c r="BD127" s="170">
        <f t="shared" si="80"/>
        <v>0</v>
      </c>
      <c r="BE127" s="542">
        <f t="shared" si="81"/>
        <v>1042.3793021459915</v>
      </c>
      <c r="BF127" s="170">
        <f t="shared" si="82"/>
        <v>188505.74712643799</v>
      </c>
      <c r="BG127" s="170" t="str">
        <f t="shared" si="83"/>
        <v>USD</v>
      </c>
      <c r="BH127" s="542">
        <f>IF(OR(A127="REFUND",A127="CANCELLED"),0,IFERROR((IF(OR(AJ127="USDAED",LEFT(AJ127,3)=RIGHT(AJ127,3)),AQ127,AO127)-AM127)*-BF127*VLOOKUP(AJ127,'FX RATES'!$H$1:$J$26,3,FALSE),0))</f>
        <v>113103.44827586172</v>
      </c>
      <c r="BI127" s="170" t="str">
        <f>RIGHT(AJ127,3)</f>
        <v>RUB</v>
      </c>
      <c r="BJ127" s="542">
        <f t="shared" si="84"/>
        <v>1455.6428349531752</v>
      </c>
      <c r="BK127" s="170">
        <f t="shared" si="85"/>
        <v>0</v>
      </c>
      <c r="BL127" s="542">
        <f t="shared" si="86"/>
        <v>1455.6428349531752</v>
      </c>
      <c r="BM127" s="170">
        <f t="shared" si="87"/>
        <v>0</v>
      </c>
      <c r="BN127" s="542">
        <f t="shared" si="88"/>
        <v>2498.0221370991667</v>
      </c>
    </row>
    <row r="128" spans="1:66" ht="19.5" customHeight="1">
      <c r="A128" s="167" t="s">
        <v>366</v>
      </c>
      <c r="B128" s="181" t="s">
        <v>99</v>
      </c>
      <c r="C128" s="181" t="s">
        <v>484</v>
      </c>
      <c r="D128" s="181" t="s">
        <v>128</v>
      </c>
      <c r="E128" s="171">
        <v>46042</v>
      </c>
      <c r="F128" s="171"/>
      <c r="G128" s="181" t="s">
        <v>99</v>
      </c>
      <c r="H128" s="168" t="s">
        <v>487</v>
      </c>
      <c r="I128" s="169"/>
      <c r="J128" s="170">
        <f t="shared" si="70"/>
        <v>-86130</v>
      </c>
      <c r="K128" s="168" t="s">
        <v>9</v>
      </c>
      <c r="L128" s="168" t="s">
        <v>391</v>
      </c>
      <c r="M128" s="168" t="s">
        <v>391</v>
      </c>
      <c r="N128" s="167" t="s">
        <v>371</v>
      </c>
      <c r="O128" s="168" t="s">
        <v>52</v>
      </c>
      <c r="P128" s="168" t="s">
        <v>487</v>
      </c>
      <c r="Q128" s="169">
        <v>1100</v>
      </c>
      <c r="R128" s="170">
        <f t="shared" si="69"/>
        <v>1100</v>
      </c>
      <c r="S128" s="168" t="s">
        <v>53</v>
      </c>
      <c r="T128" s="168" t="s">
        <v>420</v>
      </c>
      <c r="U128" s="168" t="s">
        <v>54</v>
      </c>
      <c r="V128" s="167" t="s">
        <v>371</v>
      </c>
      <c r="W128" s="172" t="s">
        <v>375</v>
      </c>
      <c r="X128" s="173">
        <f>IF(Y128="",VLOOKUP(H128,CLIENTS!$A$1:$O$649,5,FALSE),Y128)</f>
        <v>0</v>
      </c>
      <c r="Y128" s="174">
        <v>0</v>
      </c>
      <c r="Z128" s="173">
        <f>IF(AA128="",VLOOKUP(P128,CLIENTS!$A$1:$O$649,5,FALSE),AA128)</f>
        <v>0</v>
      </c>
      <c r="AA128" s="174">
        <v>0</v>
      </c>
      <c r="AB128" s="173" t="str">
        <f>IF(W128="via USD",IF(K128="EUR",K128&amp;"USD","USD"&amp;K128),IFERROR(VLOOKUP(K128&amp;S128,'FX RATES'!$H$2:$H$20,1,FALSE),S128&amp;K128))</f>
        <v>USDRUB</v>
      </c>
      <c r="AC128" s="175">
        <f>IF(LEFT(AB128,3)=RIGHT(AB128,3),0,IFERROR(INDEX(CLIENTS!$A$1:$O$649,MATCH(H128,CLIENTS!$A$1:$A$649,0),MATCH(AB128,CLIENTS!$A$1:$O$1,0)),0))</f>
        <v>0</v>
      </c>
      <c r="AD128" s="176">
        <v>78.3</v>
      </c>
      <c r="AE128" s="177">
        <f t="shared" si="71"/>
        <v>78.3</v>
      </c>
      <c r="AF128" s="177" t="str">
        <f t="shared" si="72"/>
        <v>46042USDRUB</v>
      </c>
      <c r="AG128" s="176">
        <v>77.8</v>
      </c>
      <c r="AH128" s="178">
        <f ca="1">IF(LEFT(AB128,3)=RIGHT(AB128,3),1,VLOOKUP(AB128,'FX RATES'!$H$1:$I$20,2,FALSE))</f>
        <v>76.720500000000001</v>
      </c>
      <c r="AI128" s="178">
        <f>IF(OR(AB128="USDAED",LEFT(AB128,3)=RIGHT(AB128,3)),AH128,IF(LEFT(AB128)="USD",AG128,IF(RIGHT(AB128,3)="USD",1,IFERROR(VLOOKUP(E128&amp;"USD"&amp;RIGHT(AB128,3),$AF:$AG,2,FALSE),VLOOKUP(E128&amp;"USD"&amp;RIGHT(AJ128,3),$AN:$AO,2,FALSE)))))</f>
        <v>77.8</v>
      </c>
      <c r="AJ128" s="173" t="str">
        <f>IF(W128="via USD",IF(S128="EUR",S128&amp;"USD","USD"&amp;S128),IFERROR(VLOOKUP(K128&amp;S128,'FX RATES'!$H$2:$H$20,1,FALSE),S128&amp;K128))</f>
        <v>USDUSDT</v>
      </c>
      <c r="AK128" s="175">
        <f>IF(LEFT(AJ128,3)=RIGHT(AJ128,3),0,IFERROR(INDEX(CLIENTS!$A$1:$O$649,MATCH(P128,CLIENTS!$A$1:$A$649,0),MATCH(AJ128,CLIENTS!$A$1:$O$1,0)),0))</f>
        <v>0</v>
      </c>
      <c r="AL128" s="176"/>
      <c r="AM128" s="177">
        <f t="shared" si="73"/>
        <v>1</v>
      </c>
      <c r="AN128" s="177" t="str">
        <f t="shared" si="74"/>
        <v>46042USDUSDT</v>
      </c>
      <c r="AO128" s="176">
        <v>1</v>
      </c>
      <c r="AP128" s="178">
        <f>IF(LEFT(AJ128,3)=RIGHT(AJ128,3),1,VLOOKUP(AJ128,'FX RATES'!$H$1:$I$50,2,FALSE))</f>
        <v>1</v>
      </c>
      <c r="AQ128" s="178">
        <f>IF(OR(AJ128="USDAED",LEFT(AJ128,3)=RIGHT(AJ128,3),AJ128="USDUSDT",AJ128="USDTUSD"),AP128,IF(LEFT(AJ128)="USD",AO128,IF(RIGHT(AJ128,3)="USD",1,IFERROR(VLOOKUP(E128&amp;"USD"&amp;RIGHT(AJ128,3),$AN:$AO,2,FALSE),VLOOKUP(E128&amp;"USD"&amp;RIGHT(AB128,3),$AF:$AG,2,FALSE)))))</f>
        <v>1</v>
      </c>
      <c r="AR128" s="179">
        <f>-Q128*(1-Z128)/(1+X128)*IF(W128="CLIENT",IF(S128=RIGHT(AJ128,3),1/AM128,AM128),IF(W128="VENDOR",IF(S128=RIGHT(AJ128,3),1/AE128,AE128),AE128^(VLOOKUP(AB128,'FX RATES'!$H$1:$J$26,3,FALSE))/AM128^(VLOOKUP(AJ128,'FX RATES'!$H$1:$J$26,3,FALSE))))</f>
        <v>-86130</v>
      </c>
      <c r="AS128" s="179">
        <f>-I128*(1+X128)/(1-Z128)*IF(W128="VENDOR",IF(K128=RIGHT(AB128,3),1/AE128,AE128),IF(W128="CLIENT",IF(K128=RIGHT(AB128,3),1/AM128,AM128),AM128^(VLOOKUP(AJ128,'FX RATES'!$H$1:$J$26,3,FALSE))/AE128^(VLOOKUP(AB128,'FX RATES'!$H$1:$J$26,3,FALSE))))</f>
        <v>0</v>
      </c>
      <c r="AT128" s="170">
        <f>IF(AB128&lt;&gt;AJ128,J128/IF(K128=RIGHT(AB128,3),AE128,1/AE128),IF(S128="USD",J128/IF(K128=RIGHT(AB128,3),IF(W128="CLIENT",AM128,AE128),1/IF(W128="CLIENT",AM128,AE128)),J128*VLOOKUP(K128,'FX RATES'!$E$1:$F$10,2,FALSE)))</f>
        <v>-1100</v>
      </c>
      <c r="AU128" s="170">
        <f>IF(AB128&lt;&gt;AJ128,R128/IF(S128=RIGHT(AJ128,3),AM128,1/AM128),IF(K128="USD",R128/IF(S128=RIGHT(AJ128,3),IF(W128="CLIENT",AM128,AE128),1/IF(W128="CLIENT",AM128,AE128)),R128*VLOOKUP(S128,'FX RATES'!$E$1:$F$10,2,FALSE)))</f>
        <v>1100</v>
      </c>
      <c r="AV128" s="170">
        <f t="shared" si="75"/>
        <v>0</v>
      </c>
      <c r="AW128" s="169"/>
      <c r="AX128" s="170">
        <f t="shared" si="76"/>
        <v>0</v>
      </c>
      <c r="AY128" s="170">
        <f t="shared" si="77"/>
        <v>-1100</v>
      </c>
      <c r="AZ128" s="170" t="str">
        <f t="shared" si="78"/>
        <v>USD</v>
      </c>
      <c r="BA128" s="542">
        <f>IF(OR(A128="REFUND",A128="CANCELLED"),0,IFERROR((IF(OR(AB128="USDAED",LEFT(AB128,3)=RIGHT(AB128,3)),AI128,AG128)-AE128)*-AY128*VLOOKUP(AB128,'FX RATES'!$H$1:$J$26,3,FALSE),0))</f>
        <v>-550</v>
      </c>
      <c r="BB128" s="170" t="str">
        <f t="shared" si="89"/>
        <v>RUB</v>
      </c>
      <c r="BC128" s="542">
        <f t="shared" si="79"/>
        <v>-7.0694087403598971</v>
      </c>
      <c r="BD128" s="170">
        <f t="shared" si="80"/>
        <v>0</v>
      </c>
      <c r="BE128" s="542">
        <f t="shared" si="81"/>
        <v>-7.0694087403598971</v>
      </c>
      <c r="BF128" s="170">
        <f t="shared" si="82"/>
        <v>1100</v>
      </c>
      <c r="BG128" s="170" t="str">
        <f t="shared" si="83"/>
        <v>USD</v>
      </c>
      <c r="BH128" s="542">
        <f>IF(OR(A128="REFUND",A128="CANCELLED"),0,IFERROR((IF(OR(AJ128="USDAED",LEFT(AJ128,3)=RIGHT(AJ128,3),AJ128="USDUSDT",AJ128="USDTUSD"),AQ128,AO128)-AM128)*-BF128*VLOOKUP(AJ128,'FX RATES'!$H$1:$J$26,3,FALSE),0))</f>
        <v>0</v>
      </c>
      <c r="BI128" s="170" t="str">
        <f>RIGHT(AJ128,4)</f>
        <v>USDT</v>
      </c>
      <c r="BJ128" s="542">
        <f t="shared" si="84"/>
        <v>0</v>
      </c>
      <c r="BK128" s="170">
        <f t="shared" si="85"/>
        <v>0</v>
      </c>
      <c r="BL128" s="542">
        <f t="shared" si="86"/>
        <v>0</v>
      </c>
      <c r="BM128" s="170">
        <f t="shared" si="87"/>
        <v>0</v>
      </c>
      <c r="BN128" s="542">
        <f t="shared" si="88"/>
        <v>-7.0694087403598971</v>
      </c>
    </row>
    <row r="129" spans="1:66" ht="19.5" customHeight="1">
      <c r="A129" s="167" t="s">
        <v>366</v>
      </c>
      <c r="B129" s="168" t="s">
        <v>99</v>
      </c>
      <c r="C129" s="168" t="s">
        <v>381</v>
      </c>
      <c r="D129" s="168" t="s">
        <v>128</v>
      </c>
      <c r="E129" s="171">
        <v>46042</v>
      </c>
      <c r="F129" s="171"/>
      <c r="G129" s="181" t="s">
        <v>99</v>
      </c>
      <c r="H129" s="181" t="s">
        <v>99</v>
      </c>
      <c r="I129" s="169">
        <v>-100000</v>
      </c>
      <c r="J129" s="170">
        <f t="shared" si="70"/>
        <v>-100000</v>
      </c>
      <c r="K129" s="168" t="s">
        <v>9</v>
      </c>
      <c r="L129" s="168" t="s">
        <v>391</v>
      </c>
      <c r="M129" s="168" t="s">
        <v>391</v>
      </c>
      <c r="N129" s="167" t="s">
        <v>371</v>
      </c>
      <c r="O129" s="181" t="s">
        <v>99</v>
      </c>
      <c r="P129" s="181" t="s">
        <v>99</v>
      </c>
      <c r="Q129" s="169"/>
      <c r="R129" s="170">
        <f t="shared" si="69"/>
        <v>100000</v>
      </c>
      <c r="S129" s="168" t="s">
        <v>9</v>
      </c>
      <c r="T129" s="168" t="s">
        <v>391</v>
      </c>
      <c r="U129" s="168" t="s">
        <v>391</v>
      </c>
      <c r="V129" s="167" t="s">
        <v>371</v>
      </c>
      <c r="W129" s="172" t="s">
        <v>382</v>
      </c>
      <c r="X129" s="173">
        <f>IF(Y129="",VLOOKUP(H129,CLIENTS!$A$1:$O$649,5,FALSE),Y129)</f>
        <v>0</v>
      </c>
      <c r="Y129" s="174"/>
      <c r="Z129" s="173">
        <f>IF(AA129="",VLOOKUP(P129,CLIENTS!$A$1:$O$649,5,FALSE),AA129)</f>
        <v>0</v>
      </c>
      <c r="AA129" s="174"/>
      <c r="AB129" s="173" t="str">
        <f>IF(W129="via USD",IF(K129="EUR",K129&amp;"USD","USD"&amp;K129),IFERROR(VLOOKUP(K129&amp;S129,'FX RATES'!$H$2:$H$20,1,FALSE),S129&amp;K129))</f>
        <v>RUBRUB</v>
      </c>
      <c r="AC129" s="175">
        <f>IF(LEFT(AB129,3)=RIGHT(AB129,3),0,IFERROR(INDEX(CLIENTS!$A$1:$O$649,MATCH(H129,CLIENTS!$A$1:$A$649,0),MATCH(AB129,CLIENTS!$A$1:$O$1,0)),0))</f>
        <v>0</v>
      </c>
      <c r="AD129" s="176"/>
      <c r="AE129" s="177">
        <f t="shared" si="71"/>
        <v>1</v>
      </c>
      <c r="AF129" s="177" t="str">
        <f t="shared" si="72"/>
        <v>46042RUBRUB</v>
      </c>
      <c r="AG129" s="176"/>
      <c r="AH129" s="178">
        <f>IF(LEFT(AB129,3)=RIGHT(AB129,3),1,VLOOKUP(AB129,'FX RATES'!$H$1:$I$20,2,FALSE))</f>
        <v>1</v>
      </c>
      <c r="AI129" s="178">
        <f>IF(OR(AB129="USDAED",LEFT(AB129,3)=RIGHT(AB129,3)),AH129,IF(LEFT(AB129)="USD",AG129,IF(RIGHT(AB129,3)="USD",1,IFERROR(VLOOKUP(E129&amp;"USD"&amp;RIGHT(AB129,3),$AF:$AG,2,FALSE),VLOOKUP(E129&amp;"USD"&amp;RIGHT(AJ129,3),$AN:$AO,2,FALSE)))))</f>
        <v>1</v>
      </c>
      <c r="AJ129" s="173" t="str">
        <f>IF(W129="via USD",IF(S129="EUR",S129&amp;"USD","USD"&amp;S129),IFERROR(VLOOKUP(K129&amp;S129,'FX RATES'!$H$2:$H$20,1,FALSE),S129&amp;K129))</f>
        <v>RUBRUB</v>
      </c>
      <c r="AK129" s="175">
        <f>IF(LEFT(AJ129,3)=RIGHT(AJ129,3),0,IFERROR(INDEX(CLIENTS!$A$1:$O$649,MATCH(P129,CLIENTS!$A$1:$A$649,0),MATCH(AJ129,CLIENTS!$A$1:$O$1,0)),0))</f>
        <v>0</v>
      </c>
      <c r="AL129" s="176"/>
      <c r="AM129" s="177" t="str">
        <f t="shared" si="73"/>
        <v/>
      </c>
      <c r="AN129" s="177" t="str">
        <f t="shared" si="74"/>
        <v>46042RUBRUB</v>
      </c>
      <c r="AO129" s="176"/>
      <c r="AP129" s="178">
        <f>IF(LEFT(AJ129,3)=RIGHT(AJ129,3),1,VLOOKUP(AJ129,'FX RATES'!$H$1:$I$20,2,FALSE))</f>
        <v>1</v>
      </c>
      <c r="AQ129" s="178">
        <f t="shared" ref="AQ129:AQ134" si="90">IF(OR(AJ129="USDAED",LEFT(AJ129,3)=RIGHT(AJ129,3)),AP129,IF(LEFT(AJ129)="USD",AO129,IF(RIGHT(AJ129,3)="USD",1,IFERROR(VLOOKUP(E129&amp;"USD"&amp;RIGHT(AJ129,3),$AN:$AO,2,FALSE),VLOOKUP(E129&amp;"USD"&amp;RIGHT(AB129,3),$AF:$AG,2,FALSE)))))</f>
        <v>1</v>
      </c>
      <c r="AR129" s="179">
        <f>-Q129*(1-Z129)/(1+X129)*IF(W129="CLIENT",IF(S129=RIGHT(AJ129,3),1/AM129,AM129),IF(W129="VENDOR",IF(S129=RIGHT(AJ129,3),1/AE129,AE129),AE129^(VLOOKUP(AB129,'FX RATES'!$H$1:$J$26,3,FALSE))/AM129^(VLOOKUP(AJ129,'FX RATES'!$H$1:$J$26,3,FALSE))))</f>
        <v>0</v>
      </c>
      <c r="AS129" s="179">
        <f>-I129*(1+X129)/(1-Z129)*IF(W129="VENDOR",IF(K129=RIGHT(AB129,3),1/AE129,AE129),IF(W129="CLIENT",IF(K129=RIGHT(AB129,3),1/AM129,AM129),AM129^(VLOOKUP(AJ129,'FX RATES'!$H$1:$J$26,3,FALSE))/AE129^(VLOOKUP(AB129,'FX RATES'!$H$1:$J$26,3,FALSE))))</f>
        <v>100000</v>
      </c>
      <c r="AT129" s="170">
        <f ca="1">IF(AB129&lt;&gt;AJ129,J129/IF(K129=RIGHT(AB129,3),AE129,1/AE129),IF(S129="USD",J129/IF(K129=RIGHT(AB129,3),IF(W129="CLIENT",AM129,AE129),1/IF(W129="CLIENT",AM129,AE129)),J129*VLOOKUP(K129,'FX RATES'!$E$1:$F$10,2,FALSE)))</f>
        <v>-1303.4325897250408</v>
      </c>
      <c r="AU129" s="170">
        <f ca="1">IF(AB129&lt;&gt;AJ129,R129/IF(S129=RIGHT(AJ129,3),AM129,1/AM129),IF(K129="USD",R129/IF(S129=RIGHT(AJ129,3),IF(W129="CLIENT",AM129,AE129),1/IF(W129="CLIENT",AM129,AE129)),R129*VLOOKUP(S129,'FX RATES'!$E$1:$F$10,2,FALSE)))</f>
        <v>1303.4325897250408</v>
      </c>
      <c r="AV129" s="170">
        <f t="shared" ca="1" si="75"/>
        <v>0</v>
      </c>
      <c r="AW129" s="169"/>
      <c r="AX129" s="170">
        <f t="shared" ca="1" si="76"/>
        <v>0</v>
      </c>
      <c r="AY129" s="170">
        <f t="shared" si="77"/>
        <v>-100000</v>
      </c>
      <c r="AZ129" s="170" t="str">
        <f t="shared" si="78"/>
        <v>RUB</v>
      </c>
      <c r="BA129" s="542">
        <f>IF(OR(A129="REFUND",A129="CANCELLED"),0,IFERROR((IF(OR(AB129="USDAED",LEFT(AB129,3)=RIGHT(AB129,3)),AI129,AG129)-AE129)*-AY129*VLOOKUP(AB129,'FX RATES'!$H$1:$J$26,3,FALSE),0))</f>
        <v>0</v>
      </c>
      <c r="BB129" s="170" t="str">
        <f t="shared" si="89"/>
        <v>RUB</v>
      </c>
      <c r="BC129" s="542">
        <f t="shared" si="79"/>
        <v>0</v>
      </c>
      <c r="BD129" s="170">
        <f t="shared" si="80"/>
        <v>0</v>
      </c>
      <c r="BE129" s="542">
        <f t="shared" si="81"/>
        <v>0</v>
      </c>
      <c r="BF129" s="170">
        <f t="shared" si="82"/>
        <v>100000</v>
      </c>
      <c r="BG129" s="170" t="str">
        <f t="shared" si="83"/>
        <v>RUB</v>
      </c>
      <c r="BH129" s="542">
        <f>IF(OR(A129="REFUND",A129="CANCELLED"),0,IFERROR((IF(OR(AJ129="USDAED",LEFT(AJ129,3)=RIGHT(AJ129,3)),AQ129,AO129)-AM129)*-BF129*VLOOKUP(AJ129,'FX RATES'!$H$1:$J$26,3,FALSE),0))</f>
        <v>0</v>
      </c>
      <c r="BI129" s="170" t="str">
        <f t="shared" ref="BI129:BI134" si="91">RIGHT(AJ129,3)</f>
        <v>RUB</v>
      </c>
      <c r="BJ129" s="542">
        <f t="shared" si="84"/>
        <v>0</v>
      </c>
      <c r="BK129" s="170">
        <f t="shared" si="85"/>
        <v>0</v>
      </c>
      <c r="BL129" s="542">
        <f t="shared" si="86"/>
        <v>0</v>
      </c>
      <c r="BM129" s="170">
        <f t="shared" si="87"/>
        <v>0</v>
      </c>
      <c r="BN129" s="542">
        <f t="shared" si="88"/>
        <v>0</v>
      </c>
    </row>
    <row r="130" spans="1:66" ht="19.5" customHeight="1">
      <c r="A130" s="167" t="s">
        <v>366</v>
      </c>
      <c r="B130" s="225" t="s">
        <v>34</v>
      </c>
      <c r="C130" s="225" t="s">
        <v>383</v>
      </c>
      <c r="D130" s="225" t="s">
        <v>368</v>
      </c>
      <c r="E130" s="226">
        <v>46042</v>
      </c>
      <c r="F130" s="226"/>
      <c r="G130" s="225" t="s">
        <v>52</v>
      </c>
      <c r="H130" s="228" t="s">
        <v>390</v>
      </c>
      <c r="I130" s="227"/>
      <c r="J130" s="170">
        <f>IF(I130="",AR130,I130)</f>
        <v>-154008000</v>
      </c>
      <c r="K130" s="225" t="s">
        <v>9</v>
      </c>
      <c r="L130" s="226" t="s">
        <v>391</v>
      </c>
      <c r="M130" s="225" t="s">
        <v>25</v>
      </c>
      <c r="N130" s="167" t="s">
        <v>371</v>
      </c>
      <c r="O130" s="225" t="s">
        <v>34</v>
      </c>
      <c r="P130" s="225" t="s">
        <v>392</v>
      </c>
      <c r="Q130" s="227">
        <v>13800000</v>
      </c>
      <c r="R130" s="170">
        <f t="shared" si="69"/>
        <v>13800000</v>
      </c>
      <c r="S130" s="225" t="s">
        <v>7</v>
      </c>
      <c r="T130" s="226" t="s">
        <v>22</v>
      </c>
      <c r="U130" s="225" t="s">
        <v>22</v>
      </c>
      <c r="V130" s="167" t="s">
        <v>371</v>
      </c>
      <c r="W130" s="230" t="s">
        <v>382</v>
      </c>
      <c r="X130" s="173">
        <f>IF(Y130="",VLOOKUP(H130,CLIENTS!$A$1:$O$649,5,FALSE),Y130)</f>
        <v>0</v>
      </c>
      <c r="Y130" s="234"/>
      <c r="Z130" s="173">
        <f>IF(AA130="",VLOOKUP(P130,CLIENTS!$A$1:$O$649,5,FALSE),AA130)</f>
        <v>0</v>
      </c>
      <c r="AA130" s="234"/>
      <c r="AB130" s="173" t="str">
        <f>IF(W130="via USD",IF(K130="EUR",K130&amp;"USD","USD"&amp;K130),IFERROR(VLOOKUP(K130&amp;S130,'FX RATES'!$H$2:$H$20,1,FALSE),S130&amp;K130))</f>
        <v>CNYRUB</v>
      </c>
      <c r="AC130" s="175">
        <f>IF(LEFT(AB130,3)=RIGHT(AB130,3),0,IFERROR(INDEX(CLIENTS!$A$1:$O$649,MATCH(H130,CLIENTS!$A$1:$A$649,0),MATCH(AB130,CLIENTS!$A$1:$O$1,0)),0))</f>
        <v>0</v>
      </c>
      <c r="AD130" s="176">
        <v>11.16</v>
      </c>
      <c r="AE130" s="177">
        <f t="shared" si="71"/>
        <v>11.16</v>
      </c>
      <c r="AF130" s="177" t="str">
        <f t="shared" si="72"/>
        <v>46042CNYRUB</v>
      </c>
      <c r="AG130" s="176">
        <v>11.17</v>
      </c>
      <c r="AH130" s="178">
        <f ca="1">IF(LEFT(AB130,3)=RIGHT(AB130,3),1,VLOOKUP(AB130,'FX RATES'!$H$1:$I$20,2,FALSE))</f>
        <v>11.103899999999999</v>
      </c>
      <c r="AI130" s="178">
        <f>IF(OR(AB130="USDAED",LEFT(AB130,3)=RIGHT(AB130,3)),AH130,IF(LEFT(AB130)="USD",AG130,IF(RIGHT(AB130,3)="USD",1,IFERROR(VLOOKUP(E130&amp;"USD"&amp;RIGHT(AB130,3),$AF:$AG,2,FALSE),VLOOKUP(E130&amp;"USD"&amp;RIGHT(AJ130,3),$AN:$AO,2,FALSE)))))</f>
        <v>77.8</v>
      </c>
      <c r="AJ130" s="173" t="str">
        <f>IF(W130="via USD",IF(S130="EUR",S130&amp;"USD","USD"&amp;S130),IFERROR(VLOOKUP(K130&amp;S130,'FX RATES'!$H$2:$H$20,1,FALSE),S130&amp;K130))</f>
        <v>CNYRUB</v>
      </c>
      <c r="AK130" s="175">
        <f>IF(LEFT(AJ130,3)=RIGHT(AJ130,3),0,IFERROR(INDEX(CLIENTS!$A$1:$O$649,MATCH(P130,CLIENTS!$A$1:$A$649,0),MATCH(AJ130,CLIENTS!$A$1:$O$1,0)),0))</f>
        <v>0</v>
      </c>
      <c r="AL130" s="176"/>
      <c r="AM130" s="177" t="str">
        <f t="shared" si="73"/>
        <v/>
      </c>
      <c r="AN130" s="177" t="str">
        <f t="shared" si="74"/>
        <v>46042CNYRUB</v>
      </c>
      <c r="AO130" s="176"/>
      <c r="AP130" s="178">
        <f ca="1">IF(LEFT(AJ130,3)=RIGHT(AJ130,3),1,VLOOKUP(AJ130,'FX RATES'!$H$1:$I$20,2,FALSE))</f>
        <v>11.103899999999999</v>
      </c>
      <c r="AQ130" s="178">
        <f t="shared" si="90"/>
        <v>77.7</v>
      </c>
      <c r="AR130" s="179">
        <f>-Q130*(1-Z130)/(1+X130)*IF(W130="CLIENT",IF(S130=RIGHT(AJ130,3),1/AM130,AM130),IF(W130="VENDOR",IF(S130=RIGHT(AJ130,3),1/AE130,AE130),AE130^(VLOOKUP(AB130,'FX RATES'!$H$1:$J$26,3,FALSE))/AM130^(VLOOKUP(AJ130,'FX RATES'!$H$1:$J$26,3,FALSE))))</f>
        <v>-154008000</v>
      </c>
      <c r="AS130" s="179">
        <f>-I130*(1+X130)/(1-Z130)*IF(W130="VENDOR",IF(K130=RIGHT(AB130,3),1/AE130,AE130),IF(W130="CLIENT",IF(K130=RIGHT(AB130,3),1/AM130,AM130),AM130^(VLOOKUP(AJ130,'FX RATES'!$H$1:$J$26,3,FALSE))/AE130^(VLOOKUP(AB130,'FX RATES'!$H$1:$J$26,3,FALSE))))</f>
        <v>0</v>
      </c>
      <c r="AT130" s="170">
        <f ca="1">IF(AB130&lt;&gt;AJ130,J130/IF(K130=RIGHT(AB130,3),AE130,1/AE130),IF(S130="USD",J130/IF(K130=RIGHT(AB130,3),IF(W130="CLIENT",AM130,AE130),1/IF(W130="CLIENT",AM130,AE130)),J130*VLOOKUP(K130,'FX RATES'!$E$1:$F$10,2,FALSE)))</f>
        <v>-2007390.4627837411</v>
      </c>
      <c r="AU130" s="170">
        <f ca="1">IF(AB130&lt;&gt;AJ130,R130/IF(S130=RIGHT(AJ130,3),AM130,1/AM130),IF(K130="USD",R130/IF(S130=RIGHT(AJ130,3),IF(W130="CLIENT",AM130,AE130),1/IF(W130="CLIENT",AM130,AE130)),R130*VLOOKUP(S130,'FX RATES'!$E$1:$F$10,2,FALSE)))</f>
        <v>1997683.8448176028</v>
      </c>
      <c r="AV130" s="170">
        <f t="shared" ca="1" si="75"/>
        <v>-9706.6179661382921</v>
      </c>
      <c r="AW130" s="227"/>
      <c r="AX130" s="170">
        <f t="shared" ca="1" si="76"/>
        <v>0</v>
      </c>
      <c r="AY130" s="170">
        <f t="shared" si="77"/>
        <v>-13800000</v>
      </c>
      <c r="AZ130" s="170" t="str">
        <f t="shared" si="78"/>
        <v>CNY</v>
      </c>
      <c r="BA130" s="542">
        <f>IF(OR(A130="REFUND",A130="CANCELLED"),0,IFERROR((IF(OR(AB130="USDAED",LEFT(AB130,3)=RIGHT(AB130,3)),AI130,AG130)-AE130)*-AY130*VLOOKUP(AB130,'FX RATES'!$H$1:$J$26,3,FALSE),0))</f>
        <v>137999.99999999706</v>
      </c>
      <c r="BB130" s="170" t="str">
        <f t="shared" si="89"/>
        <v>RUB</v>
      </c>
      <c r="BC130" s="542">
        <f t="shared" si="79"/>
        <v>1773.7789203084455</v>
      </c>
      <c r="BD130" s="170">
        <f t="shared" si="80"/>
        <v>0</v>
      </c>
      <c r="BE130" s="542">
        <f t="shared" si="81"/>
        <v>1773.7789203084455</v>
      </c>
      <c r="BF130" s="170">
        <f t="shared" si="82"/>
        <v>13800000</v>
      </c>
      <c r="BG130" s="170" t="str">
        <f t="shared" si="83"/>
        <v>CNY</v>
      </c>
      <c r="BH130" s="542">
        <f>IF(OR(A130="REFUND",A130="CANCELLED"),0,IFERROR((IF(OR(AJ130="USDAED",LEFT(AJ130,3)=RIGHT(AJ130,3)),AQ130,AO130)-AM130)*-BF130*VLOOKUP(AJ130,'FX RATES'!$H$1:$J$26,3,FALSE),0))</f>
        <v>0</v>
      </c>
      <c r="BI130" s="170" t="str">
        <f t="shared" si="91"/>
        <v>RUB</v>
      </c>
      <c r="BJ130" s="542">
        <f t="shared" si="84"/>
        <v>0</v>
      </c>
      <c r="BK130" s="170">
        <f t="shared" si="85"/>
        <v>0</v>
      </c>
      <c r="BL130" s="542">
        <f t="shared" si="86"/>
        <v>0</v>
      </c>
      <c r="BM130" s="170">
        <f t="shared" si="87"/>
        <v>0</v>
      </c>
      <c r="BN130" s="542">
        <f t="shared" si="88"/>
        <v>1773.7789203084455</v>
      </c>
    </row>
    <row r="131" spans="1:66" ht="19.5" customHeight="1">
      <c r="A131" s="167" t="s">
        <v>488</v>
      </c>
      <c r="B131" s="168" t="s">
        <v>52</v>
      </c>
      <c r="C131" s="168" t="s">
        <v>489</v>
      </c>
      <c r="D131" s="168" t="s">
        <v>128</v>
      </c>
      <c r="E131" s="171">
        <v>46042</v>
      </c>
      <c r="F131" s="171"/>
      <c r="G131" s="168" t="s">
        <v>52</v>
      </c>
      <c r="H131" s="181" t="s">
        <v>52</v>
      </c>
      <c r="I131" s="169">
        <v>-47882554.376641497</v>
      </c>
      <c r="J131" s="170">
        <f t="shared" si="70"/>
        <v>-47882554.376641497</v>
      </c>
      <c r="K131" s="168" t="s">
        <v>9</v>
      </c>
      <c r="L131" s="171"/>
      <c r="M131" s="168"/>
      <c r="N131" s="167" t="s">
        <v>371</v>
      </c>
      <c r="O131" s="168" t="s">
        <v>52</v>
      </c>
      <c r="P131" s="168" t="s">
        <v>52</v>
      </c>
      <c r="Q131" s="169"/>
      <c r="R131" s="170">
        <f t="shared" si="69"/>
        <v>616249.09107646707</v>
      </c>
      <c r="S131" s="168" t="s">
        <v>5</v>
      </c>
      <c r="T131" s="171"/>
      <c r="U131" s="168"/>
      <c r="V131" s="167" t="s">
        <v>371</v>
      </c>
      <c r="W131" s="172" t="s">
        <v>382</v>
      </c>
      <c r="X131" s="173">
        <f>IF(Y131="",VLOOKUP(H131,CLIENTS!$A$1:$O$649,5,FALSE),Y131)</f>
        <v>0</v>
      </c>
      <c r="Y131" s="174"/>
      <c r="Z131" s="173">
        <f>IF(AA131="",VLOOKUP(P131,CLIENTS!$A$1:$O$649,5,FALSE),AA131)</f>
        <v>0</v>
      </c>
      <c r="AA131" s="174"/>
      <c r="AB131" s="173" t="str">
        <f>IF(W131="via USD",IF(K131="EUR",K131&amp;"USD","USD"&amp;K131),IFERROR(VLOOKUP(K131&amp;S131,'FX RATES'!$H$2:$H$20,1,FALSE),S131&amp;K131))</f>
        <v>USDRUB</v>
      </c>
      <c r="AC131" s="175">
        <f>IF(LEFT(AB131,3)=RIGHT(AB131,3),0,IFERROR(INDEX(CLIENTS!$A$1:$O$649,MATCH(H131,CLIENTS!$A$1:$A$649,0),MATCH(AB131,CLIENTS!$A$1:$O$1,0)),0))</f>
        <v>0</v>
      </c>
      <c r="AD131" s="176">
        <v>77.7</v>
      </c>
      <c r="AE131" s="177">
        <f t="shared" si="71"/>
        <v>77.7</v>
      </c>
      <c r="AF131" s="177" t="str">
        <f t="shared" si="72"/>
        <v>46042USDRUB</v>
      </c>
      <c r="AG131" s="176">
        <v>77.7</v>
      </c>
      <c r="AH131" s="178">
        <f ca="1">IF(LEFT(AB131,3)=RIGHT(AB131,3),1,VLOOKUP(AB131,'FX RATES'!$H$1:$I$20,2,FALSE))</f>
        <v>76.720500000000001</v>
      </c>
      <c r="AI131" s="178">
        <f>IF(OR(AB131="USDAED",LEFT(AB131,3)=RIGHT(AB131,3),AB131="USDUSDT",AB131="USDTUSD"),AH131,IF(LEFT(AB131)="USD",AG131,IF(RIGHT(AB131,3)="USD",1,IFERROR(VLOOKUP(E131&amp;"USD"&amp;RIGHT(AB131,3),$AF:$AG,2,FALSE),VLOOKUP(E131&amp;"USD"&amp;RIGHT(AJ131,3),$AN:$AO,2,FALSE)))))</f>
        <v>77.8</v>
      </c>
      <c r="AJ131" s="173" t="str">
        <f>IF(W131="via USD",IF(S131="EUR",S131&amp;"USD","USD"&amp;S131),IFERROR(VLOOKUP(K131&amp;S131,'FX RATES'!$H$2:$H$20,1,FALSE),S131&amp;K131))</f>
        <v>USDRUB</v>
      </c>
      <c r="AK131" s="175">
        <f>IF(LEFT(AJ131,3)=RIGHT(AJ131,3),0,IFERROR(INDEX(CLIENTS!$A$1:$O$649,MATCH(P131,CLIENTS!$A$1:$A$649,0),MATCH(AJ131,CLIENTS!$A$1:$O$1,0)),0))</f>
        <v>0</v>
      </c>
      <c r="AL131" s="176"/>
      <c r="AM131" s="177" t="str">
        <f t="shared" si="73"/>
        <v/>
      </c>
      <c r="AN131" s="177" t="str">
        <f t="shared" si="74"/>
        <v>46042USDRUB</v>
      </c>
      <c r="AO131" s="176">
        <v>77.7</v>
      </c>
      <c r="AP131" s="178">
        <f ca="1">IF(LEFT(AJ131,3)=RIGHT(AJ131,3),1,VLOOKUP(AJ131,'FX RATES'!$H$1:$I$20,2,FALSE))</f>
        <v>76.720500000000001</v>
      </c>
      <c r="AQ131" s="178">
        <f t="shared" si="90"/>
        <v>77.7</v>
      </c>
      <c r="AR131" s="179">
        <f>-Q131*(1-Z131)/(1+X131)*IF(W131="CLIENT",IF(S131=RIGHT(AJ131,3),1/AM131,AM131),IF(W131="VENDOR",IF(S131=RIGHT(AJ131,3),1/AE131,AE131),AE131^(VLOOKUP(AB131,'FX RATES'!$H$1:$J$26,3,FALSE))/AM131^(VLOOKUP(AJ131,'FX RATES'!$H$1:$J$26,3,FALSE))))</f>
        <v>0</v>
      </c>
      <c r="AS131" s="179">
        <f>-I131*(1+X131)/(1-Z131)*IF(W131="VENDOR",IF(K131=RIGHT(AB131,3),1/AE131,AE131),IF(W131="CLIENT",IF(K131=RIGHT(AB131,3),1/AM131,AM131),AM131^(VLOOKUP(AJ131,'FX RATES'!$H$1:$J$26,3,FALSE))/AE131^(VLOOKUP(AB131,'FX RATES'!$H$1:$J$26,3,FALSE))))</f>
        <v>616249.09107646707</v>
      </c>
      <c r="AT131" s="170">
        <f>IF(AB131&lt;&gt;AJ131,J131/IF(K131=RIGHT(AB131,3),AE131,1/AE131),IF(S131="USD",J131/IF(K131=RIGHT(AB131,3),IF(W131="CLIENT",AM131,AE131),1/IF(W131="CLIENT",AM131,AE131)),J131*VLOOKUP(K131,'FX RATES'!$E$1:$F$10,2,FALSE)))</f>
        <v>-616249.09107646707</v>
      </c>
      <c r="AU131" s="170">
        <f>IF(AB131&lt;&gt;AJ131,R131/IF(S131=RIGHT(AJ131,3),AM131,1/AM131),IF(K131="USD",R131/IF(S131=RIGHT(AJ131,3),IF(W131="CLIENT",AM131,AE131),1/IF(W131="CLIENT",AM131,AE131)),R131*VLOOKUP(S131,'FX RATES'!$E$1:$F$10,2,FALSE)))</f>
        <v>616249.09107646707</v>
      </c>
      <c r="AV131" s="170">
        <f t="shared" si="75"/>
        <v>0</v>
      </c>
      <c r="AW131" s="169"/>
      <c r="AX131" s="170">
        <f t="shared" si="76"/>
        <v>0</v>
      </c>
      <c r="AY131" s="170">
        <f t="shared" si="77"/>
        <v>-616249.09107646707</v>
      </c>
      <c r="AZ131" s="170" t="str">
        <f t="shared" si="78"/>
        <v>USD</v>
      </c>
      <c r="BA131" s="542">
        <f>IF(OR(A131="REFUND",A131="CANCELLED"),0,IFERROR((IF(OR(AB131="USDAED",LEFT(AB131,3)=RIGHT(AB131,3)),AI131,AG131)-AE131)*-AY131*VLOOKUP(AB131,'FX RATES'!$H$1:$J$26,3,FALSE),0))</f>
        <v>0</v>
      </c>
      <c r="BB131" s="170" t="str">
        <f t="shared" si="89"/>
        <v>RUB</v>
      </c>
      <c r="BC131" s="542">
        <f t="shared" si="79"/>
        <v>0</v>
      </c>
      <c r="BD131" s="170">
        <f t="shared" si="80"/>
        <v>0</v>
      </c>
      <c r="BE131" s="542">
        <f t="shared" si="81"/>
        <v>0</v>
      </c>
      <c r="BF131" s="170">
        <f t="shared" si="82"/>
        <v>616249.09107646707</v>
      </c>
      <c r="BG131" s="170" t="str">
        <f t="shared" si="83"/>
        <v>USD</v>
      </c>
      <c r="BH131" s="542">
        <f>IF(OR(A131="REFUND",A131="CANCELLED"),0,IFERROR((IF(OR(AJ131="USDAED",LEFT(AJ131,3)=RIGHT(AJ131,3)),AQ131,AO131)-AM131)*-BF131*VLOOKUP(AJ131,'FX RATES'!$H$1:$J$26,3,FALSE),0))</f>
        <v>0</v>
      </c>
      <c r="BI131" s="170" t="str">
        <f t="shared" si="91"/>
        <v>RUB</v>
      </c>
      <c r="BJ131" s="542">
        <f t="shared" si="84"/>
        <v>0</v>
      </c>
      <c r="BK131" s="170">
        <f t="shared" si="85"/>
        <v>0</v>
      </c>
      <c r="BL131" s="542">
        <f t="shared" si="86"/>
        <v>0</v>
      </c>
      <c r="BM131" s="170">
        <f t="shared" si="87"/>
        <v>0</v>
      </c>
      <c r="BN131" s="542">
        <f t="shared" si="88"/>
        <v>0</v>
      </c>
    </row>
    <row r="132" spans="1:66" ht="19.5" customHeight="1">
      <c r="A132" s="167" t="s">
        <v>366</v>
      </c>
      <c r="B132" s="168" t="s">
        <v>52</v>
      </c>
      <c r="C132" s="168" t="s">
        <v>381</v>
      </c>
      <c r="D132" s="168" t="s">
        <v>128</v>
      </c>
      <c r="E132" s="171">
        <v>46042</v>
      </c>
      <c r="F132" s="171"/>
      <c r="G132" s="168" t="s">
        <v>52</v>
      </c>
      <c r="H132" s="168" t="s">
        <v>52</v>
      </c>
      <c r="I132" s="169"/>
      <c r="J132" s="170">
        <f t="shared" si="70"/>
        <v>-47164316.060991876</v>
      </c>
      <c r="K132" s="168" t="s">
        <v>9</v>
      </c>
      <c r="L132" s="168" t="s">
        <v>391</v>
      </c>
      <c r="M132" s="168" t="s">
        <v>391</v>
      </c>
      <c r="N132" s="167" t="s">
        <v>371</v>
      </c>
      <c r="O132" s="168" t="s">
        <v>55</v>
      </c>
      <c r="P132" s="168" t="s">
        <v>55</v>
      </c>
      <c r="Q132" s="169">
        <f>-J131</f>
        <v>47882554.376641497</v>
      </c>
      <c r="R132" s="170">
        <f t="shared" si="69"/>
        <v>47882554.376641497</v>
      </c>
      <c r="S132" s="168" t="s">
        <v>9</v>
      </c>
      <c r="T132" s="168" t="s">
        <v>391</v>
      </c>
      <c r="U132" s="168" t="s">
        <v>391</v>
      </c>
      <c r="V132" s="167" t="s">
        <v>371</v>
      </c>
      <c r="W132" s="172" t="s">
        <v>382</v>
      </c>
      <c r="X132" s="173">
        <f>IF(Y132="",VLOOKUP(H132,CLIENTS!$A$1:$O$649,5,FALSE),Y132)</f>
        <v>0</v>
      </c>
      <c r="Y132" s="174"/>
      <c r="Z132" s="173">
        <f>IF(AA132="",VLOOKUP(P132,CLIENTS!$A$1:$O$649,5,FALSE),AA132)</f>
        <v>1.4999999999999999E-2</v>
      </c>
      <c r="AA132" s="174"/>
      <c r="AB132" s="173" t="str">
        <f>IF(W132="via USD",IF(K132="EUR",K132&amp;"USD","USD"&amp;K132),IFERROR(VLOOKUP(K132&amp;S132,'FX RATES'!$H$2:$H$20,1,FALSE),S132&amp;K132))</f>
        <v>RUBRUB</v>
      </c>
      <c r="AC132" s="175">
        <f>IF(LEFT(AB132,3)=RIGHT(AB132,3),0,IFERROR(INDEX(CLIENTS!$A$1:$O$649,MATCH(H132,CLIENTS!$A$1:$A$649,0),MATCH(AB132,CLIENTS!$A$1:$O$1,0)),0))</f>
        <v>0</v>
      </c>
      <c r="AD132" s="176"/>
      <c r="AE132" s="177">
        <f t="shared" si="71"/>
        <v>1</v>
      </c>
      <c r="AF132" s="177" t="str">
        <f t="shared" si="72"/>
        <v>46042RUBRUB</v>
      </c>
      <c r="AG132" s="176"/>
      <c r="AH132" s="178">
        <f>IF(LEFT(AB132,3)=RIGHT(AB132,3),1,VLOOKUP(AB132,'FX RATES'!$H$1:$I$20,2,FALSE))</f>
        <v>1</v>
      </c>
      <c r="AI132" s="178">
        <f>IF(OR(AB132="USDAED",LEFT(AB132,3)=RIGHT(AB132,3)),AH132,IF(LEFT(AB132)="USD",AG132,IF(RIGHT(AB132,3)="USD",1,IFERROR(VLOOKUP(E132&amp;"USD"&amp;RIGHT(AB132,3),$AF:$AG,2,FALSE),VLOOKUP(E132&amp;"USD"&amp;RIGHT(AJ132,3),$AN:$AO,2,FALSE)))))</f>
        <v>1</v>
      </c>
      <c r="AJ132" s="173" t="str">
        <f>IF(W132="via USD",IF(S132="EUR",S132&amp;"USD","USD"&amp;S132),IFERROR(VLOOKUP(K132&amp;S132,'FX RATES'!$H$2:$H$20,1,FALSE),S132&amp;K132))</f>
        <v>RUBRUB</v>
      </c>
      <c r="AK132" s="175">
        <f>IF(LEFT(AJ132,3)=RIGHT(AJ132,3),0,IFERROR(INDEX(CLIENTS!$A$1:$O$649,MATCH(P132,CLIENTS!$A$1:$A$649,0),MATCH(AJ132,CLIENTS!$A$1:$O$1,0)),0))</f>
        <v>0</v>
      </c>
      <c r="AL132" s="176"/>
      <c r="AM132" s="177" t="str">
        <f t="shared" si="73"/>
        <v/>
      </c>
      <c r="AN132" s="177" t="str">
        <f t="shared" si="74"/>
        <v>46042RUBRUB</v>
      </c>
      <c r="AO132" s="176"/>
      <c r="AP132" s="178">
        <f>IF(LEFT(AJ132,3)=RIGHT(AJ132,3),1,VLOOKUP(AJ132,'FX RATES'!$H$1:$I$20,2,FALSE))</f>
        <v>1</v>
      </c>
      <c r="AQ132" s="178">
        <f t="shared" si="90"/>
        <v>1</v>
      </c>
      <c r="AR132" s="179">
        <f>-Q132*(1-Z132)/(1+X132)*IF(W132="CLIENT",IF(S132=RIGHT(AJ132,3),1/AM132,AM132),IF(W132="VENDOR",IF(S132=RIGHT(AJ132,3),1/AE132,AE132),AE132^(VLOOKUP(AB132,'FX RATES'!$H$1:$J$26,3,FALSE))/AM132^(VLOOKUP(AJ132,'FX RATES'!$H$1:$J$26,3,FALSE))))</f>
        <v>-47164316.060991876</v>
      </c>
      <c r="AS132" s="179">
        <f>-I132*(1+X132)/(1-Z132)*IF(W132="VENDOR",IF(K132=RIGHT(AB132,3),1/AE132,AE132),IF(W132="CLIENT",IF(K132=RIGHT(AB132,3),1/AM132,AM132),AM132^(VLOOKUP(AJ132,'FX RATES'!$H$1:$J$26,3,FALSE))/AE132^(VLOOKUP(AB132,'FX RATES'!$H$1:$J$26,3,FALSE))))</f>
        <v>0</v>
      </c>
      <c r="AT132" s="170">
        <f ca="1">IF(AB132&lt;&gt;AJ132,J132/IF(K132=RIGHT(AB132,3),AE132,1/AE132),IF(S132="USD",J132/IF(K132=RIGHT(AB132,3),IF(W132="CLIENT",AM132,AE132),1/IF(W132="CLIENT",AM132,AE132)),J132*VLOOKUP(K132,'FX RATES'!$E$1:$F$10,2,FALSE)))</f>
        <v>-614755.06625988975</v>
      </c>
      <c r="AU132" s="170">
        <f ca="1">IF(AB132&lt;&gt;AJ132,R132/IF(S132=RIGHT(AJ132,3),AM132,1/AM132),IF(K132="USD",R132/IF(S132=RIGHT(AJ132,3),IF(W132="CLIENT",AM132,AE132),1/IF(W132="CLIENT",AM132,AE132)),R132*VLOOKUP(S132,'FX RATES'!$E$1:$F$10,2,FALSE)))</f>
        <v>624116.81853795913</v>
      </c>
      <c r="AV132" s="170">
        <f t="shared" ca="1" si="75"/>
        <v>9361.7522780693835</v>
      </c>
      <c r="AW132" s="169"/>
      <c r="AX132" s="170">
        <f t="shared" ca="1" si="76"/>
        <v>9361.7522780693871</v>
      </c>
      <c r="AY132" s="170">
        <f t="shared" si="77"/>
        <v>-47164316.060991876</v>
      </c>
      <c r="AZ132" s="170" t="str">
        <f t="shared" si="78"/>
        <v>RUB</v>
      </c>
      <c r="BA132" s="542">
        <f>IF(OR(A132="REFUND",A132="CANCELLED"),0,IFERROR((IF(OR(AB132="USDAED",LEFT(AB132,3)=RIGHT(AB132,3)),AI132,AG132)-AE132)*-AY132*VLOOKUP(AB132,'FX RATES'!$H$1:$J$26,3,FALSE),0))</f>
        <v>0</v>
      </c>
      <c r="BB132" s="170" t="str">
        <f t="shared" si="89"/>
        <v>RUB</v>
      </c>
      <c r="BC132" s="542">
        <f t="shared" si="79"/>
        <v>0</v>
      </c>
      <c r="BD132" s="170">
        <f t="shared" si="80"/>
        <v>0</v>
      </c>
      <c r="BE132" s="542">
        <f t="shared" si="81"/>
        <v>0</v>
      </c>
      <c r="BF132" s="170">
        <f t="shared" si="82"/>
        <v>47882554.376641497</v>
      </c>
      <c r="BG132" s="170" t="str">
        <f t="shared" si="83"/>
        <v>RUB</v>
      </c>
      <c r="BH132" s="542">
        <f>IF(OR(A132="REFUND",A132="CANCELLED"),0,IFERROR((IF(OR(AJ132="USDAED",LEFT(AJ132,3)=RIGHT(AJ132,3)),AQ132,AO132)-AM132)*-BF132*VLOOKUP(AJ132,'FX RATES'!$H$1:$J$26,3,FALSE),0))</f>
        <v>0</v>
      </c>
      <c r="BI132" s="170" t="str">
        <f t="shared" si="91"/>
        <v>RUB</v>
      </c>
      <c r="BJ132" s="542">
        <f t="shared" si="84"/>
        <v>0</v>
      </c>
      <c r="BK132" s="170">
        <f t="shared" si="85"/>
        <v>0</v>
      </c>
      <c r="BL132" s="542">
        <f t="shared" si="86"/>
        <v>0</v>
      </c>
      <c r="BM132" s="170">
        <f t="shared" si="87"/>
        <v>0</v>
      </c>
      <c r="BN132" s="542">
        <f t="shared" si="88"/>
        <v>0</v>
      </c>
    </row>
    <row r="133" spans="1:66" ht="19.5" customHeight="1">
      <c r="A133" s="167" t="s">
        <v>366</v>
      </c>
      <c r="B133" s="168" t="s">
        <v>99</v>
      </c>
      <c r="C133" s="168" t="s">
        <v>383</v>
      </c>
      <c r="D133" s="168" t="s">
        <v>121</v>
      </c>
      <c r="E133" s="171">
        <v>46042</v>
      </c>
      <c r="F133" s="171"/>
      <c r="G133" s="168" t="s">
        <v>99</v>
      </c>
      <c r="H133" s="181" t="s">
        <v>476</v>
      </c>
      <c r="I133" s="169">
        <f>-(R127+J128+J129)</f>
        <v>-14573870.000000093</v>
      </c>
      <c r="J133" s="170">
        <f t="shared" si="70"/>
        <v>-14573870.000000093</v>
      </c>
      <c r="K133" s="168" t="s">
        <v>9</v>
      </c>
      <c r="L133" s="171" t="s">
        <v>25</v>
      </c>
      <c r="M133" s="168" t="s">
        <v>391</v>
      </c>
      <c r="N133" s="167" t="s">
        <v>371</v>
      </c>
      <c r="O133" s="168" t="s">
        <v>0</v>
      </c>
      <c r="P133" s="168" t="s">
        <v>0</v>
      </c>
      <c r="Q133" s="169"/>
      <c r="R133" s="170">
        <f t="shared" si="69"/>
        <v>188529.40834043865</v>
      </c>
      <c r="S133" s="168" t="s">
        <v>5</v>
      </c>
      <c r="T133" s="171" t="s">
        <v>477</v>
      </c>
      <c r="U133" s="168" t="s">
        <v>25</v>
      </c>
      <c r="V133" s="167" t="s">
        <v>371</v>
      </c>
      <c r="W133" s="172" t="s">
        <v>382</v>
      </c>
      <c r="X133" s="173">
        <f>IF(Y133="",VLOOKUP(H133,CLIENTS!$A$1:$O$649,5,FALSE),Y133)</f>
        <v>0</v>
      </c>
      <c r="Y133" s="174"/>
      <c r="Z133" s="173">
        <f>IF(AA133="",VLOOKUP(P133,CLIENTS!$A$1:$O$649,5,FALSE),AA133)</f>
        <v>0</v>
      </c>
      <c r="AA133" s="174"/>
      <c r="AB133" s="173" t="str">
        <f>IF(W133="via USD",IF(K133="EUR",K133&amp;"USD","USD"&amp;K133),IFERROR(VLOOKUP(K133&amp;S133,'FX RATES'!$H$2:$H$20,1,FALSE),S133&amp;K133))</f>
        <v>USDRUB</v>
      </c>
      <c r="AC133" s="175">
        <f>IF(LEFT(AB133,3)=RIGHT(AB133,3),0,IFERROR(INDEX(CLIENTS!$A$1:$O$649,MATCH(H133,CLIENTS!$A$1:$A$649,0),MATCH(AB133,CLIENTS!$A$1:$O$1,0)),0))+0.07</f>
        <v>0</v>
      </c>
      <c r="AD133" s="176">
        <v>77.302899999999994</v>
      </c>
      <c r="AE133" s="177">
        <f t="shared" si="71"/>
        <v>77.302899999999994</v>
      </c>
      <c r="AF133" s="177" t="str">
        <f t="shared" si="72"/>
        <v>46042USDRUB</v>
      </c>
      <c r="AG133" s="176">
        <v>77.7</v>
      </c>
      <c r="AH133" s="178">
        <f ca="1">IF(LEFT(AB133,3)=RIGHT(AB133,3),1,VLOOKUP(AB133,'FX RATES'!$H$1:$I$20,2,FALSE))</f>
        <v>76.720500000000001</v>
      </c>
      <c r="AI133" s="178">
        <f>IF(OR(AB133="USDAED",LEFT(AB133,3)=RIGHT(AB133,3)),AH133,IF(LEFT(AB133)="USD",AG133,IF(RIGHT(AB133,3)="USD",1,IFERROR(VLOOKUP(E133&amp;"USD"&amp;RIGHT(AB133,3),$AF:$AG,2,FALSE),VLOOKUP(E133&amp;"USD"&amp;RIGHT(AJ133,3),$AN:$AO,2,FALSE)))))</f>
        <v>77.8</v>
      </c>
      <c r="AJ133" s="173" t="str">
        <f>IF(W133="via USD",IF(S133="EUR",S133&amp;"USD","USD"&amp;S133),IFERROR(VLOOKUP(K133&amp;S133,'FX RATES'!$H$2:$H$20,1,FALSE),S133&amp;K133))</f>
        <v>USDRUB</v>
      </c>
      <c r="AK133" s="175">
        <f>IF(LEFT(AJ133,3)=RIGHT(AJ133,3),0,IFERROR(INDEX(CLIENTS!$A$1:$O$649,MATCH(P133,CLIENTS!$A$1:$A$649,0),MATCH(AJ133,CLIENTS!$A$1:$O$1,0)),0))</f>
        <v>0</v>
      </c>
      <c r="AL133" s="176"/>
      <c r="AM133" s="177" t="str">
        <f t="shared" si="73"/>
        <v/>
      </c>
      <c r="AN133" s="177" t="str">
        <f t="shared" si="74"/>
        <v>46042USDRUB</v>
      </c>
      <c r="AO133" s="176"/>
      <c r="AP133" s="178">
        <f ca="1">IF(LEFT(AJ133,3)=RIGHT(AJ133,3),1,VLOOKUP(AJ133,'FX RATES'!$H$1:$I$20,2,FALSE))</f>
        <v>76.720500000000001</v>
      </c>
      <c r="AQ133" s="178">
        <f t="shared" si="90"/>
        <v>77.7</v>
      </c>
      <c r="AR133" s="179">
        <f>-Q133*(1-Z133)/(1+X133)*IF(W133="CLIENT",IF(S133=RIGHT(AJ133,3),1/AM133,AM133),IF(W133="VENDOR",IF(S133=RIGHT(AJ133,3),1/AE133,AE133),AE133^(VLOOKUP(AB133,'FX RATES'!$H$1:$J$26,3,FALSE))/AM133^(VLOOKUP(AJ133,'FX RATES'!$H$1:$J$26,3,FALSE))))</f>
        <v>0</v>
      </c>
      <c r="AS133" s="179">
        <f>-I133*(1+X133)/(1-Z133)*IF(W133="VENDOR",IF(K133=RIGHT(AB133,3),1/AE133,AE133),IF(W133="CLIENT",IF(K133=RIGHT(AB133,3),1/AM133,AM133),AM133^(VLOOKUP(AJ133,'FX RATES'!$H$1:$J$26,3,FALSE))/AE133^(VLOOKUP(AB133,'FX RATES'!$H$1:$J$26,3,FALSE))))</f>
        <v>188529.40834043865</v>
      </c>
      <c r="AT133" s="170">
        <f>IF(AB133&lt;&gt;AJ133,J133/IF(K133=RIGHT(AB133,3),AE133,1/AE133),IF(S133="USD",J133/IF(K133=RIGHT(AB133,3),IF(W133="CLIENT",AM133,AE133),1/IF(W133="CLIENT",AM133,AE133)),J133*VLOOKUP(K133,'FX RATES'!$E$1:$F$10,2,FALSE)))</f>
        <v>-188529.40834043865</v>
      </c>
      <c r="AU133" s="170">
        <f>IF(AB133&lt;&gt;AJ133,R133/IF(S133=RIGHT(AJ133,3),AM133,1/AM133),IF(K133="USD",R133/IF(S133=RIGHT(AJ133,3),IF(W133="CLIENT",AM133,AE133),1/IF(W133="CLIENT",AM133,AE133)),R133*VLOOKUP(S133,'FX RATES'!$E$1:$F$10,2,FALSE)))</f>
        <v>188529.40834043865</v>
      </c>
      <c r="AV133" s="170">
        <f t="shared" si="75"/>
        <v>0</v>
      </c>
      <c r="AW133" s="169"/>
      <c r="AX133" s="170">
        <f t="shared" si="76"/>
        <v>0</v>
      </c>
      <c r="AY133" s="170">
        <f t="shared" si="77"/>
        <v>-188529.40834043865</v>
      </c>
      <c r="AZ133" s="170" t="str">
        <f t="shared" si="78"/>
        <v>USD</v>
      </c>
      <c r="BA133" s="542">
        <f>IF(OR(A133="REFUND",A133="CANCELLED"),0,IFERROR((IF(OR(AB133="USDAED",LEFT(AB133,3)=RIGHT(AB133,3)),AI133,AG133)-AE133)*-AY133*VLOOKUP(AB133,'FX RATES'!$H$1:$J$26,3,FALSE),0))</f>
        <v>74865.028051989866</v>
      </c>
      <c r="BB133" s="170" t="str">
        <f t="shared" si="89"/>
        <v>RUB</v>
      </c>
      <c r="BC133" s="542">
        <f t="shared" si="79"/>
        <v>962.27542483277466</v>
      </c>
      <c r="BD133" s="170">
        <f t="shared" si="80"/>
        <v>0</v>
      </c>
      <c r="BE133" s="542">
        <f t="shared" si="81"/>
        <v>962.27542483277466</v>
      </c>
      <c r="BF133" s="170">
        <f t="shared" si="82"/>
        <v>188529.40834043865</v>
      </c>
      <c r="BG133" s="170" t="str">
        <f t="shared" si="83"/>
        <v>USD</v>
      </c>
      <c r="BH133" s="542">
        <f>IF(OR(A133="REFUND",A133="CANCELLED"),0,IFERROR((IF(OR(AJ133="USDAED",LEFT(AJ133,3)=RIGHT(AJ133,3)),AQ133,AO133)-AM133)*-BF133*VLOOKUP(AJ133,'FX RATES'!$H$1:$J$26,3,FALSE),0))</f>
        <v>0</v>
      </c>
      <c r="BI133" s="170" t="str">
        <f t="shared" si="91"/>
        <v>RUB</v>
      </c>
      <c r="BJ133" s="542">
        <f t="shared" si="84"/>
        <v>0</v>
      </c>
      <c r="BK133" s="170">
        <f t="shared" si="85"/>
        <v>0</v>
      </c>
      <c r="BL133" s="542">
        <f t="shared" si="86"/>
        <v>0</v>
      </c>
      <c r="BM133" s="170">
        <f t="shared" si="87"/>
        <v>0</v>
      </c>
      <c r="BN133" s="542">
        <f t="shared" si="88"/>
        <v>962.27542483277466</v>
      </c>
    </row>
    <row r="134" spans="1:66" ht="19.5" customHeight="1">
      <c r="A134" s="167" t="s">
        <v>366</v>
      </c>
      <c r="B134" s="168" t="s">
        <v>0</v>
      </c>
      <c r="C134" s="168" t="s">
        <v>383</v>
      </c>
      <c r="D134" s="168" t="s">
        <v>121</v>
      </c>
      <c r="E134" s="171">
        <v>46042</v>
      </c>
      <c r="F134" s="171"/>
      <c r="G134" s="168" t="s">
        <v>55</v>
      </c>
      <c r="H134" s="181" t="s">
        <v>476</v>
      </c>
      <c r="I134" s="169">
        <f>-(R121+R122+R123+R174+R124+R125+J130+0.14)</f>
        <v>-47882554.381078556</v>
      </c>
      <c r="J134" s="170">
        <f t="shared" si="70"/>
        <v>-47882554.381078556</v>
      </c>
      <c r="K134" s="168" t="s">
        <v>9</v>
      </c>
      <c r="L134" s="171" t="s">
        <v>25</v>
      </c>
      <c r="M134" s="168" t="s">
        <v>439</v>
      </c>
      <c r="N134" s="167" t="s">
        <v>371</v>
      </c>
      <c r="O134" s="168" t="s">
        <v>0</v>
      </c>
      <c r="P134" s="168" t="s">
        <v>0</v>
      </c>
      <c r="Q134" s="169"/>
      <c r="R134" s="170">
        <f t="shared" si="69"/>
        <v>619414.72287687217</v>
      </c>
      <c r="S134" s="168" t="s">
        <v>5</v>
      </c>
      <c r="T134" s="171" t="s">
        <v>477</v>
      </c>
      <c r="U134" s="168" t="s">
        <v>25</v>
      </c>
      <c r="V134" s="167" t="s">
        <v>371</v>
      </c>
      <c r="W134" s="172" t="s">
        <v>382</v>
      </c>
      <c r="X134" s="173">
        <f>IF(Y134="",VLOOKUP(H134,CLIENTS!$A$1:$O$649,5,FALSE),Y134)</f>
        <v>0</v>
      </c>
      <c r="Y134" s="174"/>
      <c r="Z134" s="173">
        <f>IF(AA134="",VLOOKUP(P134,CLIENTS!$A$1:$O$649,5,FALSE),AA134)</f>
        <v>0</v>
      </c>
      <c r="AA134" s="174"/>
      <c r="AB134" s="173" t="str">
        <f>IF(W134="via USD",IF(K134="EUR",K134&amp;"USD","USD"&amp;K134),IFERROR(VLOOKUP(K134&amp;S134,'FX RATES'!$H$2:$H$20,1,FALSE),S134&amp;K134))</f>
        <v>USDRUB</v>
      </c>
      <c r="AC134" s="175">
        <f>IF(LEFT(AB134,3)=RIGHT(AB134,3),0,IFERROR(INDEX(CLIENTS!$A$1:$O$649,MATCH(H134,CLIENTS!$A$1:$A$649,0),MATCH(AB134,CLIENTS!$A$1:$O$1,0)),0))+0.07</f>
        <v>0</v>
      </c>
      <c r="AD134" s="176">
        <v>77.302899999999994</v>
      </c>
      <c r="AE134" s="177">
        <f t="shared" si="71"/>
        <v>77.302899999999994</v>
      </c>
      <c r="AF134" s="177" t="str">
        <f t="shared" si="72"/>
        <v>46042USDRUB</v>
      </c>
      <c r="AG134" s="176">
        <v>77.7</v>
      </c>
      <c r="AH134" s="178">
        <f ca="1">IF(LEFT(AB134,3)=RIGHT(AB134,3),1,VLOOKUP(AB134,'FX RATES'!$H$1:$I$20,2,FALSE))</f>
        <v>76.720500000000001</v>
      </c>
      <c r="AI134" s="178">
        <f>IF(OR(AB134="USDAED",LEFT(AB134,3)=RIGHT(AB134,3)),AH134,IF(LEFT(AB134)="USD",AG134,IF(RIGHT(AB134,3)="USD",1,IFERROR(VLOOKUP(E134&amp;"USD"&amp;RIGHT(AB134,3),$AF:$AG,2,FALSE),VLOOKUP(E134&amp;"USD"&amp;RIGHT(AJ134,3),$AN:$AO,2,FALSE)))))</f>
        <v>77.8</v>
      </c>
      <c r="AJ134" s="173" t="str">
        <f>IF(W134="via USD",IF(S134="EUR",S134&amp;"USD","USD"&amp;S134),IFERROR(VLOOKUP(K134&amp;S134,'FX RATES'!$H$2:$H$20,1,FALSE),S134&amp;K134))</f>
        <v>USDRUB</v>
      </c>
      <c r="AK134" s="175">
        <f>IF(LEFT(AJ134,3)=RIGHT(AJ134,3),0,IFERROR(INDEX(CLIENTS!$A$1:$O$649,MATCH(P134,CLIENTS!$A$1:$A$649,0),MATCH(AJ134,CLIENTS!$A$1:$O$1,0)),0))</f>
        <v>0</v>
      </c>
      <c r="AL134" s="176"/>
      <c r="AM134" s="177" t="str">
        <f t="shared" si="73"/>
        <v/>
      </c>
      <c r="AN134" s="177" t="str">
        <f t="shared" si="74"/>
        <v>46042USDRUB</v>
      </c>
      <c r="AO134" s="176"/>
      <c r="AP134" s="178">
        <f ca="1">IF(LEFT(AJ134,3)=RIGHT(AJ134,3),1,VLOOKUP(AJ134,'FX RATES'!$H$1:$I$20,2,FALSE))</f>
        <v>76.720500000000001</v>
      </c>
      <c r="AQ134" s="178">
        <f t="shared" si="90"/>
        <v>77.7</v>
      </c>
      <c r="AR134" s="179">
        <f>-Q134*(1-Z134)/(1+X134)*IF(W134="CLIENT",IF(S134=RIGHT(AJ134,3),1/AM134,AM134),IF(W134="VENDOR",IF(S134=RIGHT(AJ134,3),1/AE134,AE134),AE134^(VLOOKUP(AB134,'FX RATES'!$H$1:$J$26,3,FALSE))/AM134^(VLOOKUP(AJ134,'FX RATES'!$H$1:$J$26,3,FALSE))))</f>
        <v>0</v>
      </c>
      <c r="AS134" s="179">
        <f>-I134*(1+X134)/(1-Z134)*IF(W134="VENDOR",IF(K134=RIGHT(AB134,3),1/AE134,AE134),IF(W134="CLIENT",IF(K134=RIGHT(AB134,3),1/AM134,AM134),AM134^(VLOOKUP(AJ134,'FX RATES'!$H$1:$J$26,3,FALSE))/AE134^(VLOOKUP(AB134,'FX RATES'!$H$1:$J$26,3,FALSE))))</f>
        <v>619414.72287687217</v>
      </c>
      <c r="AT134" s="170">
        <f>IF(AB134&lt;&gt;AJ134,J134/IF(K134=RIGHT(AB134,3),AE134,1/AE134),IF(S134="USD",J134/IF(K134=RIGHT(AB134,3),IF(W134="CLIENT",AM134,AE134),1/IF(W134="CLIENT",AM134,AE134)),J134*VLOOKUP(K134,'FX RATES'!$E$1:$F$10,2,FALSE)))</f>
        <v>-619414.72287687217</v>
      </c>
      <c r="AU134" s="170">
        <f>IF(AB134&lt;&gt;AJ134,R134/IF(S134=RIGHT(AJ134,3),AM134,1/AM134),IF(K134="USD",R134/IF(S134=RIGHT(AJ134,3),IF(W134="CLIENT",AM134,AE134),1/IF(W134="CLIENT",AM134,AE134)),R134*VLOOKUP(S134,'FX RATES'!$E$1:$F$10,2,FALSE)))</f>
        <v>619414.72287687217</v>
      </c>
      <c r="AV134" s="170">
        <f t="shared" si="75"/>
        <v>0</v>
      </c>
      <c r="AW134" s="169"/>
      <c r="AX134" s="170">
        <f t="shared" si="76"/>
        <v>0</v>
      </c>
      <c r="AY134" s="170">
        <f t="shared" si="77"/>
        <v>-619414.72287687217</v>
      </c>
      <c r="AZ134" s="170" t="str">
        <f t="shared" si="78"/>
        <v>USD</v>
      </c>
      <c r="BA134" s="542">
        <f>IF(OR(A134="REFUND",A134="CANCELLED"),0,IFERROR((IF(OR(AB134="USDAED",LEFT(AB134,3)=RIGHT(AB134,3)),AI134,AG134)-AE134)*-AY134*VLOOKUP(AB134,'FX RATES'!$H$1:$J$26,3,FALSE),0))</f>
        <v>245969.58645441144</v>
      </c>
      <c r="BB134" s="170" t="str">
        <f t="shared" si="89"/>
        <v>RUB</v>
      </c>
      <c r="BC134" s="542">
        <f t="shared" si="79"/>
        <v>3161.5628078973195</v>
      </c>
      <c r="BD134" s="170">
        <f t="shared" si="80"/>
        <v>0</v>
      </c>
      <c r="BE134" s="542">
        <f t="shared" si="81"/>
        <v>3161.5628078973195</v>
      </c>
      <c r="BF134" s="170">
        <f t="shared" si="82"/>
        <v>619414.72287687217</v>
      </c>
      <c r="BG134" s="170" t="str">
        <f t="shared" si="83"/>
        <v>USD</v>
      </c>
      <c r="BH134" s="542">
        <f>IF(OR(A134="REFUND",A134="CANCELLED"),0,IFERROR((IF(OR(AJ134="USDAED",LEFT(AJ134,3)=RIGHT(AJ134,3)),AQ134,AO134)-AM134)*-BF134*VLOOKUP(AJ134,'FX RATES'!$H$1:$J$26,3,FALSE),0))</f>
        <v>0</v>
      </c>
      <c r="BI134" s="170" t="str">
        <f t="shared" si="91"/>
        <v>RUB</v>
      </c>
      <c r="BJ134" s="542">
        <f t="shared" si="84"/>
        <v>0</v>
      </c>
      <c r="BK134" s="170">
        <f t="shared" si="85"/>
        <v>0</v>
      </c>
      <c r="BL134" s="542">
        <f t="shared" si="86"/>
        <v>0</v>
      </c>
      <c r="BM134" s="170">
        <f t="shared" si="87"/>
        <v>0</v>
      </c>
      <c r="BN134" s="542">
        <f t="shared" si="88"/>
        <v>3161.5628078973195</v>
      </c>
    </row>
    <row r="136" spans="1:66" ht="19.5" customHeight="1">
      <c r="A136" s="167" t="s">
        <v>366</v>
      </c>
      <c r="B136" s="168" t="s">
        <v>39</v>
      </c>
      <c r="C136" s="168" t="s">
        <v>367</v>
      </c>
      <c r="D136" s="181" t="s">
        <v>368</v>
      </c>
      <c r="E136" s="171">
        <v>46043</v>
      </c>
      <c r="F136" s="171"/>
      <c r="G136" s="168" t="s">
        <v>39</v>
      </c>
      <c r="H136" s="181" t="s">
        <v>490</v>
      </c>
      <c r="I136" s="169">
        <v>-49089.5</v>
      </c>
      <c r="J136" s="170">
        <f t="shared" ref="J136:J151" si="92">IF(I136="",AR136,I136)</f>
        <v>-49089.5</v>
      </c>
      <c r="K136" s="168" t="s">
        <v>5</v>
      </c>
      <c r="L136" s="168" t="s">
        <v>491</v>
      </c>
      <c r="M136" s="168" t="s">
        <v>14</v>
      </c>
      <c r="N136" s="167" t="s">
        <v>371</v>
      </c>
      <c r="O136" s="168" t="s">
        <v>39</v>
      </c>
      <c r="P136" s="168" t="s">
        <v>379</v>
      </c>
      <c r="Q136" s="169"/>
      <c r="R136" s="170">
        <f t="shared" ref="R136:R151" si="93">IF(Q136="",AS136,Q136)</f>
        <v>3839573.4780402011</v>
      </c>
      <c r="S136" s="168" t="s">
        <v>9</v>
      </c>
      <c r="T136" s="171" t="s">
        <v>380</v>
      </c>
      <c r="U136" s="171" t="s">
        <v>25</v>
      </c>
      <c r="V136" s="167" t="s">
        <v>371</v>
      </c>
      <c r="W136" s="172" t="s">
        <v>375</v>
      </c>
      <c r="X136" s="173">
        <f>IF(Y136="",VLOOKUP(H136,CLIENTS!$A$1:$O$649,5,FALSE),Y136)</f>
        <v>0</v>
      </c>
      <c r="Y136" s="174">
        <v>0</v>
      </c>
      <c r="Z136" s="173">
        <f>IF(AA136="",VLOOKUP(P136,CLIENTS!$A$1:$O$649,5,FALSE),AA136)</f>
        <v>5.0000000000000001E-3</v>
      </c>
      <c r="AA136" s="174">
        <v>5.0000000000000001E-3</v>
      </c>
      <c r="AB136" s="173" t="str">
        <f>IF(W136="via USD",IF(K136="EUR",K136&amp;"USD","USD"&amp;K136),IFERROR(VLOOKUP(K136&amp;S136,'FX RATES'!$H$2:$H$20,1,FALSE),S136&amp;K136))</f>
        <v>USDUSD</v>
      </c>
      <c r="AC136" s="175">
        <f>IF(LEFT(AB136,3)=RIGHT(AB136,3),0,IFERROR(INDEX(CLIENTS!$A$1:$O$649,MATCH(H136,CLIENTS!$A$1:$A$649,0),MATCH(AB136,CLIENTS!$A$1:$O$1,0)),0))</f>
        <v>0</v>
      </c>
      <c r="AD136" s="176"/>
      <c r="AE136" s="177">
        <f t="shared" ref="AE136:AE151" si="94">IF(W136="CLIENT","",IF(AD136="",AH136+AC136,AD136+AC136))</f>
        <v>1</v>
      </c>
      <c r="AF136" s="177" t="str">
        <f t="shared" ref="AF136:AF151" si="95">E136&amp;AB136</f>
        <v>46043USDUSD</v>
      </c>
      <c r="AG136" s="176"/>
      <c r="AH136" s="178">
        <f>IF(LEFT(AB136,3)=RIGHT(AB136,3),1,VLOOKUP(AB136,'FX RATES'!$H$1:$I$20,2,FALSE))</f>
        <v>1</v>
      </c>
      <c r="AI136" s="178">
        <f>IF(OR(AB136="USDAED",LEFT(AB136,3)=RIGHT(AB136,3)),AH136,IF(LEFT(AB136)="USD",AG136,IF(RIGHT(AB136,3)="USD",1,IFERROR(VLOOKUP(E136&amp;"USD"&amp;RIGHT(AB136,3),$AF:$AG,2,FALSE),VLOOKUP(E136&amp;"USD"&amp;RIGHT(AJ136,3),$AN:$AO,2,FALSE)))))</f>
        <v>1</v>
      </c>
      <c r="AJ136" s="173" t="str">
        <f>IF(W136="via USD",IF(S136="EUR",S136&amp;"USD","USD"&amp;S136),IFERROR(VLOOKUP(K136&amp;S136,'FX RATES'!$H$2:$H$20,1,FALSE),S136&amp;K136))</f>
        <v>USDRUB</v>
      </c>
      <c r="AK136" s="175">
        <f>IF(LEFT(AJ136,3)=RIGHT(AJ136,3),0,IFERROR(INDEX(CLIENTS!$A$1:$O$649,MATCH(P136,CLIENTS!$A$1:$A$649,0),MATCH(AJ136,CLIENTS!$A$1:$O$1,0)),0))</f>
        <v>0</v>
      </c>
      <c r="AL136" s="176">
        <v>77.824700000000007</v>
      </c>
      <c r="AM136" s="177">
        <f t="shared" ref="AM136:AM151" si="96">IF(W136="VENDOR","",IF(AL136="",AP136+AK136,AL136+AK136))</f>
        <v>77.824700000000007</v>
      </c>
      <c r="AN136" s="177" t="str">
        <f t="shared" ref="AN136:AN151" si="97">E136&amp;AJ136</f>
        <v>46043USDRUB</v>
      </c>
      <c r="AO136" s="176">
        <v>77.7</v>
      </c>
      <c r="AP136" s="178">
        <f ca="1">IF(LEFT(AJ136,3)=RIGHT(AJ136,3),1,VLOOKUP(AJ136,'FX RATES'!$H$1:$I$20,2,FALSE))</f>
        <v>76.720500000000001</v>
      </c>
      <c r="AQ136" s="178">
        <f t="shared" ref="AQ136:AQ151" si="98">IF(OR(AJ136="USDAED",LEFT(AJ136,3)=RIGHT(AJ136,3)),AP136,IF(LEFT(AJ136)="USD",AO136,IF(RIGHT(AJ136,3)="USD",1,IFERROR(VLOOKUP(E136&amp;"USD"&amp;RIGHT(AJ136,3),$AN:$AO,2,FALSE),VLOOKUP(E136&amp;"USD"&amp;RIGHT(AB136,3),$AF:$AG,2,FALSE)))))</f>
        <v>77.7</v>
      </c>
      <c r="AR136" s="179">
        <f>-Q136*(1-Z136)/(1+X136)*IF(W136="CLIENT",IF(S136=RIGHT(AJ136,3),1/AM136,AM136),IF(W136="VENDOR",IF(S136=RIGHT(AJ136,3),1/AE136,AE136),AE136^(VLOOKUP(AB136,'FX RATES'!$H$1:$J$26,3,FALSE))/AM136^(VLOOKUP(AJ136,'FX RATES'!$H$1:$J$26,3,FALSE))))</f>
        <v>0</v>
      </c>
      <c r="AS136" s="179">
        <f>-I136*(1+X136)/(1-Z136)*IF(W136="VENDOR",IF(K136=RIGHT(AB136,3),1/AE136,AE136),IF(W136="CLIENT",IF(K136=RIGHT(AB136,3),1/AM136,AM136),AM136^(VLOOKUP(AJ136,'FX RATES'!$H$1:$J$26,3,FALSE))/AE136^(VLOOKUP(AB136,'FX RATES'!$H$1:$J$26,3,FALSE))))</f>
        <v>3839573.4780402011</v>
      </c>
      <c r="AT136" s="170">
        <f>IF(AB136&lt;&gt;AJ136,J136/IF(K136=RIGHT(AB136,3),AE136,1/AE136),IF(S136="USD",J136/IF(K136=RIGHT(AB136,3),IF(W136="CLIENT",AM136,AE136),1/IF(W136="CLIENT",AM136,AE136)),J136*VLOOKUP(K136,'FX RATES'!$E$1:$F$10,2,FALSE)))</f>
        <v>-49089.5</v>
      </c>
      <c r="AU136" s="170">
        <f>IF(AB136&lt;&gt;AJ136,R136/IF(S136=RIGHT(AJ136,3),AM136,1/AM136),IF(K136="USD",R136/IF(S136=RIGHT(AJ136,3),IF(W136="CLIENT",AM136,AE136),1/IF(W136="CLIENT",AM136,AE136)),R136*VLOOKUP(S136,'FX RATES'!$E$1:$F$10,2,FALSE)))</f>
        <v>49336.180904522611</v>
      </c>
      <c r="AV136" s="170">
        <f t="shared" ref="AV136:AV151" si="99">AT136+AU136</f>
        <v>246.68090452261094</v>
      </c>
      <c r="AW136" s="169"/>
      <c r="AX136" s="170">
        <f t="shared" ref="AX136:AX151" si="100">IF(AND(ISERROR(SEARCH("INVOICE",T136)),ISERROR(SEARCH("SWITCH",T136)),ISERROR(SEARCH("FOREX",T136)),ISERROR(SEARCH("REFUND",A136)),ISERROR(SEARCH("CANCELLED",A136))),IF(AW136="",-AT136*X136+AU136*Z136,AW136),0)</f>
        <v>246.68090452261305</v>
      </c>
      <c r="AY136" s="170">
        <f t="shared" ref="AY136:AY151" si="101">IF(AZ136="USD",AT136,IF(AZ136=K136,J136,-R136))</f>
        <v>-49089.5</v>
      </c>
      <c r="AZ136" s="170" t="str">
        <f t="shared" ref="AZ136:AZ151" si="102">LEFT(AB136,3)</f>
        <v>USD</v>
      </c>
      <c r="BA136" s="542">
        <f>IF(OR(A136="REFUND",A136="CANCELLED"),0,IFERROR((IF(OR(AB136="USDAED",LEFT(AB136,3)=RIGHT(AB136,3)),AI136,AG136)-AE136)*-AY136*VLOOKUP(AB136,'FX RATES'!$H$1:$J$26,3,FALSE),0))</f>
        <v>0</v>
      </c>
      <c r="BB136" s="170" t="str">
        <f t="shared" ref="BB136:BB151" si="103">RIGHT(AB136,3)</f>
        <v>USD</v>
      </c>
      <c r="BC136" s="542">
        <f t="shared" ref="BC136:BC151" si="104">IF(BA136=0,0,IFERROR(BA136/IF(BB136&lt;&gt;"USD",AI136,1),"???"))</f>
        <v>0</v>
      </c>
      <c r="BD136" s="170">
        <f t="shared" ref="BD136:BD151" si="105">IFERROR(-AC136/(IF(OR(AB136="USDAED",LEFT(AB136,3)=RIGHT(AB136,3)),AH136,AG136)-AE136)*BC136,0)</f>
        <v>0</v>
      </c>
      <c r="BE136" s="542">
        <f t="shared" ref="BE136:BE151" si="106">BC136-BD136</f>
        <v>0</v>
      </c>
      <c r="BF136" s="170">
        <f t="shared" ref="BF136:BF151" si="107">IF(BG136="USD",AU136,IF(BG136=S136,R136,-J136))</f>
        <v>49336.180904522611</v>
      </c>
      <c r="BG136" s="170" t="str">
        <f t="shared" ref="BG136:BG151" si="108">LEFT(AJ136,3)</f>
        <v>USD</v>
      </c>
      <c r="BH136" s="542">
        <f>IF(OR(A136="REFUND",A136="CANCELLED"),0,IFERROR((IF(OR(AJ136="USDAED",LEFT(AJ136,3)=RIGHT(AJ136,3)),AQ136,AO136)-AM136)*-BF136*VLOOKUP(AJ136,'FX RATES'!$H$1:$J$26,3,FALSE),0))</f>
        <v>6152.2217587941796</v>
      </c>
      <c r="BI136" s="170" t="str">
        <f t="shared" ref="BI136:BI151" si="109">RIGHT(AJ136,3)</f>
        <v>RUB</v>
      </c>
      <c r="BJ136" s="542">
        <f t="shared" ref="BJ136:BJ151" si="110">IF(BH136=0,0,IFERROR(BH136/IF(BI136&lt;&gt;"USD",AQ136,1),"???"))</f>
        <v>79.179173214854302</v>
      </c>
      <c r="BK136" s="170">
        <f t="shared" ref="BK136:BK151" si="111">IFERROR(-AK136/(IF(OR(AJ136="USDAED",LEFT(AJ136,3)=RIGHT(AJ136,3)),AP136,AO136)-AM136)*BJ136,0)</f>
        <v>0</v>
      </c>
      <c r="BL136" s="542">
        <f t="shared" ref="BL136:BL151" si="112">BJ136-BK136</f>
        <v>79.179173214854302</v>
      </c>
      <c r="BM136" s="170">
        <f t="shared" ref="BM136:BM151" si="113">IF(AND(ISERROR(SEARCH("REFUND",A136)),ISERROR(SEARCH("CANCELLED",A136))),BD136+BK136,0)</f>
        <v>0</v>
      </c>
      <c r="BN136" s="542">
        <f t="shared" ref="BN136:BN151" si="114">IF(AND(ISERROR(SEARCH("REFUND",A136)),ISERROR(SEARCH("CANCELLED",A136))),BE136+BL136,0)</f>
        <v>79.179173214854302</v>
      </c>
    </row>
    <row r="137" spans="1:66" ht="19.5" customHeight="1">
      <c r="A137" s="167" t="s">
        <v>366</v>
      </c>
      <c r="B137" s="168" t="s">
        <v>39</v>
      </c>
      <c r="C137" s="168" t="s">
        <v>367</v>
      </c>
      <c r="D137" s="168" t="s">
        <v>368</v>
      </c>
      <c r="E137" s="171">
        <v>46043</v>
      </c>
      <c r="F137" s="171"/>
      <c r="G137" s="168" t="s">
        <v>39</v>
      </c>
      <c r="H137" s="168" t="s">
        <v>393</v>
      </c>
      <c r="I137" s="169"/>
      <c r="J137" s="170">
        <f t="shared" si="92"/>
        <v>-54708.930442648663</v>
      </c>
      <c r="K137" s="168" t="s">
        <v>5</v>
      </c>
      <c r="L137" s="171" t="s">
        <v>378</v>
      </c>
      <c r="M137" s="168" t="s">
        <v>20</v>
      </c>
      <c r="N137" s="167" t="s">
        <v>371</v>
      </c>
      <c r="O137" s="168" t="s">
        <v>39</v>
      </c>
      <c r="P137" s="168" t="s">
        <v>394</v>
      </c>
      <c r="Q137" s="169">
        <v>4287720.1399999997</v>
      </c>
      <c r="R137" s="170">
        <f t="shared" si="93"/>
        <v>4287720.1399999997</v>
      </c>
      <c r="S137" s="168" t="s">
        <v>9</v>
      </c>
      <c r="T137" s="171" t="s">
        <v>25</v>
      </c>
      <c r="U137" s="168" t="s">
        <v>25</v>
      </c>
      <c r="V137" s="167" t="s">
        <v>371</v>
      </c>
      <c r="W137" s="172" t="s">
        <v>389</v>
      </c>
      <c r="X137" s="173">
        <f>IF(Y137="",VLOOKUP(H137,CLIENTS!$A$1:$O$649,5,FALSE),Y137)</f>
        <v>0</v>
      </c>
      <c r="Y137" s="174">
        <v>0</v>
      </c>
      <c r="Z137" s="173">
        <f>IF(AA137="",VLOOKUP(P137,CLIENTS!$A$1:$O$649,5,FALSE),AA137)</f>
        <v>7.0000000000000001E-3</v>
      </c>
      <c r="AA137" s="174">
        <v>7.0000000000000001E-3</v>
      </c>
      <c r="AB137" s="173" t="str">
        <f>IF(W137="via USD",IF(K137="EUR",K137&amp;"USD","USD"&amp;K137),IFERROR(VLOOKUP(K137&amp;S137,'FX RATES'!$H$2:$H$20,1,FALSE),S137&amp;K137))</f>
        <v>USDRUB</v>
      </c>
      <c r="AC137" s="175">
        <f>IF(LEFT(AB137,3)=RIGHT(AB137,3),0,IFERROR(INDEX(CLIENTS!$A$1:$O$649,MATCH(H137,CLIENTS!$A$1:$A$649,0),MATCH(AB137,CLIENTS!$A$1:$O$1,0)),0))</f>
        <v>0</v>
      </c>
      <c r="AD137" s="176"/>
      <c r="AE137" s="177" t="str">
        <f t="shared" si="94"/>
        <v/>
      </c>
      <c r="AF137" s="177" t="str">
        <f t="shared" si="95"/>
        <v>46043USDRUB</v>
      </c>
      <c r="AG137" s="176">
        <v>77.5</v>
      </c>
      <c r="AH137" s="178">
        <f ca="1">IF(LEFT(AB137,3)=RIGHT(AB137,3),1,VLOOKUP(AB137,'FX RATES'!$H$1:$I$20,2,FALSE))</f>
        <v>76.720500000000001</v>
      </c>
      <c r="AI137" s="178">
        <f>IF(OR(AB137="USDAED",LEFT(AB137,3)=RIGHT(AB137,3)),AH137,IF(LEFT(AB137)="USD",AG137,IF(RIGHT(AB137,3)="USD",1,IFERROR(VLOOKUP(E137&amp;"USD"&amp;RIGHT(AB137,3),$AF:$AG,2,FALSE),VLOOKUP(E137&amp;"USD"&amp;RIGHT(AJ137,3),$AN:$AO,2,FALSE)))))</f>
        <v>77.5</v>
      </c>
      <c r="AJ137" s="173" t="str">
        <f>IF(W137="via USD",IF(S137="EUR",S137&amp;"USD","USD"&amp;S137),IFERROR(VLOOKUP(K137&amp;S137,'FX RATES'!$H$2:$H$20,1,FALSE),S137&amp;K137))</f>
        <v>USDRUB</v>
      </c>
      <c r="AK137" s="175">
        <f>IF(LEFT(AJ137,3)=RIGHT(AJ137,3),0,IFERROR(INDEX(CLIENTS!$A$1:$O$649,MATCH(P137,CLIENTS!$A$1:$A$649,0),MATCH(AJ137,CLIENTS!$A$1:$O$1,0)),0))</f>
        <v>0</v>
      </c>
      <c r="AL137" s="176">
        <v>77.824700000000007</v>
      </c>
      <c r="AM137" s="177">
        <f t="shared" si="96"/>
        <v>77.824700000000007</v>
      </c>
      <c r="AN137" s="177" t="str">
        <f t="shared" si="97"/>
        <v>46043USDRUB</v>
      </c>
      <c r="AO137" s="176">
        <v>77.7</v>
      </c>
      <c r="AP137" s="178">
        <f ca="1">IF(LEFT(AJ137,3)=RIGHT(AJ137,3),1,VLOOKUP(AJ137,'FX RATES'!$H$1:$I$20,2,FALSE))</f>
        <v>76.720500000000001</v>
      </c>
      <c r="AQ137" s="178">
        <f t="shared" si="98"/>
        <v>77.7</v>
      </c>
      <c r="AR137" s="179">
        <f>-Q137*(1-Z137)/(1+X137)*IF(W137="CLIENT",IF(S137=RIGHT(AJ137,3),1/AM137,AM137),IF(W137="VENDOR",IF(S137=RIGHT(AJ137,3),1/AE137,AE137),AE137^(VLOOKUP(AB137,'FX RATES'!$H$1:$J$26,3,FALSE))/AM137^(VLOOKUP(AJ137,'FX RATES'!$H$1:$J$26,3,FALSE))))</f>
        <v>-54708.930442648663</v>
      </c>
      <c r="AS137" s="179">
        <f>-I137*(1+X137)/(1-Z137)*IF(W137="VENDOR",IF(K137=RIGHT(AB137,3),1/AE137,AE137),IF(W137="CLIENT",IF(K137=RIGHT(AB137,3),1/AM137,AM137),AM137^(VLOOKUP(AJ137,'FX RATES'!$H$1:$J$26,3,FALSE))/AE137^(VLOOKUP(AB137,'FX RATES'!$H$1:$J$26,3,FALSE))))</f>
        <v>0</v>
      </c>
      <c r="AT137" s="170">
        <f>IF(AB137&lt;&gt;AJ137,J137/IF(K137=RIGHT(AB137,3),AE137,1/AE137),IF(S137="USD",J137/IF(K137=RIGHT(AB137,3),IF(W137="CLIENT",AM137,AE137),1/IF(W137="CLIENT",AM137,AE137)),J137*VLOOKUP(K137,'FX RATES'!$E$1:$F$10,2,FALSE)))</f>
        <v>-54708.930442648663</v>
      </c>
      <c r="AU137" s="170">
        <f>IF(AB137&lt;&gt;AJ137,R137/IF(S137=RIGHT(AJ137,3),AM137,1/AM137),IF(K137="USD",R137/IF(S137=RIGHT(AJ137,3),IF(W137="CLIENT",AM137,AE137),1/IF(W137="CLIENT",AM137,AE137)),R137*VLOOKUP(S137,'FX RATES'!$E$1:$F$10,2,FALSE)))</f>
        <v>55094.592590784152</v>
      </c>
      <c r="AV137" s="170">
        <f t="shared" si="99"/>
        <v>385.66214813548868</v>
      </c>
      <c r="AW137" s="169"/>
      <c r="AX137" s="170">
        <f t="shared" si="100"/>
        <v>385.66214813548908</v>
      </c>
      <c r="AY137" s="170">
        <f t="shared" si="101"/>
        <v>-54708.930442648663</v>
      </c>
      <c r="AZ137" s="170" t="str">
        <f t="shared" si="102"/>
        <v>USD</v>
      </c>
      <c r="BA137" s="542">
        <f>IF(OR(A137="REFUND",A137="CANCELLED"),0,IFERROR((IF(OR(AB137="USDAED",LEFT(AB137,3)=RIGHT(AB137,3)),AI137,AG137)-AE137)*-AY137*VLOOKUP(AB137,'FX RATES'!$H$1:$J$26,3,FALSE),0))</f>
        <v>0</v>
      </c>
      <c r="BB137" s="170" t="str">
        <f t="shared" si="103"/>
        <v>RUB</v>
      </c>
      <c r="BC137" s="542">
        <f t="shared" si="104"/>
        <v>0</v>
      </c>
      <c r="BD137" s="170">
        <f t="shared" si="105"/>
        <v>0</v>
      </c>
      <c r="BE137" s="542">
        <f t="shared" si="106"/>
        <v>0</v>
      </c>
      <c r="BF137" s="170">
        <f t="shared" si="107"/>
        <v>55094.592590784152</v>
      </c>
      <c r="BG137" s="170" t="str">
        <f t="shared" si="108"/>
        <v>USD</v>
      </c>
      <c r="BH137" s="542">
        <f>IF(OR(A137="REFUND",A137="CANCELLED"),0,IFERROR((IF(OR(AJ137="USDAED",LEFT(AJ137,3)=RIGHT(AJ137,3)),AQ137,AO137)-AM137)*-BF137*VLOOKUP(AJ137,'FX RATES'!$H$1:$J$26,3,FALSE),0))</f>
        <v>6870.295696071018</v>
      </c>
      <c r="BI137" s="170" t="str">
        <f t="shared" si="109"/>
        <v>RUB</v>
      </c>
      <c r="BJ137" s="542">
        <f t="shared" si="110"/>
        <v>88.420794029228034</v>
      </c>
      <c r="BK137" s="170">
        <f t="shared" si="111"/>
        <v>0</v>
      </c>
      <c r="BL137" s="542">
        <f t="shared" si="112"/>
        <v>88.420794029228034</v>
      </c>
      <c r="BM137" s="170">
        <f t="shared" si="113"/>
        <v>0</v>
      </c>
      <c r="BN137" s="542">
        <f t="shared" si="114"/>
        <v>88.420794029228034</v>
      </c>
    </row>
    <row r="138" spans="1:66" ht="19.5" customHeight="1">
      <c r="A138" s="167" t="s">
        <v>366</v>
      </c>
      <c r="B138" s="168" t="s">
        <v>39</v>
      </c>
      <c r="C138" s="168" t="s">
        <v>367</v>
      </c>
      <c r="D138" s="168" t="s">
        <v>368</v>
      </c>
      <c r="E138" s="171">
        <v>46043</v>
      </c>
      <c r="F138" s="171"/>
      <c r="G138" s="168" t="s">
        <v>55</v>
      </c>
      <c r="H138" s="168" t="s">
        <v>55</v>
      </c>
      <c r="I138" s="169"/>
      <c r="J138" s="170">
        <f t="shared" si="92"/>
        <v>-29179558.353581827</v>
      </c>
      <c r="K138" s="168" t="s">
        <v>8</v>
      </c>
      <c r="L138" s="168" t="s">
        <v>40</v>
      </c>
      <c r="M138" s="168" t="s">
        <v>17</v>
      </c>
      <c r="N138" s="167" t="s">
        <v>371</v>
      </c>
      <c r="O138" s="168" t="s">
        <v>55</v>
      </c>
      <c r="P138" s="168" t="s">
        <v>55</v>
      </c>
      <c r="Q138" s="169">
        <v>618350000</v>
      </c>
      <c r="R138" s="170">
        <f t="shared" si="93"/>
        <v>618350000</v>
      </c>
      <c r="S138" s="168" t="s">
        <v>9</v>
      </c>
      <c r="T138" s="171" t="s">
        <v>25</v>
      </c>
      <c r="U138" s="168" t="s">
        <v>25</v>
      </c>
      <c r="V138" s="167" t="s">
        <v>371</v>
      </c>
      <c r="W138" s="172" t="s">
        <v>375</v>
      </c>
      <c r="X138" s="173">
        <f>IF(Y138="",VLOOKUP(H138,CLIENTS!$A$1:$O$649,5,FALSE),Y138)</f>
        <v>0</v>
      </c>
      <c r="Y138" s="174">
        <v>0</v>
      </c>
      <c r="Z138" s="173">
        <f>IF(AA138="",VLOOKUP(P138,CLIENTS!$A$1:$O$649,5,FALSE),AA138)</f>
        <v>0</v>
      </c>
      <c r="AA138" s="174">
        <v>0</v>
      </c>
      <c r="AB138" s="173" t="str">
        <f>IF(W138="via USD",IF(K138="EUR",K138&amp;"USD","USD"&amp;K138),IFERROR(VLOOKUP(K138&amp;S138,'FX RATES'!$H$2:$H$20,1,FALSE),S138&amp;K138))</f>
        <v>USDAED</v>
      </c>
      <c r="AC138" s="175">
        <f>IF(LEFT(AB138,3)=RIGHT(AB138,3),0,IFERROR(INDEX(CLIENTS!$A$1:$O$649,MATCH(H138,CLIENTS!$A$1:$A$649,0),MATCH(AB138,CLIENTS!$A$1:$O$1,0)),0))</f>
        <v>0</v>
      </c>
      <c r="AD138" s="176"/>
      <c r="AE138" s="177">
        <f t="shared" si="94"/>
        <v>3.6724999999999999</v>
      </c>
      <c r="AF138" s="177" t="str">
        <f t="shared" si="95"/>
        <v>46043USDAED</v>
      </c>
      <c r="AG138" s="176"/>
      <c r="AH138" s="178">
        <f>IF(LEFT(AB138,3)=RIGHT(AB138,3),1,VLOOKUP(AB138,'FX RATES'!$H$1:$I$20,2,FALSE))</f>
        <v>3.6724999999999999</v>
      </c>
      <c r="AI138" s="178">
        <f>IF(OR(AB138="USDAED",LEFT(AB138,3)=RIGHT(AB138,3)),AH138,IF(LEFT(AB138)="USD",AG138,IF(RIGHT(AB138,3)="USD",1,IFERROR(VLOOKUP(E138&amp;"USD"&amp;RIGHT(AB138,3),$AF:$AG,2,FALSE),VLOOKUP(E138&amp;"USD"&amp;RIGHT(AJ138,3),$AN:$AO,2,FALSE)))))</f>
        <v>3.6724999999999999</v>
      </c>
      <c r="AJ138" s="173" t="str">
        <f>IF(W138="via USD",IF(S138="EUR",S138&amp;"USD","USD"&amp;S138),IFERROR(VLOOKUP(K138&amp;S138,'FX RATES'!$H$2:$H$20,1,FALSE),S138&amp;K138))</f>
        <v>USDRUB</v>
      </c>
      <c r="AK138" s="175">
        <f>IF(LEFT(AJ138,3)=RIGHT(AJ138,3),0,IFERROR(INDEX(CLIENTS!$A$1:$O$649,MATCH(P138,CLIENTS!$A$1:$A$649,0),MATCH(AJ138,CLIENTS!$A$1:$O$1,0)),0))</f>
        <v>0</v>
      </c>
      <c r="AL138" s="176">
        <v>77.824700000000007</v>
      </c>
      <c r="AM138" s="177">
        <f t="shared" si="96"/>
        <v>77.824700000000007</v>
      </c>
      <c r="AN138" s="177" t="str">
        <f t="shared" si="97"/>
        <v>46043USDRUB</v>
      </c>
      <c r="AO138" s="176">
        <v>77.5</v>
      </c>
      <c r="AP138" s="178">
        <f ca="1">IF(LEFT(AJ138,3)=RIGHT(AJ138,3),1,VLOOKUP(AJ138,'FX RATES'!$H$1:$I$20,2,FALSE))</f>
        <v>76.720500000000001</v>
      </c>
      <c r="AQ138" s="178">
        <f t="shared" si="98"/>
        <v>77.7</v>
      </c>
      <c r="AR138" s="179">
        <f>-Q138*(1-Z138)/(1+X138)*IF(W138="CLIENT",IF(S138=RIGHT(AJ138,3),1/AM138,AM138),IF(W138="VENDOR",IF(S138=RIGHT(AJ138,3),1/AE138,AE138),AE138^(VLOOKUP(AB138,'FX RATES'!$H$1:$J$26,3,FALSE))/AM138^(VLOOKUP(AJ138,'FX RATES'!$H$1:$J$26,3,FALSE))))</f>
        <v>-29179558.353581827</v>
      </c>
      <c r="AS138" s="179">
        <f>-I138*(1+X138)/(1-Z138)*IF(W138="VENDOR",IF(K138=RIGHT(AB138,3),1/AE138,AE138),IF(W138="CLIENT",IF(K138=RIGHT(AB138,3),1/AM138,AM138),AM138^(VLOOKUP(AJ138,'FX RATES'!$H$1:$J$26,3,FALSE))/AE138^(VLOOKUP(AB138,'FX RATES'!$H$1:$J$26,3,FALSE))))</f>
        <v>0</v>
      </c>
      <c r="AT138" s="170">
        <f>IF(AB138&lt;&gt;AJ138,J138/IF(K138=RIGHT(AB138,3),AE138,1/AE138),IF(S138="USD",J138/IF(K138=RIGHT(AB138,3),IF(W138="CLIENT",AM138,AE138),1/IF(W138="CLIENT",AM138,AE138)),J138*VLOOKUP(K138,'FX RATES'!$E$1:$F$10,2,FALSE)))</f>
        <v>-7945420.9267751742</v>
      </c>
      <c r="AU138" s="170">
        <f>IF(AB138&lt;&gt;AJ138,R138/IF(S138=RIGHT(AJ138,3),AM138,1/AM138),IF(K138="USD",R138/IF(S138=RIGHT(AJ138,3),IF(W138="CLIENT",AM138,AE138),1/IF(W138="CLIENT",AM138,AE138)),R138*VLOOKUP(S138,'FX RATES'!$E$1:$F$10,2,FALSE)))</f>
        <v>7945420.9267751751</v>
      </c>
      <c r="AV138" s="170">
        <f t="shared" si="99"/>
        <v>0</v>
      </c>
      <c r="AW138" s="169"/>
      <c r="AX138" s="170">
        <f t="shared" si="100"/>
        <v>0</v>
      </c>
      <c r="AY138" s="170">
        <f t="shared" si="101"/>
        <v>-7945420.9267751742</v>
      </c>
      <c r="AZ138" s="170" t="str">
        <f t="shared" si="102"/>
        <v>USD</v>
      </c>
      <c r="BA138" s="542">
        <f>IF(OR(A138="REFUND",A138="CANCELLED"),0,IFERROR((IF(OR(AB138="USDAED",LEFT(AB138,3)=RIGHT(AB138,3)),AI138,AG138)-AE138)*-AY138*VLOOKUP(AB138,'FX RATES'!$H$1:$J$26,3,FALSE),0))</f>
        <v>0</v>
      </c>
      <c r="BB138" s="170" t="str">
        <f t="shared" si="103"/>
        <v>AED</v>
      </c>
      <c r="BC138" s="542">
        <f t="shared" si="104"/>
        <v>0</v>
      </c>
      <c r="BD138" s="170">
        <f t="shared" si="105"/>
        <v>0</v>
      </c>
      <c r="BE138" s="542">
        <f t="shared" si="106"/>
        <v>0</v>
      </c>
      <c r="BF138" s="170">
        <f t="shared" si="107"/>
        <v>7945420.9267751751</v>
      </c>
      <c r="BG138" s="170" t="str">
        <f t="shared" si="108"/>
        <v>USD</v>
      </c>
      <c r="BH138" s="542">
        <f>IF(OR(A138="REFUND",A138="CANCELLED"),0,IFERROR((IF(OR(AJ138="USDAED",LEFT(AJ138,3)=RIGHT(AJ138,3)),AQ138,AO138)-AM138)*-BF138*VLOOKUP(AJ138,'FX RATES'!$H$1:$J$26,3,FALSE),0))</f>
        <v>2579878.1749239559</v>
      </c>
      <c r="BI138" s="170" t="str">
        <f t="shared" si="109"/>
        <v>RUB</v>
      </c>
      <c r="BJ138" s="542">
        <f t="shared" si="110"/>
        <v>33203.065314336629</v>
      </c>
      <c r="BK138" s="170">
        <f t="shared" si="111"/>
        <v>0</v>
      </c>
      <c r="BL138" s="542">
        <f t="shared" si="112"/>
        <v>33203.065314336629</v>
      </c>
      <c r="BM138" s="170">
        <f t="shared" si="113"/>
        <v>0</v>
      </c>
      <c r="BN138" s="542">
        <f t="shared" si="114"/>
        <v>33203.065314336629</v>
      </c>
    </row>
    <row r="139" spans="1:66" ht="19.5" customHeight="1">
      <c r="A139" s="167" t="s">
        <v>366</v>
      </c>
      <c r="B139" s="168" t="s">
        <v>39</v>
      </c>
      <c r="C139" s="168" t="s">
        <v>367</v>
      </c>
      <c r="D139" s="168" t="s">
        <v>368</v>
      </c>
      <c r="E139" s="171">
        <v>46043</v>
      </c>
      <c r="F139" s="171"/>
      <c r="G139" s="168" t="s">
        <v>39</v>
      </c>
      <c r="H139" s="168" t="s">
        <v>393</v>
      </c>
      <c r="I139" s="169"/>
      <c r="J139" s="170">
        <f t="shared" si="92"/>
        <v>-267437.28198091348</v>
      </c>
      <c r="K139" s="168" t="s">
        <v>5</v>
      </c>
      <c r="L139" s="171" t="s">
        <v>378</v>
      </c>
      <c r="M139" s="168" t="s">
        <v>20</v>
      </c>
      <c r="N139" s="167" t="s">
        <v>371</v>
      </c>
      <c r="O139" s="168" t="s">
        <v>52</v>
      </c>
      <c r="P139" s="168" t="s">
        <v>471</v>
      </c>
      <c r="Q139" s="169">
        <v>20959945.859999999</v>
      </c>
      <c r="R139" s="170">
        <f t="shared" si="93"/>
        <v>20959945.859999999</v>
      </c>
      <c r="S139" s="168" t="s">
        <v>9</v>
      </c>
      <c r="T139" s="171" t="s">
        <v>25</v>
      </c>
      <c r="U139" s="168" t="s">
        <v>25</v>
      </c>
      <c r="V139" s="167" t="s">
        <v>371</v>
      </c>
      <c r="W139" s="172" t="s">
        <v>389</v>
      </c>
      <c r="X139" s="173">
        <f>IF(Y139="",VLOOKUP(H139,CLIENTS!$A$1:$O$649,5,FALSE),Y139)</f>
        <v>0</v>
      </c>
      <c r="Y139" s="174">
        <v>0</v>
      </c>
      <c r="Z139" s="173">
        <f>IF(AA139="",VLOOKUP(P139,CLIENTS!$A$1:$O$649,5,FALSE),AA139)</f>
        <v>7.0000000000000001E-3</v>
      </c>
      <c r="AA139" s="174">
        <v>7.0000000000000001E-3</v>
      </c>
      <c r="AB139" s="173" t="str">
        <f>IF(W139="via USD",IF(K139="EUR",K139&amp;"USD","USD"&amp;K139),IFERROR(VLOOKUP(K139&amp;S139,'FX RATES'!$H$2:$H$20,1,FALSE),S139&amp;K139))</f>
        <v>USDRUB</v>
      </c>
      <c r="AC139" s="175">
        <f>IF(LEFT(AB139,3)=RIGHT(AB139,3),0,IFERROR(INDEX(CLIENTS!$A$1:$O$649,MATCH(H139,CLIENTS!$A$1:$A$649,0),MATCH(AB139,CLIENTS!$A$1:$O$1,0)),0))</f>
        <v>0</v>
      </c>
      <c r="AD139" s="176"/>
      <c r="AE139" s="177" t="str">
        <f t="shared" si="94"/>
        <v/>
      </c>
      <c r="AF139" s="177" t="str">
        <f t="shared" si="95"/>
        <v>46043USDRUB</v>
      </c>
      <c r="AG139" s="176"/>
      <c r="AH139" s="178">
        <f ca="1">IF(LEFT(AB139,3)=RIGHT(AB139,3),1,VLOOKUP(AB139,'FX RATES'!$H$1:$I$20,2,FALSE))</f>
        <v>76.720500000000001</v>
      </c>
      <c r="AI139" s="178">
        <f>IF(OR(AB139="USDAED",LEFT(AB139,3)=RIGHT(AB139,3)),AH139,IF(LEFT(AB139)="USD",AG139,IF(RIGHT(AB139,3)="USD",1,IFERROR(VLOOKUP(E139&amp;"USD"&amp;RIGHT(AB139,3),$AF:$AG,2,FALSE),VLOOKUP(E139&amp;"USD"&amp;RIGHT(AJ139,3),$AN:$AO,2,FALSE)))))</f>
        <v>77.5</v>
      </c>
      <c r="AJ139" s="173" t="str">
        <f>IF(W139="via USD",IF(S139="EUR",S139&amp;"USD","USD"&amp;S139),IFERROR(VLOOKUP(K139&amp;S139,'FX RATES'!$H$2:$H$20,1,FALSE),S139&amp;K139))</f>
        <v>USDRUB</v>
      </c>
      <c r="AK139" s="175">
        <f>IF(LEFT(AJ139,3)=RIGHT(AJ139,3),0,IFERROR(INDEX(CLIENTS!$A$1:$O$649,MATCH(P139,CLIENTS!$A$1:$A$649,0),MATCH(AJ139,CLIENTS!$A$1:$O$1,0)),0))</f>
        <v>0</v>
      </c>
      <c r="AL139" s="176">
        <v>77.824700000000007</v>
      </c>
      <c r="AM139" s="177">
        <f t="shared" si="96"/>
        <v>77.824700000000007</v>
      </c>
      <c r="AN139" s="177" t="str">
        <f t="shared" si="97"/>
        <v>46043USDRUB</v>
      </c>
      <c r="AO139" s="176">
        <v>77.5</v>
      </c>
      <c r="AP139" s="178">
        <f ca="1">IF(LEFT(AJ139,3)=RIGHT(AJ139,3),1,VLOOKUP(AJ139,'FX RATES'!$H$1:$I$20,2,FALSE))</f>
        <v>76.720500000000001</v>
      </c>
      <c r="AQ139" s="178">
        <f t="shared" si="98"/>
        <v>77.7</v>
      </c>
      <c r="AR139" s="179">
        <f>-Q139*(1-Z139)/(1+X139)*IF(W139="CLIENT",IF(S139=RIGHT(AJ139,3),1/AM139,AM139),IF(W139="VENDOR",IF(S139=RIGHT(AJ139,3),1/AE139,AE139),AE139^(VLOOKUP(AB139,'FX RATES'!$H$1:$J$26,3,FALSE))/AM139^(VLOOKUP(AJ139,'FX RATES'!$H$1:$J$26,3,FALSE))))</f>
        <v>-267437.28198091348</v>
      </c>
      <c r="AS139" s="179">
        <f>-I139*(1+X139)/(1-Z139)*IF(W139="VENDOR",IF(K139=RIGHT(AB139,3),1/AE139,AE139),IF(W139="CLIENT",IF(K139=RIGHT(AB139,3),1/AM139,AM139),AM139^(VLOOKUP(AJ139,'FX RATES'!$H$1:$J$26,3,FALSE))/AE139^(VLOOKUP(AB139,'FX RATES'!$H$1:$J$26,3,FALSE))))</f>
        <v>0</v>
      </c>
      <c r="AT139" s="170">
        <f>IF(AB139&lt;&gt;AJ139,J139/IF(K139=RIGHT(AB139,3),AE139,1/AE139),IF(S139="USD",J139/IF(K139=RIGHT(AB139,3),IF(W139="CLIENT",AM139,AE139),1/IF(W139="CLIENT",AM139,AE139)),J139*VLOOKUP(K139,'FX RATES'!$E$1:$F$10,2,FALSE)))</f>
        <v>-267437.28198091348</v>
      </c>
      <c r="AU139" s="170">
        <f>IF(AB139&lt;&gt;AJ139,R139/IF(S139=RIGHT(AJ139,3),AM139,1/AM139),IF(K139="USD",R139/IF(S139=RIGHT(AJ139,3),IF(W139="CLIENT",AM139,AE139),1/IF(W139="CLIENT",AM139,AE139)),R139*VLOOKUP(S139,'FX RATES'!$E$1:$F$10,2,FALSE)))</f>
        <v>269322.53975922806</v>
      </c>
      <c r="AV139" s="170">
        <f t="shared" si="99"/>
        <v>1885.2577783145825</v>
      </c>
      <c r="AW139" s="169"/>
      <c r="AX139" s="170">
        <f t="shared" si="100"/>
        <v>1885.2577783145964</v>
      </c>
      <c r="AY139" s="170">
        <f t="shared" si="101"/>
        <v>-267437.28198091348</v>
      </c>
      <c r="AZ139" s="170" t="str">
        <f t="shared" si="102"/>
        <v>USD</v>
      </c>
      <c r="BA139" s="542">
        <f>IF(OR(A139="REFUND",A139="CANCELLED"),0,IFERROR((IF(OR(AB139="USDAED",LEFT(AB139,3)=RIGHT(AB139,3)),AI139,AG139)-AE139)*-AY139*VLOOKUP(AB139,'FX RATES'!$H$1:$J$26,3,FALSE),0))</f>
        <v>0</v>
      </c>
      <c r="BB139" s="170" t="str">
        <f t="shared" si="103"/>
        <v>RUB</v>
      </c>
      <c r="BC139" s="542">
        <f t="shared" si="104"/>
        <v>0</v>
      </c>
      <c r="BD139" s="170">
        <f t="shared" si="105"/>
        <v>0</v>
      </c>
      <c r="BE139" s="542">
        <f t="shared" si="106"/>
        <v>0</v>
      </c>
      <c r="BF139" s="170">
        <f t="shared" si="107"/>
        <v>269322.53975922806</v>
      </c>
      <c r="BG139" s="170" t="str">
        <f t="shared" si="108"/>
        <v>USD</v>
      </c>
      <c r="BH139" s="542">
        <f>IF(OR(A139="REFUND",A139="CANCELLED"),0,IFERROR((IF(OR(AJ139="USDAED",LEFT(AJ139,3)=RIGHT(AJ139,3)),AQ139,AO139)-AM139)*-BF139*VLOOKUP(AJ139,'FX RATES'!$H$1:$J$26,3,FALSE),0))</f>
        <v>87449.028659823263</v>
      </c>
      <c r="BI139" s="170" t="str">
        <f t="shared" si="109"/>
        <v>RUB</v>
      </c>
      <c r="BJ139" s="542">
        <f t="shared" si="110"/>
        <v>1125.4701243220497</v>
      </c>
      <c r="BK139" s="170">
        <f t="shared" si="111"/>
        <v>0</v>
      </c>
      <c r="BL139" s="542">
        <f t="shared" si="112"/>
        <v>1125.4701243220497</v>
      </c>
      <c r="BM139" s="170">
        <f t="shared" si="113"/>
        <v>0</v>
      </c>
      <c r="BN139" s="542">
        <f t="shared" si="114"/>
        <v>1125.4701243220497</v>
      </c>
    </row>
    <row r="140" spans="1:66" ht="19.5" customHeight="1">
      <c r="A140" s="167" t="s">
        <v>366</v>
      </c>
      <c r="B140" s="168" t="s">
        <v>55</v>
      </c>
      <c r="C140" s="168" t="s">
        <v>381</v>
      </c>
      <c r="D140" s="168" t="s">
        <v>128</v>
      </c>
      <c r="E140" s="171">
        <v>46043</v>
      </c>
      <c r="F140" s="171"/>
      <c r="G140" s="168" t="s">
        <v>55</v>
      </c>
      <c r="H140" s="168" t="s">
        <v>55</v>
      </c>
      <c r="I140" s="169">
        <f>-R132</f>
        <v>-47882554.376641497</v>
      </c>
      <c r="J140" s="170">
        <f t="shared" si="92"/>
        <v>-47882554.376641497</v>
      </c>
      <c r="K140" s="168" t="s">
        <v>9</v>
      </c>
      <c r="L140" s="168" t="s">
        <v>391</v>
      </c>
      <c r="M140" s="168" t="s">
        <v>391</v>
      </c>
      <c r="N140" s="167" t="s">
        <v>371</v>
      </c>
      <c r="O140" s="168" t="s">
        <v>52</v>
      </c>
      <c r="P140" s="168" t="s">
        <v>52</v>
      </c>
      <c r="Q140" s="169"/>
      <c r="R140" s="170">
        <f t="shared" si="93"/>
        <v>47882554.376641497</v>
      </c>
      <c r="S140" s="168" t="s">
        <v>9</v>
      </c>
      <c r="T140" s="168" t="s">
        <v>391</v>
      </c>
      <c r="U140" s="168" t="s">
        <v>391</v>
      </c>
      <c r="V140" s="167" t="s">
        <v>371</v>
      </c>
      <c r="W140" s="172" t="s">
        <v>382</v>
      </c>
      <c r="X140" s="173">
        <f>IF(Y140="",VLOOKUP(H140,CLIENTS!$A$1:$O$649,5,FALSE),Y140)</f>
        <v>0</v>
      </c>
      <c r="Y140" s="174">
        <v>0</v>
      </c>
      <c r="Z140" s="173">
        <f>IF(AA140="",VLOOKUP(P140,CLIENTS!$A$1:$O$649,5,FALSE),AA140)</f>
        <v>0</v>
      </c>
      <c r="AA140" s="174">
        <v>0</v>
      </c>
      <c r="AB140" s="173" t="str">
        <f>IF(W140="via USD",IF(K140="EUR",K140&amp;"USD","USD"&amp;K140),IFERROR(VLOOKUP(K140&amp;S140,'FX RATES'!$H$2:$H$20,1,FALSE),S140&amp;K140))</f>
        <v>RUBRUB</v>
      </c>
      <c r="AC140" s="175">
        <f>IF(LEFT(AB140,3)=RIGHT(AB140,3),0,IFERROR(INDEX(CLIENTS!$A$1:$O$649,MATCH(H140,CLIENTS!$A$1:$A$649,0),MATCH(AB140,CLIENTS!$A$1:$O$1,0)),0))</f>
        <v>0</v>
      </c>
      <c r="AD140" s="176"/>
      <c r="AE140" s="177">
        <f t="shared" si="94"/>
        <v>1</v>
      </c>
      <c r="AF140" s="177" t="str">
        <f t="shared" si="95"/>
        <v>46043RUBRUB</v>
      </c>
      <c r="AG140" s="176"/>
      <c r="AH140" s="178">
        <f>IF(LEFT(AB140,3)=RIGHT(AB140,3),1,VLOOKUP(AB140,'FX RATES'!$H$1:$I$20,2,FALSE))</f>
        <v>1</v>
      </c>
      <c r="AI140" s="178">
        <f>IF(OR(AB140="USDAED",LEFT(AB140,3)=RIGHT(AB140,3)),AH140,IF(LEFT(AB140)="USD",AG140,IF(RIGHT(AB140,3)="USD",1,IFERROR(VLOOKUP(E140&amp;"USD"&amp;RIGHT(AB140,3),$AF:$AG,2,FALSE),VLOOKUP(E140&amp;"USD"&amp;RIGHT(AJ140,3),$AN:$AO,2,FALSE)))))</f>
        <v>1</v>
      </c>
      <c r="AJ140" s="173" t="str">
        <f>IF(W140="via USD",IF(S140="EUR",S140&amp;"USD","USD"&amp;S140),IFERROR(VLOOKUP(K140&amp;S140,'FX RATES'!$H$2:$H$20,1,FALSE),S140&amp;K140))</f>
        <v>RUBRUB</v>
      </c>
      <c r="AK140" s="175">
        <f>IF(LEFT(AJ140,3)=RIGHT(AJ140,3),0,IFERROR(INDEX(CLIENTS!$A$1:$O$649,MATCH(P140,CLIENTS!$A$1:$A$649,0),MATCH(AJ140,CLIENTS!$A$1:$O$1,0)),0))</f>
        <v>0</v>
      </c>
      <c r="AL140" s="176"/>
      <c r="AM140" s="177" t="str">
        <f t="shared" si="96"/>
        <v/>
      </c>
      <c r="AN140" s="177" t="str">
        <f t="shared" si="97"/>
        <v>46043RUBRUB</v>
      </c>
      <c r="AO140" s="176"/>
      <c r="AP140" s="178">
        <f>IF(LEFT(AJ140,3)=RIGHT(AJ140,3),1,VLOOKUP(AJ140,'FX RATES'!$H$1:$I$20,2,FALSE))</f>
        <v>1</v>
      </c>
      <c r="AQ140" s="178">
        <f t="shared" si="98"/>
        <v>1</v>
      </c>
      <c r="AR140" s="179">
        <f>-Q140*(1-Z140)/(1+X140)*IF(W140="CLIENT",IF(S140=RIGHT(AJ140,3),1/AM140,AM140),IF(W140="VENDOR",IF(S140=RIGHT(AJ140,3),1/AE140,AE140),AE140^(VLOOKUP(AB140,'FX RATES'!$H$1:$J$26,3,FALSE))/AM140^(VLOOKUP(AJ140,'FX RATES'!$H$1:$J$26,3,FALSE))))</f>
        <v>0</v>
      </c>
      <c r="AS140" s="179">
        <f>-I140*(1+X140)/(1-Z140)*IF(W140="VENDOR",IF(K140=RIGHT(AB140,3),1/AE140,AE140),IF(W140="CLIENT",IF(K140=RIGHT(AB140,3),1/AM140,AM140),AM140^(VLOOKUP(AJ140,'FX RATES'!$H$1:$J$26,3,FALSE))/AE140^(VLOOKUP(AB140,'FX RATES'!$H$1:$J$26,3,FALSE))))</f>
        <v>47882554.376641497</v>
      </c>
      <c r="AT140" s="170">
        <f ca="1">IF(AB140&lt;&gt;AJ140,J140/IF(K140=RIGHT(AB140,3),AE140,1/AE140),IF(S140="USD",J140/IF(K140=RIGHT(AB140,3),IF(W140="CLIENT",AM140,AE140),1/IF(W140="CLIENT",AM140,AE140)),J140*VLOOKUP(K140,'FX RATES'!$E$1:$F$10,2,FALSE)))</f>
        <v>-624116.81853795913</v>
      </c>
      <c r="AU140" s="170">
        <f ca="1">IF(AB140&lt;&gt;AJ140,R140/IF(S140=RIGHT(AJ140,3),AM140,1/AM140),IF(K140="USD",R140/IF(S140=RIGHT(AJ140,3),IF(W140="CLIENT",AM140,AE140),1/IF(W140="CLIENT",AM140,AE140)),R140*VLOOKUP(S140,'FX RATES'!$E$1:$F$10,2,FALSE)))</f>
        <v>624116.81853795913</v>
      </c>
      <c r="AV140" s="170">
        <f t="shared" ca="1" si="99"/>
        <v>0</v>
      </c>
      <c r="AW140" s="169"/>
      <c r="AX140" s="170">
        <f t="shared" ca="1" si="100"/>
        <v>0</v>
      </c>
      <c r="AY140" s="170">
        <f t="shared" si="101"/>
        <v>-47882554.376641497</v>
      </c>
      <c r="AZ140" s="170" t="str">
        <f t="shared" si="102"/>
        <v>RUB</v>
      </c>
      <c r="BA140" s="542">
        <f>IF(OR(A140="REFUND",A140="CANCELLED"),0,IFERROR((IF(OR(AB140="USDAED",LEFT(AB140,3)=RIGHT(AB140,3)),AI140,AG140)-AE140)*-AY140*VLOOKUP(AB140,'FX RATES'!$H$1:$J$26,3,FALSE),0))</f>
        <v>0</v>
      </c>
      <c r="BB140" s="170" t="str">
        <f t="shared" si="103"/>
        <v>RUB</v>
      </c>
      <c r="BC140" s="542">
        <f t="shared" si="104"/>
        <v>0</v>
      </c>
      <c r="BD140" s="170">
        <f t="shared" si="105"/>
        <v>0</v>
      </c>
      <c r="BE140" s="542">
        <f t="shared" si="106"/>
        <v>0</v>
      </c>
      <c r="BF140" s="170">
        <f t="shared" si="107"/>
        <v>47882554.376641497</v>
      </c>
      <c r="BG140" s="170" t="str">
        <f t="shared" si="108"/>
        <v>RUB</v>
      </c>
      <c r="BH140" s="542">
        <f>IF(OR(A140="REFUND",A140="CANCELLED"),0,IFERROR((IF(OR(AJ140="USDAED",LEFT(AJ140,3)=RIGHT(AJ140,3)),AQ140,AO140)-AM140)*-BF140*VLOOKUP(AJ140,'FX RATES'!$H$1:$J$26,3,FALSE),0))</f>
        <v>0</v>
      </c>
      <c r="BI140" s="170" t="str">
        <f t="shared" si="109"/>
        <v>RUB</v>
      </c>
      <c r="BJ140" s="542">
        <f t="shared" si="110"/>
        <v>0</v>
      </c>
      <c r="BK140" s="170">
        <f t="shared" si="111"/>
        <v>0</v>
      </c>
      <c r="BL140" s="542">
        <f t="shared" si="112"/>
        <v>0</v>
      </c>
      <c r="BM140" s="170">
        <f t="shared" si="113"/>
        <v>0</v>
      </c>
      <c r="BN140" s="542">
        <f t="shared" si="114"/>
        <v>0</v>
      </c>
    </row>
    <row r="141" spans="1:66" ht="19.5" customHeight="1">
      <c r="A141" s="167" t="s">
        <v>492</v>
      </c>
      <c r="B141" s="168" t="s">
        <v>52</v>
      </c>
      <c r="C141" s="168" t="s">
        <v>489</v>
      </c>
      <c r="D141" s="168" t="s">
        <v>128</v>
      </c>
      <c r="E141" s="171">
        <v>46043</v>
      </c>
      <c r="F141" s="171"/>
      <c r="G141" s="168" t="s">
        <v>52</v>
      </c>
      <c r="H141" s="181" t="s">
        <v>52</v>
      </c>
      <c r="I141" s="169"/>
      <c r="J141" s="170">
        <f t="shared" si="92"/>
        <v>-616249.09107646707</v>
      </c>
      <c r="K141" s="168" t="s">
        <v>5</v>
      </c>
      <c r="L141" s="171"/>
      <c r="M141" s="168"/>
      <c r="N141" s="167" t="s">
        <v>371</v>
      </c>
      <c r="O141" s="168" t="s">
        <v>52</v>
      </c>
      <c r="P141" s="168" t="s">
        <v>52</v>
      </c>
      <c r="Q141" s="169">
        <f>-J131</f>
        <v>47882554.376641497</v>
      </c>
      <c r="R141" s="170">
        <f t="shared" si="93"/>
        <v>47882554.376641497</v>
      </c>
      <c r="S141" s="168" t="s">
        <v>9</v>
      </c>
      <c r="T141" s="171"/>
      <c r="U141" s="168"/>
      <c r="V141" s="167" t="s">
        <v>371</v>
      </c>
      <c r="W141" s="172" t="s">
        <v>389</v>
      </c>
      <c r="X141" s="173">
        <f>IF(Y141="",VLOOKUP(H141,CLIENTS!$A$1:$O$649,5,FALSE),Y141)</f>
        <v>0</v>
      </c>
      <c r="Y141" s="174"/>
      <c r="Z141" s="173">
        <f>IF(AA141="",VLOOKUP(P141,CLIENTS!$A$1:$O$649,5,FALSE),AA141)</f>
        <v>0</v>
      </c>
      <c r="AA141" s="174"/>
      <c r="AB141" s="173" t="str">
        <f>IF(W141="via USD",IF(K141="EUR",K141&amp;"USD","USD"&amp;K141),IFERROR(VLOOKUP(K141&amp;S141,'FX RATES'!$H$2:$H$20,1,FALSE),S141&amp;K141))</f>
        <v>USDRUB</v>
      </c>
      <c r="AC141" s="175">
        <f>IF(LEFT(AB141,3)=RIGHT(AB141,3),0,IFERROR(INDEX(CLIENTS!$A$1:$O$649,MATCH(H141,CLIENTS!$A$1:$A$649,0),MATCH(AB141,CLIENTS!$A$1:$O$1,0)),0))</f>
        <v>0</v>
      </c>
      <c r="AD141" s="176"/>
      <c r="AE141" s="177" t="str">
        <f t="shared" si="94"/>
        <v/>
      </c>
      <c r="AF141" s="177" t="str">
        <f t="shared" si="95"/>
        <v>46043USDRUB</v>
      </c>
      <c r="AG141" s="176"/>
      <c r="AH141" s="178">
        <f ca="1">IF(LEFT(AB141,3)=RIGHT(AB141,3),1,VLOOKUP(AB141,'FX RATES'!$H$1:$I$20,2,FALSE))</f>
        <v>76.720500000000001</v>
      </c>
      <c r="AI141" s="178">
        <f>IF(OR(AB141="USDAED",LEFT(AB141,3)=RIGHT(AB141,3),AB141="USDUSDT",AB141="USDTUSD"),AH141,IF(LEFT(AB141)="USD",AG141,IF(RIGHT(AB141,3)="USD",1,IFERROR(VLOOKUP(E141&amp;"USD"&amp;RIGHT(AB141,3),$AF:$AG,2,FALSE),VLOOKUP(E141&amp;"USD"&amp;RIGHT(AJ141,3),$AN:$AO,2,FALSE)))))</f>
        <v>77.5</v>
      </c>
      <c r="AJ141" s="173" t="str">
        <f>IF(W141="via USD",IF(S141="EUR",S141&amp;"USD","USD"&amp;S141),IFERROR(VLOOKUP(K141&amp;S141,'FX RATES'!$H$2:$H$20,1,FALSE),S141&amp;K141))</f>
        <v>USDRUB</v>
      </c>
      <c r="AK141" s="175">
        <f>IF(LEFT(AJ141,3)=RIGHT(AJ141,3),0,IFERROR(INDEX(CLIENTS!$A$1:$O$649,MATCH(P141,CLIENTS!$A$1:$A$649,0),MATCH(AJ141,CLIENTS!$A$1:$O$1,0)),0))</f>
        <v>0</v>
      </c>
      <c r="AL141" s="176">
        <v>77.7</v>
      </c>
      <c r="AM141" s="177">
        <f t="shared" si="96"/>
        <v>77.7</v>
      </c>
      <c r="AN141" s="177" t="str">
        <f t="shared" si="97"/>
        <v>46043USDRUB</v>
      </c>
      <c r="AO141" s="176">
        <v>77.5</v>
      </c>
      <c r="AP141" s="178">
        <f ca="1">IF(LEFT(AJ141,3)=RIGHT(AJ141,3),1,VLOOKUP(AJ141,'FX RATES'!$H$1:$I$20,2,FALSE))</f>
        <v>76.720500000000001</v>
      </c>
      <c r="AQ141" s="178">
        <f t="shared" si="98"/>
        <v>77.7</v>
      </c>
      <c r="AR141" s="179">
        <f>-Q141*(1-Z141)/(1+X141)*IF(W141="CLIENT",IF(S141=RIGHT(AJ141,3),1/AM141,AM141),IF(W141="VENDOR",IF(S141=RIGHT(AJ141,3),1/AE141,AE141),AE141^(VLOOKUP(AB141,'FX RATES'!$H$1:$J$26,3,FALSE))/AM141^(VLOOKUP(AJ141,'FX RATES'!$H$1:$J$26,3,FALSE))))</f>
        <v>-616249.09107646707</v>
      </c>
      <c r="AS141" s="179">
        <f>-I141*(1+X141)/(1-Z141)*IF(W141="VENDOR",IF(K141=RIGHT(AB141,3),1/AE141,AE141),IF(W141="CLIENT",IF(K141=RIGHT(AB141,3),1/AM141,AM141),AM141^(VLOOKUP(AJ141,'FX RATES'!$H$1:$J$26,3,FALSE))/AE141^(VLOOKUP(AB141,'FX RATES'!$H$1:$J$26,3,FALSE))))</f>
        <v>0</v>
      </c>
      <c r="AT141" s="170">
        <f>IF(AB141&lt;&gt;AJ141,J141/IF(K141=RIGHT(AB141,3),AE141,1/AE141),IF(S141="USD",J141/IF(K141=RIGHT(AB141,3),IF(W141="CLIENT",AM141,AE141),1/IF(W141="CLIENT",AM141,AE141)),J141*VLOOKUP(K141,'FX RATES'!$E$1:$F$10,2,FALSE)))</f>
        <v>-616249.09107646707</v>
      </c>
      <c r="AU141" s="170">
        <f>IF(AB141&lt;&gt;AJ141,R141/IF(S141=RIGHT(AJ141,3),AM141,1/AM141),IF(K141="USD",R141/IF(S141=RIGHT(AJ141,3),IF(W141="CLIENT",AM141,AE141),1/IF(W141="CLIENT",AM141,AE141)),R141*VLOOKUP(S141,'FX RATES'!$E$1:$F$10,2,FALSE)))</f>
        <v>616249.09107646707</v>
      </c>
      <c r="AV141" s="170">
        <f t="shared" si="99"/>
        <v>0</v>
      </c>
      <c r="AW141" s="169"/>
      <c r="AX141" s="170">
        <f t="shared" si="100"/>
        <v>0</v>
      </c>
      <c r="AY141" s="170">
        <f t="shared" si="101"/>
        <v>-616249.09107646707</v>
      </c>
      <c r="AZ141" s="170" t="str">
        <f t="shared" si="102"/>
        <v>USD</v>
      </c>
      <c r="BA141" s="542">
        <f>IF(OR(A141="REFUND",A141="CANCELLED"),0,IFERROR((IF(OR(AB141="USDAED",LEFT(AB141,3)=RIGHT(AB141,3)),AI141,AG141)-AE141)*-AY141*VLOOKUP(AB141,'FX RATES'!$H$1:$J$26,3,FALSE),0))</f>
        <v>0</v>
      </c>
      <c r="BB141" s="170" t="str">
        <f t="shared" si="103"/>
        <v>RUB</v>
      </c>
      <c r="BC141" s="542">
        <f t="shared" si="104"/>
        <v>0</v>
      </c>
      <c r="BD141" s="170">
        <f t="shared" si="105"/>
        <v>0</v>
      </c>
      <c r="BE141" s="542">
        <f t="shared" si="106"/>
        <v>0</v>
      </c>
      <c r="BF141" s="170">
        <f t="shared" si="107"/>
        <v>616249.09107646707</v>
      </c>
      <c r="BG141" s="170" t="str">
        <f t="shared" si="108"/>
        <v>USD</v>
      </c>
      <c r="BH141" s="542">
        <f>IF(OR(A141="REFUND",A141="CANCELLED"),0,IFERROR((IF(OR(AJ141="USDAED",LEFT(AJ141,3)=RIGHT(AJ141,3)),AQ141,AO141)-AM141)*-BF141*VLOOKUP(AJ141,'FX RATES'!$H$1:$J$26,3,FALSE),0))</f>
        <v>123249.81821529516</v>
      </c>
      <c r="BI141" s="170" t="str">
        <f t="shared" si="109"/>
        <v>RUB</v>
      </c>
      <c r="BJ141" s="542">
        <f t="shared" si="110"/>
        <v>1586.2267466575954</v>
      </c>
      <c r="BK141" s="170">
        <f t="shared" si="111"/>
        <v>0</v>
      </c>
      <c r="BL141" s="542">
        <f t="shared" si="112"/>
        <v>1586.2267466575954</v>
      </c>
      <c r="BM141" s="170">
        <f t="shared" si="113"/>
        <v>0</v>
      </c>
      <c r="BN141" s="542">
        <f t="shared" si="114"/>
        <v>1586.2267466575954</v>
      </c>
    </row>
    <row r="142" spans="1:66" ht="19.5" customHeight="1">
      <c r="A142" s="167" t="s">
        <v>366</v>
      </c>
      <c r="B142" s="168" t="s">
        <v>39</v>
      </c>
      <c r="C142" s="168" t="s">
        <v>381</v>
      </c>
      <c r="D142" s="168" t="s">
        <v>128</v>
      </c>
      <c r="E142" s="171">
        <v>46043</v>
      </c>
      <c r="F142" s="171"/>
      <c r="G142" s="168" t="s">
        <v>39</v>
      </c>
      <c r="H142" s="168" t="s">
        <v>39</v>
      </c>
      <c r="I142" s="169"/>
      <c r="J142" s="170">
        <f t="shared" si="92"/>
        <v>-1872706.3819597987</v>
      </c>
      <c r="K142" s="168" t="s">
        <v>9</v>
      </c>
      <c r="L142" s="168" t="s">
        <v>391</v>
      </c>
      <c r="M142" s="168" t="s">
        <v>391</v>
      </c>
      <c r="N142" s="167" t="s">
        <v>371</v>
      </c>
      <c r="O142" s="168" t="s">
        <v>39</v>
      </c>
      <c r="P142" s="168" t="s">
        <v>39</v>
      </c>
      <c r="Q142" s="169">
        <v>1872706.3819597987</v>
      </c>
      <c r="R142" s="170">
        <f t="shared" si="93"/>
        <v>1872706.3819597987</v>
      </c>
      <c r="S142" s="168" t="s">
        <v>9</v>
      </c>
      <c r="T142" s="168" t="s">
        <v>391</v>
      </c>
      <c r="U142" s="168" t="s">
        <v>391</v>
      </c>
      <c r="V142" s="167" t="s">
        <v>371</v>
      </c>
      <c r="W142" s="172" t="s">
        <v>382</v>
      </c>
      <c r="X142" s="173">
        <f>IF(Y142="",VLOOKUP(H142,CLIENTS!$A$1:$O$649,5,FALSE),Y142)</f>
        <v>0</v>
      </c>
      <c r="Y142" s="174"/>
      <c r="Z142" s="173">
        <f>IF(AA142="",VLOOKUP(P142,CLIENTS!$A$1:$O$649,5,FALSE),AA142)</f>
        <v>0</v>
      </c>
      <c r="AA142" s="174"/>
      <c r="AB142" s="173" t="str">
        <f>IF(W142="via USD",IF(K142="EUR",K142&amp;"USD","USD"&amp;K142),IFERROR(VLOOKUP(K142&amp;S142,'FX RATES'!$H$2:$H$20,1,FALSE),S142&amp;K142))</f>
        <v>RUBRUB</v>
      </c>
      <c r="AC142" s="175">
        <f>IF(LEFT(AB142,3)=RIGHT(AB142,3),0,IFERROR(INDEX(CLIENTS!$A$1:$O$649,MATCH(H142,CLIENTS!$A$1:$A$649,0),MATCH(AB142,CLIENTS!$A$1:$O$1,0)),0))</f>
        <v>0</v>
      </c>
      <c r="AD142" s="176"/>
      <c r="AE142" s="177">
        <f t="shared" si="94"/>
        <v>1</v>
      </c>
      <c r="AF142" s="177" t="str">
        <f t="shared" si="95"/>
        <v>46043RUBRUB</v>
      </c>
      <c r="AG142" s="176"/>
      <c r="AH142" s="178">
        <f>IF(LEFT(AB142,3)=RIGHT(AB142,3),1,VLOOKUP(AB142,'FX RATES'!$H$1:$I$20,2,FALSE))</f>
        <v>1</v>
      </c>
      <c r="AI142" s="178">
        <f>IF(OR(AB142="USDAED",LEFT(AB142,3)=RIGHT(AB142,3)),AH142,IF(LEFT(AB142)="USD",AG142,IF(RIGHT(AB142,3)="USD",1,IFERROR(VLOOKUP(E142&amp;"USD"&amp;RIGHT(AB142,3),$AF:$AG,2,FALSE),VLOOKUP(E142&amp;"USD"&amp;RIGHT(AJ142,3),$AN:$AO,2,FALSE)))))</f>
        <v>1</v>
      </c>
      <c r="AJ142" s="173" t="str">
        <f>IF(W142="via USD",IF(S142="EUR",S142&amp;"USD","USD"&amp;S142),IFERROR(VLOOKUP(K142&amp;S142,'FX RATES'!$H$2:$H$20,1,FALSE),S142&amp;K142))</f>
        <v>RUBRUB</v>
      </c>
      <c r="AK142" s="175">
        <f>IF(LEFT(AJ142,3)=RIGHT(AJ142,3),0,IFERROR(INDEX(CLIENTS!$A$1:$O$649,MATCH(P142,CLIENTS!$A$1:$A$649,0),MATCH(AJ142,CLIENTS!$A$1:$O$1,0)),0))</f>
        <v>0</v>
      </c>
      <c r="AL142" s="176"/>
      <c r="AM142" s="177" t="str">
        <f t="shared" si="96"/>
        <v/>
      </c>
      <c r="AN142" s="177" t="str">
        <f t="shared" si="97"/>
        <v>46043RUBRUB</v>
      </c>
      <c r="AO142" s="176"/>
      <c r="AP142" s="178">
        <f>IF(LEFT(AJ142,3)=RIGHT(AJ142,3),1,VLOOKUP(AJ142,'FX RATES'!$H$1:$I$20,2,FALSE))</f>
        <v>1</v>
      </c>
      <c r="AQ142" s="178">
        <f t="shared" si="98"/>
        <v>1</v>
      </c>
      <c r="AR142" s="179">
        <f>-Q142*(1-Z142)/(1+X142)*IF(W142="CLIENT",IF(S142=RIGHT(AJ142,3),1/AM142,AM142),IF(W142="VENDOR",IF(S142=RIGHT(AJ142,3),1/AE142,AE142),AE142^(VLOOKUP(AB142,'FX RATES'!$H$1:$J$26,3,FALSE))/AM142^(VLOOKUP(AJ142,'FX RATES'!$H$1:$J$26,3,FALSE))))</f>
        <v>-1872706.3819597987</v>
      </c>
      <c r="AS142" s="179">
        <f>-I142*(1+X142)/(1-Z142)*IF(W142="VENDOR",IF(K142=RIGHT(AB142,3),1/AE142,AE142),IF(W142="CLIENT",IF(K142=RIGHT(AB142,3),1/AM142,AM142),AM142^(VLOOKUP(AJ142,'FX RATES'!$H$1:$J$26,3,FALSE))/AE142^(VLOOKUP(AB142,'FX RATES'!$H$1:$J$26,3,FALSE))))</f>
        <v>0</v>
      </c>
      <c r="AT142" s="170">
        <f ca="1">IF(AB142&lt;&gt;AJ142,J142/IF(K142=RIGHT(AB142,3),AE142,1/AE142),IF(S142="USD",J142/IF(K142=RIGHT(AB142,3),IF(W142="CLIENT",AM142,AE142),1/IF(W142="CLIENT",AM142,AE142)),J142*VLOOKUP(K142,'FX RATES'!$E$1:$F$10,2,FALSE)))</f>
        <v>-24409.465292324719</v>
      </c>
      <c r="AU142" s="170">
        <f ca="1">IF(AB142&lt;&gt;AJ142,R142/IF(S142=RIGHT(AJ142,3),AM142,1/AM142),IF(K142="USD",R142/IF(S142=RIGHT(AJ142,3),IF(W142="CLIENT",AM142,AE142),1/IF(W142="CLIENT",AM142,AE142)),R142*VLOOKUP(S142,'FX RATES'!$E$1:$F$10,2,FALSE)))</f>
        <v>24409.465292324719</v>
      </c>
      <c r="AV142" s="170">
        <f t="shared" ca="1" si="99"/>
        <v>0</v>
      </c>
      <c r="AW142" s="169"/>
      <c r="AX142" s="170">
        <f t="shared" ca="1" si="100"/>
        <v>0</v>
      </c>
      <c r="AY142" s="170">
        <f t="shared" si="101"/>
        <v>-1872706.3819597987</v>
      </c>
      <c r="AZ142" s="170" t="str">
        <f t="shared" si="102"/>
        <v>RUB</v>
      </c>
      <c r="BA142" s="542">
        <f>IF(OR(A142="REFUND",A142="CANCELLED"),0,IFERROR((IF(OR(AB142="USDAED",LEFT(AB142,3)=RIGHT(AB142,3)),AI142,AG142)-AE142)*-AY142*VLOOKUP(AB142,'FX RATES'!$H$1:$J$26,3,FALSE),0))</f>
        <v>0</v>
      </c>
      <c r="BB142" s="170" t="str">
        <f t="shared" si="103"/>
        <v>RUB</v>
      </c>
      <c r="BC142" s="542">
        <f t="shared" si="104"/>
        <v>0</v>
      </c>
      <c r="BD142" s="170">
        <f t="shared" si="105"/>
        <v>0</v>
      </c>
      <c r="BE142" s="542">
        <f t="shared" si="106"/>
        <v>0</v>
      </c>
      <c r="BF142" s="170">
        <f t="shared" si="107"/>
        <v>1872706.3819597987</v>
      </c>
      <c r="BG142" s="170" t="str">
        <f t="shared" si="108"/>
        <v>RUB</v>
      </c>
      <c r="BH142" s="542">
        <f>IF(OR(A142="REFUND",A142="CANCELLED"),0,IFERROR((IF(OR(AJ142="USDAED",LEFT(AJ142,3)=RIGHT(AJ142,3)),AQ142,AO142)-AM142)*-BF142*VLOOKUP(AJ142,'FX RATES'!$H$1:$J$26,3,FALSE),0))</f>
        <v>0</v>
      </c>
      <c r="BI142" s="170" t="str">
        <f t="shared" si="109"/>
        <v>RUB</v>
      </c>
      <c r="BJ142" s="542">
        <f t="shared" si="110"/>
        <v>0</v>
      </c>
      <c r="BK142" s="170">
        <f t="shared" si="111"/>
        <v>0</v>
      </c>
      <c r="BL142" s="542">
        <f t="shared" si="112"/>
        <v>0</v>
      </c>
      <c r="BM142" s="170">
        <f t="shared" si="113"/>
        <v>0</v>
      </c>
      <c r="BN142" s="542">
        <f t="shared" si="114"/>
        <v>0</v>
      </c>
    </row>
    <row r="143" spans="1:66" ht="19.5" customHeight="1">
      <c r="A143" s="167" t="s">
        <v>366</v>
      </c>
      <c r="B143" s="168" t="s">
        <v>52</v>
      </c>
      <c r="C143" s="168" t="s">
        <v>381</v>
      </c>
      <c r="D143" s="168" t="s">
        <v>128</v>
      </c>
      <c r="E143" s="171">
        <v>46043</v>
      </c>
      <c r="F143" s="171"/>
      <c r="G143" s="181" t="s">
        <v>52</v>
      </c>
      <c r="H143" s="181" t="s">
        <v>52</v>
      </c>
      <c r="I143" s="169">
        <v>-5000000</v>
      </c>
      <c r="J143" s="170">
        <f t="shared" si="92"/>
        <v>-5000000</v>
      </c>
      <c r="K143" s="168" t="s">
        <v>9</v>
      </c>
      <c r="L143" s="168" t="s">
        <v>391</v>
      </c>
      <c r="M143" s="168" t="s">
        <v>391</v>
      </c>
      <c r="N143" s="167" t="s">
        <v>371</v>
      </c>
      <c r="O143" s="181" t="s">
        <v>52</v>
      </c>
      <c r="P143" s="181" t="s">
        <v>52</v>
      </c>
      <c r="Q143" s="169"/>
      <c r="R143" s="170">
        <f t="shared" si="93"/>
        <v>5000000</v>
      </c>
      <c r="S143" s="168" t="s">
        <v>9</v>
      </c>
      <c r="T143" s="168" t="s">
        <v>391</v>
      </c>
      <c r="U143" s="168" t="s">
        <v>391</v>
      </c>
      <c r="V143" s="167" t="s">
        <v>371</v>
      </c>
      <c r="W143" s="172" t="s">
        <v>382</v>
      </c>
      <c r="X143" s="173">
        <f>IF(Y143="",VLOOKUP(H143,CLIENTS!$A$1:$O$649,5,FALSE),Y143)</f>
        <v>0</v>
      </c>
      <c r="Y143" s="174"/>
      <c r="Z143" s="173">
        <f>IF(AA143="",VLOOKUP(P143,CLIENTS!$A$1:$O$649,5,FALSE),AA143)</f>
        <v>0</v>
      </c>
      <c r="AA143" s="174"/>
      <c r="AB143" s="173" t="str">
        <f>IF(W143="via USD",IF(K143="EUR",K143&amp;"USD","USD"&amp;K143),IFERROR(VLOOKUP(K143&amp;S143,'FX RATES'!$H$2:$H$20,1,FALSE),S143&amp;K143))</f>
        <v>RUBRUB</v>
      </c>
      <c r="AC143" s="175">
        <f>IF(LEFT(AB143,3)=RIGHT(AB143,3),0,IFERROR(INDEX(CLIENTS!$A$1:$O$649,MATCH(H143,CLIENTS!$A$1:$A$649,0),MATCH(AB143,CLIENTS!$A$1:$O$1,0)),0))</f>
        <v>0</v>
      </c>
      <c r="AD143" s="176"/>
      <c r="AE143" s="177">
        <f t="shared" si="94"/>
        <v>1</v>
      </c>
      <c r="AF143" s="177" t="str">
        <f t="shared" si="95"/>
        <v>46043RUBRUB</v>
      </c>
      <c r="AG143" s="176"/>
      <c r="AH143" s="178">
        <f>IF(LEFT(AB143,3)=RIGHT(AB143,3),1,VLOOKUP(AB143,'FX RATES'!$H$1:$I$20,2,FALSE))</f>
        <v>1</v>
      </c>
      <c r="AI143" s="178">
        <f>IF(OR(AB143="USDAED",LEFT(AB143,3)=RIGHT(AB143,3)),AH143,IF(LEFT(AB143)="USD",AG143,IF(RIGHT(AB143,3)="USD",1,IFERROR(VLOOKUP(E143&amp;"USD"&amp;RIGHT(AB143,3),$AF:$AG,2,FALSE),VLOOKUP(E143&amp;"USD"&amp;RIGHT(AJ143,3),$AN:$AO,2,FALSE)))))</f>
        <v>1</v>
      </c>
      <c r="AJ143" s="173" t="str">
        <f>IF(W143="via USD",IF(S143="EUR",S143&amp;"USD","USD"&amp;S143),IFERROR(VLOOKUP(K143&amp;S143,'FX RATES'!$H$2:$H$20,1,FALSE),S143&amp;K143))</f>
        <v>RUBRUB</v>
      </c>
      <c r="AK143" s="175">
        <f>IF(LEFT(AJ143,3)=RIGHT(AJ143,3),0,IFERROR(INDEX(CLIENTS!$A$1:$O$649,MATCH(P143,CLIENTS!$A$1:$A$649,0),MATCH(AJ143,CLIENTS!$A$1:$O$1,0)),0))</f>
        <v>0</v>
      </c>
      <c r="AL143" s="176"/>
      <c r="AM143" s="177" t="str">
        <f t="shared" si="96"/>
        <v/>
      </c>
      <c r="AN143" s="177" t="str">
        <f t="shared" si="97"/>
        <v>46043RUBRUB</v>
      </c>
      <c r="AO143" s="176"/>
      <c r="AP143" s="178">
        <f>IF(LEFT(AJ143,3)=RIGHT(AJ143,3),1,VLOOKUP(AJ143,'FX RATES'!$H$1:$I$20,2,FALSE))</f>
        <v>1</v>
      </c>
      <c r="AQ143" s="178">
        <f t="shared" si="98"/>
        <v>1</v>
      </c>
      <c r="AR143" s="179">
        <f>-Q143*(1-Z143)/(1+X143)*IF(W143="CLIENT",IF(S143=RIGHT(AJ143,3),1/AM143,AM143),IF(W143="VENDOR",IF(S143=RIGHT(AJ143,3),1/AE143,AE143),AE143^(VLOOKUP(AB143,'FX RATES'!$H$1:$J$26,3,FALSE))/AM143^(VLOOKUP(AJ143,'FX RATES'!$H$1:$J$26,3,FALSE))))</f>
        <v>0</v>
      </c>
      <c r="AS143" s="179">
        <f>-I143*(1+X143)/(1-Z143)*IF(W143="VENDOR",IF(K143=RIGHT(AB143,3),1/AE143,AE143),IF(W143="CLIENT",IF(K143=RIGHT(AB143,3),1/AM143,AM143),AM143^(VLOOKUP(AJ143,'FX RATES'!$H$1:$J$26,3,FALSE))/AE143^(VLOOKUP(AB143,'FX RATES'!$H$1:$J$26,3,FALSE))))</f>
        <v>5000000</v>
      </c>
      <c r="AT143" s="170">
        <f ca="1">IF(AB143&lt;&gt;AJ143,J143/IF(K143=RIGHT(AB143,3),AE143,1/AE143),IF(S143="USD",J143/IF(K143=RIGHT(AB143,3),IF(W143="CLIENT",AM143,AE143),1/IF(W143="CLIENT",AM143,AE143)),J143*VLOOKUP(K143,'FX RATES'!$E$1:$F$10,2,FALSE)))</f>
        <v>-65171.629486252044</v>
      </c>
      <c r="AU143" s="170">
        <f ca="1">IF(AB143&lt;&gt;AJ143,R143/IF(S143=RIGHT(AJ143,3),AM143,1/AM143),IF(K143="USD",R143/IF(S143=RIGHT(AJ143,3),IF(W143="CLIENT",AM143,AE143),1/IF(W143="CLIENT",AM143,AE143)),R143*VLOOKUP(S143,'FX RATES'!$E$1:$F$10,2,FALSE)))</f>
        <v>65171.629486252044</v>
      </c>
      <c r="AV143" s="170">
        <f t="shared" ca="1" si="99"/>
        <v>0</v>
      </c>
      <c r="AW143" s="169"/>
      <c r="AX143" s="170">
        <f t="shared" ca="1" si="100"/>
        <v>0</v>
      </c>
      <c r="AY143" s="170">
        <f t="shared" si="101"/>
        <v>-5000000</v>
      </c>
      <c r="AZ143" s="170" t="str">
        <f t="shared" si="102"/>
        <v>RUB</v>
      </c>
      <c r="BA143" s="542">
        <f>IF(OR(A143="REFUND",A143="CANCELLED"),0,IFERROR((IF(OR(AB143="USDAED",LEFT(AB143,3)=RIGHT(AB143,3)),AI143,AG143)-AE143)*-AY143*VLOOKUP(AB143,'FX RATES'!$H$1:$J$26,3,FALSE),0))</f>
        <v>0</v>
      </c>
      <c r="BB143" s="170" t="str">
        <f t="shared" si="103"/>
        <v>RUB</v>
      </c>
      <c r="BC143" s="542">
        <f t="shared" si="104"/>
        <v>0</v>
      </c>
      <c r="BD143" s="170">
        <f t="shared" si="105"/>
        <v>0</v>
      </c>
      <c r="BE143" s="542">
        <f t="shared" si="106"/>
        <v>0</v>
      </c>
      <c r="BF143" s="170">
        <f t="shared" si="107"/>
        <v>5000000</v>
      </c>
      <c r="BG143" s="170" t="str">
        <f t="shared" si="108"/>
        <v>RUB</v>
      </c>
      <c r="BH143" s="542">
        <f>IF(OR(A143="REFUND",A143="CANCELLED"),0,IFERROR((IF(OR(AJ143="USDAED",LEFT(AJ143,3)=RIGHT(AJ143,3)),AQ143,AO143)-AM143)*-BF143*VLOOKUP(AJ143,'FX RATES'!$H$1:$J$26,3,FALSE),0))</f>
        <v>0</v>
      </c>
      <c r="BI143" s="170" t="str">
        <f t="shared" si="109"/>
        <v>RUB</v>
      </c>
      <c r="BJ143" s="542">
        <f t="shared" si="110"/>
        <v>0</v>
      </c>
      <c r="BK143" s="170">
        <f t="shared" si="111"/>
        <v>0</v>
      </c>
      <c r="BL143" s="542">
        <f t="shared" si="112"/>
        <v>0</v>
      </c>
      <c r="BM143" s="170">
        <f t="shared" si="113"/>
        <v>0</v>
      </c>
      <c r="BN143" s="542">
        <f t="shared" si="114"/>
        <v>0</v>
      </c>
    </row>
    <row r="144" spans="1:66" ht="19.5" customHeight="1">
      <c r="A144" s="167" t="s">
        <v>488</v>
      </c>
      <c r="B144" s="168" t="s">
        <v>52</v>
      </c>
      <c r="C144" s="168" t="s">
        <v>489</v>
      </c>
      <c r="D144" s="168" t="s">
        <v>128</v>
      </c>
      <c r="E144" s="171">
        <v>46043</v>
      </c>
      <c r="F144" s="171"/>
      <c r="G144" s="168" t="s">
        <v>52</v>
      </c>
      <c r="H144" s="181" t="s">
        <v>52</v>
      </c>
      <c r="I144" s="169">
        <v>-50527686.137006499</v>
      </c>
      <c r="J144" s="170">
        <f t="shared" si="92"/>
        <v>-50527686.137006499</v>
      </c>
      <c r="K144" s="168" t="s">
        <v>9</v>
      </c>
      <c r="L144" s="171"/>
      <c r="M144" s="168"/>
      <c r="N144" s="167" t="s">
        <v>371</v>
      </c>
      <c r="O144" s="168" t="s">
        <v>52</v>
      </c>
      <c r="P144" s="168" t="s">
        <v>52</v>
      </c>
      <c r="Q144" s="169"/>
      <c r="R144" s="170">
        <f t="shared" si="93"/>
        <v>651970.1437033097</v>
      </c>
      <c r="S144" s="168" t="s">
        <v>5</v>
      </c>
      <c r="T144" s="171"/>
      <c r="U144" s="168"/>
      <c r="V144" s="167" t="s">
        <v>371</v>
      </c>
      <c r="W144" s="172" t="s">
        <v>382</v>
      </c>
      <c r="X144" s="173">
        <f>IF(Y144="",VLOOKUP(H144,CLIENTS!$A$1:$O$649,5,FALSE),Y144)</f>
        <v>0</v>
      </c>
      <c r="Y144" s="174"/>
      <c r="Z144" s="173">
        <f>IF(AA144="",VLOOKUP(P144,CLIENTS!$A$1:$O$649,5,FALSE),AA144)</f>
        <v>0</v>
      </c>
      <c r="AA144" s="174"/>
      <c r="AB144" s="173" t="str">
        <f>IF(W144="via USD",IF(K144="EUR",K144&amp;"USD","USD"&amp;K144),IFERROR(VLOOKUP(K144&amp;S144,'FX RATES'!$H$2:$H$20,1,FALSE),S144&amp;K144))</f>
        <v>USDRUB</v>
      </c>
      <c r="AC144" s="175">
        <f>IF(LEFT(AB144,3)=RIGHT(AB144,3),0,IFERROR(INDEX(CLIENTS!$A$1:$O$649,MATCH(H144,CLIENTS!$A$1:$A$649,0),MATCH(AB144,CLIENTS!$A$1:$O$1,0)),0))</f>
        <v>0</v>
      </c>
      <c r="AD144" s="176">
        <v>77.5</v>
      </c>
      <c r="AE144" s="177">
        <f t="shared" si="94"/>
        <v>77.5</v>
      </c>
      <c r="AF144" s="177" t="str">
        <f t="shared" si="95"/>
        <v>46043USDRUB</v>
      </c>
      <c r="AG144" s="176">
        <v>77.5</v>
      </c>
      <c r="AH144" s="178">
        <f ca="1">IF(LEFT(AB144,3)=RIGHT(AB144,3),1,VLOOKUP(AB144,'FX RATES'!$H$1:$I$20,2,FALSE))</f>
        <v>76.720500000000001</v>
      </c>
      <c r="AI144" s="178">
        <f>IF(OR(AB144="USDAED",LEFT(AB144,3)=RIGHT(AB144,3),AB144="USDUSDT",AB144="USDTUSD"),AH144,IF(LEFT(AB144)="USD",AG144,IF(RIGHT(AB144,3)="USD",1,IFERROR(VLOOKUP(E144&amp;"USD"&amp;RIGHT(AB144,3),$AF:$AG,2,FALSE),VLOOKUP(E144&amp;"USD"&amp;RIGHT(AJ144,3),$AN:$AO,2,FALSE)))))</f>
        <v>77.5</v>
      </c>
      <c r="AJ144" s="173" t="str">
        <f>IF(W144="via USD",IF(S144="EUR",S144&amp;"USD","USD"&amp;S144),IFERROR(VLOOKUP(K144&amp;S144,'FX RATES'!$H$2:$H$20,1,FALSE),S144&amp;K144))</f>
        <v>USDRUB</v>
      </c>
      <c r="AK144" s="175">
        <f>IF(LEFT(AJ144,3)=RIGHT(AJ144,3),0,IFERROR(INDEX(CLIENTS!$A$1:$O$649,MATCH(P144,CLIENTS!$A$1:$A$649,0),MATCH(AJ144,CLIENTS!$A$1:$O$1,0)),0))</f>
        <v>0</v>
      </c>
      <c r="AL144" s="176"/>
      <c r="AM144" s="177" t="str">
        <f t="shared" si="96"/>
        <v/>
      </c>
      <c r="AN144" s="177" t="str">
        <f t="shared" si="97"/>
        <v>46043USDRUB</v>
      </c>
      <c r="AO144" s="176">
        <v>77.5</v>
      </c>
      <c r="AP144" s="178">
        <f ca="1">IF(LEFT(AJ144,3)=RIGHT(AJ144,3),1,VLOOKUP(AJ144,'FX RATES'!$H$1:$I$20,2,FALSE))</f>
        <v>76.720500000000001</v>
      </c>
      <c r="AQ144" s="178">
        <f t="shared" si="98"/>
        <v>77.7</v>
      </c>
      <c r="AR144" s="179">
        <f>-Q144*(1-Z144)/(1+X144)*IF(W144="CLIENT",IF(S144=RIGHT(AJ144,3),1/AM144,AM144),IF(W144="VENDOR",IF(S144=RIGHT(AJ144,3),1/AE144,AE144),AE144^(VLOOKUP(AB144,'FX RATES'!$H$1:$J$26,3,FALSE))/AM144^(VLOOKUP(AJ144,'FX RATES'!$H$1:$J$26,3,FALSE))))</f>
        <v>0</v>
      </c>
      <c r="AS144" s="179">
        <f>-I144*(1+X144)/(1-Z144)*IF(W144="VENDOR",IF(K144=RIGHT(AB144,3),1/AE144,AE144),IF(W144="CLIENT",IF(K144=RIGHT(AB144,3),1/AM144,AM144),AM144^(VLOOKUP(AJ144,'FX RATES'!$H$1:$J$26,3,FALSE))/AE144^(VLOOKUP(AB144,'FX RATES'!$H$1:$J$26,3,FALSE))))</f>
        <v>651970.1437033097</v>
      </c>
      <c r="AT144" s="170">
        <f>IF(AB144&lt;&gt;AJ144,J144/IF(K144=RIGHT(AB144,3),AE144,1/AE144),IF(S144="USD",J144/IF(K144=RIGHT(AB144,3),IF(W144="CLIENT",AM144,AE144),1/IF(W144="CLIENT",AM144,AE144)),J144*VLOOKUP(K144,'FX RATES'!$E$1:$F$10,2,FALSE)))</f>
        <v>-651970.1437033097</v>
      </c>
      <c r="AU144" s="170">
        <f>IF(AB144&lt;&gt;AJ144,R144/IF(S144=RIGHT(AJ144,3),AM144,1/AM144),IF(K144="USD",R144/IF(S144=RIGHT(AJ144,3),IF(W144="CLIENT",AM144,AE144),1/IF(W144="CLIENT",AM144,AE144)),R144*VLOOKUP(S144,'FX RATES'!$E$1:$F$10,2,FALSE)))</f>
        <v>651970.1437033097</v>
      </c>
      <c r="AV144" s="170">
        <f t="shared" si="99"/>
        <v>0</v>
      </c>
      <c r="AW144" s="169"/>
      <c r="AX144" s="170">
        <f t="shared" si="100"/>
        <v>0</v>
      </c>
      <c r="AY144" s="170">
        <f t="shared" si="101"/>
        <v>-651970.1437033097</v>
      </c>
      <c r="AZ144" s="170" t="str">
        <f t="shared" si="102"/>
        <v>USD</v>
      </c>
      <c r="BA144" s="542">
        <f>IF(OR(A144="REFUND",A144="CANCELLED"),0,IFERROR((IF(OR(AB144="USDAED",LEFT(AB144,3)=RIGHT(AB144,3)),AI144,AG144)-AE144)*-AY144*VLOOKUP(AB144,'FX RATES'!$H$1:$J$26,3,FALSE),0))</f>
        <v>0</v>
      </c>
      <c r="BB144" s="170" t="str">
        <f t="shared" si="103"/>
        <v>RUB</v>
      </c>
      <c r="BC144" s="542">
        <f t="shared" si="104"/>
        <v>0</v>
      </c>
      <c r="BD144" s="170">
        <f t="shared" si="105"/>
        <v>0</v>
      </c>
      <c r="BE144" s="542">
        <f t="shared" si="106"/>
        <v>0</v>
      </c>
      <c r="BF144" s="170">
        <f t="shared" si="107"/>
        <v>651970.1437033097</v>
      </c>
      <c r="BG144" s="170" t="str">
        <f t="shared" si="108"/>
        <v>USD</v>
      </c>
      <c r="BH144" s="542">
        <f>IF(OR(A144="REFUND",A144="CANCELLED"),0,IFERROR((IF(OR(AJ144="USDAED",LEFT(AJ144,3)=RIGHT(AJ144,3)),AQ144,AO144)-AM144)*-BF144*VLOOKUP(AJ144,'FX RATES'!$H$1:$J$26,3,FALSE),0))</f>
        <v>0</v>
      </c>
      <c r="BI144" s="170" t="str">
        <f t="shared" si="109"/>
        <v>RUB</v>
      </c>
      <c r="BJ144" s="542">
        <f t="shared" si="110"/>
        <v>0</v>
      </c>
      <c r="BK144" s="170">
        <f t="shared" si="111"/>
        <v>0</v>
      </c>
      <c r="BL144" s="542">
        <f t="shared" si="112"/>
        <v>0</v>
      </c>
      <c r="BM144" s="170">
        <f t="shared" si="113"/>
        <v>0</v>
      </c>
      <c r="BN144" s="542">
        <f t="shared" si="114"/>
        <v>0</v>
      </c>
    </row>
    <row r="145" spans="1:66" ht="19.5" customHeight="1">
      <c r="A145" s="167" t="s">
        <v>366</v>
      </c>
      <c r="B145" s="168" t="s">
        <v>55</v>
      </c>
      <c r="C145" s="168" t="s">
        <v>383</v>
      </c>
      <c r="D145" s="168" t="s">
        <v>121</v>
      </c>
      <c r="E145" s="171">
        <v>46043</v>
      </c>
      <c r="F145" s="171"/>
      <c r="G145" s="168" t="s">
        <v>55</v>
      </c>
      <c r="H145" s="168" t="s">
        <v>493</v>
      </c>
      <c r="I145" s="169">
        <f>-165539335.408651-567952.7</f>
        <v>-166107288.10865098</v>
      </c>
      <c r="J145" s="170">
        <f t="shared" si="92"/>
        <v>-166107288.10865098</v>
      </c>
      <c r="K145" s="168" t="s">
        <v>9</v>
      </c>
      <c r="L145" s="168" t="s">
        <v>454</v>
      </c>
      <c r="M145" s="168" t="s">
        <v>439</v>
      </c>
      <c r="N145" s="167" t="s">
        <v>371</v>
      </c>
      <c r="O145" s="168" t="s">
        <v>34</v>
      </c>
      <c r="P145" s="349" t="s">
        <v>494</v>
      </c>
      <c r="Q145" s="169">
        <v>7800000</v>
      </c>
      <c r="R145" s="170">
        <f t="shared" si="93"/>
        <v>7800000</v>
      </c>
      <c r="S145" s="168" t="s">
        <v>8</v>
      </c>
      <c r="T145" s="171" t="s">
        <v>495</v>
      </c>
      <c r="U145" s="168" t="s">
        <v>17</v>
      </c>
      <c r="V145" s="167" t="s">
        <v>371</v>
      </c>
      <c r="W145" s="172" t="s">
        <v>375</v>
      </c>
      <c r="X145" s="173">
        <f>IF(Y145="",VLOOKUP(H145,CLIENTS!$A$1:$O$649,5,FALSE),Y145)</f>
        <v>0</v>
      </c>
      <c r="Y145" s="174">
        <v>0</v>
      </c>
      <c r="Z145" s="173">
        <f>IF(AA145="",VLOOKUP(P145,CLIENTS!$A$1:$O$649,5,FALSE),AA145)</f>
        <v>-1.5000004913596765E-3</v>
      </c>
      <c r="AA145" s="174">
        <v>-1.5000004913596765E-3</v>
      </c>
      <c r="AB145" s="173" t="str">
        <f>IF(W145="via USD",IF(K145="EUR",K145&amp;"USD","USD"&amp;K145),IFERROR(VLOOKUP(K145&amp;S145,'FX RATES'!$H$2:$H$20,1,FALSE),S145&amp;K145))</f>
        <v>USDRUB</v>
      </c>
      <c r="AC145" s="175">
        <f>IF(LEFT(AB145,3)=RIGHT(AB145,3),0,IFERROR(INDEX(CLIENTS!$A$1:$O$649,MATCH(H145,CLIENTS!$A$1:$A$649,0),MATCH(AB145,CLIENTS!$A$1:$O$1,0)),0))</f>
        <v>0</v>
      </c>
      <c r="AD145" s="176">
        <v>77.824700000000007</v>
      </c>
      <c r="AE145" s="177">
        <f t="shared" si="94"/>
        <v>77.824700000000007</v>
      </c>
      <c r="AF145" s="177" t="str">
        <f t="shared" si="95"/>
        <v>46043USDRUB</v>
      </c>
      <c r="AG145" s="176">
        <v>77.5</v>
      </c>
      <c r="AH145" s="178">
        <f ca="1">IF(LEFT(AB145,3)=RIGHT(AB145,3),1,VLOOKUP(AB145,'FX RATES'!$H$1:$I$20,2,FALSE))</f>
        <v>76.720500000000001</v>
      </c>
      <c r="AI145" s="178">
        <f t="shared" ref="AI145:AI151" si="115">IF(OR(AB145="USDAED",LEFT(AB145,3)=RIGHT(AB145,3)),AH145,IF(LEFT(AB145)="USD",AG145,IF(RIGHT(AB145,3)="USD",1,IFERROR(VLOOKUP(E145&amp;"USD"&amp;RIGHT(AB145,3),$AF:$AG,2,FALSE),VLOOKUP(E145&amp;"USD"&amp;RIGHT(AJ145,3),$AN:$AO,2,FALSE)))))</f>
        <v>77.5</v>
      </c>
      <c r="AJ145" s="173" t="str">
        <f>IF(W145="via USD",IF(S145="EUR",S145&amp;"USD","USD"&amp;S145),IFERROR(VLOOKUP(K145&amp;S145,'FX RATES'!$H$2:$H$20,1,FALSE),S145&amp;K145))</f>
        <v>USDAED</v>
      </c>
      <c r="AK145" s="175">
        <f>IF(LEFT(AJ145,3)=RIGHT(AJ145,3),0,IFERROR(INDEX(CLIENTS!$A$1:$O$649,MATCH(P145,CLIENTS!$A$1:$A$649,0),MATCH(AJ145,CLIENTS!$A$1:$O$1,0)),0))</f>
        <v>0</v>
      </c>
      <c r="AL145" s="176"/>
      <c r="AM145" s="177">
        <f t="shared" si="96"/>
        <v>3.6724999999999999</v>
      </c>
      <c r="AN145" s="177" t="str">
        <f t="shared" si="97"/>
        <v>46043USDAED</v>
      </c>
      <c r="AO145" s="176"/>
      <c r="AP145" s="178">
        <f>IF(LEFT(AJ145,3)=RIGHT(AJ145,3),1,VLOOKUP(AJ145,'FX RATES'!$H$1:$I$20,2,FALSE))</f>
        <v>3.6724999999999999</v>
      </c>
      <c r="AQ145" s="178">
        <f t="shared" si="98"/>
        <v>3.6724999999999999</v>
      </c>
      <c r="AR145" s="179">
        <f>-Q145*(1-Z145)/(1+X145)*IF(W145="CLIENT",IF(S145=RIGHT(AJ145,3),1/AM145,AM145),IF(W145="VENDOR",IF(S145=RIGHT(AJ145,3),1/AE145,AE145),AE145^(VLOOKUP(AB145,'FX RATES'!$H$1:$J$26,3,FALSE))/AM145^(VLOOKUP(AJ145,'FX RATES'!$H$1:$J$26,3,FALSE))))</f>
        <v>-165539335.40865117</v>
      </c>
      <c r="AS145" s="179">
        <f>-I145*(1+X145)/(1-Z145)*IF(W145="VENDOR",IF(K145=RIGHT(AB145,3),1/AE145,AE145),IF(W145="CLIENT",IF(K145=RIGHT(AB145,3),1/AM145,AM145),AM145^(VLOOKUP(AJ145,'FX RATES'!$H$1:$J$26,3,FALSE))/AE145^(VLOOKUP(AB145,'FX RATES'!$H$1:$J$26,3,FALSE))))</f>
        <v>7826761.1987752784</v>
      </c>
      <c r="AT145" s="170">
        <f>IF(AB145&lt;&gt;AJ145,J145/IF(K145=RIGHT(AB145,3),AE145,1/AE145),IF(S145="USD",J145/IF(K145=RIGHT(AB145,3),IF(W145="CLIENT",AM145,AE145),1/IF(W145="CLIENT",AM145,AE145)),J145*VLOOKUP(K145,'FX RATES'!$E$1:$F$10,2,FALSE)))</f>
        <v>-2134377.4933748664</v>
      </c>
      <c r="AU145" s="170">
        <f>IF(AB145&lt;&gt;AJ145,R145/IF(S145=RIGHT(AJ145,3),AM145,1/AM145),IF(K145="USD",R145/IF(S145=RIGHT(AJ145,3),IF(W145="CLIENT",AM145,AE145),1/IF(W145="CLIENT",AM145,AE145)),R145*VLOOKUP(S145,'FX RATES'!$E$1:$F$10,2,FALSE)))</f>
        <v>2123893.8053097348</v>
      </c>
      <c r="AV145" s="170">
        <f t="shared" si="99"/>
        <v>-10483.688065131661</v>
      </c>
      <c r="AW145" s="169"/>
      <c r="AX145" s="170">
        <f t="shared" si="100"/>
        <v>-3185.8417515603751</v>
      </c>
      <c r="AY145" s="170">
        <f t="shared" si="101"/>
        <v>-2134377.4933748664</v>
      </c>
      <c r="AZ145" s="170" t="str">
        <f t="shared" si="102"/>
        <v>USD</v>
      </c>
      <c r="BA145" s="542">
        <f>IF(OR(A145="REFUND",A145="CANCELLED"),0,IFERROR((IF(OR(AB145="USDAED",LEFT(AB145,3)=RIGHT(AB145,3)),AI145,AG145)-AE145)*-AY145*VLOOKUP(AB145,'FX RATES'!$H$1:$J$26,3,FALSE),0))</f>
        <v>-693032.37209883425</v>
      </c>
      <c r="BB145" s="170" t="str">
        <f t="shared" si="103"/>
        <v>RUB</v>
      </c>
      <c r="BC145" s="542">
        <f t="shared" si="104"/>
        <v>-8942.3531883720552</v>
      </c>
      <c r="BD145" s="170">
        <f t="shared" si="105"/>
        <v>0</v>
      </c>
      <c r="BE145" s="542">
        <f t="shared" si="106"/>
        <v>-8942.3531883720552</v>
      </c>
      <c r="BF145" s="170">
        <f t="shared" si="107"/>
        <v>2123893.8053097348</v>
      </c>
      <c r="BG145" s="170" t="str">
        <f t="shared" si="108"/>
        <v>USD</v>
      </c>
      <c r="BH145" s="542">
        <f>IF(OR(A145="REFUND",A145="CANCELLED"),0,IFERROR((IF(OR(AJ145="USDAED",LEFT(AJ145,3)=RIGHT(AJ145,3)),AQ145,AO145)-AM145)*-BF145*VLOOKUP(AJ145,'FX RATES'!$H$1:$J$26,3,FALSE),0))</f>
        <v>0</v>
      </c>
      <c r="BI145" s="170" t="str">
        <f t="shared" si="109"/>
        <v>AED</v>
      </c>
      <c r="BJ145" s="542">
        <f t="shared" si="110"/>
        <v>0</v>
      </c>
      <c r="BK145" s="170">
        <f t="shared" si="111"/>
        <v>0</v>
      </c>
      <c r="BL145" s="542">
        <f t="shared" si="112"/>
        <v>0</v>
      </c>
      <c r="BM145" s="170">
        <f t="shared" si="113"/>
        <v>0</v>
      </c>
      <c r="BN145" s="542">
        <f t="shared" si="114"/>
        <v>-8942.3531883720552</v>
      </c>
    </row>
    <row r="146" spans="1:66" ht="19.5" customHeight="1">
      <c r="A146" s="167" t="s">
        <v>366</v>
      </c>
      <c r="B146" s="168" t="s">
        <v>55</v>
      </c>
      <c r="C146" s="168" t="s">
        <v>383</v>
      </c>
      <c r="D146" s="168" t="s">
        <v>121</v>
      </c>
      <c r="E146" s="171">
        <v>46043</v>
      </c>
      <c r="F146" s="171"/>
      <c r="G146" s="168" t="s">
        <v>55</v>
      </c>
      <c r="H146" s="168" t="s">
        <v>493</v>
      </c>
      <c r="I146" s="169"/>
      <c r="J146" s="170">
        <f t="shared" si="92"/>
        <v>-201618421.33104953</v>
      </c>
      <c r="K146" s="168" t="s">
        <v>9</v>
      </c>
      <c r="L146" s="168" t="s">
        <v>454</v>
      </c>
      <c r="M146" s="168" t="s">
        <v>439</v>
      </c>
      <c r="N146" s="167" t="s">
        <v>371</v>
      </c>
      <c r="O146" s="168" t="s">
        <v>34</v>
      </c>
      <c r="P146" s="349" t="s">
        <v>494</v>
      </c>
      <c r="Q146" s="169">
        <v>9500000</v>
      </c>
      <c r="R146" s="170">
        <f t="shared" si="93"/>
        <v>9500000</v>
      </c>
      <c r="S146" s="168" t="s">
        <v>8</v>
      </c>
      <c r="T146" s="171" t="s">
        <v>495</v>
      </c>
      <c r="U146" s="168" t="s">
        <v>20</v>
      </c>
      <c r="V146" s="167" t="s">
        <v>371</v>
      </c>
      <c r="W146" s="172" t="s">
        <v>375</v>
      </c>
      <c r="X146" s="173">
        <f>IF(Y146="",VLOOKUP(H146,CLIENTS!$A$1:$O$649,5,FALSE),Y146)</f>
        <v>0</v>
      </c>
      <c r="Y146" s="174">
        <v>0</v>
      </c>
      <c r="Z146" s="173">
        <f>IF(AA146="",VLOOKUP(P146,CLIENTS!$A$1:$O$649,5,FALSE),AA146)</f>
        <v>-1.5000004913596765E-3</v>
      </c>
      <c r="AA146" s="174">
        <v>-1.5000004913596765E-3</v>
      </c>
      <c r="AB146" s="173" t="str">
        <f>IF(W146="via USD",IF(K146="EUR",K146&amp;"USD","USD"&amp;K146),IFERROR(VLOOKUP(K146&amp;S146,'FX RATES'!$H$2:$H$20,1,FALSE),S146&amp;K146))</f>
        <v>USDRUB</v>
      </c>
      <c r="AC146" s="175">
        <f>IF(LEFT(AB146,3)=RIGHT(AB146,3),0,IFERROR(INDEX(CLIENTS!$A$1:$O$649,MATCH(H146,CLIENTS!$A$1:$A$649,0),MATCH(AB146,CLIENTS!$A$1:$O$1,0)),0))</f>
        <v>0</v>
      </c>
      <c r="AD146" s="176">
        <v>77.824700000000007</v>
      </c>
      <c r="AE146" s="177">
        <f t="shared" si="94"/>
        <v>77.824700000000007</v>
      </c>
      <c r="AF146" s="177" t="str">
        <f t="shared" si="95"/>
        <v>46043USDRUB</v>
      </c>
      <c r="AG146" s="176">
        <v>77.5</v>
      </c>
      <c r="AH146" s="178">
        <f ca="1">IF(LEFT(AB146,3)=RIGHT(AB146,3),1,VLOOKUP(AB146,'FX RATES'!$H$1:$I$20,2,FALSE))</f>
        <v>76.720500000000001</v>
      </c>
      <c r="AI146" s="178">
        <f t="shared" si="115"/>
        <v>77.5</v>
      </c>
      <c r="AJ146" s="173" t="str">
        <f>IF(W146="via USD",IF(S146="EUR",S146&amp;"USD","USD"&amp;S146),IFERROR(VLOOKUP(K146&amp;S146,'FX RATES'!$H$2:$H$20,1,FALSE),S146&amp;K146))</f>
        <v>USDAED</v>
      </c>
      <c r="AK146" s="175">
        <f>IF(LEFT(AJ146,3)=RIGHT(AJ146,3),0,IFERROR(INDEX(CLIENTS!$A$1:$O$649,MATCH(P146,CLIENTS!$A$1:$A$649,0),MATCH(AJ146,CLIENTS!$A$1:$O$1,0)),0))</f>
        <v>0</v>
      </c>
      <c r="AL146" s="176"/>
      <c r="AM146" s="177">
        <f t="shared" si="96"/>
        <v>3.6724999999999999</v>
      </c>
      <c r="AN146" s="177" t="str">
        <f t="shared" si="97"/>
        <v>46043USDAED</v>
      </c>
      <c r="AO146" s="176"/>
      <c r="AP146" s="178">
        <f>IF(LEFT(AJ146,3)=RIGHT(AJ146,3),1,VLOOKUP(AJ146,'FX RATES'!$H$1:$I$20,2,FALSE))</f>
        <v>3.6724999999999999</v>
      </c>
      <c r="AQ146" s="178">
        <f t="shared" si="98"/>
        <v>3.6724999999999999</v>
      </c>
      <c r="AR146" s="179">
        <f>-Q146*(1-Z146)/(1+X146)*IF(W146="CLIENT",IF(S146=RIGHT(AJ146,3),1/AM146,AM146),IF(W146="VENDOR",IF(S146=RIGHT(AJ146,3),1/AE146,AE146),AE146^(VLOOKUP(AB146,'FX RATES'!$H$1:$J$26,3,FALSE))/AM146^(VLOOKUP(AJ146,'FX RATES'!$H$1:$J$26,3,FALSE))))</f>
        <v>-201618421.33104953</v>
      </c>
      <c r="AS146" s="179">
        <f>-I146*(1+X146)/(1-Z146)*IF(W146="VENDOR",IF(K146=RIGHT(AB146,3),1/AE146,AE146),IF(W146="CLIENT",IF(K146=RIGHT(AB146,3),1/AM146,AM146),AM146^(VLOOKUP(AJ146,'FX RATES'!$H$1:$J$26,3,FALSE))/AE146^(VLOOKUP(AB146,'FX RATES'!$H$1:$J$26,3,FALSE))))</f>
        <v>0</v>
      </c>
      <c r="AT146" s="170">
        <f>IF(AB146&lt;&gt;AJ146,J146/IF(K146=RIGHT(AB146,3),AE146,1/AE146),IF(S146="USD",J146/IF(K146=RIGHT(AB146,3),IF(W146="CLIENT",AM146,AE146),1/IF(W146="CLIENT",AM146,AE146)),J146*VLOOKUP(K146,'FX RATES'!$E$1:$F$10,2,FALSE)))</f>
        <v>-2590673.9291131161</v>
      </c>
      <c r="AU146" s="170">
        <f>IF(AB146&lt;&gt;AJ146,R146/IF(S146=RIGHT(AJ146,3),AM146,1/AM146),IF(K146="USD",R146/IF(S146=RIGHT(AJ146,3),IF(W146="CLIENT",AM146,AE146),1/IF(W146="CLIENT",AM146,AE146)),R146*VLOOKUP(S146,'FX RATES'!$E$1:$F$10,2,FALSE)))</f>
        <v>2586793.7372362153</v>
      </c>
      <c r="AV146" s="170">
        <f t="shared" si="99"/>
        <v>-3880.191876900848</v>
      </c>
      <c r="AW146" s="169"/>
      <c r="AX146" s="170">
        <f t="shared" si="100"/>
        <v>-3880.1918769004569</v>
      </c>
      <c r="AY146" s="170">
        <f t="shared" si="101"/>
        <v>-2590673.9291131161</v>
      </c>
      <c r="AZ146" s="170" t="str">
        <f t="shared" si="102"/>
        <v>USD</v>
      </c>
      <c r="BA146" s="542">
        <f>IF(OR(A146="REFUND",A146="CANCELLED"),0,IFERROR((IF(OR(AB146="USDAED",LEFT(AB146,3)=RIGHT(AB146,3)),AI146,AG146)-AE146)*-AY146*VLOOKUP(AB146,'FX RATES'!$H$1:$J$26,3,FALSE),0))</f>
        <v>-841191.8247830472</v>
      </c>
      <c r="BB146" s="170" t="str">
        <f t="shared" si="103"/>
        <v>RUB</v>
      </c>
      <c r="BC146" s="542">
        <f t="shared" si="104"/>
        <v>-10854.088061716739</v>
      </c>
      <c r="BD146" s="170">
        <f t="shared" si="105"/>
        <v>0</v>
      </c>
      <c r="BE146" s="542">
        <f t="shared" si="106"/>
        <v>-10854.088061716739</v>
      </c>
      <c r="BF146" s="170">
        <f t="shared" si="107"/>
        <v>2586793.7372362153</v>
      </c>
      <c r="BG146" s="170" t="str">
        <f t="shared" si="108"/>
        <v>USD</v>
      </c>
      <c r="BH146" s="542">
        <f>IF(OR(A146="REFUND",A146="CANCELLED"),0,IFERROR((IF(OR(AJ146="USDAED",LEFT(AJ146,3)=RIGHT(AJ146,3)),AQ146,AO146)-AM146)*-BF146*VLOOKUP(AJ146,'FX RATES'!$H$1:$J$26,3,FALSE),0))</f>
        <v>0</v>
      </c>
      <c r="BI146" s="170" t="str">
        <f t="shared" si="109"/>
        <v>AED</v>
      </c>
      <c r="BJ146" s="542">
        <f t="shared" si="110"/>
        <v>0</v>
      </c>
      <c r="BK146" s="170">
        <f t="shared" si="111"/>
        <v>0</v>
      </c>
      <c r="BL146" s="542">
        <f t="shared" si="112"/>
        <v>0</v>
      </c>
      <c r="BM146" s="170">
        <f t="shared" si="113"/>
        <v>0</v>
      </c>
      <c r="BN146" s="542">
        <f t="shared" si="114"/>
        <v>-10854.088061716739</v>
      </c>
    </row>
    <row r="147" spans="1:66" ht="19.5" customHeight="1">
      <c r="A147" s="167" t="s">
        <v>366</v>
      </c>
      <c r="B147" s="168" t="s">
        <v>55</v>
      </c>
      <c r="C147" s="168" t="s">
        <v>383</v>
      </c>
      <c r="D147" s="168" t="s">
        <v>121</v>
      </c>
      <c r="E147" s="171">
        <v>46043</v>
      </c>
      <c r="F147" s="171"/>
      <c r="G147" s="168" t="s">
        <v>55</v>
      </c>
      <c r="H147" s="168" t="s">
        <v>493</v>
      </c>
      <c r="I147" s="169"/>
      <c r="J147" s="170">
        <f t="shared" si="92"/>
        <v>-201646869.6902993</v>
      </c>
      <c r="K147" s="168" t="s">
        <v>9</v>
      </c>
      <c r="L147" s="168" t="s">
        <v>454</v>
      </c>
      <c r="M147" s="168" t="s">
        <v>439</v>
      </c>
      <c r="N147" s="167" t="s">
        <v>371</v>
      </c>
      <c r="O147" s="168" t="s">
        <v>55</v>
      </c>
      <c r="P147" s="349" t="s">
        <v>494</v>
      </c>
      <c r="Q147" s="169">
        <f>26801340.45-Q145-Q146</f>
        <v>9501340.4499999993</v>
      </c>
      <c r="R147" s="170">
        <f t="shared" si="93"/>
        <v>9501340.4499999993</v>
      </c>
      <c r="S147" s="168" t="s">
        <v>8</v>
      </c>
      <c r="T147" s="171" t="s">
        <v>495</v>
      </c>
      <c r="U147" s="168" t="s">
        <v>17</v>
      </c>
      <c r="V147" s="167" t="s">
        <v>371</v>
      </c>
      <c r="W147" s="172" t="s">
        <v>375</v>
      </c>
      <c r="X147" s="173">
        <f>IF(Y147="",VLOOKUP(H147,CLIENTS!$A$1:$O$649,5,FALSE),Y147)</f>
        <v>0</v>
      </c>
      <c r="Y147" s="174">
        <v>0</v>
      </c>
      <c r="Z147" s="173">
        <f>IF(AA147="",VLOOKUP(P147,CLIENTS!$A$1:$O$649,5,FALSE),AA147)</f>
        <v>-1.5000004913596765E-3</v>
      </c>
      <c r="AA147" s="174">
        <v>-1.5000004913596765E-3</v>
      </c>
      <c r="AB147" s="173" t="str">
        <f>IF(W147="via USD",IF(K147="EUR",K147&amp;"USD","USD"&amp;K147),IFERROR(VLOOKUP(K147&amp;S147,'FX RATES'!$H$2:$H$20,1,FALSE),S147&amp;K147))</f>
        <v>USDRUB</v>
      </c>
      <c r="AC147" s="175">
        <f>IF(LEFT(AB147,3)=RIGHT(AB147,3),0,IFERROR(INDEX(CLIENTS!$A$1:$O$649,MATCH(H147,CLIENTS!$A$1:$A$649,0),MATCH(AB147,CLIENTS!$A$1:$O$1,0)),0))</f>
        <v>0</v>
      </c>
      <c r="AD147" s="176">
        <v>77.824700000000007</v>
      </c>
      <c r="AE147" s="177">
        <f t="shared" si="94"/>
        <v>77.824700000000007</v>
      </c>
      <c r="AF147" s="177" t="str">
        <f t="shared" si="95"/>
        <v>46043USDRUB</v>
      </c>
      <c r="AG147" s="176">
        <v>77.5</v>
      </c>
      <c r="AH147" s="178">
        <f ca="1">IF(LEFT(AB147,3)=RIGHT(AB147,3),1,VLOOKUP(AB147,'FX RATES'!$H$1:$I$20,2,FALSE))</f>
        <v>76.720500000000001</v>
      </c>
      <c r="AI147" s="178">
        <f t="shared" si="115"/>
        <v>77.5</v>
      </c>
      <c r="AJ147" s="173" t="str">
        <f>IF(W147="via USD",IF(S147="EUR",S147&amp;"USD","USD"&amp;S147),IFERROR(VLOOKUP(K147&amp;S147,'FX RATES'!$H$2:$H$20,1,FALSE),S147&amp;K147))</f>
        <v>USDAED</v>
      </c>
      <c r="AK147" s="175">
        <f>IF(LEFT(AJ147,3)=RIGHT(AJ147,3),0,IFERROR(INDEX(CLIENTS!$A$1:$O$649,MATCH(P147,CLIENTS!$A$1:$A$649,0),MATCH(AJ147,CLIENTS!$A$1:$O$1,0)),0))</f>
        <v>0</v>
      </c>
      <c r="AL147" s="176"/>
      <c r="AM147" s="177">
        <f t="shared" si="96"/>
        <v>3.6724999999999999</v>
      </c>
      <c r="AN147" s="177" t="str">
        <f t="shared" si="97"/>
        <v>46043USDAED</v>
      </c>
      <c r="AO147" s="176"/>
      <c r="AP147" s="178">
        <f>IF(LEFT(AJ147,3)=RIGHT(AJ147,3),1,VLOOKUP(AJ147,'FX RATES'!$H$1:$I$20,2,FALSE))</f>
        <v>3.6724999999999999</v>
      </c>
      <c r="AQ147" s="178">
        <f t="shared" si="98"/>
        <v>3.6724999999999999</v>
      </c>
      <c r="AR147" s="179">
        <f>-Q147*(1-Z147)/(1+X147)*IF(W147="CLIENT",IF(S147=RIGHT(AJ147,3),1/AM147,AM147),IF(W147="VENDOR",IF(S147=RIGHT(AJ147,3),1/AE147,AE147),AE147^(VLOOKUP(AB147,'FX RATES'!$H$1:$J$26,3,FALSE))/AM147^(VLOOKUP(AJ147,'FX RATES'!$H$1:$J$26,3,FALSE))))</f>
        <v>-201646869.6902993</v>
      </c>
      <c r="AS147" s="179">
        <f>-I147*(1+X147)/(1-Z147)*IF(W147="VENDOR",IF(K147=RIGHT(AB147,3),1/AE147,AE147),IF(W147="CLIENT",IF(K147=RIGHT(AB147,3),1/AM147,AM147),AM147^(VLOOKUP(AJ147,'FX RATES'!$H$1:$J$26,3,FALSE))/AE147^(VLOOKUP(AB147,'FX RATES'!$H$1:$J$26,3,FALSE))))</f>
        <v>0</v>
      </c>
      <c r="AT147" s="170">
        <f>IF(AB147&lt;&gt;AJ147,J147/IF(K147=RIGHT(AB147,3),AE147,1/AE147),IF(S147="USD",J147/IF(K147=RIGHT(AB147,3),IF(W147="CLIENT",AM147,AE147),1/IF(W147="CLIENT",AM147,AE147)),J147*VLOOKUP(K147,'FX RATES'!$E$1:$F$10,2,FALSE)))</f>
        <v>-2591039.4732045131</v>
      </c>
      <c r="AU147" s="170">
        <f>IF(AB147&lt;&gt;AJ147,R147/IF(S147=RIGHT(AJ147,3),AM147,1/AM147),IF(K147="USD",R147/IF(S147=RIGHT(AJ147,3),IF(W147="CLIENT",AM147,AE147),1/IF(W147="CLIENT",AM147,AE147)),R147*VLOOKUP(S147,'FX RATES'!$E$1:$F$10,2,FALSE)))</f>
        <v>2587158.7338325391</v>
      </c>
      <c r="AV147" s="170">
        <f t="shared" si="99"/>
        <v>-3880.7393719740212</v>
      </c>
      <c r="AW147" s="169"/>
      <c r="AX147" s="170">
        <f t="shared" si="100"/>
        <v>-3880.7393719742872</v>
      </c>
      <c r="AY147" s="170">
        <f t="shared" si="101"/>
        <v>-2591039.4732045131</v>
      </c>
      <c r="AZ147" s="170" t="str">
        <f t="shared" si="102"/>
        <v>USD</v>
      </c>
      <c r="BA147" s="542">
        <f>IF(OR(A147="REFUND",A147="CANCELLED"),0,IFERROR((IF(OR(AB147="USDAED",LEFT(AB147,3)=RIGHT(AB147,3)),AI147,AG147)-AE147)*-AY147*VLOOKUP(AB147,'FX RATES'!$H$1:$J$26,3,FALSE),0))</f>
        <v>-841310.51694952382</v>
      </c>
      <c r="BB147" s="170" t="str">
        <f t="shared" si="103"/>
        <v>RUB</v>
      </c>
      <c r="BC147" s="542">
        <f t="shared" si="104"/>
        <v>-10855.619573542243</v>
      </c>
      <c r="BD147" s="170">
        <f t="shared" si="105"/>
        <v>0</v>
      </c>
      <c r="BE147" s="542">
        <f t="shared" si="106"/>
        <v>-10855.619573542243</v>
      </c>
      <c r="BF147" s="170">
        <f t="shared" si="107"/>
        <v>2587158.7338325391</v>
      </c>
      <c r="BG147" s="170" t="str">
        <f t="shared" si="108"/>
        <v>USD</v>
      </c>
      <c r="BH147" s="542">
        <f>IF(OR(A147="REFUND",A147="CANCELLED"),0,IFERROR((IF(OR(AJ147="USDAED",LEFT(AJ147,3)=RIGHT(AJ147,3)),AQ147,AO147)-AM147)*-BF147*VLOOKUP(AJ147,'FX RATES'!$H$1:$J$26,3,FALSE),0))</f>
        <v>0</v>
      </c>
      <c r="BI147" s="170" t="str">
        <f t="shared" si="109"/>
        <v>AED</v>
      </c>
      <c r="BJ147" s="542">
        <f t="shared" si="110"/>
        <v>0</v>
      </c>
      <c r="BK147" s="170">
        <f t="shared" si="111"/>
        <v>0</v>
      </c>
      <c r="BL147" s="542">
        <f t="shared" si="112"/>
        <v>0</v>
      </c>
      <c r="BM147" s="170">
        <f t="shared" si="113"/>
        <v>0</v>
      </c>
      <c r="BN147" s="542">
        <f t="shared" si="114"/>
        <v>-10855.619573542243</v>
      </c>
    </row>
    <row r="148" spans="1:66" ht="19.5" customHeight="1">
      <c r="A148" s="167" t="s">
        <v>366</v>
      </c>
      <c r="B148" s="168" t="s">
        <v>0</v>
      </c>
      <c r="C148" s="168" t="s">
        <v>383</v>
      </c>
      <c r="D148" s="168" t="s">
        <v>148</v>
      </c>
      <c r="E148" s="171">
        <v>46043</v>
      </c>
      <c r="F148" s="171"/>
      <c r="G148" s="168" t="s">
        <v>52</v>
      </c>
      <c r="H148" s="181" t="s">
        <v>496</v>
      </c>
      <c r="I148" s="169">
        <v>-2919630.98</v>
      </c>
      <c r="J148" s="170">
        <f t="shared" si="92"/>
        <v>-2919630.98</v>
      </c>
      <c r="K148" s="168" t="s">
        <v>9</v>
      </c>
      <c r="L148" s="171" t="s">
        <v>497</v>
      </c>
      <c r="M148" s="168" t="s">
        <v>25</v>
      </c>
      <c r="N148" s="167" t="s">
        <v>371</v>
      </c>
      <c r="O148" s="168" t="s">
        <v>0</v>
      </c>
      <c r="P148" s="168" t="s">
        <v>496</v>
      </c>
      <c r="Q148" s="169"/>
      <c r="R148" s="170">
        <f t="shared" si="93"/>
        <v>137655.55093580828</v>
      </c>
      <c r="S148" s="168" t="s">
        <v>8</v>
      </c>
      <c r="T148" s="171" t="s">
        <v>18</v>
      </c>
      <c r="U148" s="168" t="s">
        <v>14</v>
      </c>
      <c r="V148" s="167" t="s">
        <v>371</v>
      </c>
      <c r="W148" s="172" t="s">
        <v>375</v>
      </c>
      <c r="X148" s="173">
        <f>IF(Y148="",VLOOKUP(H148,CLIENTS!$A$1:$O$649,5,FALSE),Y148)</f>
        <v>0</v>
      </c>
      <c r="Y148" s="174"/>
      <c r="Z148" s="173">
        <f>IF(AA148="",VLOOKUP(P148,CLIENTS!$A$1:$O$649,5,FALSE),AA148)</f>
        <v>0</v>
      </c>
      <c r="AA148" s="174"/>
      <c r="AB148" s="173" t="str">
        <f>IF(W148="via USD",IF(K148="EUR",K148&amp;"USD","USD"&amp;K148),IFERROR(VLOOKUP(K148&amp;S148,'FX RATES'!$H$2:$H$20,1,FALSE),S148&amp;K148))</f>
        <v>USDRUB</v>
      </c>
      <c r="AC148" s="175">
        <f>IF(LEFT(AB148,3)=RIGHT(AB148,3),0,IFERROR(INDEX(CLIENTS!$A$1:$O$649,MATCH(H148,CLIENTS!$A$1:$A$649,0),MATCH(AB148,CLIENTS!$A$1:$O$1,0)),0))</f>
        <v>0</v>
      </c>
      <c r="AD148" s="176">
        <v>77.824700000000007</v>
      </c>
      <c r="AE148" s="177">
        <f t="shared" si="94"/>
        <v>77.824700000000007</v>
      </c>
      <c r="AF148" s="177" t="str">
        <f t="shared" si="95"/>
        <v>46043USDRUB</v>
      </c>
      <c r="AG148" s="176">
        <v>77.5</v>
      </c>
      <c r="AH148" s="178">
        <f ca="1">IF(LEFT(AB148,3)=RIGHT(AB148,3),1,VLOOKUP(AB148,'FX RATES'!$H$1:$I$20,2,FALSE))</f>
        <v>76.720500000000001</v>
      </c>
      <c r="AI148" s="178">
        <f t="shared" si="115"/>
        <v>77.5</v>
      </c>
      <c r="AJ148" s="173" t="str">
        <f>IF(W148="via USD",IF(S148="EUR",S148&amp;"USD","USD"&amp;S148),IFERROR(VLOOKUP(K148&amp;S148,'FX RATES'!$H$2:$H$20,1,FALSE),S148&amp;K148))</f>
        <v>USDAED</v>
      </c>
      <c r="AK148" s="175">
        <f>IF(LEFT(AJ148,3)=RIGHT(AJ148,3),0,IFERROR(INDEX(CLIENTS!$A$1:$O$649,MATCH(P148,CLIENTS!$A$1:$A$649,0),MATCH(AJ148,CLIENTS!$A$1:$O$1,0)),0))-0.0007</f>
        <v>-3.2000000000000002E-3</v>
      </c>
      <c r="AL148" s="176">
        <v>3.6724999999999999</v>
      </c>
      <c r="AM148" s="177">
        <f t="shared" si="96"/>
        <v>3.6692999999999998</v>
      </c>
      <c r="AN148" s="177" t="str">
        <f t="shared" si="97"/>
        <v>46043USDAED</v>
      </c>
      <c r="AO148" s="176"/>
      <c r="AP148" s="178">
        <f>IF(LEFT(AJ148,3)=RIGHT(AJ148,3),1,VLOOKUP(AJ148,'FX RATES'!$H$1:$I$20,2,FALSE))</f>
        <v>3.6724999999999999</v>
      </c>
      <c r="AQ148" s="178">
        <f t="shared" si="98"/>
        <v>3.6724999999999999</v>
      </c>
      <c r="AR148" s="179">
        <f>-Q148*(1-Z148)/(1+X148)*IF(W148="CLIENT",IF(S148=RIGHT(AJ148,3),1/AM148,AM148),IF(W148="VENDOR",IF(S148=RIGHT(AJ148,3),1/AE148,AE148),AE148^(VLOOKUP(AB148,'FX RATES'!$H$1:$J$26,3,FALSE))/AM148^(VLOOKUP(AJ148,'FX RATES'!$H$1:$J$26,3,FALSE))))</f>
        <v>0</v>
      </c>
      <c r="AS148" s="179">
        <f>-I148*(1+X148)/(1-Z148)*IF(W148="VENDOR",IF(K148=RIGHT(AB148,3),1/AE148,AE148),IF(W148="CLIENT",IF(K148=RIGHT(AB148,3),1/AM148,AM148),AM148^(VLOOKUP(AJ148,'FX RATES'!$H$1:$J$26,3,FALSE))/AE148^(VLOOKUP(AB148,'FX RATES'!$H$1:$J$26,3,FALSE))))</f>
        <v>137655.55093580828</v>
      </c>
      <c r="AT148" s="170">
        <f>IF(AB148&lt;&gt;AJ148,J148/IF(K148=RIGHT(AB148,3),AE148,1/AE148),IF(S148="USD",J148/IF(K148=RIGHT(AB148,3),IF(W148="CLIENT",AM148,AE148),1/IF(W148="CLIENT",AM148,AE148)),J148*VLOOKUP(K148,'FX RATES'!$E$1:$F$10,2,FALSE)))</f>
        <v>-37515.480046823177</v>
      </c>
      <c r="AU148" s="170">
        <f>IF(AB148&lt;&gt;AJ148,R148/IF(S148=RIGHT(AJ148,3),AM148,1/AM148),IF(K148="USD",R148/IF(S148=RIGHT(AJ148,3),IF(W148="CLIENT",AM148,AE148),1/IF(W148="CLIENT",AM148,AE148)),R148*VLOOKUP(S148,'FX RATES'!$E$1:$F$10,2,FALSE)))</f>
        <v>37515.480046823177</v>
      </c>
      <c r="AV148" s="170">
        <f t="shared" si="99"/>
        <v>0</v>
      </c>
      <c r="AW148" s="169"/>
      <c r="AX148" s="170">
        <f t="shared" si="100"/>
        <v>0</v>
      </c>
      <c r="AY148" s="170">
        <f t="shared" si="101"/>
        <v>-37515.480046823177</v>
      </c>
      <c r="AZ148" s="170" t="str">
        <f t="shared" si="102"/>
        <v>USD</v>
      </c>
      <c r="BA148" s="542">
        <f>IF(OR(A148="REFUND",A148="CANCELLED"),0,IFERROR((IF(OR(AB148="USDAED",LEFT(AB148,3)=RIGHT(AB148,3)),AI148,AG148)-AE148)*-AY148*VLOOKUP(AB148,'FX RATES'!$H$1:$J$26,3,FALSE),0))</f>
        <v>-12181.276371203752</v>
      </c>
      <c r="BB148" s="170" t="str">
        <f t="shared" si="103"/>
        <v>RUB</v>
      </c>
      <c r="BC148" s="542">
        <f t="shared" si="104"/>
        <v>-157.17775962843552</v>
      </c>
      <c r="BD148" s="170">
        <f t="shared" si="105"/>
        <v>0</v>
      </c>
      <c r="BE148" s="542">
        <f t="shared" si="106"/>
        <v>-157.17775962843552</v>
      </c>
      <c r="BF148" s="170">
        <f t="shared" si="107"/>
        <v>37515.480046823177</v>
      </c>
      <c r="BG148" s="170" t="str">
        <f t="shared" si="108"/>
        <v>USD</v>
      </c>
      <c r="BH148" s="542">
        <f>IF(OR(A148="REFUND",A148="CANCELLED"),0,IFERROR((IF(OR(AJ148="USDAED",LEFT(AJ148,3)=RIGHT(AJ148,3)),AQ148,AO148)-AM148)*-BF148*VLOOKUP(AJ148,'FX RATES'!$H$1:$J$26,3,FALSE),0))</f>
        <v>-120.04953614983761</v>
      </c>
      <c r="BI148" s="170" t="str">
        <f t="shared" si="109"/>
        <v>AED</v>
      </c>
      <c r="BJ148" s="542">
        <f t="shared" si="110"/>
        <v>-32.688777712685528</v>
      </c>
      <c r="BK148" s="170">
        <f t="shared" si="111"/>
        <v>-32.68877771268459</v>
      </c>
      <c r="BL148" s="542">
        <f t="shared" si="112"/>
        <v>-9.3791641120333225E-13</v>
      </c>
      <c r="BM148" s="170">
        <f t="shared" si="113"/>
        <v>-32.68877771268459</v>
      </c>
      <c r="BN148" s="542">
        <f t="shared" si="114"/>
        <v>-157.17775962843646</v>
      </c>
    </row>
    <row r="149" spans="1:66" ht="19.5" customHeight="1">
      <c r="A149" s="167" t="s">
        <v>366</v>
      </c>
      <c r="B149" s="168" t="s">
        <v>0</v>
      </c>
      <c r="C149" s="168" t="s">
        <v>383</v>
      </c>
      <c r="D149" s="168" t="s">
        <v>121</v>
      </c>
      <c r="E149" s="171">
        <v>46043</v>
      </c>
      <c r="F149" s="171"/>
      <c r="G149" s="168" t="s">
        <v>52</v>
      </c>
      <c r="H149" s="181" t="s">
        <v>476</v>
      </c>
      <c r="I149" s="169">
        <f>-(R139+R141+J148+J143+J144)</f>
        <v>-10395183.119635001</v>
      </c>
      <c r="J149" s="170">
        <f t="shared" si="92"/>
        <v>-10395183.119635001</v>
      </c>
      <c r="K149" s="168" t="s">
        <v>9</v>
      </c>
      <c r="L149" s="171" t="s">
        <v>25</v>
      </c>
      <c r="M149" s="168" t="s">
        <v>25</v>
      </c>
      <c r="N149" s="167" t="s">
        <v>371</v>
      </c>
      <c r="O149" s="168" t="s">
        <v>0</v>
      </c>
      <c r="P149" s="168" t="s">
        <v>0</v>
      </c>
      <c r="Q149" s="169"/>
      <c r="R149" s="170">
        <f t="shared" si="93"/>
        <v>135288.94476006972</v>
      </c>
      <c r="S149" s="168" t="s">
        <v>5</v>
      </c>
      <c r="T149" s="171" t="s">
        <v>477</v>
      </c>
      <c r="U149" s="168" t="s">
        <v>25</v>
      </c>
      <c r="V149" s="167" t="s">
        <v>371</v>
      </c>
      <c r="W149" s="172" t="s">
        <v>382</v>
      </c>
      <c r="X149" s="173">
        <f>IF(Y149="",VLOOKUP(H149,CLIENTS!$A$1:$O$649,5,FALSE),Y149)</f>
        <v>0</v>
      </c>
      <c r="Y149" s="174"/>
      <c r="Z149" s="173">
        <f>IF(AA149="",VLOOKUP(P149,CLIENTS!$A$1:$O$649,5,FALSE),AA149)</f>
        <v>0</v>
      </c>
      <c r="AA149" s="174"/>
      <c r="AB149" s="173" t="str">
        <f>IF(W149="via USD",IF(K149="EUR",K149&amp;"USD","USD"&amp;K149),IFERROR(VLOOKUP(K149&amp;S149,'FX RATES'!$H$2:$H$20,1,FALSE),S149&amp;K149))</f>
        <v>USDRUB</v>
      </c>
      <c r="AC149" s="175">
        <f>IF(LEFT(AB149,3)=RIGHT(AB149,3),0,IFERROR(INDEX(CLIENTS!$A$1:$O$649,MATCH(H149,CLIENTS!$A$1:$A$649,0),MATCH(AB149,CLIENTS!$A$1:$O$1,0)),0))+0.07</f>
        <v>0</v>
      </c>
      <c r="AD149" s="176">
        <v>76.8369</v>
      </c>
      <c r="AE149" s="177">
        <f t="shared" si="94"/>
        <v>76.8369</v>
      </c>
      <c r="AF149" s="177" t="str">
        <f t="shared" si="95"/>
        <v>46043USDRUB</v>
      </c>
      <c r="AG149" s="176">
        <v>77.5</v>
      </c>
      <c r="AH149" s="178">
        <f ca="1">IF(LEFT(AB149,3)=RIGHT(AB149,3),1,VLOOKUP(AB149,'FX RATES'!$H$1:$I$20,2,FALSE))</f>
        <v>76.720500000000001</v>
      </c>
      <c r="AI149" s="178">
        <f t="shared" si="115"/>
        <v>77.5</v>
      </c>
      <c r="AJ149" s="173" t="str">
        <f>IF(W149="via USD",IF(S149="EUR",S149&amp;"USD","USD"&amp;S149),IFERROR(VLOOKUP(K149&amp;S149,'FX RATES'!$H$2:$H$20,1,FALSE),S149&amp;K149))</f>
        <v>USDRUB</v>
      </c>
      <c r="AK149" s="175">
        <f>IF(LEFT(AJ149,3)=RIGHT(AJ149,3),0,IFERROR(INDEX(CLIENTS!$A$1:$O$649,MATCH(P149,CLIENTS!$A$1:$A$649,0),MATCH(AJ149,CLIENTS!$A$1:$O$1,0)),0))</f>
        <v>0</v>
      </c>
      <c r="AL149" s="176"/>
      <c r="AM149" s="177" t="str">
        <f t="shared" si="96"/>
        <v/>
      </c>
      <c r="AN149" s="177" t="str">
        <f t="shared" si="97"/>
        <v>46043USDRUB</v>
      </c>
      <c r="AO149" s="176"/>
      <c r="AP149" s="178">
        <f ca="1">IF(LEFT(AJ149,3)=RIGHT(AJ149,3),1,VLOOKUP(AJ149,'FX RATES'!$H$1:$I$20,2,FALSE))</f>
        <v>76.720500000000001</v>
      </c>
      <c r="AQ149" s="178">
        <f t="shared" si="98"/>
        <v>77.7</v>
      </c>
      <c r="AR149" s="179">
        <f>-Q149*(1-Z149)/(1+X149)*IF(W149="CLIENT",IF(S149=RIGHT(AJ149,3),1/AM149,AM149),IF(W149="VENDOR",IF(S149=RIGHT(AJ149,3),1/AE149,AE149),AE149^(VLOOKUP(AB149,'FX RATES'!$H$1:$J$26,3,FALSE))/AM149^(VLOOKUP(AJ149,'FX RATES'!$H$1:$J$26,3,FALSE))))</f>
        <v>0</v>
      </c>
      <c r="AS149" s="179">
        <f>-I149*(1+X149)/(1-Z149)*IF(W149="VENDOR",IF(K149=RIGHT(AB149,3),1/AE149,AE149),IF(W149="CLIENT",IF(K149=RIGHT(AB149,3),1/AM149,AM149),AM149^(VLOOKUP(AJ149,'FX RATES'!$H$1:$J$26,3,FALSE))/AE149^(VLOOKUP(AB149,'FX RATES'!$H$1:$J$26,3,FALSE))))</f>
        <v>135288.94476006972</v>
      </c>
      <c r="AT149" s="170">
        <f>IF(AB149&lt;&gt;AJ149,J149/IF(K149=RIGHT(AB149,3),AE149,1/AE149),IF(S149="USD",J149/IF(K149=RIGHT(AB149,3),IF(W149="CLIENT",AM149,AE149),1/IF(W149="CLIENT",AM149,AE149)),J149*VLOOKUP(K149,'FX RATES'!$E$1:$F$10,2,FALSE)))</f>
        <v>-135288.94476006972</v>
      </c>
      <c r="AU149" s="170">
        <f>IF(AB149&lt;&gt;AJ149,R149/IF(S149=RIGHT(AJ149,3),AM149,1/AM149),IF(K149="USD",R149/IF(S149=RIGHT(AJ149,3),IF(W149="CLIENT",AM149,AE149),1/IF(W149="CLIENT",AM149,AE149)),R149*VLOOKUP(S149,'FX RATES'!$E$1:$F$10,2,FALSE)))</f>
        <v>135288.94476006972</v>
      </c>
      <c r="AV149" s="170">
        <f t="shared" si="99"/>
        <v>0</v>
      </c>
      <c r="AW149" s="169"/>
      <c r="AX149" s="170">
        <f t="shared" si="100"/>
        <v>0</v>
      </c>
      <c r="AY149" s="170">
        <f t="shared" si="101"/>
        <v>-135288.94476006972</v>
      </c>
      <c r="AZ149" s="170" t="str">
        <f t="shared" si="102"/>
        <v>USD</v>
      </c>
      <c r="BA149" s="542">
        <f>IF(OR(A149="REFUND",A149="CANCELLED"),0,IFERROR((IF(OR(AB149="USDAED",LEFT(AB149,3)=RIGHT(AB149,3)),AI149,AG149)-AE149)*-AY149*VLOOKUP(AB149,'FX RATES'!$H$1:$J$26,3,FALSE),0))</f>
        <v>89710.099270402236</v>
      </c>
      <c r="BB149" s="170" t="str">
        <f t="shared" si="103"/>
        <v>RUB</v>
      </c>
      <c r="BC149" s="542">
        <f t="shared" si="104"/>
        <v>1157.5496680051901</v>
      </c>
      <c r="BD149" s="170">
        <f t="shared" si="105"/>
        <v>0</v>
      </c>
      <c r="BE149" s="542">
        <f t="shared" si="106"/>
        <v>1157.5496680051901</v>
      </c>
      <c r="BF149" s="170">
        <f t="shared" si="107"/>
        <v>135288.94476006972</v>
      </c>
      <c r="BG149" s="170" t="str">
        <f t="shared" si="108"/>
        <v>USD</v>
      </c>
      <c r="BH149" s="542">
        <f>IF(OR(A149="REFUND",A149="CANCELLED"),0,IFERROR((IF(OR(AJ149="USDAED",LEFT(AJ149,3)=RIGHT(AJ149,3)),AQ149,AO149)-AM149)*-BF149*VLOOKUP(AJ149,'FX RATES'!$H$1:$J$26,3,FALSE),0))</f>
        <v>0</v>
      </c>
      <c r="BI149" s="170" t="str">
        <f t="shared" si="109"/>
        <v>RUB</v>
      </c>
      <c r="BJ149" s="542">
        <f t="shared" si="110"/>
        <v>0</v>
      </c>
      <c r="BK149" s="170">
        <f t="shared" si="111"/>
        <v>0</v>
      </c>
      <c r="BL149" s="542">
        <f t="shared" si="112"/>
        <v>0</v>
      </c>
      <c r="BM149" s="170">
        <f t="shared" si="113"/>
        <v>0</v>
      </c>
      <c r="BN149" s="542">
        <f t="shared" si="114"/>
        <v>1157.5496680051901</v>
      </c>
    </row>
    <row r="150" spans="1:66" ht="19.5" customHeight="1">
      <c r="A150" s="167" t="s">
        <v>366</v>
      </c>
      <c r="B150" s="168" t="s">
        <v>0</v>
      </c>
      <c r="C150" s="168" t="s">
        <v>383</v>
      </c>
      <c r="D150" s="168" t="s">
        <v>121</v>
      </c>
      <c r="E150" s="171">
        <v>46043</v>
      </c>
      <c r="F150" s="171"/>
      <c r="G150" s="168" t="s">
        <v>55</v>
      </c>
      <c r="H150" s="181" t="s">
        <v>476</v>
      </c>
      <c r="I150" s="169">
        <f>-(R138+J140+J145+J146+J147)</f>
        <v>-1094866.4933586717</v>
      </c>
      <c r="J150" s="170">
        <f t="shared" si="92"/>
        <v>-1094866.4933586717</v>
      </c>
      <c r="K150" s="168" t="s">
        <v>9</v>
      </c>
      <c r="L150" s="171" t="s">
        <v>25</v>
      </c>
      <c r="M150" s="168" t="s">
        <v>439</v>
      </c>
      <c r="N150" s="167" t="s">
        <v>371</v>
      </c>
      <c r="O150" s="168" t="s">
        <v>0</v>
      </c>
      <c r="P150" s="168" t="s">
        <v>0</v>
      </c>
      <c r="Q150" s="169"/>
      <c r="R150" s="170">
        <f t="shared" si="93"/>
        <v>14249.227823593503</v>
      </c>
      <c r="S150" s="168" t="s">
        <v>5</v>
      </c>
      <c r="T150" s="171" t="s">
        <v>477</v>
      </c>
      <c r="U150" s="168" t="s">
        <v>25</v>
      </c>
      <c r="V150" s="167" t="s">
        <v>371</v>
      </c>
      <c r="W150" s="172" t="s">
        <v>382</v>
      </c>
      <c r="X150" s="173">
        <f>IF(Y150="",VLOOKUP(H150,CLIENTS!$A$1:$O$649,5,FALSE),Y150)</f>
        <v>0</v>
      </c>
      <c r="Y150" s="174"/>
      <c r="Z150" s="173">
        <f>IF(AA150="",VLOOKUP(P150,CLIENTS!$A$1:$O$649,5,FALSE),AA150)</f>
        <v>0</v>
      </c>
      <c r="AA150" s="174"/>
      <c r="AB150" s="173" t="str">
        <f>IF(W150="via USD",IF(K150="EUR",K150&amp;"USD","USD"&amp;K150),IFERROR(VLOOKUP(K150&amp;S150,'FX RATES'!$H$2:$H$20,1,FALSE),S150&amp;K150))</f>
        <v>USDRUB</v>
      </c>
      <c r="AC150" s="175">
        <f>IF(LEFT(AB150,3)=RIGHT(AB150,3),0,IFERROR(INDEX(CLIENTS!$A$1:$O$649,MATCH(H150,CLIENTS!$A$1:$A$649,0),MATCH(AB150,CLIENTS!$A$1:$O$1,0)),0))+0.07</f>
        <v>0</v>
      </c>
      <c r="AD150" s="176">
        <v>76.8369</v>
      </c>
      <c r="AE150" s="177">
        <f t="shared" si="94"/>
        <v>76.8369</v>
      </c>
      <c r="AF150" s="177" t="str">
        <f t="shared" si="95"/>
        <v>46043USDRUB</v>
      </c>
      <c r="AG150" s="176">
        <v>77.5</v>
      </c>
      <c r="AH150" s="178">
        <f ca="1">IF(LEFT(AB150,3)=RIGHT(AB150,3),1,VLOOKUP(AB150,'FX RATES'!$H$1:$I$20,2,FALSE))</f>
        <v>76.720500000000001</v>
      </c>
      <c r="AI150" s="178">
        <f t="shared" si="115"/>
        <v>77.5</v>
      </c>
      <c r="AJ150" s="173" t="str">
        <f>IF(W150="via USD",IF(S150="EUR",S150&amp;"USD","USD"&amp;S150),IFERROR(VLOOKUP(K150&amp;S150,'FX RATES'!$H$2:$H$20,1,FALSE),S150&amp;K150))</f>
        <v>USDRUB</v>
      </c>
      <c r="AK150" s="175">
        <f>IF(LEFT(AJ150,3)=RIGHT(AJ150,3),0,IFERROR(INDEX(CLIENTS!$A$1:$O$649,MATCH(P150,CLIENTS!$A$1:$A$649,0),MATCH(AJ150,CLIENTS!$A$1:$O$1,0)),0))</f>
        <v>0</v>
      </c>
      <c r="AL150" s="176"/>
      <c r="AM150" s="177" t="str">
        <f t="shared" si="96"/>
        <v/>
      </c>
      <c r="AN150" s="177" t="str">
        <f t="shared" si="97"/>
        <v>46043USDRUB</v>
      </c>
      <c r="AO150" s="176"/>
      <c r="AP150" s="178">
        <f ca="1">IF(LEFT(AJ150,3)=RIGHT(AJ150,3),1,VLOOKUP(AJ150,'FX RATES'!$H$1:$I$20,2,FALSE))</f>
        <v>76.720500000000001</v>
      </c>
      <c r="AQ150" s="178">
        <f t="shared" si="98"/>
        <v>77.7</v>
      </c>
      <c r="AR150" s="179">
        <f>-Q150*(1-Z150)/(1+X150)*IF(W150="CLIENT",IF(S150=RIGHT(AJ150,3),1/AM150,AM150),IF(W150="VENDOR",IF(S150=RIGHT(AJ150,3),1/AE150,AE150),AE150^(VLOOKUP(AB150,'FX RATES'!$H$1:$J$26,3,FALSE))/AM150^(VLOOKUP(AJ150,'FX RATES'!$H$1:$J$26,3,FALSE))))</f>
        <v>0</v>
      </c>
      <c r="AS150" s="179">
        <f>-I150*(1+X150)/(1-Z150)*IF(W150="VENDOR",IF(K150=RIGHT(AB150,3),1/AE150,AE150),IF(W150="CLIENT",IF(K150=RIGHT(AB150,3),1/AM150,AM150),AM150^(VLOOKUP(AJ150,'FX RATES'!$H$1:$J$26,3,FALSE))/AE150^(VLOOKUP(AB150,'FX RATES'!$H$1:$J$26,3,FALSE))))</f>
        <v>14249.227823593503</v>
      </c>
      <c r="AT150" s="170">
        <f>IF(AB150&lt;&gt;AJ150,J150/IF(K150=RIGHT(AB150,3),AE150,1/AE150),IF(S150="USD",J150/IF(K150=RIGHT(AB150,3),IF(W150="CLIENT",AM150,AE150),1/IF(W150="CLIENT",AM150,AE150)),J150*VLOOKUP(K150,'FX RATES'!$E$1:$F$10,2,FALSE)))</f>
        <v>-14249.227823593503</v>
      </c>
      <c r="AU150" s="170">
        <f>IF(AB150&lt;&gt;AJ150,R150/IF(S150=RIGHT(AJ150,3),AM150,1/AM150),IF(K150="USD",R150/IF(S150=RIGHT(AJ150,3),IF(W150="CLIENT",AM150,AE150),1/IF(W150="CLIENT",AM150,AE150)),R150*VLOOKUP(S150,'FX RATES'!$E$1:$F$10,2,FALSE)))</f>
        <v>14249.227823593503</v>
      </c>
      <c r="AV150" s="170">
        <f t="shared" si="99"/>
        <v>0</v>
      </c>
      <c r="AW150" s="169"/>
      <c r="AX150" s="170">
        <f t="shared" si="100"/>
        <v>0</v>
      </c>
      <c r="AY150" s="170">
        <f t="shared" si="101"/>
        <v>-14249.227823593503</v>
      </c>
      <c r="AZ150" s="170" t="str">
        <f t="shared" si="102"/>
        <v>USD</v>
      </c>
      <c r="BA150" s="542">
        <f>IF(OR(A150="REFUND",A150="CANCELLED"),0,IFERROR((IF(OR(AB150="USDAED",LEFT(AB150,3)=RIGHT(AB150,3)),AI150,AG150)-AE150)*-AY150*VLOOKUP(AB150,'FX RATES'!$H$1:$J$26,3,FALSE),0))</f>
        <v>9448.6629698248526</v>
      </c>
      <c r="BB150" s="170" t="str">
        <f t="shared" si="103"/>
        <v>RUB</v>
      </c>
      <c r="BC150" s="542">
        <f t="shared" si="104"/>
        <v>121.91823186870778</v>
      </c>
      <c r="BD150" s="170">
        <f t="shared" si="105"/>
        <v>0</v>
      </c>
      <c r="BE150" s="542">
        <f t="shared" si="106"/>
        <v>121.91823186870778</v>
      </c>
      <c r="BF150" s="170">
        <f t="shared" si="107"/>
        <v>14249.227823593503</v>
      </c>
      <c r="BG150" s="170" t="str">
        <f t="shared" si="108"/>
        <v>USD</v>
      </c>
      <c r="BH150" s="542">
        <f>IF(OR(A150="REFUND",A150="CANCELLED"),0,IFERROR((IF(OR(AJ150="USDAED",LEFT(AJ150,3)=RIGHT(AJ150,3)),AQ150,AO150)-AM150)*-BF150*VLOOKUP(AJ150,'FX RATES'!$H$1:$J$26,3,FALSE),0))</f>
        <v>0</v>
      </c>
      <c r="BI150" s="170" t="str">
        <f t="shared" si="109"/>
        <v>RUB</v>
      </c>
      <c r="BJ150" s="542">
        <f t="shared" si="110"/>
        <v>0</v>
      </c>
      <c r="BK150" s="170">
        <f t="shared" si="111"/>
        <v>0</v>
      </c>
      <c r="BL150" s="542">
        <f t="shared" si="112"/>
        <v>0</v>
      </c>
      <c r="BM150" s="170">
        <f t="shared" si="113"/>
        <v>0</v>
      </c>
      <c r="BN150" s="542">
        <f t="shared" si="114"/>
        <v>121.91823186870778</v>
      </c>
    </row>
    <row r="151" spans="1:66" ht="19.5" customHeight="1">
      <c r="A151" s="167" t="s">
        <v>366</v>
      </c>
      <c r="B151" s="168" t="s">
        <v>0</v>
      </c>
      <c r="C151" s="168" t="s">
        <v>383</v>
      </c>
      <c r="D151" s="168" t="s">
        <v>121</v>
      </c>
      <c r="E151" s="171">
        <v>46043</v>
      </c>
      <c r="F151" s="171"/>
      <c r="G151" s="168" t="s">
        <v>39</v>
      </c>
      <c r="H151" s="181" t="s">
        <v>476</v>
      </c>
      <c r="I151" s="169">
        <f>-(R136+R137+R142)</f>
        <v>-10000000</v>
      </c>
      <c r="J151" s="170">
        <f t="shared" si="92"/>
        <v>-10000000</v>
      </c>
      <c r="K151" s="168" t="s">
        <v>9</v>
      </c>
      <c r="L151" s="171" t="s">
        <v>25</v>
      </c>
      <c r="M151" s="168" t="s">
        <v>25</v>
      </c>
      <c r="N151" s="167" t="s">
        <v>371</v>
      </c>
      <c r="O151" s="168" t="s">
        <v>0</v>
      </c>
      <c r="P151" s="168" t="s">
        <v>0</v>
      </c>
      <c r="Q151" s="169"/>
      <c r="R151" s="170">
        <f t="shared" si="93"/>
        <v>130145.80234236414</v>
      </c>
      <c r="S151" s="168" t="s">
        <v>5</v>
      </c>
      <c r="T151" s="171" t="s">
        <v>477</v>
      </c>
      <c r="U151" s="168" t="s">
        <v>25</v>
      </c>
      <c r="V151" s="167" t="s">
        <v>371</v>
      </c>
      <c r="W151" s="172" t="s">
        <v>382</v>
      </c>
      <c r="X151" s="173">
        <f>IF(Y151="",VLOOKUP(H151,CLIENTS!$A$1:$O$649,5,FALSE),Y151)</f>
        <v>0</v>
      </c>
      <c r="Y151" s="174"/>
      <c r="Z151" s="173">
        <f>IF(AA151="",VLOOKUP(P151,CLIENTS!$A$1:$O$649,5,FALSE),AA151)</f>
        <v>0</v>
      </c>
      <c r="AA151" s="174"/>
      <c r="AB151" s="173" t="str">
        <f>IF(W151="via USD",IF(K151="EUR",K151&amp;"USD","USD"&amp;K151),IFERROR(VLOOKUP(K151&amp;S151,'FX RATES'!$H$2:$H$20,1,FALSE),S151&amp;K151))</f>
        <v>USDRUB</v>
      </c>
      <c r="AC151" s="175">
        <f>IF(LEFT(AB151,3)=RIGHT(AB151,3),0,IFERROR(INDEX(CLIENTS!$A$1:$O$649,MATCH(H151,CLIENTS!$A$1:$A$649,0),MATCH(AB151,CLIENTS!$A$1:$O$1,0)),0))+0.07</f>
        <v>0</v>
      </c>
      <c r="AD151" s="176">
        <v>76.8369</v>
      </c>
      <c r="AE151" s="177">
        <f t="shared" si="94"/>
        <v>76.8369</v>
      </c>
      <c r="AF151" s="177" t="str">
        <f t="shared" si="95"/>
        <v>46043USDRUB</v>
      </c>
      <c r="AG151" s="176">
        <v>77.5</v>
      </c>
      <c r="AH151" s="178">
        <f ca="1">IF(LEFT(AB151,3)=RIGHT(AB151,3),1,VLOOKUP(AB151,'FX RATES'!$H$1:$I$20,2,FALSE))</f>
        <v>76.720500000000001</v>
      </c>
      <c r="AI151" s="178">
        <f t="shared" si="115"/>
        <v>77.5</v>
      </c>
      <c r="AJ151" s="173" t="str">
        <f>IF(W151="via USD",IF(S151="EUR",S151&amp;"USD","USD"&amp;S151),IFERROR(VLOOKUP(K151&amp;S151,'FX RATES'!$H$2:$H$20,1,FALSE),S151&amp;K151))</f>
        <v>USDRUB</v>
      </c>
      <c r="AK151" s="175">
        <f>IF(LEFT(AJ151,3)=RIGHT(AJ151,3),0,IFERROR(INDEX(CLIENTS!$A$1:$O$649,MATCH(P151,CLIENTS!$A$1:$A$649,0),MATCH(AJ151,CLIENTS!$A$1:$O$1,0)),0))</f>
        <v>0</v>
      </c>
      <c r="AL151" s="176"/>
      <c r="AM151" s="177" t="str">
        <f t="shared" si="96"/>
        <v/>
      </c>
      <c r="AN151" s="177" t="str">
        <f t="shared" si="97"/>
        <v>46043USDRUB</v>
      </c>
      <c r="AO151" s="176"/>
      <c r="AP151" s="178">
        <f ca="1">IF(LEFT(AJ151,3)=RIGHT(AJ151,3),1,VLOOKUP(AJ151,'FX RATES'!$H$1:$I$20,2,FALSE))</f>
        <v>76.720500000000001</v>
      </c>
      <c r="AQ151" s="178">
        <f t="shared" si="98"/>
        <v>77.7</v>
      </c>
      <c r="AR151" s="179">
        <f>-Q151*(1-Z151)/(1+X151)*IF(W151="CLIENT",IF(S151=RIGHT(AJ151,3),1/AM151,AM151),IF(W151="VENDOR",IF(S151=RIGHT(AJ151,3),1/AE151,AE151),AE151^(VLOOKUP(AB151,'FX RATES'!$H$1:$J$26,3,FALSE))/AM151^(VLOOKUP(AJ151,'FX RATES'!$H$1:$J$26,3,FALSE))))</f>
        <v>0</v>
      </c>
      <c r="AS151" s="179">
        <f>-I151*(1+X151)/(1-Z151)*IF(W151="VENDOR",IF(K151=RIGHT(AB151,3),1/AE151,AE151),IF(W151="CLIENT",IF(K151=RIGHT(AB151,3),1/AM151,AM151),AM151^(VLOOKUP(AJ151,'FX RATES'!$H$1:$J$26,3,FALSE))/AE151^(VLOOKUP(AB151,'FX RATES'!$H$1:$J$26,3,FALSE))))</f>
        <v>130145.80234236414</v>
      </c>
      <c r="AT151" s="170">
        <f>IF(AB151&lt;&gt;AJ151,J151/IF(K151=RIGHT(AB151,3),AE151,1/AE151),IF(S151="USD",J151/IF(K151=RIGHT(AB151,3),IF(W151="CLIENT",AM151,AE151),1/IF(W151="CLIENT",AM151,AE151)),J151*VLOOKUP(K151,'FX RATES'!$E$1:$F$10,2,FALSE)))</f>
        <v>-130145.80234236416</v>
      </c>
      <c r="AU151" s="170">
        <f>IF(AB151&lt;&gt;AJ151,R151/IF(S151=RIGHT(AJ151,3),AM151,1/AM151),IF(K151="USD",R151/IF(S151=RIGHT(AJ151,3),IF(W151="CLIENT",AM151,AE151),1/IF(W151="CLIENT",AM151,AE151)),R151*VLOOKUP(S151,'FX RATES'!$E$1:$F$10,2,FALSE)))</f>
        <v>130145.80234236414</v>
      </c>
      <c r="AV151" s="170">
        <f t="shared" si="99"/>
        <v>0</v>
      </c>
      <c r="AW151" s="169"/>
      <c r="AX151" s="170">
        <f t="shared" si="100"/>
        <v>0</v>
      </c>
      <c r="AY151" s="170">
        <f t="shared" si="101"/>
        <v>-130145.80234236416</v>
      </c>
      <c r="AZ151" s="170" t="str">
        <f t="shared" si="102"/>
        <v>USD</v>
      </c>
      <c r="BA151" s="542">
        <f>IF(OR(A151="REFUND",A151="CANCELLED"),0,IFERROR((IF(OR(AB151="USDAED",LEFT(AB151,3)=RIGHT(AB151,3)),AI151,AG151)-AE151)*-AY151*VLOOKUP(AB151,'FX RATES'!$H$1:$J$26,3,FALSE),0))</f>
        <v>86299.681533221679</v>
      </c>
      <c r="BB151" s="170" t="str">
        <f t="shared" si="103"/>
        <v>RUB</v>
      </c>
      <c r="BC151" s="542">
        <f t="shared" si="104"/>
        <v>1113.5442778480217</v>
      </c>
      <c r="BD151" s="170">
        <f t="shared" si="105"/>
        <v>0</v>
      </c>
      <c r="BE151" s="542">
        <f t="shared" si="106"/>
        <v>1113.5442778480217</v>
      </c>
      <c r="BF151" s="170">
        <f t="shared" si="107"/>
        <v>130145.80234236414</v>
      </c>
      <c r="BG151" s="170" t="str">
        <f t="shared" si="108"/>
        <v>USD</v>
      </c>
      <c r="BH151" s="542">
        <f>IF(OR(A151="REFUND",A151="CANCELLED"),0,IFERROR((IF(OR(AJ151="USDAED",LEFT(AJ151,3)=RIGHT(AJ151,3)),AQ151,AO151)-AM151)*-BF151*VLOOKUP(AJ151,'FX RATES'!$H$1:$J$26,3,FALSE),0))</f>
        <v>0</v>
      </c>
      <c r="BI151" s="170" t="str">
        <f t="shared" si="109"/>
        <v>RUB</v>
      </c>
      <c r="BJ151" s="542">
        <f t="shared" si="110"/>
        <v>0</v>
      </c>
      <c r="BK151" s="170">
        <f t="shared" si="111"/>
        <v>0</v>
      </c>
      <c r="BL151" s="542">
        <f t="shared" si="112"/>
        <v>0</v>
      </c>
      <c r="BM151" s="170">
        <f t="shared" si="113"/>
        <v>0</v>
      </c>
      <c r="BN151" s="542">
        <f t="shared" si="114"/>
        <v>1113.5442778480217</v>
      </c>
    </row>
    <row r="152" spans="1:66" ht="19.5" customHeight="1">
      <c r="A152" s="167"/>
      <c r="B152" s="182"/>
      <c r="C152" s="182"/>
      <c r="D152" s="182"/>
      <c r="E152" s="184"/>
      <c r="F152" s="184"/>
      <c r="G152" s="182"/>
      <c r="H152" s="183"/>
      <c r="I152" s="170"/>
      <c r="J152" s="170"/>
      <c r="K152" s="182"/>
      <c r="L152" s="184"/>
      <c r="M152" s="182"/>
      <c r="O152" s="182"/>
      <c r="P152" s="182"/>
      <c r="Q152" s="170"/>
      <c r="R152" s="170"/>
      <c r="S152" s="182"/>
      <c r="T152" s="184"/>
      <c r="U152" s="182"/>
      <c r="X152" s="173"/>
      <c r="Y152" s="173"/>
      <c r="Z152" s="173"/>
      <c r="AA152" s="173"/>
      <c r="AB152" s="173"/>
      <c r="AC152" s="175"/>
      <c r="AD152" s="177"/>
      <c r="AE152" s="177"/>
      <c r="AF152" s="177"/>
      <c r="AG152" s="177"/>
      <c r="AH152" s="178"/>
      <c r="AI152" s="178"/>
      <c r="AJ152" s="173"/>
      <c r="AK152" s="175"/>
      <c r="AL152" s="177"/>
      <c r="AM152" s="177"/>
      <c r="AN152" s="177"/>
      <c r="AO152" s="177"/>
      <c r="AP152" s="178"/>
      <c r="AQ152" s="178"/>
      <c r="AR152" s="185"/>
      <c r="AS152" s="185"/>
      <c r="AT152" s="170"/>
      <c r="AU152" s="170"/>
      <c r="AV152" s="170"/>
      <c r="AW152" s="170"/>
      <c r="AX152" s="170"/>
      <c r="AY152" s="170"/>
      <c r="AZ152" s="170"/>
      <c r="BA152" s="542"/>
      <c r="BB152" s="170"/>
      <c r="BC152" s="542"/>
      <c r="BD152" s="170"/>
      <c r="BE152" s="542"/>
      <c r="BF152" s="170"/>
      <c r="BG152" s="170"/>
      <c r="BH152" s="542"/>
      <c r="BI152" s="170"/>
      <c r="BJ152" s="542"/>
      <c r="BK152" s="170"/>
      <c r="BL152" s="542"/>
      <c r="BM152" s="170"/>
      <c r="BN152" s="542"/>
    </row>
    <row r="153" spans="1:66" ht="19.5" customHeight="1">
      <c r="A153" s="167" t="s">
        <v>366</v>
      </c>
      <c r="B153" s="168" t="s">
        <v>34</v>
      </c>
      <c r="C153" s="168" t="s">
        <v>383</v>
      </c>
      <c r="D153" s="168" t="s">
        <v>148</v>
      </c>
      <c r="E153" s="171">
        <v>46043</v>
      </c>
      <c r="F153" s="171"/>
      <c r="G153" s="168" t="s">
        <v>34</v>
      </c>
      <c r="H153" s="181" t="s">
        <v>496</v>
      </c>
      <c r="I153" s="169">
        <v>-649250</v>
      </c>
      <c r="J153" s="170">
        <f>IF(I153="",AR153,I153)</f>
        <v>-649250</v>
      </c>
      <c r="K153" s="168" t="s">
        <v>5</v>
      </c>
      <c r="L153" s="168" t="s">
        <v>498</v>
      </c>
      <c r="M153" s="168" t="s">
        <v>20</v>
      </c>
      <c r="N153" s="167" t="s">
        <v>371</v>
      </c>
      <c r="O153" s="168" t="s">
        <v>0</v>
      </c>
      <c r="P153" s="168" t="s">
        <v>496</v>
      </c>
      <c r="Q153" s="169"/>
      <c r="R153" s="170">
        <f>IF(Q153="",AS153,Q153)</f>
        <v>2382293.0249999999</v>
      </c>
      <c r="S153" s="168" t="s">
        <v>8</v>
      </c>
      <c r="T153" s="171" t="s">
        <v>18</v>
      </c>
      <c r="U153" s="168" t="s">
        <v>14</v>
      </c>
      <c r="V153" s="418" t="s">
        <v>371</v>
      </c>
      <c r="W153" s="172" t="s">
        <v>375</v>
      </c>
      <c r="X153" s="173">
        <f>IF(Y153="",VLOOKUP(H153,CLIENTS!$A$1:$O$649,5,FALSE),Y153)</f>
        <v>0</v>
      </c>
      <c r="Y153" s="174"/>
      <c r="Z153" s="173">
        <f>IF(AA153="",VLOOKUP(P153,CLIENTS!$A$1:$O$649,5,FALSE),AA153)</f>
        <v>0</v>
      </c>
      <c r="AA153" s="174"/>
      <c r="AB153" s="173" t="str">
        <f>IF(W153="via USD",IF(K153="EUR",K153&amp;"USD","USD"&amp;K153),IFERROR(VLOOKUP(K153&amp;S153,'FX RATES'!$H$2:$H$20,1,FALSE),S153&amp;K153))</f>
        <v>USDUSD</v>
      </c>
      <c r="AC153" s="175">
        <f>IF(LEFT(AB153,3)=RIGHT(AB153,3),0,IFERROR(INDEX(CLIENTS!$A$1:$O$649,MATCH(H153,CLIENTS!$A$1:$A$649,0),MATCH(AB153,CLIENTS!$A$1:$O$1,0)),0))</f>
        <v>0</v>
      </c>
      <c r="AD153" s="176"/>
      <c r="AE153" s="177">
        <f>IF(W153="CLIENT","",IF(AD153="",AH153+AC153,AD153+AC153))</f>
        <v>1</v>
      </c>
      <c r="AF153" s="177" t="str">
        <f>E153&amp;AB153</f>
        <v>46043USDUSD</v>
      </c>
      <c r="AG153" s="176"/>
      <c r="AH153" s="178">
        <f>IF(LEFT(AB153,3)=RIGHT(AB153,3),1,VLOOKUP(AB153,'FX RATES'!$H$1:$I$20,2,FALSE))</f>
        <v>1</v>
      </c>
      <c r="AI153" s="178">
        <f>IF(OR(AB153="USDAED",LEFT(AB153,3)=RIGHT(AB153,3)),AH153,IF(LEFT(AB153)="USD",AG153,IF(RIGHT(AB153,3)="USD",1,IFERROR(VLOOKUP(E153&amp;"USD"&amp;RIGHT(AB153,3),$AF:$AG,2,FALSE),VLOOKUP(E153&amp;"USD"&amp;RIGHT(AJ153,3),$AN:$AO,2,FALSE)))))</f>
        <v>1</v>
      </c>
      <c r="AJ153" s="173" t="str">
        <f>IF(W153="via USD",IF(S153="EUR",S153&amp;"USD","USD"&amp;S153),IFERROR(VLOOKUP(K153&amp;S153,'FX RATES'!$H$2:$H$20,1,FALSE),S153&amp;K153))</f>
        <v>USDAED</v>
      </c>
      <c r="AK153" s="175">
        <f>IF(LEFT(AJ153,3)=RIGHT(AJ153,3),0,IFERROR(INDEX(CLIENTS!$A$1:$O$649,MATCH(P153,CLIENTS!$A$1:$A$649,0),MATCH(AJ153,CLIENTS!$A$1:$O$1,0)),0))-0.0007</f>
        <v>-3.2000000000000002E-3</v>
      </c>
      <c r="AL153" s="176">
        <v>3.6724999999999999</v>
      </c>
      <c r="AM153" s="177">
        <f>IF(W153="VENDOR","",IF(AL153="",AP153+AK153,AL153+AK153))</f>
        <v>3.6692999999999998</v>
      </c>
      <c r="AN153" s="177" t="str">
        <f>E153&amp;AJ153</f>
        <v>46043USDAED</v>
      </c>
      <c r="AO153" s="176"/>
      <c r="AP153" s="178">
        <f>IF(LEFT(AJ153,3)=RIGHT(AJ153,3),1,VLOOKUP(AJ153,'FX RATES'!$H$1:$I$20,2,FALSE))</f>
        <v>3.6724999999999999</v>
      </c>
      <c r="AQ153" s="178">
        <f>IF(OR(AJ153="USDAED",LEFT(AJ153,3)=RIGHT(AJ153,3)),AP153,IF(LEFT(AJ153)="USD",AO153,IF(RIGHT(AJ153,3)="USD",1,IFERROR(VLOOKUP(E153&amp;"USD"&amp;RIGHT(AJ153,3),$AN:$AO,2,FALSE),VLOOKUP(E153&amp;"USD"&amp;RIGHT(AB153,3),$AF:$AG,2,FALSE)))))</f>
        <v>3.6724999999999999</v>
      </c>
      <c r="AR153" s="179">
        <f>-Q153*(1-Z153)/(1+X153)*IF(W153="CLIENT",IF(S153=RIGHT(AJ153,3),1/AM153,AM153),IF(W153="VENDOR",IF(S153=RIGHT(AJ153,3),1/AE153,AE153),AE153^(VLOOKUP(AB153,'FX RATES'!$H$1:$J$26,3,FALSE))/AM153^(VLOOKUP(AJ153,'FX RATES'!$H$1:$J$26,3,FALSE))))</f>
        <v>0</v>
      </c>
      <c r="AS153" s="179">
        <f>-I153*(1+X153)/(1-Z153)*IF(W153="VENDOR",IF(K153=RIGHT(AB153,3),1/AE153,AE153),IF(W153="CLIENT",IF(K153=RIGHT(AB153,3),1/AM153,AM153),AM153^(VLOOKUP(AJ153,'FX RATES'!$H$1:$J$26,3,FALSE))/AE153^(VLOOKUP(AB153,'FX RATES'!$H$1:$J$26,3,FALSE))))</f>
        <v>2382293.0249999999</v>
      </c>
      <c r="AT153" s="170">
        <f>IF(AB153&lt;&gt;AJ153,J153/IF(K153=RIGHT(AB153,3),AE153,1/AE153),IF(S153="USD",J153/IF(K153=RIGHT(AB153,3),IF(W153="CLIENT",AM153,AE153),1/IF(W153="CLIENT",AM153,AE153)),J153*VLOOKUP(K153,'FX RATES'!$E$1:$F$10,2,FALSE)))</f>
        <v>-649250</v>
      </c>
      <c r="AU153" s="170">
        <f>IF(AB153&lt;&gt;AJ153,R153/IF(S153=RIGHT(AJ153,3),AM153,1/AM153),IF(K153="USD",R153/IF(S153=RIGHT(AJ153,3),IF(W153="CLIENT",AM153,AE153),1/IF(W153="CLIENT",AM153,AE153)),R153*VLOOKUP(S153,'FX RATES'!$E$1:$F$10,2,FALSE)))</f>
        <v>649250</v>
      </c>
      <c r="AV153" s="170">
        <f>AT153+AU153</f>
        <v>0</v>
      </c>
      <c r="AW153" s="169"/>
      <c r="AX153" s="170">
        <f>IF(AND(ISERROR(SEARCH("INVOICE",T153)),ISERROR(SEARCH("SWITCH",T153)),ISERROR(SEARCH("FOREX",T153)),ISERROR(SEARCH("REFUND",A153)),ISERROR(SEARCH("CANCELLED",A153))),IF(AW153="",-AT153*X153+AU153*Z153,AW153),0)</f>
        <v>0</v>
      </c>
      <c r="AY153" s="170">
        <f>IF(AZ153="USD",AT153,IF(AZ153=K153,J153,-R153))</f>
        <v>-649250</v>
      </c>
      <c r="AZ153" s="170" t="str">
        <f>LEFT(AB153,3)</f>
        <v>USD</v>
      </c>
      <c r="BA153" s="542">
        <f>IF(OR(A153="REFUND",A153="CANCELLED"),0,IFERROR((IF(OR(AB153="USDAED",LEFT(AB153,3)=RIGHT(AB153,3)),AI153,AG153)-AE153)*-AY153*VLOOKUP(AB153,'FX RATES'!$H$1:$J$26,3,FALSE),0))</f>
        <v>0</v>
      </c>
      <c r="BB153" s="170" t="str">
        <f>RIGHT(AB153,3)</f>
        <v>USD</v>
      </c>
      <c r="BC153" s="542">
        <f>IF(BA153=0,0,IFERROR(BA153/IF(BB153&lt;&gt;"USD",AI153,1),"???"))</f>
        <v>0</v>
      </c>
      <c r="BD153" s="170">
        <f>IFERROR(-AC153/(IF(OR(AB153="USDAED",LEFT(AB153,3)=RIGHT(AB153,3)),AH153,AG153)-AE153)*BC153,0)</f>
        <v>0</v>
      </c>
      <c r="BE153" s="542">
        <f>BC153-BD153</f>
        <v>0</v>
      </c>
      <c r="BF153" s="170">
        <f>IF(BG153="USD",AU153,IF(BG153=S153,R153,-J153))</f>
        <v>649250</v>
      </c>
      <c r="BG153" s="170" t="str">
        <f>LEFT(AJ153,3)</f>
        <v>USD</v>
      </c>
      <c r="BH153" s="542">
        <f>IF(OR(A153="REFUND",A153="CANCELLED"),0,IFERROR((IF(OR(AJ153="USDAED",LEFT(AJ153,3)=RIGHT(AJ153,3)),AQ153,AO153)-AM153)*-BF153*VLOOKUP(AJ153,'FX RATES'!$H$1:$J$26,3,FALSE),0))</f>
        <v>-2077.6000000000595</v>
      </c>
      <c r="BI153" s="170" t="str">
        <f>RIGHT(AJ153,3)</f>
        <v>AED</v>
      </c>
      <c r="BJ153" s="542">
        <f>IF(BH153=0,0,IFERROR(BH153/IF(BI153&lt;&gt;"USD",AQ153,1),"???"))</f>
        <v>-565.71817562969625</v>
      </c>
      <c r="BK153" s="170">
        <f>IFERROR(-AK153/(IF(OR(AJ153="USDAED",LEFT(AJ153,3)=RIGHT(AJ153,3)),AP153,AO153)-AM153)*BJ153,0)</f>
        <v>-565.71817562967999</v>
      </c>
      <c r="BL153" s="542">
        <f>BJ153-BK153</f>
        <v>-1.6257217794191092E-11</v>
      </c>
      <c r="BM153" s="170">
        <f>IF(AND(ISERROR(SEARCH("REFUND",A153)),ISERROR(SEARCH("CANCELLED",A153))),BD153+BK153,0)</f>
        <v>-565.71817562967999</v>
      </c>
      <c r="BN153" s="542">
        <f>IF(AND(ISERROR(SEARCH("REFUND",A153)),ISERROR(SEARCH("CANCELLED",A153))),BE153+BL153,0)</f>
        <v>-1.6257217794191092E-11</v>
      </c>
    </row>
    <row r="155" spans="1:66" ht="19.5" customHeight="1">
      <c r="A155" s="167" t="s">
        <v>366</v>
      </c>
      <c r="B155" s="168" t="s">
        <v>39</v>
      </c>
      <c r="C155" s="168" t="s">
        <v>367</v>
      </c>
      <c r="D155" s="181" t="s">
        <v>418</v>
      </c>
      <c r="E155" s="171">
        <v>46043</v>
      </c>
      <c r="F155" s="171"/>
      <c r="G155" s="168" t="s">
        <v>39</v>
      </c>
      <c r="H155" s="181" t="s">
        <v>437</v>
      </c>
      <c r="I155" s="169">
        <v>-296243</v>
      </c>
      <c r="J155" s="170">
        <f>IF(I155="",AR155,I155)</f>
        <v>-296243</v>
      </c>
      <c r="K155" s="168" t="s">
        <v>8</v>
      </c>
      <c r="L155" s="168" t="s">
        <v>438</v>
      </c>
      <c r="M155" s="168" t="s">
        <v>14</v>
      </c>
      <c r="N155" s="167" t="s">
        <v>371</v>
      </c>
      <c r="O155" s="168" t="s">
        <v>52</v>
      </c>
      <c r="P155" s="168" t="s">
        <v>439</v>
      </c>
      <c r="Q155" s="169"/>
      <c r="R155" s="170">
        <f>IF(Q155="",AS155,Q155)</f>
        <v>6315411.1295695994</v>
      </c>
      <c r="S155" s="168" t="s">
        <v>9</v>
      </c>
      <c r="T155" s="171" t="s">
        <v>439</v>
      </c>
      <c r="U155" s="171" t="s">
        <v>439</v>
      </c>
      <c r="V155" s="167" t="s">
        <v>371</v>
      </c>
      <c r="W155" s="172" t="s">
        <v>389</v>
      </c>
      <c r="X155" s="173">
        <f>IF(Y155="",VLOOKUP(H155,CLIENTS!$A$1:$O$649,5,FALSE),Y155)</f>
        <v>6.0000000000000001E-3</v>
      </c>
      <c r="Y155" s="174">
        <v>6.0000000000000001E-3</v>
      </c>
      <c r="Z155" s="173">
        <f>IF(AA155="",VLOOKUP(P155,CLIENTS!$A$1:$O$649,5,FALSE),AA155)</f>
        <v>0</v>
      </c>
      <c r="AA155" s="174">
        <v>0</v>
      </c>
      <c r="AB155" s="173" t="str">
        <f>IF(W155="via USD",IF(K155="EUR",K155&amp;"USD","USD"&amp;K155),IFERROR(VLOOKUP(K155&amp;S155,'FX RATES'!$H$2:$H$20,1,FALSE),S155&amp;K155))</f>
        <v>AEDRUB</v>
      </c>
      <c r="AC155" s="175">
        <f>IF(LEFT(AB155,3)=RIGHT(AB155,3),0,IFERROR(INDEX(CLIENTS!$A$1:$O$649,MATCH(H155,CLIENTS!$A$1:$A$649,0),MATCH(AB155,CLIENTS!$A$1:$O$1,0)),0))</f>
        <v>0</v>
      </c>
      <c r="AD155" s="176"/>
      <c r="AE155" s="177" t="str">
        <f>IF(W155="CLIENT","",IF(AD155="",AH155+AC155,AD155+AC155))</f>
        <v/>
      </c>
      <c r="AF155" s="177" t="str">
        <f>E155&amp;AB155</f>
        <v>46043AEDRUB</v>
      </c>
      <c r="AG155" s="176"/>
      <c r="AH155" s="178">
        <f ca="1">IF(LEFT(AB155,3)=RIGHT(AB155,3),1,VLOOKUP(AB155,'FX RATES'!$H$1:$I$20,2,FALSE))</f>
        <v>20.8843</v>
      </c>
      <c r="AI155" s="178">
        <f>IF(OR(AB155="USDAED",LEFT(AB155,3)=RIGHT(AB155,3)),AH155,IF(LEFT(AB155)="USD",AG155,IF(RIGHT(AB155,3)="USD",1,IFERROR(VLOOKUP(E155&amp;"USD"&amp;RIGHT(AB155,3),$AF:$AG,2,FALSE),VLOOKUP(E155&amp;"USD"&amp;RIGHT(AJ155,3),$AN:$AO,2,FALSE)))))</f>
        <v>77.5</v>
      </c>
      <c r="AJ155" s="173" t="str">
        <f>IF(W155="via USD",IF(S155="EUR",S155&amp;"USD","USD"&amp;S155),IFERROR(VLOOKUP(K155&amp;S155,'FX RATES'!$H$2:$H$20,1,FALSE),S155&amp;K155))</f>
        <v>AEDRUB</v>
      </c>
      <c r="AK155" s="175">
        <f>IF(LEFT(AJ155,3)=RIGHT(AJ155,3),0,IFERROR(INDEX(CLIENTS!$A$1:$O$649,MATCH(P155,CLIENTS!$A$1:$A$649,0),MATCH(AJ155,CLIENTS!$A$1:$O$1,0)),0))</f>
        <v>0</v>
      </c>
      <c r="AL155" s="176">
        <v>21.191199999999998</v>
      </c>
      <c r="AM155" s="177">
        <f>IF(W155="VENDOR","",IF(AL155="",AP155+AK155,AL155+AK155))</f>
        <v>21.191199999999998</v>
      </c>
      <c r="AN155" s="177" t="str">
        <f>E155&amp;AJ155</f>
        <v>46043AEDRUB</v>
      </c>
      <c r="AO155" s="176">
        <v>21.102699999999999</v>
      </c>
      <c r="AP155" s="178">
        <f ca="1">IF(LEFT(AJ155,3)=RIGHT(AJ155,3),1,VLOOKUP(AJ155,'FX RATES'!$H$1:$I$20,2,FALSE))</f>
        <v>20.8843</v>
      </c>
      <c r="AQ155" s="178">
        <f>IF(OR(AJ155="USDAED",LEFT(AJ155,3)=RIGHT(AJ155,3)),AP155,IF(LEFT(AJ155)="USD",AO155,IF(RIGHT(AJ155,3)="USD",1,IFERROR(VLOOKUP(E155&amp;"USD"&amp;RIGHT(AJ155,3),$AN:$AO,2,FALSE),VLOOKUP(E155&amp;"USD"&amp;RIGHT(AB155,3),$AF:$AG,2,FALSE)))))</f>
        <v>77.7</v>
      </c>
      <c r="AR155" s="179">
        <f>-Q155*(1-Z155)/(1+X155)*IF(W155="CLIENT",IF(S155=RIGHT(AJ155,3),1/AM155,AM155),IF(W155="VENDOR",IF(S155=RIGHT(AJ155,3),1/AE155,AE155),AE155^(VLOOKUP(AB155,'FX RATES'!$H$1:$J$26,3,FALSE))/AM155^(VLOOKUP(AJ155,'FX RATES'!$H$1:$J$26,3,FALSE))))</f>
        <v>0</v>
      </c>
      <c r="AS155" s="179">
        <f>-I155*(1+X155)/(1-Z155)*IF(W155="VENDOR",IF(K155=RIGHT(AB155,3),1/AE155,AE155),IF(W155="CLIENT",IF(K155=RIGHT(AB155,3),1/AM155,AM155),AM155^(VLOOKUP(AJ155,'FX RATES'!$H$1:$J$26,3,FALSE))/AE155^(VLOOKUP(AB155,'FX RATES'!$H$1:$J$26,3,FALSE))))</f>
        <v>6315411.1295695994</v>
      </c>
      <c r="AT155" s="170">
        <f ca="1">IF(AB155&lt;&gt;AJ155,J155/IF(K155=RIGHT(AB155,3),AE155,1/AE155),IF(S155="USD",J155/IF(K155=RIGHT(AB155,3),IF(W155="CLIENT",AM155,AE155),1/IF(W155="CLIENT",AM155,AE155)),J155*VLOOKUP(K155,'FX RATES'!$E$1:$F$10,2,FALSE)))</f>
        <v>-80663.01802537711</v>
      </c>
      <c r="AU155" s="170">
        <f ca="1">IF(AB155&lt;&gt;AJ155,R155/IF(S155=RIGHT(AJ155,3),AM155,1/AM155),IF(K155="USD",R155/IF(S155=RIGHT(AJ155,3),IF(W155="CLIENT",AM155,AE155),1/IF(W155="CLIENT",AM155,AE155)),R155*VLOOKUP(S155,'FX RATES'!$E$1:$F$10,2,FALSE)))</f>
        <v>82317.12683793249</v>
      </c>
      <c r="AV155" s="170">
        <f ca="1">AT155+AU155</f>
        <v>1654.1088125553797</v>
      </c>
      <c r="AW155" s="169"/>
      <c r="AX155" s="170">
        <f ca="1">IF(AND(ISERROR(SEARCH("INVOICE",T155)),ISERROR(SEARCH("SWITCH",T155)),ISERROR(SEARCH("FOREX",T155)),ISERROR(SEARCH("REFUND",A155)),ISERROR(SEARCH("CANCELLED",A155))),IF(AW155="",-AT155*X155+AU155*Z155,AW155),0)</f>
        <v>483.97810815226268</v>
      </c>
      <c r="AY155" s="170">
        <f>IF(AZ155="USD",AT155,IF(AZ155=K155,J155,-R155))</f>
        <v>-296243</v>
      </c>
      <c r="AZ155" s="170" t="str">
        <f>LEFT(AB155,3)</f>
        <v>AED</v>
      </c>
      <c r="BA155" s="542">
        <f>IF(OR(A155="REFUND",A155="CANCELLED"),0,IFERROR((IF(OR(AB155="USDAED",LEFT(AB155,3)=RIGHT(AB155,3)),AI155,AG155)-AE155)*-AY155*VLOOKUP(AB155,'FX RATES'!$H$1:$J$26,3,FALSE),0))</f>
        <v>0</v>
      </c>
      <c r="BB155" s="170" t="str">
        <f>RIGHT(AB155,3)</f>
        <v>RUB</v>
      </c>
      <c r="BC155" s="542">
        <f>IF(BA155=0,0,IFERROR(BA155/IF(BB155&lt;&gt;"USD",AI155,1),"???"))</f>
        <v>0</v>
      </c>
      <c r="BD155" s="170">
        <f>IFERROR(-AC155/(IF(OR(AB155="USDAED",LEFT(AB155,3)=RIGHT(AB155,3)),AH155,AG155)-AE155)*BC155,0)</f>
        <v>0</v>
      </c>
      <c r="BE155" s="542">
        <f>BC155-BD155</f>
        <v>0</v>
      </c>
      <c r="BF155" s="170">
        <f>IF(BG155="USD",AU155,IF(BG155=S155,R155,-J155))</f>
        <v>296243</v>
      </c>
      <c r="BG155" s="170" t="str">
        <f>LEFT(AJ155,3)</f>
        <v>AED</v>
      </c>
      <c r="BH155" s="542">
        <f>IF(OR(A155="REFUND",A155="CANCELLED"),0,IFERROR((IF(OR(AJ155="USDAED",LEFT(AJ155,3)=RIGHT(AJ155,3)),AQ155,AO155)-AM155)*-BF155*VLOOKUP(AJ155,'FX RATES'!$H$1:$J$26,3,FALSE),0))</f>
        <v>26217.505499999941</v>
      </c>
      <c r="BI155" s="170" t="str">
        <f>RIGHT(AJ155,3)</f>
        <v>RUB</v>
      </c>
      <c r="BJ155" s="542">
        <f>IF(BH155=0,0,IFERROR(BH155/IF(BI155&lt;&gt;"USD",AQ155,1),"???"))</f>
        <v>337.41963320463242</v>
      </c>
      <c r="BK155" s="170">
        <f>IFERROR(-AK155/(IF(OR(AJ155="USDAED",LEFT(AJ155,3)=RIGHT(AJ155,3)),AP155,AO155)-AM155)*BJ155,0)</f>
        <v>0</v>
      </c>
      <c r="BL155" s="542">
        <f>BJ155-BK155</f>
        <v>337.41963320463242</v>
      </c>
      <c r="BM155" s="170">
        <f>IF(AND(ISERROR(SEARCH("REFUND",A155)),ISERROR(SEARCH("CANCELLED",A155))),BD155+BK155,0)</f>
        <v>0</v>
      </c>
      <c r="BN155" s="542">
        <f>IF(AND(ISERROR(SEARCH("REFUND",A155)),ISERROR(SEARCH("CANCELLED",A155))),BE155+BL155,0)</f>
        <v>337.41963320463242</v>
      </c>
    </row>
    <row r="156" spans="1:66" ht="19.5" customHeight="1">
      <c r="A156" s="167" t="s">
        <v>366</v>
      </c>
      <c r="B156" s="168" t="s">
        <v>52</v>
      </c>
      <c r="C156" s="168" t="s">
        <v>383</v>
      </c>
      <c r="D156" s="168" t="s">
        <v>128</v>
      </c>
      <c r="E156" s="171">
        <v>46043</v>
      </c>
      <c r="F156" s="171"/>
      <c r="G156" s="168" t="s">
        <v>52</v>
      </c>
      <c r="H156" s="181" t="s">
        <v>439</v>
      </c>
      <c r="I156" s="169">
        <f>-R155</f>
        <v>-6315411.1295695994</v>
      </c>
      <c r="J156" s="170">
        <f>IF(I156="",AR156,I156)</f>
        <v>-6315411.1295695994</v>
      </c>
      <c r="K156" s="168" t="s">
        <v>9</v>
      </c>
      <c r="L156" s="171" t="s">
        <v>439</v>
      </c>
      <c r="M156" s="168" t="s">
        <v>439</v>
      </c>
      <c r="N156" s="167" t="s">
        <v>371</v>
      </c>
      <c r="O156" s="168" t="s">
        <v>39</v>
      </c>
      <c r="P156" s="168" t="s">
        <v>39</v>
      </c>
      <c r="Q156" s="169"/>
      <c r="R156" s="170">
        <f>IF(Q156="",AS156,Q156)</f>
        <v>297722.43754199997</v>
      </c>
      <c r="S156" s="168" t="s">
        <v>8</v>
      </c>
      <c r="T156" s="171" t="s">
        <v>440</v>
      </c>
      <c r="U156" s="168" t="s">
        <v>20</v>
      </c>
      <c r="V156" s="167" t="s">
        <v>371</v>
      </c>
      <c r="W156" s="172" t="s">
        <v>382</v>
      </c>
      <c r="X156" s="173">
        <f>IF(Y156="",VLOOKUP(H156,CLIENTS!$A$1:$O$649,5,FALSE),Y156)</f>
        <v>-1E-3</v>
      </c>
      <c r="Y156" s="174">
        <v>-1E-3</v>
      </c>
      <c r="Z156" s="173">
        <f>IF(AA156="",VLOOKUP(P156,CLIENTS!$A$1:$O$649,5,FALSE),AA156)</f>
        <v>0</v>
      </c>
      <c r="AA156" s="174">
        <v>0</v>
      </c>
      <c r="AB156" s="173" t="str">
        <f>IF(W156="via USD",IF(K156="EUR",K156&amp;"USD","USD"&amp;K156),IFERROR(VLOOKUP(K156&amp;S156,'FX RATES'!$H$2:$H$20,1,FALSE),S156&amp;K156))</f>
        <v>AEDRUB</v>
      </c>
      <c r="AC156" s="175">
        <f>IF(LEFT(AB156,3)=RIGHT(AB156,3),0,IFERROR(INDEX(CLIENTS!$A$1:$O$649,MATCH(H156,CLIENTS!$A$1:$A$649,0),MATCH(AB156,CLIENTS!$A$1:$O$1,0)),0))</f>
        <v>0</v>
      </c>
      <c r="AD156" s="176">
        <v>21.191199999999998</v>
      </c>
      <c r="AE156" s="177">
        <f>IF(W156="CLIENT","",IF(AD156="",AH156+AC156,AD156+AC156))</f>
        <v>21.191199999999998</v>
      </c>
      <c r="AF156" s="177" t="str">
        <f>E156&amp;AB156</f>
        <v>46043AEDRUB</v>
      </c>
      <c r="AG156" s="176">
        <v>21.102699999999999</v>
      </c>
      <c r="AH156" s="178">
        <f ca="1">IF(LEFT(AB156,3)=RIGHT(AB156,3),1,VLOOKUP(AB156,'FX RATES'!$H$1:$I$20,2,FALSE))</f>
        <v>20.8843</v>
      </c>
      <c r="AI156" s="178">
        <f>IF(OR(AB156="USDAED",LEFT(AB156,3)=RIGHT(AB156,3)),AH156,IF(LEFT(AB156)="USD",AG156,IF(RIGHT(AB156,3)="USD",1,IFERROR(VLOOKUP(E156&amp;"USD"&amp;RIGHT(AB156,3),$AF:$AG,2,FALSE),VLOOKUP(E156&amp;"USD"&amp;RIGHT(AJ156,3),$AN:$AO,2,FALSE)))))</f>
        <v>77.5</v>
      </c>
      <c r="AJ156" s="173" t="str">
        <f>IF(W156="via USD",IF(S156="EUR",S156&amp;"USD","USD"&amp;S156),IFERROR(VLOOKUP(K156&amp;S156,'FX RATES'!$H$2:$H$20,1,FALSE),S156&amp;K156))</f>
        <v>AEDRUB</v>
      </c>
      <c r="AK156" s="175">
        <f>IF(LEFT(AJ156,3)=RIGHT(AJ156,3),0,IFERROR(INDEX(CLIENTS!$A$1:$O$649,MATCH(P156,CLIENTS!$A$1:$A$649,0),MATCH(AJ156,CLIENTS!$A$1:$O$1,0)),0))</f>
        <v>0</v>
      </c>
      <c r="AL156" s="176"/>
      <c r="AM156" s="177" t="str">
        <f>IF(W156="VENDOR","",IF(AL156="",AP156+AK156,AL156+AK156))</f>
        <v/>
      </c>
      <c r="AN156" s="177" t="str">
        <f>E156&amp;AJ156</f>
        <v>46043AEDRUB</v>
      </c>
      <c r="AO156" s="176"/>
      <c r="AP156" s="178">
        <f ca="1">IF(LEFT(AJ156,3)=RIGHT(AJ156,3),1,VLOOKUP(AJ156,'FX RATES'!$H$1:$I$20,2,FALSE))</f>
        <v>20.8843</v>
      </c>
      <c r="AQ156" s="178">
        <f>IF(OR(AJ156="USDAED",LEFT(AJ156,3)=RIGHT(AJ156,3)),AP156,IF(LEFT(AJ156)="USD",AO156,IF(RIGHT(AJ156,3)="USD",1,IFERROR(VLOOKUP(E156&amp;"USD"&amp;RIGHT(AJ156,3),$AN:$AO,2,FALSE),VLOOKUP(E156&amp;"USD"&amp;RIGHT(AB156,3),$AF:$AG,2,FALSE)))))</f>
        <v>77.7</v>
      </c>
      <c r="AR156" s="179">
        <f>-Q156*(1-Z156)/(1+X156)*IF(W156="CLIENT",IF(S156=RIGHT(AJ156,3),1/AM156,AM156),IF(W156="VENDOR",IF(S156=RIGHT(AJ156,3),1/AE156,AE156),AE156^(VLOOKUP(AB156,'FX RATES'!$H$1:$J$26,3,FALSE))/AM156^(VLOOKUP(AJ156,'FX RATES'!$H$1:$J$26,3,FALSE))))</f>
        <v>0</v>
      </c>
      <c r="AS156" s="179">
        <f>-I156*(1+X156)/(1-Z156)*IF(W156="VENDOR",IF(K156=RIGHT(AB156,3),1/AE156,AE156),IF(W156="CLIENT",IF(K156=RIGHT(AB156,3),1/AM156,AM156),AM156^(VLOOKUP(AJ156,'FX RATES'!$H$1:$J$26,3,FALSE))/AE156^(VLOOKUP(AB156,'FX RATES'!$H$1:$J$26,3,FALSE))))</f>
        <v>297722.43754199997</v>
      </c>
      <c r="AT156" s="170">
        <f ca="1">IF(AB156&lt;&gt;AJ156,J156/IF(K156=RIGHT(AB156,3),AE156,1/AE156),IF(S156="USD",J156/IF(K156=RIGHT(AB156,3),IF(W156="CLIENT",AM156,AE156),1/IF(W156="CLIENT",AM156,AE156)),J156*VLOOKUP(K156,'FX RATES'!$E$1:$F$10,2,FALSE)))</f>
        <v>-82317.12683793249</v>
      </c>
      <c r="AU156" s="170">
        <f ca="1">IF(AB156&lt;&gt;AJ156,R156/IF(S156=RIGHT(AJ156,3),AM156,1/AM156),IF(K156="USD",R156/IF(S156=RIGHT(AJ156,3),IF(W156="CLIENT",AM156,AE156),1/IF(W156="CLIENT",AM156,AE156)),R156*VLOOKUP(S156,'FX RATES'!$E$1:$F$10,2,FALSE)))</f>
        <v>81065.849137395839</v>
      </c>
      <c r="AV156" s="170">
        <f ca="1">AT156+AU156</f>
        <v>-1251.2777005366515</v>
      </c>
      <c r="AW156" s="169"/>
      <c r="AX156" s="170">
        <f ca="1">IF(AND(ISERROR(SEARCH("INVOICE",T156)),ISERROR(SEARCH("SWITCH",T156)),ISERROR(SEARCH("FOREX",T156)),ISERROR(SEARCH("REFUND",A156)),ISERROR(SEARCH("CANCELLED",A156))),IF(AW156="",-AT156*X156+AU156*Z156,AW156),0)</f>
        <v>-82.317126837932491</v>
      </c>
      <c r="AY156" s="170">
        <f>IF(AZ156="USD",AT156,IF(AZ156=K156,J156,-R156))</f>
        <v>-297722.43754199997</v>
      </c>
      <c r="AZ156" s="170" t="str">
        <f>LEFT(AB156,3)</f>
        <v>AED</v>
      </c>
      <c r="BA156" s="542">
        <f>IF(OR(A156="REFUND",A156="CANCELLED"),0,IFERROR((IF(OR(AB156="USDAED",LEFT(AB156,3)=RIGHT(AB156,3)),AI156,AG156)-AE156)*-AY156*VLOOKUP(AB156,'FX RATES'!$H$1:$J$26,3,FALSE),0))</f>
        <v>-26348.435722466937</v>
      </c>
      <c r="BB156" s="170" t="str">
        <f>RIGHT(AB156,3)</f>
        <v>RUB</v>
      </c>
      <c r="BC156" s="542">
        <f>IF(BA156=0,0,IFERROR(BA156/IF(BB156&lt;&gt;"USD",AI156,1),"???"))</f>
        <v>-339.97981577376692</v>
      </c>
      <c r="BD156" s="170">
        <f>IFERROR(-AC156/(IF(OR(AB156="USDAED",LEFT(AB156,3)=RIGHT(AB156,3)),AH156,AG156)-AE156)*BC156,0)</f>
        <v>0</v>
      </c>
      <c r="BE156" s="542">
        <f>BC156-BD156</f>
        <v>-339.97981577376692</v>
      </c>
      <c r="BF156" s="170">
        <f>IF(BG156="USD",AU156,IF(BG156=S156,R156,-J156))</f>
        <v>297722.43754199997</v>
      </c>
      <c r="BG156" s="170" t="str">
        <f>LEFT(AJ156,3)</f>
        <v>AED</v>
      </c>
      <c r="BH156" s="542">
        <f>IF(OR(A156="REFUND",A156="CANCELLED"),0,IFERROR((IF(OR(AJ156="USDAED",LEFT(AJ156,3)=RIGHT(AJ156,3)),AQ156,AO156)-AM156)*-BF156*VLOOKUP(AJ156,'FX RATES'!$H$1:$J$26,3,FALSE),0))</f>
        <v>0</v>
      </c>
      <c r="BI156" s="170" t="str">
        <f>RIGHT(AJ156,3)</f>
        <v>RUB</v>
      </c>
      <c r="BJ156" s="542">
        <f>IF(BH156=0,0,IFERROR(BH156/IF(BI156&lt;&gt;"USD",AQ156,1),"???"))</f>
        <v>0</v>
      </c>
      <c r="BK156" s="170">
        <f>IFERROR(-AK156/(IF(OR(AJ156="USDAED",LEFT(AJ156,3)=RIGHT(AJ156,3)),AP156,AO156)-AM156)*BJ156,0)</f>
        <v>0</v>
      </c>
      <c r="BL156" s="542">
        <f>BJ156-BK156</f>
        <v>0</v>
      </c>
      <c r="BM156" s="170">
        <f>IF(AND(ISERROR(SEARCH("REFUND",A156)),ISERROR(SEARCH("CANCELLED",A156))),BD156+BK156,0)</f>
        <v>0</v>
      </c>
      <c r="BN156" s="542">
        <f>IF(AND(ISERROR(SEARCH("REFUND",A156)),ISERROR(SEARCH("CANCELLED",A156))),BE156+BL156,0)</f>
        <v>-339.97981577376692</v>
      </c>
    </row>
    <row r="158" spans="1:66" ht="19.5" customHeight="1">
      <c r="A158" s="167" t="s">
        <v>366</v>
      </c>
      <c r="B158" s="181" t="s">
        <v>0</v>
      </c>
      <c r="C158" s="181" t="s">
        <v>367</v>
      </c>
      <c r="D158" s="181" t="s">
        <v>121</v>
      </c>
      <c r="E158" s="171">
        <v>46043</v>
      </c>
      <c r="F158" s="171"/>
      <c r="G158" s="181" t="s">
        <v>0</v>
      </c>
      <c r="H158" s="168" t="s">
        <v>499</v>
      </c>
      <c r="I158" s="169"/>
      <c r="J158" s="170">
        <f>IF(I158="",AR158,I158)</f>
        <v>-93391.675000000003</v>
      </c>
      <c r="K158" s="168" t="s">
        <v>8</v>
      </c>
      <c r="L158" s="168" t="s">
        <v>500</v>
      </c>
      <c r="M158" s="168" t="s">
        <v>500</v>
      </c>
      <c r="N158" s="167" t="s">
        <v>371</v>
      </c>
      <c r="O158" s="168" t="s">
        <v>52</v>
      </c>
      <c r="P158" s="168" t="s">
        <v>499</v>
      </c>
      <c r="Q158" s="169">
        <v>25430</v>
      </c>
      <c r="R158" s="170">
        <f>IF(Q158="",AS158,Q158)</f>
        <v>25430</v>
      </c>
      <c r="S158" s="168" t="s">
        <v>53</v>
      </c>
      <c r="T158" s="168" t="s">
        <v>420</v>
      </c>
      <c r="U158" s="168" t="s">
        <v>54</v>
      </c>
      <c r="V158" s="167" t="s">
        <v>371</v>
      </c>
      <c r="W158" s="172" t="s">
        <v>375</v>
      </c>
      <c r="X158" s="173">
        <f>IF(Y158="",VLOOKUP(H158,CLIENTS!$A$1:$O$649,5,FALSE),Y158)</f>
        <v>0</v>
      </c>
      <c r="Y158" s="174">
        <v>0</v>
      </c>
      <c r="Z158" s="173">
        <f>IF(AA158="",VLOOKUP(P158,CLIENTS!$A$1:$O$649,5,FALSE),AA158)</f>
        <v>0</v>
      </c>
      <c r="AA158" s="174">
        <v>0</v>
      </c>
      <c r="AB158" s="173" t="str">
        <f>IF(W158="via USD",IF(K158="EUR",K158&amp;"USD","USD"&amp;K158),IFERROR(VLOOKUP(K158&amp;S158,'FX RATES'!$H$2:$H$20,1,FALSE),S158&amp;K158))</f>
        <v>USDAED</v>
      </c>
      <c r="AC158" s="175">
        <f>IF(LEFT(AB158,3)=RIGHT(AB158,3),0,IFERROR(INDEX(CLIENTS!$A$1:$O$649,MATCH(H158,CLIENTS!$A$1:$A$649,0),MATCH(AB158,CLIENTS!$A$1:$O$1,0)),0))</f>
        <v>0</v>
      </c>
      <c r="AD158" s="176"/>
      <c r="AE158" s="177">
        <f>IF(W158="CLIENT","",IF(AD158="",AH158+AC158,AD158+AC158))</f>
        <v>3.6724999999999999</v>
      </c>
      <c r="AF158" s="177" t="str">
        <f>E158&amp;AB158</f>
        <v>46043USDAED</v>
      </c>
      <c r="AG158" s="176"/>
      <c r="AH158" s="178">
        <f>IF(LEFT(AB158,3)=RIGHT(AB158,3),1,VLOOKUP(AB158,'FX RATES'!$H$1:$I$20,2,FALSE))</f>
        <v>3.6724999999999999</v>
      </c>
      <c r="AI158" s="178">
        <f>IF(OR(AB158="USDAED",LEFT(AB158,3)=RIGHT(AB158,3)),AH158,IF(LEFT(AB158)="USD",AG158,IF(RIGHT(AB158,3)="USD",1,IFERROR(VLOOKUP(E158&amp;"USD"&amp;RIGHT(AB158,3),$AF:$AG,2,FALSE),VLOOKUP(E158&amp;"USD"&amp;RIGHT(AJ158,3),$AN:$AO,2,FALSE)))))</f>
        <v>3.6724999999999999</v>
      </c>
      <c r="AJ158" s="173" t="str">
        <f>IF(W158="via USD",IF(S158="EUR",S158&amp;"USD","USD"&amp;S158),IFERROR(VLOOKUP(K158&amp;S158,'FX RATES'!$H$2:$H$20,1,FALSE),S158&amp;K158))</f>
        <v>USDUSDT</v>
      </c>
      <c r="AK158" s="175">
        <f>IF(LEFT(AJ158,3)=RIGHT(AJ158,3),0,IFERROR(INDEX(CLIENTS!$A$1:$O$649,MATCH(P158,CLIENTS!$A$1:$A$649,0),MATCH(AJ158,CLIENTS!$A$1:$O$1,0)),0))</f>
        <v>0</v>
      </c>
      <c r="AL158" s="176"/>
      <c r="AM158" s="177">
        <f>IF(W158="VENDOR","",IF(AL158="",AP158+AK158,AL158+AK158))</f>
        <v>1</v>
      </c>
      <c r="AN158" s="177" t="str">
        <f>E158&amp;AJ158</f>
        <v>46043USDUSDT</v>
      </c>
      <c r="AO158" s="176">
        <v>1</v>
      </c>
      <c r="AP158" s="178">
        <f>IF(LEFT(AJ158,3)=RIGHT(AJ158,3),1,VLOOKUP(AJ158,'FX RATES'!$H$1:$I$50,2,FALSE))</f>
        <v>1</v>
      </c>
      <c r="AQ158" s="178">
        <f>IF(OR(AJ158="USDAED",LEFT(AJ158,3)=RIGHT(AJ158,3),AJ158="USDUSDT",AJ158="USDTUSD"),AP158,IF(LEFT(AJ158)="USD",AO158,IF(RIGHT(AJ158,3)="USD",1,IFERROR(VLOOKUP(E158&amp;"USD"&amp;RIGHT(AJ158,3),$AN:$AO,2,FALSE),VLOOKUP(E158&amp;"USD"&amp;RIGHT(AB158,3),$AF:$AG,2,FALSE)))))</f>
        <v>1</v>
      </c>
      <c r="AR158" s="179">
        <f>-Q158*(1-Z158)/(1+X158)*IF(W158="CLIENT",IF(S158=RIGHT(AJ158,3),1/AM158,AM158),IF(W158="VENDOR",IF(S158=RIGHT(AJ158,3),1/AE158,AE158),AE158^(VLOOKUP(AB158,'FX RATES'!$H$1:$J$26,3,FALSE))/AM158^(VLOOKUP(AJ158,'FX RATES'!$H$1:$J$26,3,FALSE))))</f>
        <v>-93391.675000000003</v>
      </c>
      <c r="AS158" s="179">
        <f>-I158*(1+X158)/(1-Z158)*IF(W158="VENDOR",IF(K158=RIGHT(AB158,3),1/AE158,AE158),IF(W158="CLIENT",IF(K158=RIGHT(AB158,3),1/AM158,AM158),AM158^(VLOOKUP(AJ158,'FX RATES'!$H$1:$J$26,3,FALSE))/AE158^(VLOOKUP(AB158,'FX RATES'!$H$1:$J$26,3,FALSE))))</f>
        <v>0</v>
      </c>
      <c r="AT158" s="170">
        <f>IF(AB158&lt;&gt;AJ158,J158/IF(K158=RIGHT(AB158,3),AE158,1/AE158),IF(S158="USD",J158/IF(K158=RIGHT(AB158,3),IF(W158="CLIENT",AM158,AE158),1/IF(W158="CLIENT",AM158,AE158)),J158*VLOOKUP(K158,'FX RATES'!$E$1:$F$10,2,FALSE)))</f>
        <v>-25430</v>
      </c>
      <c r="AU158" s="170">
        <f>IF(AB158&lt;&gt;AJ158,R158/IF(S158=RIGHT(AJ158,3),AM158,1/AM158),IF(K158="USD",R158/IF(S158=RIGHT(AJ158,3),IF(W158="CLIENT",AM158,AE158),1/IF(W158="CLIENT",AM158,AE158)),R158*VLOOKUP(S158,'FX RATES'!$E$1:$F$10,2,FALSE)))</f>
        <v>25430</v>
      </c>
      <c r="AV158" s="170">
        <f>AT158+AU158</f>
        <v>0</v>
      </c>
      <c r="AW158" s="169"/>
      <c r="AX158" s="170">
        <f>IF(AND(ISERROR(SEARCH("INVOICE",T158)),ISERROR(SEARCH("SWITCH",T158)),ISERROR(SEARCH("FOREX",T158)),ISERROR(SEARCH("REFUND",A158)),ISERROR(SEARCH("CANCELLED",A158))),IF(AW158="",-AT158*X158+AU158*Z158,AW158),0)</f>
        <v>0</v>
      </c>
      <c r="AY158" s="170">
        <f>IF(AZ158="USD",AT158,IF(AZ158=K158,J158,-R158))</f>
        <v>-25430</v>
      </c>
      <c r="AZ158" s="170" t="str">
        <f>LEFT(AB158,3)</f>
        <v>USD</v>
      </c>
      <c r="BA158" s="542">
        <f>IF(OR(A158="REFUND",A158="CANCELLED"),0,IFERROR((IF(OR(AB158="USDAED",LEFT(AB158,3)=RIGHT(AB158,3)),AI158,AG158)-AE158)*-AY158*VLOOKUP(AB158,'FX RATES'!$H$1:$J$26,3,FALSE),0))</f>
        <v>0</v>
      </c>
      <c r="BB158" s="170" t="str">
        <f>RIGHT(AB158,3)</f>
        <v>AED</v>
      </c>
      <c r="BC158" s="542">
        <f>IF(BA158=0,0,IFERROR(BA158/IF(BB158&lt;&gt;"USD",AI158,1),"???"))</f>
        <v>0</v>
      </c>
      <c r="BD158" s="170">
        <f>IFERROR(-AC158/(IF(OR(AB158="USDAED",LEFT(AB158,3)=RIGHT(AB158,3)),AH158,AG158)-AE158)*BC158,0)</f>
        <v>0</v>
      </c>
      <c r="BE158" s="542">
        <f>BC158-BD158</f>
        <v>0</v>
      </c>
      <c r="BF158" s="170">
        <f>IF(BG158="USD",AU158,IF(BG158=S158,R158,-J158))</f>
        <v>25430</v>
      </c>
      <c r="BG158" s="170" t="str">
        <f>LEFT(AJ158,3)</f>
        <v>USD</v>
      </c>
      <c r="BH158" s="542">
        <f>IF(OR(A158="REFUND",A158="CANCELLED"),0,IFERROR((IF(OR(AJ158="USDAED",LEFT(AJ158,3)=RIGHT(AJ158,3),AJ158="USDUSDT",AJ158="USDTUSD"),AQ158,AO158)-AM158)*-BF158*VLOOKUP(AJ158,'FX RATES'!$H$1:$J$26,3,FALSE),0))</f>
        <v>0</v>
      </c>
      <c r="BI158" s="170" t="str">
        <f>RIGHT(AJ158,4)</f>
        <v>USDT</v>
      </c>
      <c r="BJ158" s="542">
        <f>IF(BH158=0,0,IFERROR(BH158/IF(BI158&lt;&gt;"USD",AQ158,1),"???"))</f>
        <v>0</v>
      </c>
      <c r="BK158" s="170">
        <f>IFERROR(-AK158/(IF(OR(AJ158="USDAED",LEFT(AJ158,3)=RIGHT(AJ158,3)),AP158,AO158)-AM158)*BJ158,0)</f>
        <v>0</v>
      </c>
      <c r="BL158" s="542">
        <f>BJ158-BK158</f>
        <v>0</v>
      </c>
      <c r="BM158" s="170">
        <f>IF(AND(ISERROR(SEARCH("REFUND",A158)),ISERROR(SEARCH("CANCELLED",A158))),BD158+BK158,0)</f>
        <v>0</v>
      </c>
      <c r="BN158" s="542">
        <f>IF(AND(ISERROR(SEARCH("REFUND",A158)),ISERROR(SEARCH("CANCELLED",A158))),BE158+BL158,0)</f>
        <v>0</v>
      </c>
    </row>
    <row r="159" spans="1:66" ht="19.5" customHeight="1">
      <c r="J159" s="450"/>
      <c r="L159" s="180"/>
      <c r="M159" s="180"/>
    </row>
    <row r="160" spans="1:66" ht="19.5" customHeight="1">
      <c r="A160" s="167" t="s">
        <v>366</v>
      </c>
      <c r="B160" s="181" t="s">
        <v>39</v>
      </c>
      <c r="C160" s="181" t="s">
        <v>367</v>
      </c>
      <c r="D160" s="181" t="s">
        <v>418</v>
      </c>
      <c r="E160" s="171">
        <v>46044</v>
      </c>
      <c r="F160" s="171"/>
      <c r="G160" s="181" t="s">
        <v>39</v>
      </c>
      <c r="H160" s="168" t="s">
        <v>428</v>
      </c>
      <c r="I160" s="169"/>
      <c r="J160" s="170">
        <f>IF(I160="",AR160,I160)</f>
        <v>-299400</v>
      </c>
      <c r="K160" s="168" t="s">
        <v>5</v>
      </c>
      <c r="L160" s="168" t="s">
        <v>378</v>
      </c>
      <c r="M160" s="168" t="s">
        <v>20</v>
      </c>
      <c r="N160" s="167" t="s">
        <v>371</v>
      </c>
      <c r="O160" s="168" t="s">
        <v>52</v>
      </c>
      <c r="P160" s="168" t="s">
        <v>428</v>
      </c>
      <c r="Q160" s="169">
        <v>300000</v>
      </c>
      <c r="R160" s="170">
        <f>IF(Q160="",AS160,Q160)</f>
        <v>300000</v>
      </c>
      <c r="S160" s="168" t="s">
        <v>53</v>
      </c>
      <c r="T160" s="168" t="s">
        <v>420</v>
      </c>
      <c r="U160" s="168" t="s">
        <v>54</v>
      </c>
      <c r="V160" s="167" t="s">
        <v>371</v>
      </c>
      <c r="W160" s="172" t="s">
        <v>375</v>
      </c>
      <c r="X160" s="173">
        <f>IF(Y160="",VLOOKUP(H160,CLIENTS!$A$1:$O$649,5,FALSE),Y160)</f>
        <v>0</v>
      </c>
      <c r="Y160" s="174">
        <v>0</v>
      </c>
      <c r="Z160" s="173">
        <f>IF(AA160="",VLOOKUP(P160,CLIENTS!$A$1:$O$649,5,FALSE),AA160)</f>
        <v>2E-3</v>
      </c>
      <c r="AA160" s="174">
        <v>2E-3</v>
      </c>
      <c r="AB160" s="173" t="str">
        <f>IF(W160="via USD",IF(K160="EUR",K160&amp;"USD","USD"&amp;K160),IFERROR(VLOOKUP(K160&amp;S160,'FX RATES'!$H$2:$H$20,1,FALSE),S160&amp;K160))</f>
        <v>USDUSD</v>
      </c>
      <c r="AC160" s="175">
        <f>IF(LEFT(AB160,3)=RIGHT(AB160,3),0,IFERROR(INDEX(CLIENTS!$A$1:$O$649,MATCH(H160,CLIENTS!$A$1:$A$649,0),MATCH(AB160,CLIENTS!$A$1:$O$1,0)),0))</f>
        <v>0</v>
      </c>
      <c r="AD160" s="176"/>
      <c r="AE160" s="177">
        <f>IF(W160="CLIENT","",IF(AD160="",AH160+AC160,AD160+AC160))</f>
        <v>1</v>
      </c>
      <c r="AF160" s="177" t="str">
        <f>E160&amp;AB160</f>
        <v>46044USDUSD</v>
      </c>
      <c r="AG160" s="176"/>
      <c r="AH160" s="178">
        <f>IF(LEFT(AB160,3)=RIGHT(AB160,3),1,VLOOKUP(AB160,'FX RATES'!$H$1:$I$20,2,FALSE))</f>
        <v>1</v>
      </c>
      <c r="AI160" s="178">
        <f>IF(OR(AB160="USDAED",LEFT(AB160,3)=RIGHT(AB160,3)),AH160,IF(LEFT(AB160)="USD",AG160,IF(RIGHT(AB160,3)="USD",1,IFERROR(VLOOKUP(E160&amp;"USD"&amp;RIGHT(AB160,3),$AF:$AG,2,FALSE),VLOOKUP(E160&amp;"USD"&amp;RIGHT(AJ160,3),$AN:$AO,2,FALSE)))))</f>
        <v>1</v>
      </c>
      <c r="AJ160" s="173" t="str">
        <f>IF(W160="via USD",IF(S160="EUR",S160&amp;"USD","USD"&amp;S160),IFERROR(VLOOKUP(K160&amp;S160,'FX RATES'!$H$2:$H$20,1,FALSE),S160&amp;K160))</f>
        <v>USDUSDT</v>
      </c>
      <c r="AK160" s="175">
        <f>IF(LEFT(AJ160,3)=RIGHT(AJ160,3),0,IFERROR(INDEX(CLIENTS!$A$1:$O$649,MATCH(P160,CLIENTS!$A$1:$A$649,0),MATCH(AJ160,CLIENTS!$A$1:$O$1,0)),0))</f>
        <v>0</v>
      </c>
      <c r="AL160" s="176"/>
      <c r="AM160" s="177">
        <f>IF(W160="VENDOR","",IF(AL160="",AP160+AK160,AL160+AK160))</f>
        <v>1</v>
      </c>
      <c r="AN160" s="177" t="str">
        <f>E160&amp;AJ160</f>
        <v>46044USDUSDT</v>
      </c>
      <c r="AO160" s="176">
        <v>1</v>
      </c>
      <c r="AP160" s="178">
        <f>IF(LEFT(AJ160,3)=RIGHT(AJ160,3),1,VLOOKUP(AJ160,'FX RATES'!$H$1:$I$50,2,FALSE))</f>
        <v>1</v>
      </c>
      <c r="AQ160" s="178">
        <f>IF(OR(AJ160="USDAED",LEFT(AJ160,3)=RIGHT(AJ160,3),AJ160="USDUSDT",AJ160="USDTUSD"),AP160,IF(LEFT(AJ160)="USD",AO160,IF(RIGHT(AJ160,3)="USD",1,IFERROR(VLOOKUP(E160&amp;"USD"&amp;RIGHT(AJ160,3),$AN:$AO,2,FALSE),VLOOKUP(E160&amp;"USD"&amp;RIGHT(AB160,3),$AF:$AG,2,FALSE)))))</f>
        <v>1</v>
      </c>
      <c r="AR160" s="179">
        <f>-Q160*(1-Z160)/(1+X160)*IF(W160="CLIENT",IF(S160=RIGHT(AJ160,3),1/AM160,AM160),IF(W160="VENDOR",IF(S160=RIGHT(AJ160,3),1/AE160,AE160),AE160^(VLOOKUP(AB160,'FX RATES'!$H$1:$J$26,3,FALSE))/AM160^(VLOOKUP(AJ160,'FX RATES'!$H$1:$J$26,3,FALSE))))</f>
        <v>-299400</v>
      </c>
      <c r="AS160" s="179">
        <f>-I160*(1+X160)/(1-Z160)*IF(W160="VENDOR",IF(K160=RIGHT(AB160,3),1/AE160,AE160),IF(W160="CLIENT",IF(K160=RIGHT(AB160,3),1/AM160,AM160),AM160^(VLOOKUP(AJ160,'FX RATES'!$H$1:$J$26,3,FALSE))/AE160^(VLOOKUP(AB160,'FX RATES'!$H$1:$J$26,3,FALSE))))</f>
        <v>0</v>
      </c>
      <c r="AT160" s="170">
        <f>IF(AB160&lt;&gt;AJ160,J160/IF(K160=RIGHT(AB160,3),AE160,1/AE160),IF(S160="USD",J160/IF(K160=RIGHT(AB160,3),IF(W160="CLIENT",AM160,AE160),1/IF(W160="CLIENT",AM160,AE160)),J160*VLOOKUP(K160,'FX RATES'!$E$1:$F$10,2,FALSE)))</f>
        <v>-299400</v>
      </c>
      <c r="AU160" s="170">
        <f>IF(AB160&lt;&gt;AJ160,R160/IF(S160=RIGHT(AJ160,3),AM160,1/AM160),IF(K160="USD",R160/IF(S160=RIGHT(AJ160,3),IF(W160="CLIENT",AM160,AE160),1/IF(W160="CLIENT",AM160,AE160)),R160*VLOOKUP(S160,'FX RATES'!$E$1:$F$10,2,FALSE)))</f>
        <v>300000</v>
      </c>
      <c r="AV160" s="170">
        <f>AT160+AU160</f>
        <v>600</v>
      </c>
      <c r="AW160" s="169"/>
      <c r="AX160" s="170">
        <f>IF(AND(ISERROR(SEARCH("INVOICE",T160)),ISERROR(SEARCH("SWITCH",T160)),ISERROR(SEARCH("FOREX",T160)),ISERROR(SEARCH("REFUND",A160)),ISERROR(SEARCH("CANCELLED",A160))),IF(AW160="",-AT160*X160+AU160*Z160,AW160),0)</f>
        <v>600</v>
      </c>
      <c r="AY160" s="170">
        <f>IF(AZ160="USD",AT160,IF(AZ160=K160,J160,-R160))</f>
        <v>-299400</v>
      </c>
      <c r="AZ160" s="170" t="str">
        <f>LEFT(AB160,3)</f>
        <v>USD</v>
      </c>
      <c r="BA160" s="542">
        <f>IF(OR(A160="REFUND",A160="CANCELLED"),0,IFERROR((IF(OR(AB160="USDAED",LEFT(AB160,3)=RIGHT(AB160,3)),AI160,AG160)-AE160)*-AY160*VLOOKUP(AB160,'FX RATES'!$H$1:$J$26,3,FALSE),0))</f>
        <v>0</v>
      </c>
      <c r="BB160" s="170" t="str">
        <f>RIGHT(AB160,3)</f>
        <v>USD</v>
      </c>
      <c r="BC160" s="542">
        <f>IF(BA160=0,0,IFERROR(BA160/IF(BB160&lt;&gt;"USD",AI160,1),"???"))</f>
        <v>0</v>
      </c>
      <c r="BD160" s="170">
        <f>IFERROR(-AC160/(IF(OR(AB160="USDAED",LEFT(AB160,3)=RIGHT(AB160,3)),AH160,AG160)-AE160)*BC160,0)</f>
        <v>0</v>
      </c>
      <c r="BE160" s="542">
        <f>BC160-BD160</f>
        <v>0</v>
      </c>
      <c r="BF160" s="170">
        <f>IF(BG160="USD",AU160,IF(BG160=S160,R160,-J160))</f>
        <v>300000</v>
      </c>
      <c r="BG160" s="170" t="str">
        <f>LEFT(AJ160,3)</f>
        <v>USD</v>
      </c>
      <c r="BH160" s="542">
        <f>IF(OR(A160="REFUND",A160="CANCELLED"),0,IFERROR((IF(OR(AJ160="USDAED",LEFT(AJ160,3)=RIGHT(AJ160,3),AJ160="USDUSDT",AJ160="USDTUSD"),AQ160,AO160)-AM160)*-BF160*VLOOKUP(AJ160,'FX RATES'!$H$1:$J$26,3,FALSE),0))</f>
        <v>0</v>
      </c>
      <c r="BI160" s="170" t="str">
        <f>RIGHT(AJ160,4)</f>
        <v>USDT</v>
      </c>
      <c r="BJ160" s="542">
        <f>IF(BH160=0,0,IFERROR(BH160/IF(BI160&lt;&gt;"USD",AQ160,1),"???"))</f>
        <v>0</v>
      </c>
      <c r="BK160" s="170">
        <f>IFERROR(-AK160/(IF(OR(AJ160="USDAED",LEFT(AJ160,3)=RIGHT(AJ160,3)),AP160,AO160)-AM160)*BJ160,0)</f>
        <v>0</v>
      </c>
      <c r="BL160" s="542">
        <f>BJ160-BK160</f>
        <v>0</v>
      </c>
      <c r="BM160" s="170">
        <f>IF(AND(ISERROR(SEARCH("REFUND",A160)),ISERROR(SEARCH("CANCELLED",A160))),BD160+BK160,0)</f>
        <v>0</v>
      </c>
      <c r="BN160" s="542">
        <f>IF(AND(ISERROR(SEARCH("REFUND",A160)),ISERROR(SEARCH("CANCELLED",A160))),BE160+BL160,0)</f>
        <v>0</v>
      </c>
    </row>
    <row r="161" spans="1:66" ht="19.5" customHeight="1">
      <c r="A161" s="180"/>
      <c r="E161" s="180"/>
      <c r="F161" s="182"/>
      <c r="L161" s="180"/>
      <c r="M161" s="180"/>
      <c r="N161" s="180"/>
      <c r="O161" s="180"/>
      <c r="P161" s="180"/>
      <c r="V161" s="180"/>
      <c r="W161" s="180"/>
    </row>
    <row r="162" spans="1:66" ht="19.5" customHeight="1">
      <c r="A162" s="167" t="s">
        <v>492</v>
      </c>
      <c r="B162" s="168" t="s">
        <v>52</v>
      </c>
      <c r="C162" s="168" t="s">
        <v>489</v>
      </c>
      <c r="D162" s="168" t="s">
        <v>128</v>
      </c>
      <c r="E162" s="171">
        <v>46044</v>
      </c>
      <c r="F162" s="171"/>
      <c r="G162" s="168" t="s">
        <v>52</v>
      </c>
      <c r="H162" s="181" t="s">
        <v>52</v>
      </c>
      <c r="I162" s="169"/>
      <c r="J162" s="170">
        <f>IF(I162="",AR162,I162)</f>
        <v>-651970.1437033097</v>
      </c>
      <c r="K162" s="168" t="s">
        <v>5</v>
      </c>
      <c r="L162" s="171"/>
      <c r="M162" s="168"/>
      <c r="N162" s="167" t="s">
        <v>371</v>
      </c>
      <c r="O162" s="168" t="s">
        <v>52</v>
      </c>
      <c r="P162" s="168" t="s">
        <v>52</v>
      </c>
      <c r="Q162" s="169">
        <f>-J144</f>
        <v>50527686.137006499</v>
      </c>
      <c r="R162" s="170">
        <f>IF(Q162="",AS162,Q162)</f>
        <v>50527686.137006499</v>
      </c>
      <c r="S162" s="168" t="s">
        <v>9</v>
      </c>
      <c r="T162" s="171"/>
      <c r="U162" s="168"/>
      <c r="V162" s="167" t="s">
        <v>371</v>
      </c>
      <c r="W162" s="172" t="s">
        <v>389</v>
      </c>
      <c r="X162" s="173">
        <f>IF(Y162="",VLOOKUP(H162,CLIENTS!$A$1:$O$649,5,FALSE),Y162)</f>
        <v>0</v>
      </c>
      <c r="Y162" s="174"/>
      <c r="Z162" s="173">
        <f>IF(AA162="",VLOOKUP(P162,CLIENTS!$A$1:$O$649,5,FALSE),AA162)</f>
        <v>0</v>
      </c>
      <c r="AA162" s="174"/>
      <c r="AB162" s="173" t="str">
        <f>IF(W162="via USD",IF(K162="EUR",K162&amp;"USD","USD"&amp;K162),IFERROR(VLOOKUP(K162&amp;S162,'FX RATES'!$H$2:$H$20,1,FALSE),S162&amp;K162))</f>
        <v>USDRUB</v>
      </c>
      <c r="AC162" s="175">
        <f>IF(LEFT(AB162,3)=RIGHT(AB162,3),0,IFERROR(INDEX(CLIENTS!$A$1:$O$649,MATCH(H162,CLIENTS!$A$1:$A$649,0),MATCH(AB162,CLIENTS!$A$1:$O$1,0)),0))</f>
        <v>0</v>
      </c>
      <c r="AD162" s="176"/>
      <c r="AE162" s="177" t="str">
        <f>IF(W162="CLIENT","",IF(AD162="",AH162+AC162,AD162+AC162))</f>
        <v/>
      </c>
      <c r="AF162" s="177" t="str">
        <f>E162&amp;AB162</f>
        <v>46044USDRUB</v>
      </c>
      <c r="AG162" s="176">
        <v>75.8</v>
      </c>
      <c r="AH162" s="178">
        <f ca="1">IF(LEFT(AB162,3)=RIGHT(AB162,3),1,VLOOKUP(AB162,'FX RATES'!$H$1:$I$20,2,FALSE))</f>
        <v>76.720500000000001</v>
      </c>
      <c r="AI162" s="178">
        <f>IF(OR(AB162="USDAED",LEFT(AB162,3)=RIGHT(AB162,3),AB162="USDUSDT",AB162="USDTUSD"),AH162,IF(LEFT(AB162)="USD",AG162,IF(RIGHT(AB162,3)="USD",1,IFERROR(VLOOKUP(E162&amp;"USD"&amp;RIGHT(AB162,3),$AF:$AG,2,FALSE),VLOOKUP(E162&amp;"USD"&amp;RIGHT(AJ162,3),$AN:$AO,2,FALSE)))))</f>
        <v>75.8</v>
      </c>
      <c r="AJ162" s="173" t="str">
        <f>IF(W162="via USD",IF(S162="EUR",S162&amp;"USD","USD"&amp;S162),IFERROR(VLOOKUP(K162&amp;S162,'FX RATES'!$H$2:$H$20,1,FALSE),S162&amp;K162))</f>
        <v>USDRUB</v>
      </c>
      <c r="AK162" s="175">
        <f>IF(LEFT(AJ162,3)=RIGHT(AJ162,3),0,IFERROR(INDEX(CLIENTS!$A$1:$O$649,MATCH(P162,CLIENTS!$A$1:$A$649,0),MATCH(AJ162,CLIENTS!$A$1:$O$1,0)),0))</f>
        <v>0</v>
      </c>
      <c r="AL162" s="176">
        <v>77.5</v>
      </c>
      <c r="AM162" s="177">
        <f>IF(W162="VENDOR","",IF(AL162="",AP162+AK162,AL162+AK162))</f>
        <v>77.5</v>
      </c>
      <c r="AN162" s="177" t="str">
        <f>E162&amp;AJ162</f>
        <v>46044USDRUB</v>
      </c>
      <c r="AO162" s="176">
        <v>75.8</v>
      </c>
      <c r="AP162" s="178">
        <f ca="1">IF(LEFT(AJ162,3)=RIGHT(AJ162,3),1,VLOOKUP(AJ162,'FX RATES'!$H$1:$I$20,2,FALSE))</f>
        <v>76.720500000000001</v>
      </c>
      <c r="AQ162" s="178">
        <f>IF(OR(AJ162="USDAED",LEFT(AJ162,3)=RIGHT(AJ162,3)),AP162,IF(LEFT(AJ162)="USD",AO162,IF(RIGHT(AJ162,3)="USD",1,IFERROR(VLOOKUP(E162&amp;"USD"&amp;RIGHT(AJ162,3),$AN:$AO,2,FALSE),VLOOKUP(E162&amp;"USD"&amp;RIGHT(AB162,3),$AF:$AG,2,FALSE)))))</f>
        <v>75.8</v>
      </c>
      <c r="AR162" s="179">
        <f>-Q162*(1-Z162)/(1+X162)*IF(W162="CLIENT",IF(S162=RIGHT(AJ162,3),1/AM162,AM162),IF(W162="VENDOR",IF(S162=RIGHT(AJ162,3),1/AE162,AE162),AE162^(VLOOKUP(AB162,'FX RATES'!$H$1:$J$26,3,FALSE))/AM162^(VLOOKUP(AJ162,'FX RATES'!$H$1:$J$26,3,FALSE))))</f>
        <v>-651970.1437033097</v>
      </c>
      <c r="AS162" s="179">
        <f>-I162*(1+X162)/(1-Z162)*IF(W162="VENDOR",IF(K162=RIGHT(AB162,3),1/AE162,AE162),IF(W162="CLIENT",IF(K162=RIGHT(AB162,3),1/AM162,AM162),AM162^(VLOOKUP(AJ162,'FX RATES'!$H$1:$J$26,3,FALSE))/AE162^(VLOOKUP(AB162,'FX RATES'!$H$1:$J$26,3,FALSE))))</f>
        <v>0</v>
      </c>
      <c r="AT162" s="170">
        <f>IF(AB162&lt;&gt;AJ162,J162/IF(K162=RIGHT(AB162,3),AE162,1/AE162),IF(S162="USD",J162/IF(K162=RIGHT(AB162,3),IF(W162="CLIENT",AM162,AE162),1/IF(W162="CLIENT",AM162,AE162)),J162*VLOOKUP(K162,'FX RATES'!$E$1:$F$10,2,FALSE)))</f>
        <v>-651970.1437033097</v>
      </c>
      <c r="AU162" s="170">
        <f>IF(AB162&lt;&gt;AJ162,R162/IF(S162=RIGHT(AJ162,3),AM162,1/AM162),IF(K162="USD",R162/IF(S162=RIGHT(AJ162,3),IF(W162="CLIENT",AM162,AE162),1/IF(W162="CLIENT",AM162,AE162)),R162*VLOOKUP(S162,'FX RATES'!$E$1:$F$10,2,FALSE)))</f>
        <v>651970.1437033097</v>
      </c>
      <c r="AV162" s="170">
        <f>AT162+AU162</f>
        <v>0</v>
      </c>
      <c r="AW162" s="169"/>
      <c r="AX162" s="170">
        <f>IF(AND(ISERROR(SEARCH("INVOICE",T162)),ISERROR(SEARCH("SWITCH",T162)),ISERROR(SEARCH("FOREX",T162)),ISERROR(SEARCH("REFUND",A162)),ISERROR(SEARCH("CANCELLED",A162))),IF(AW162="",-AT162*X162+AU162*Z162,AW162),0)</f>
        <v>0</v>
      </c>
      <c r="AY162" s="170">
        <f>IF(AZ162="USD",AT162,IF(AZ162=K162,J162,-R162))</f>
        <v>-651970.1437033097</v>
      </c>
      <c r="AZ162" s="170" t="str">
        <f>LEFT(AB162,3)</f>
        <v>USD</v>
      </c>
      <c r="BA162" s="542">
        <f>IF(OR(A162="REFUND",A162="CANCELLED"),0,IFERROR((IF(OR(AB162="USDAED",LEFT(AB162,3)=RIGHT(AB162,3)),AI162,AG162)-AE162)*-AY162*VLOOKUP(AB162,'FX RATES'!$H$1:$J$26,3,FALSE),0))</f>
        <v>0</v>
      </c>
      <c r="BB162" s="170" t="str">
        <f>RIGHT(AB162,3)</f>
        <v>RUB</v>
      </c>
      <c r="BC162" s="542">
        <f>IF(BA162=0,0,IFERROR(BA162/IF(BB162&lt;&gt;"USD",AI162,1),"???"))</f>
        <v>0</v>
      </c>
      <c r="BD162" s="170">
        <f>IFERROR(-AC162/(IF(OR(AB162="USDAED",LEFT(AB162,3)=RIGHT(AB162,3)),AH162,AG162)-AE162)*BC162,0)</f>
        <v>0</v>
      </c>
      <c r="BE162" s="542">
        <f>BC162-BD162</f>
        <v>0</v>
      </c>
      <c r="BF162" s="170">
        <f>IF(BG162="USD",AU162,IF(BG162=S162,R162,-J162))</f>
        <v>651970.1437033097</v>
      </c>
      <c r="BG162" s="170" t="str">
        <f>LEFT(AJ162,3)</f>
        <v>USD</v>
      </c>
      <c r="BH162" s="542">
        <f>IF(OR(A162="REFUND",A162="CANCELLED"),0,IFERROR((IF(OR(AJ162="USDAED",LEFT(AJ162,3)=RIGHT(AJ162,3)),AQ162,AO162)-AM162)*-BF162*VLOOKUP(AJ162,'FX RATES'!$H$1:$J$26,3,FALSE),0))</f>
        <v>1108349.2442956283</v>
      </c>
      <c r="BI162" s="170" t="str">
        <f>RIGHT(AJ162,3)</f>
        <v>RUB</v>
      </c>
      <c r="BJ162" s="542">
        <f>IF(BH162=0,0,IFERROR(BH162/IF(BI162&lt;&gt;"USD",AQ162,1),"???"))</f>
        <v>14622.021692554463</v>
      </c>
      <c r="BK162" s="170">
        <f>IFERROR(-AK162/(IF(OR(AJ162="USDAED",LEFT(AJ162,3)=RIGHT(AJ162,3)),AP162,AO162)-AM162)*BJ162,0)</f>
        <v>0</v>
      </c>
      <c r="BL162" s="542">
        <f>BJ162-BK162</f>
        <v>14622.021692554463</v>
      </c>
      <c r="BM162" s="170">
        <f>IF(AND(ISERROR(SEARCH("REFUND",A162)),ISERROR(SEARCH("CANCELLED",A162))),BD162+BK162,0)</f>
        <v>0</v>
      </c>
      <c r="BN162" s="542">
        <f>IF(AND(ISERROR(SEARCH("REFUND",A162)),ISERROR(SEARCH("CANCELLED",A162))),BE162+BL162,0)</f>
        <v>14622.021692554463</v>
      </c>
    </row>
    <row r="163" spans="1:66" ht="19.5" customHeight="1">
      <c r="A163" s="167" t="s">
        <v>366</v>
      </c>
      <c r="B163" s="181" t="s">
        <v>52</v>
      </c>
      <c r="C163" s="181" t="s">
        <v>484</v>
      </c>
      <c r="D163" s="181" t="s">
        <v>128</v>
      </c>
      <c r="E163" s="171">
        <v>46044</v>
      </c>
      <c r="F163" s="171"/>
      <c r="G163" s="181" t="s">
        <v>52</v>
      </c>
      <c r="H163" s="168" t="s">
        <v>501</v>
      </c>
      <c r="I163" s="169">
        <v>-50527686</v>
      </c>
      <c r="J163" s="170">
        <f>IF(I163="",AR163,I163)</f>
        <v>-50527686</v>
      </c>
      <c r="K163" s="168" t="s">
        <v>9</v>
      </c>
      <c r="L163" s="168" t="s">
        <v>502</v>
      </c>
      <c r="M163" s="168" t="s">
        <v>25</v>
      </c>
      <c r="N163" s="167" t="s">
        <v>371</v>
      </c>
      <c r="O163" s="168" t="s">
        <v>52</v>
      </c>
      <c r="P163" s="168" t="s">
        <v>503</v>
      </c>
      <c r="Q163" s="169"/>
      <c r="R163" s="170">
        <f>IF(Q163="",AS163,Q163)</f>
        <v>659630.36553524807</v>
      </c>
      <c r="S163" s="168" t="s">
        <v>53</v>
      </c>
      <c r="T163" s="168" t="s">
        <v>420</v>
      </c>
      <c r="U163" s="168" t="s">
        <v>54</v>
      </c>
      <c r="V163" s="167" t="s">
        <v>371</v>
      </c>
      <c r="W163" s="172" t="s">
        <v>375</v>
      </c>
      <c r="X163" s="173">
        <f>IF(Y163="",VLOOKUP(H163,CLIENTS!$A$1:$O$649,5,FALSE),Y163)</f>
        <v>0</v>
      </c>
      <c r="Y163" s="174">
        <v>0</v>
      </c>
      <c r="Z163" s="173">
        <f>IF(AA163="",VLOOKUP(P163,CLIENTS!$A$1:$O$649,5,FALSE),AA163)</f>
        <v>0</v>
      </c>
      <c r="AA163" s="174">
        <v>0</v>
      </c>
      <c r="AB163" s="173" t="str">
        <f>IF(W163="via USD",IF(K163="EUR",K163&amp;"USD","USD"&amp;K163),IFERROR(VLOOKUP(K163&amp;S163,'FX RATES'!$H$2:$H$20,1,FALSE),S163&amp;K163))</f>
        <v>USDRUB</v>
      </c>
      <c r="AC163" s="175">
        <f>IF(LEFT(AB163,3)=RIGHT(AB163,3),0,IFERROR(INDEX(CLIENTS!$A$1:$O$649,MATCH(H163,CLIENTS!$A$1:$A$649,0),MATCH(AB163,CLIENTS!$A$1:$O$1,0)),0))</f>
        <v>0</v>
      </c>
      <c r="AD163" s="176">
        <v>76.599999999999994</v>
      </c>
      <c r="AE163" s="177">
        <f>IF(W163="CLIENT","",IF(AD163="",AH163+AC163,AD163+AC163))</f>
        <v>76.599999999999994</v>
      </c>
      <c r="AF163" s="177" t="str">
        <f>E163&amp;AB163</f>
        <v>46044USDRUB</v>
      </c>
      <c r="AG163" s="176">
        <v>75.8</v>
      </c>
      <c r="AH163" s="178">
        <f ca="1">IF(LEFT(AB163,3)=RIGHT(AB163,3),1,VLOOKUP(AB163,'FX RATES'!$H$1:$I$20,2,FALSE))</f>
        <v>76.720500000000001</v>
      </c>
      <c r="AI163" s="178">
        <f>IF(OR(AB163="USDAED",LEFT(AB163,3)=RIGHT(AB163,3)),AH163,IF(LEFT(AB163)="USD",AG163,IF(RIGHT(AB163,3)="USD",1,IFERROR(VLOOKUP(E163&amp;"USD"&amp;RIGHT(AB163,3),$AF:$AG,2,FALSE),VLOOKUP(E163&amp;"USD"&amp;RIGHT(AJ163,3),$AN:$AO,2,FALSE)))))</f>
        <v>75.8</v>
      </c>
      <c r="AJ163" s="173" t="str">
        <f>IF(W163="via USD",IF(S163="EUR",S163&amp;"USD","USD"&amp;S163),IFERROR(VLOOKUP(K163&amp;S163,'FX RATES'!$H$2:$H$20,1,FALSE),S163&amp;K163))</f>
        <v>USDUSDT</v>
      </c>
      <c r="AK163" s="175">
        <f>IF(LEFT(AJ163,3)=RIGHT(AJ163,3),0,IFERROR(INDEX(CLIENTS!$A$1:$O$649,MATCH(P163,CLIENTS!$A$1:$A$649,0),MATCH(AJ163,CLIENTS!$A$1:$O$1,0)),0))</f>
        <v>0</v>
      </c>
      <c r="AL163" s="176"/>
      <c r="AM163" s="177">
        <f>IF(W163="VENDOR","",IF(AL163="",AP163+AK163,AL163+AK163))</f>
        <v>1</v>
      </c>
      <c r="AN163" s="177" t="str">
        <f>E163&amp;AJ163</f>
        <v>46044USDUSDT</v>
      </c>
      <c r="AO163" s="176">
        <v>1</v>
      </c>
      <c r="AP163" s="178">
        <f>IF(LEFT(AJ163,3)=RIGHT(AJ163,3),1,VLOOKUP(AJ163,'FX RATES'!$H$1:$I$50,2,FALSE))</f>
        <v>1</v>
      </c>
      <c r="AQ163" s="178">
        <f>IF(OR(AJ163="USDAED",LEFT(AJ163,3)=RIGHT(AJ163,3),AJ163="USDUSDT",AJ163="USDTUSD"),AP163,IF(LEFT(AJ163)="USD",AO163,IF(RIGHT(AJ163,3)="USD",1,IFERROR(VLOOKUP(E163&amp;"USD"&amp;RIGHT(AJ163,3),$AN:$AO,2,FALSE),VLOOKUP(E163&amp;"USD"&amp;RIGHT(AB163,3),$AF:$AG,2,FALSE)))))</f>
        <v>1</v>
      </c>
      <c r="AR163" s="179">
        <f>-Q163*(1-Z163)/(1+X163)*IF(W163="CLIENT",IF(S163=RIGHT(AJ163,3),1/AM163,AM163),IF(W163="VENDOR",IF(S163=RIGHT(AJ163,3),1/AE163,AE163),AE163^(VLOOKUP(AB163,'FX RATES'!$H$1:$J$26,3,FALSE))/AM163^(VLOOKUP(AJ163,'FX RATES'!$H$1:$J$26,3,FALSE))))</f>
        <v>0</v>
      </c>
      <c r="AS163" s="179">
        <f>-I163*(1+X163)/(1-Z163)*IF(W163="VENDOR",IF(K163=RIGHT(AB163,3),1/AE163,AE163),IF(W163="CLIENT",IF(K163=RIGHT(AB163,3),1/AM163,AM163),AM163^(VLOOKUP(AJ163,'FX RATES'!$H$1:$J$26,3,FALSE))/AE163^(VLOOKUP(AB163,'FX RATES'!$H$1:$J$26,3,FALSE))))</f>
        <v>659630.36553524807</v>
      </c>
      <c r="AT163" s="170">
        <f>IF(AB163&lt;&gt;AJ163,J163/IF(K163=RIGHT(AB163,3),AE163,1/AE163),IF(S163="USD",J163/IF(K163=RIGHT(AB163,3),IF(W163="CLIENT",AM163,AE163),1/IF(W163="CLIENT",AM163,AE163)),J163*VLOOKUP(K163,'FX RATES'!$E$1:$F$10,2,FALSE)))</f>
        <v>-659630.36553524807</v>
      </c>
      <c r="AU163" s="170">
        <f>IF(AB163&lt;&gt;AJ163,R163/IF(S163=RIGHT(AJ163,3),AM163,1/AM163),IF(K163="USD",R163/IF(S163=RIGHT(AJ163,3),IF(W163="CLIENT",AM163,AE163),1/IF(W163="CLIENT",AM163,AE163)),R163*VLOOKUP(S163,'FX RATES'!$E$1:$F$10,2,FALSE)))</f>
        <v>659630.36553524807</v>
      </c>
      <c r="AV163" s="170">
        <f>AT163+AU163</f>
        <v>0</v>
      </c>
      <c r="AW163" s="169"/>
      <c r="AX163" s="170">
        <f>IF(AND(ISERROR(SEARCH("INVOICE",T163)),ISERROR(SEARCH("SWITCH",T163)),ISERROR(SEARCH("FOREX",T163)),ISERROR(SEARCH("REFUND",A163)),ISERROR(SEARCH("CANCELLED",A163))),IF(AW163="",-AT163*X163+AU163*Z163,AW163),0)</f>
        <v>0</v>
      </c>
      <c r="AY163" s="170">
        <f>IF(AZ163="USD",AT163,IF(AZ163=K163,J163,-R163))</f>
        <v>-659630.36553524807</v>
      </c>
      <c r="AZ163" s="170" t="str">
        <f>LEFT(AB163,3)</f>
        <v>USD</v>
      </c>
      <c r="BA163" s="542">
        <f>IF(OR(A163="REFUND",A163="CANCELLED"),0,IFERROR((IF(OR(AB163="USDAED",LEFT(AB163,3)=RIGHT(AB163,3)),AI163,AG163)-AE163)*-AY163*VLOOKUP(AB163,'FX RATES'!$H$1:$J$26,3,FALSE),0))</f>
        <v>-527704.29242819652</v>
      </c>
      <c r="BB163" s="170" t="str">
        <f>RIGHT(AB163,3)</f>
        <v>RUB</v>
      </c>
      <c r="BC163" s="542">
        <f>IF(BA163=0,0,IFERROR(BA163/IF(BB163&lt;&gt;"USD",AI163,1),"???"))</f>
        <v>-6961.7980531424346</v>
      </c>
      <c r="BD163" s="170">
        <f>IFERROR(-AC163/(IF(OR(AB163="USDAED",LEFT(AB163,3)=RIGHT(AB163,3)),AH163,AG163)-AE163)*BC163,0)</f>
        <v>0</v>
      </c>
      <c r="BE163" s="542">
        <f>BC163-BD163</f>
        <v>-6961.7980531424346</v>
      </c>
      <c r="BF163" s="170">
        <f>IF(BG163="USD",AU163,IF(BG163=S163,R163,-J163))</f>
        <v>659630.36553524807</v>
      </c>
      <c r="BG163" s="170" t="str">
        <f>LEFT(AJ163,3)</f>
        <v>USD</v>
      </c>
      <c r="BH163" s="542">
        <f>IF(OR(A163="REFUND",A163="CANCELLED"),0,IFERROR((IF(OR(AJ163="USDAED",LEFT(AJ163,3)=RIGHT(AJ163,3),AJ163="USDUSDT",AJ163="USDTUSD"),AQ163,AO163)-AM163)*-BF163*VLOOKUP(AJ163,'FX RATES'!$H$1:$J$26,3,FALSE),0))</f>
        <v>0</v>
      </c>
      <c r="BI163" s="170" t="str">
        <f>RIGHT(AJ163,4)</f>
        <v>USDT</v>
      </c>
      <c r="BJ163" s="542">
        <f>IF(BH163=0,0,IFERROR(BH163/IF(BI163&lt;&gt;"USD",AQ163,1),"???"))</f>
        <v>0</v>
      </c>
      <c r="BK163" s="170">
        <f>IFERROR(-AK163/(IF(OR(AJ163="USDAED",LEFT(AJ163,3)=RIGHT(AJ163,3)),AP163,AO163)-AM163)*BJ163,0)</f>
        <v>0</v>
      </c>
      <c r="BL163" s="542">
        <f>BJ163-BK163</f>
        <v>0</v>
      </c>
      <c r="BM163" s="170">
        <f>IF(AND(ISERROR(SEARCH("REFUND",A163)),ISERROR(SEARCH("CANCELLED",A163))),BD163+BK163,0)</f>
        <v>0</v>
      </c>
      <c r="BN163" s="542">
        <f>IF(AND(ISERROR(SEARCH("REFUND",A163)),ISERROR(SEARCH("CANCELLED",A163))),BE163+BL163,0)</f>
        <v>-6961.7980531424346</v>
      </c>
    </row>
    <row r="164" spans="1:66" ht="19.5" customHeight="1">
      <c r="A164" s="167"/>
      <c r="B164" s="183"/>
      <c r="C164" s="183"/>
      <c r="D164" s="183"/>
      <c r="E164" s="184"/>
      <c r="F164" s="184"/>
      <c r="G164" s="183"/>
      <c r="H164" s="182"/>
      <c r="I164" s="170"/>
      <c r="J164" s="170"/>
      <c r="K164" s="182"/>
      <c r="L164" s="182"/>
      <c r="M164" s="182"/>
      <c r="O164" s="182"/>
      <c r="P164" s="182"/>
      <c r="Q164" s="170"/>
      <c r="R164" s="170"/>
      <c r="S164" s="182"/>
      <c r="T164" s="182"/>
      <c r="U164" s="182"/>
      <c r="X164" s="173"/>
      <c r="Y164" s="173"/>
      <c r="Z164" s="173"/>
      <c r="AA164" s="173"/>
      <c r="AB164" s="173"/>
      <c r="AC164" s="175"/>
      <c r="AD164" s="177"/>
      <c r="AE164" s="177"/>
      <c r="AF164" s="177"/>
      <c r="AG164" s="177"/>
      <c r="AH164" s="178"/>
      <c r="AI164" s="178"/>
      <c r="AJ164" s="173"/>
      <c r="AK164" s="175"/>
      <c r="AL164" s="177"/>
      <c r="AM164" s="177"/>
      <c r="AN164" s="177"/>
      <c r="AO164" s="177"/>
      <c r="AP164" s="178"/>
      <c r="AQ164" s="178"/>
      <c r="AR164" s="185"/>
      <c r="AS164" s="185"/>
      <c r="AT164" s="170"/>
      <c r="AU164" s="170"/>
      <c r="AV164" s="170"/>
      <c r="AW164" s="170"/>
      <c r="AX164" s="170"/>
      <c r="AY164" s="170"/>
      <c r="AZ164" s="170"/>
      <c r="BA164" s="542"/>
      <c r="BB164" s="170"/>
      <c r="BC164" s="542"/>
      <c r="BD164" s="170"/>
      <c r="BE164" s="542"/>
      <c r="BF164" s="170"/>
      <c r="BG164" s="170"/>
      <c r="BH164" s="542"/>
      <c r="BI164" s="170"/>
      <c r="BJ164" s="542"/>
      <c r="BK164" s="170"/>
      <c r="BL164" s="542"/>
      <c r="BM164" s="170"/>
      <c r="BN164" s="542"/>
    </row>
    <row r="165" spans="1:66" ht="19.5" customHeight="1">
      <c r="A165" s="167" t="s">
        <v>366</v>
      </c>
      <c r="B165" s="168" t="s">
        <v>39</v>
      </c>
      <c r="C165" s="168" t="s">
        <v>367</v>
      </c>
      <c r="D165" s="168" t="s">
        <v>368</v>
      </c>
      <c r="E165" s="171">
        <v>46044</v>
      </c>
      <c r="F165" s="171"/>
      <c r="G165" s="168" t="s">
        <v>39</v>
      </c>
      <c r="H165" s="168" t="s">
        <v>417</v>
      </c>
      <c r="I165" s="169"/>
      <c r="J165" s="202">
        <f>IF(I165="",AR165,I165)</f>
        <v>-2384031.9854177013</v>
      </c>
      <c r="K165" s="168" t="s">
        <v>8</v>
      </c>
      <c r="L165" s="171" t="s">
        <v>16</v>
      </c>
      <c r="M165" s="168" t="s">
        <v>20</v>
      </c>
      <c r="N165" s="167" t="s">
        <v>371</v>
      </c>
      <c r="O165" s="168" t="s">
        <v>39</v>
      </c>
      <c r="P165" s="168" t="s">
        <v>417</v>
      </c>
      <c r="Q165" s="169">
        <v>50658278</v>
      </c>
      <c r="R165" s="170">
        <f>IF(Q165="",AS165,Q165)</f>
        <v>50658278</v>
      </c>
      <c r="S165" s="168" t="s">
        <v>9</v>
      </c>
      <c r="T165" s="171" t="s">
        <v>414</v>
      </c>
      <c r="U165" s="168" t="s">
        <v>25</v>
      </c>
      <c r="V165" s="167" t="s">
        <v>371</v>
      </c>
      <c r="W165" s="172" t="s">
        <v>375</v>
      </c>
      <c r="X165" s="173">
        <f>IF(Y165="",VLOOKUP(H165,CLIENTS!$A$1:$O$649,5,FALSE),Y165)</f>
        <v>0</v>
      </c>
      <c r="Y165" s="174">
        <v>0</v>
      </c>
      <c r="Z165" s="173">
        <f>IF(AA165="",VLOOKUP(P165,CLIENTS!$A$1:$O$649,5,FALSE),AA165)</f>
        <v>6.0000000000000001E-3</v>
      </c>
      <c r="AA165" s="174">
        <v>6.0000000000000001E-3</v>
      </c>
      <c r="AB165" s="173" t="str">
        <f>IF(W165="via USD",IF(K165="EUR",K165&amp;"USD","USD"&amp;K165),IFERROR(VLOOKUP(K165&amp;S165,'FX RATES'!$H$2:$H$20,1,FALSE),S165&amp;K165))</f>
        <v>USDAED</v>
      </c>
      <c r="AC165" s="175">
        <f>IF(LEFT(AB165,3)=RIGHT(AB165,3),0,IFERROR(INDEX(CLIENTS!$A$1:$O$649,MATCH(H165,CLIENTS!$A$1:$A$649,0),MATCH(AB165,CLIENTS!$A$1:$O$1,0)),0))</f>
        <v>0</v>
      </c>
      <c r="AD165" s="176">
        <v>3.67</v>
      </c>
      <c r="AE165" s="177">
        <f>IF(W165="CLIENT","",IF(AD165="",AH165+AC165,AD165+AC165))</f>
        <v>3.67</v>
      </c>
      <c r="AF165" s="177" t="str">
        <f>E165&amp;AB165</f>
        <v>46044USDAED</v>
      </c>
      <c r="AG165" s="176"/>
      <c r="AH165" s="178">
        <f>IF(LEFT(AB165,3)=RIGHT(AB165,3),1,VLOOKUP(AB165,'FX RATES'!$H$1:$I$20,2,FALSE))</f>
        <v>3.6724999999999999</v>
      </c>
      <c r="AI165" s="178">
        <f>IF(OR(AB165="USDAED",LEFT(AB165,3)=RIGHT(AB165,3)),AH165,IF(LEFT(AB165)="USD",AG165,IF(RIGHT(AB165,3)="USD",1,IFERROR(VLOOKUP(E165&amp;"USD"&amp;RIGHT(AB165,3),$AF:$AG,2,FALSE),VLOOKUP(E165&amp;"USD"&amp;RIGHT(AJ165,3),$AN:$AO,2,FALSE)))))</f>
        <v>3.6724999999999999</v>
      </c>
      <c r="AJ165" s="173" t="str">
        <f>IF(W165="via USD",IF(S165="EUR",S165&amp;"USD","USD"&amp;S165),IFERROR(VLOOKUP(K165&amp;S165,'FX RATES'!$H$2:$H$20,1,FALSE),S165&amp;K165))</f>
        <v>USDRUB</v>
      </c>
      <c r="AK165" s="175">
        <f>IF(LEFT(AJ165,3)=RIGHT(AJ165,3),0,IFERROR(INDEX(CLIENTS!$A$1:$O$649,MATCH(P165,CLIENTS!$A$1:$A$649,0),MATCH(AJ165,CLIENTS!$A$1:$O$1,0)),0))</f>
        <v>0</v>
      </c>
      <c r="AL165" s="176">
        <v>77.515900000000002</v>
      </c>
      <c r="AM165" s="177">
        <f>IF(W165="VENDOR","",IF(AL165="",AP165+AK165,AL165+AK165))</f>
        <v>77.515900000000002</v>
      </c>
      <c r="AN165" s="177" t="str">
        <f>E165&amp;AJ165</f>
        <v>46044USDRUB</v>
      </c>
      <c r="AO165" s="176">
        <v>75.8</v>
      </c>
      <c r="AP165" s="178">
        <f ca="1">IF(LEFT(AJ165,3)=RIGHT(AJ165,3),1,VLOOKUP(AJ165,'FX RATES'!$H$1:$I$20,2,FALSE))</f>
        <v>76.720500000000001</v>
      </c>
      <c r="AQ165" s="178">
        <f>IF(OR(AJ165="USDAED",LEFT(AJ165,3)=RIGHT(AJ165,3)),AP165,IF(LEFT(AJ165)="USD",AO165,IF(RIGHT(AJ165,3)="USD",1,IFERROR(VLOOKUP(E165&amp;"USD"&amp;RIGHT(AJ165,3),$AN:$AO,2,FALSE),VLOOKUP(E165&amp;"USD"&amp;RIGHT(AB165,3),$AF:$AG,2,FALSE)))))</f>
        <v>75.8</v>
      </c>
      <c r="AR165" s="179">
        <f>-Q165*(1-Z165)/(1+X165)*IF(W165="CLIENT",IF(S165=RIGHT(AJ165,3),1/AM165,AM165),IF(W165="VENDOR",IF(S165=RIGHT(AJ165,3),1/AE165,AE165),AE165^(VLOOKUP(AB165,'FX RATES'!$H$1:$J$26,3,FALSE))/AM165^(VLOOKUP(AJ165,'FX RATES'!$H$1:$J$26,3,FALSE))))</f>
        <v>-2384031.9854177013</v>
      </c>
      <c r="AS165" s="179">
        <f>-I165*(1+X165)/(1-Z165)*IF(W165="VENDOR",IF(K165=RIGHT(AB165,3),1/AE165,AE165),IF(W165="CLIENT",IF(K165=RIGHT(AB165,3),1/AM165,AM165),AM165^(VLOOKUP(AJ165,'FX RATES'!$H$1:$J$26,3,FALSE))/AE165^(VLOOKUP(AB165,'FX RATES'!$H$1:$J$26,3,FALSE))))</f>
        <v>0</v>
      </c>
      <c r="AT165" s="170">
        <f>IF(AB165&lt;&gt;AJ165,J165/IF(K165=RIGHT(AB165,3),AE165,1/AE165),IF(S165="USD",J165/IF(K165=RIGHT(AB165,3),IF(W165="CLIENT",AM165,AE165),1/IF(W165="CLIENT",AM165,AE165)),J165*VLOOKUP(K165,'FX RATES'!$E$1:$F$10,2,FALSE)))</f>
        <v>-649599.99602662167</v>
      </c>
      <c r="AU165" s="170">
        <f>IF(AB165&lt;&gt;AJ165,R165/IF(S165=RIGHT(AJ165,3),AM165,1/AM165),IF(K165="USD",R165/IF(S165=RIGHT(AJ165,3),IF(W165="CLIENT",AM165,AE165),1/IF(W165="CLIENT",AM165,AE165)),R165*VLOOKUP(S165,'FX RATES'!$E$1:$F$10,2,FALSE)))</f>
        <v>653521.12276320078</v>
      </c>
      <c r="AV165" s="170">
        <f>AT165+AU165</f>
        <v>3921.1267365791136</v>
      </c>
      <c r="AW165" s="169"/>
      <c r="AX165" s="170">
        <f>IF(AND(ISERROR(SEARCH("INVOICE",T165)),ISERROR(SEARCH("SWITCH",T165)),ISERROR(SEARCH("FOREX",T165)),ISERROR(SEARCH("REFUND",A165)),ISERROR(SEARCH("CANCELLED",A165))),IF(AW165="",-AT165*X165+AU165*Z165,AW165),0)</f>
        <v>3921.1267365792046</v>
      </c>
      <c r="AY165" s="170">
        <f>IF(AZ165="USD",AT165,IF(AZ165=K165,J165,-R165))</f>
        <v>-649599.99602662167</v>
      </c>
      <c r="AZ165" s="170" t="str">
        <f>LEFT(AB165,3)</f>
        <v>USD</v>
      </c>
      <c r="BA165" s="542">
        <f>IF(OR(A165="REFUND",A165="CANCELLED"),0,IFERROR((IF(OR(AB165="USDAED",LEFT(AB165,3)=RIGHT(AB165,3)),AI165,AG165)-AE165)*-AY165*VLOOKUP(AB165,'FX RATES'!$H$1:$J$26,3,FALSE),0))</f>
        <v>1623.9999900665196</v>
      </c>
      <c r="BB165" s="170" t="str">
        <f>RIGHT(AB165,3)</f>
        <v>AED</v>
      </c>
      <c r="BC165" s="542">
        <f>IF(BA165=0,0,IFERROR(BA165/IF(BB165&lt;&gt;"USD",AI165,1),"???"))</f>
        <v>442.205579323763</v>
      </c>
      <c r="BD165" s="170">
        <f>IFERROR(-AC165/(IF(OR(AB165="USDAED",LEFT(AB165,3)=RIGHT(AB165,3)),AH165,AG165)-AE165)*BC165,0)</f>
        <v>0</v>
      </c>
      <c r="BE165" s="542">
        <f>BC165-BD165</f>
        <v>442.205579323763</v>
      </c>
      <c r="BF165" s="170">
        <f>IF(BG165="USD",AU165,IF(BG165=S165,R165,-J165))</f>
        <v>653521.12276320078</v>
      </c>
      <c r="BG165" s="170" t="str">
        <f>LEFT(AJ165,3)</f>
        <v>USD</v>
      </c>
      <c r="BH165" s="542">
        <f>IF(OR(A165="REFUND",A165="CANCELLED"),0,IFERROR((IF(OR(AJ165="USDAED",LEFT(AJ165,3)=RIGHT(AJ165,3)),AQ165,AO165)-AM165)*-BF165*VLOOKUP(AJ165,'FX RATES'!$H$1:$J$26,3,FALSE),0))</f>
        <v>1121376.8945493794</v>
      </c>
      <c r="BI165" s="170" t="str">
        <f>RIGHT(AJ165,3)</f>
        <v>RUB</v>
      </c>
      <c r="BJ165" s="542">
        <f>IF(BH165=0,0,IFERROR(BH165/IF(BI165&lt;&gt;"USD",AQ165,1),"???"))</f>
        <v>14793.890429411338</v>
      </c>
      <c r="BK165" s="170">
        <f>IFERROR(-AK165/(IF(OR(AJ165="USDAED",LEFT(AJ165,3)=RIGHT(AJ165,3)),AP165,AO165)-AM165)*BJ165,0)</f>
        <v>0</v>
      </c>
      <c r="BL165" s="542">
        <f>BJ165-BK165</f>
        <v>14793.890429411338</v>
      </c>
      <c r="BM165" s="170">
        <f>IF(AND(ISERROR(SEARCH("REFUND",A165)),ISERROR(SEARCH("CANCELLED",A165))),BD165+BK165,0)</f>
        <v>0</v>
      </c>
      <c r="BN165" s="542">
        <f>IF(AND(ISERROR(SEARCH("REFUND",A165)),ISERROR(SEARCH("CANCELLED",A165))),BE165+BL165,0)</f>
        <v>15236.096008735101</v>
      </c>
    </row>
    <row r="166" spans="1:66" ht="19.5" customHeight="1">
      <c r="A166" s="167" t="s">
        <v>366</v>
      </c>
      <c r="B166" s="168" t="s">
        <v>45</v>
      </c>
      <c r="C166" s="168" t="s">
        <v>367</v>
      </c>
      <c r="D166" s="168" t="s">
        <v>368</v>
      </c>
      <c r="E166" s="171">
        <v>46044</v>
      </c>
      <c r="F166" s="171"/>
      <c r="G166" s="168" t="s">
        <v>45</v>
      </c>
      <c r="H166" s="168" t="s">
        <v>504</v>
      </c>
      <c r="I166" s="169"/>
      <c r="J166" s="170">
        <f>IF(I166="",AR166,I166)</f>
        <v>-114449.99701996622</v>
      </c>
      <c r="K166" s="168" t="s">
        <v>5</v>
      </c>
      <c r="L166" s="171" t="s">
        <v>505</v>
      </c>
      <c r="M166" s="168" t="s">
        <v>49</v>
      </c>
      <c r="N166" s="167" t="s">
        <v>371</v>
      </c>
      <c r="O166" s="168" t="s">
        <v>39</v>
      </c>
      <c r="P166" s="168" t="s">
        <v>417</v>
      </c>
      <c r="Q166" s="169">
        <v>8925246</v>
      </c>
      <c r="R166" s="170">
        <f>IF(Q166="",AS166,Q166)</f>
        <v>8925246</v>
      </c>
      <c r="S166" s="168" t="s">
        <v>9</v>
      </c>
      <c r="T166" s="171" t="s">
        <v>414</v>
      </c>
      <c r="U166" s="168" t="s">
        <v>25</v>
      </c>
      <c r="V166" s="167" t="s">
        <v>371</v>
      </c>
      <c r="W166" s="172" t="s">
        <v>375</v>
      </c>
      <c r="X166" s="173">
        <f>IF(Y166="",VLOOKUP(H166,CLIENTS!$A$1:$O$649,5,FALSE),Y166)</f>
        <v>0</v>
      </c>
      <c r="Y166" s="174">
        <v>0</v>
      </c>
      <c r="Z166" s="173">
        <f>IF(AA166="",VLOOKUP(P166,CLIENTS!$A$1:$O$649,5,FALSE),AA166)</f>
        <v>6.0000000000000001E-3</v>
      </c>
      <c r="AA166" s="174">
        <v>6.0000000000000001E-3</v>
      </c>
      <c r="AB166" s="173" t="str">
        <f>IF(W166="via USD",IF(K166="EUR",K166&amp;"USD","USD"&amp;K166),IFERROR(VLOOKUP(K166&amp;S166,'FX RATES'!$H$2:$H$20,1,FALSE),S166&amp;K166))</f>
        <v>USDUSD</v>
      </c>
      <c r="AC166" s="175">
        <f>IF(LEFT(AB166,3)=RIGHT(AB166,3),0,IFERROR(INDEX(CLIENTS!$A$1:$O$649,MATCH(H166,CLIENTS!$A$1:$A$649,0),MATCH(AB166,CLIENTS!$A$1:$O$1,0)),0))</f>
        <v>0</v>
      </c>
      <c r="AD166" s="176"/>
      <c r="AE166" s="177">
        <f>IF(W166="CLIENT","",IF(AD166="",AH166+AC166,AD166+AC166))</f>
        <v>1</v>
      </c>
      <c r="AF166" s="177" t="str">
        <f>E166&amp;AB166</f>
        <v>46044USDUSD</v>
      </c>
      <c r="AG166" s="176"/>
      <c r="AH166" s="178">
        <f>IF(LEFT(AB166,3)=RIGHT(AB166,3),1,VLOOKUP(AB166,'FX RATES'!$H$1:$I$20,2,FALSE))</f>
        <v>1</v>
      </c>
      <c r="AI166" s="178">
        <f>IF(OR(AB166="USDAED",LEFT(AB166,3)=RIGHT(AB166,3)),AH166,IF(LEFT(AB166)="USD",AG166,IF(RIGHT(AB166,3)="USD",1,IFERROR(VLOOKUP(E166&amp;"USD"&amp;RIGHT(AB166,3),$AF:$AG,2,FALSE),VLOOKUP(E166&amp;"USD"&amp;RIGHT(AJ166,3),$AN:$AO,2,FALSE)))))</f>
        <v>1</v>
      </c>
      <c r="AJ166" s="173" t="str">
        <f>IF(W166="via USD",IF(S166="EUR",S166&amp;"USD","USD"&amp;S166),IFERROR(VLOOKUP(K166&amp;S166,'FX RATES'!$H$2:$H$20,1,FALSE),S166&amp;K166))</f>
        <v>USDRUB</v>
      </c>
      <c r="AK166" s="175">
        <f>IF(LEFT(AJ166,3)=RIGHT(AJ166,3),0,IFERROR(INDEX(CLIENTS!$A$1:$O$649,MATCH(P166,CLIENTS!$A$1:$A$649,0),MATCH(AJ166,CLIENTS!$A$1:$O$1,0)),0))</f>
        <v>0</v>
      </c>
      <c r="AL166" s="176">
        <v>77.515900000000002</v>
      </c>
      <c r="AM166" s="177">
        <f>IF(W166="VENDOR","",IF(AL166="",AP166+AK166,AL166+AK166))</f>
        <v>77.515900000000002</v>
      </c>
      <c r="AN166" s="177" t="str">
        <f>E166&amp;AJ166</f>
        <v>46044USDRUB</v>
      </c>
      <c r="AO166" s="176">
        <v>75.8</v>
      </c>
      <c r="AP166" s="178">
        <f ca="1">IF(LEFT(AJ166,3)=RIGHT(AJ166,3),1,VLOOKUP(AJ166,'FX RATES'!$H$1:$I$20,2,FALSE))</f>
        <v>76.720500000000001</v>
      </c>
      <c r="AQ166" s="178">
        <f>IF(OR(AJ166="USDAED",LEFT(AJ166,3)=RIGHT(AJ166,3)),AP166,IF(LEFT(AJ166)="USD",AO166,IF(RIGHT(AJ166,3)="USD",1,IFERROR(VLOOKUP(E166&amp;"USD"&amp;RIGHT(AJ166,3),$AN:$AO,2,FALSE),VLOOKUP(E166&amp;"USD"&amp;RIGHT(AB166,3),$AF:$AG,2,FALSE)))))</f>
        <v>75.8</v>
      </c>
      <c r="AR166" s="179">
        <f>-Q166*(1-Z166)/(1+X166)*IF(W166="CLIENT",IF(S166=RIGHT(AJ166,3),1/AM166,AM166),IF(W166="VENDOR",IF(S166=RIGHT(AJ166,3),1/AE166,AE166),AE166^(VLOOKUP(AB166,'FX RATES'!$H$1:$J$26,3,FALSE))/AM166^(VLOOKUP(AJ166,'FX RATES'!$H$1:$J$26,3,FALSE))))</f>
        <v>-114449.99701996622</v>
      </c>
      <c r="AS166" s="179">
        <f>-I166*(1+X166)/(1-Z166)*IF(W166="VENDOR",IF(K166=RIGHT(AB166,3),1/AE166,AE166),IF(W166="CLIENT",IF(K166=RIGHT(AB166,3),1/AM166,AM166),AM166^(VLOOKUP(AJ166,'FX RATES'!$H$1:$J$26,3,FALSE))/AE166^(VLOOKUP(AB166,'FX RATES'!$H$1:$J$26,3,FALSE))))</f>
        <v>0</v>
      </c>
      <c r="AT166" s="170">
        <f>IF(AB166&lt;&gt;AJ166,J166/IF(K166=RIGHT(AB166,3),AE166,1/AE166),IF(S166="USD",J166/IF(K166=RIGHT(AB166,3),IF(W166="CLIENT",AM166,AE166),1/IF(W166="CLIENT",AM166,AE166)),J166*VLOOKUP(K166,'FX RATES'!$E$1:$F$10,2,FALSE)))</f>
        <v>-114449.99701996622</v>
      </c>
      <c r="AU166" s="170">
        <f>IF(AB166&lt;&gt;AJ166,R166/IF(S166=RIGHT(AJ166,3),AM166,1/AM166),IF(K166="USD",R166/IF(S166=RIGHT(AJ166,3),IF(W166="CLIENT",AM166,AE166),1/IF(W166="CLIENT",AM166,AE166)),R166*VLOOKUP(S166,'FX RATES'!$E$1:$F$10,2,FALSE)))</f>
        <v>115140.84207240063</v>
      </c>
      <c r="AV166" s="170">
        <f>AT166+AU166</f>
        <v>690.84505243440799</v>
      </c>
      <c r="AW166" s="169"/>
      <c r="AX166" s="170">
        <f>IF(AND(ISERROR(SEARCH("INVOICE",T166)),ISERROR(SEARCH("SWITCH",T166)),ISERROR(SEARCH("FOREX",T166)),ISERROR(SEARCH("REFUND",A166)),ISERROR(SEARCH("CANCELLED",A166))),IF(AW166="",-AT166*X166+AU166*Z166,AW166),0)</f>
        <v>690.84505243440378</v>
      </c>
      <c r="AY166" s="170">
        <f>IF(AZ166="USD",AT166,IF(AZ166=K166,J166,-R166))</f>
        <v>-114449.99701996622</v>
      </c>
      <c r="AZ166" s="170" t="str">
        <f>LEFT(AB166,3)</f>
        <v>USD</v>
      </c>
      <c r="BA166" s="542">
        <f>IF(OR(A166="REFUND",A166="CANCELLED"),0,IFERROR((IF(OR(AB166="USDAED",LEFT(AB166,3)=RIGHT(AB166,3)),AI166,AG166)-AE166)*-AY166*VLOOKUP(AB166,'FX RATES'!$H$1:$J$26,3,FALSE),0))</f>
        <v>0</v>
      </c>
      <c r="BB166" s="170" t="str">
        <f>RIGHT(AB166,3)</f>
        <v>USD</v>
      </c>
      <c r="BC166" s="542">
        <f>IF(BA166=0,0,IFERROR(BA166/IF(BB166&lt;&gt;"USD",AI166,1),"???"))</f>
        <v>0</v>
      </c>
      <c r="BD166" s="170">
        <f>IFERROR(-AC166/(IF(OR(AB166="USDAED",LEFT(AB166,3)=RIGHT(AB166,3)),AH166,AG166)-AE166)*BC166,0)</f>
        <v>0</v>
      </c>
      <c r="BE166" s="542">
        <f>BC166-BD166</f>
        <v>0</v>
      </c>
      <c r="BF166" s="170">
        <f>IF(BG166="USD",AU166,IF(BG166=S166,R166,-J166))</f>
        <v>115140.84207240063</v>
      </c>
      <c r="BG166" s="170" t="str">
        <f>LEFT(AJ166,3)</f>
        <v>USD</v>
      </c>
      <c r="BH166" s="542">
        <f>IF(OR(A166="REFUND",A166="CANCELLED"),0,IFERROR((IF(OR(AJ166="USDAED",LEFT(AJ166,3)=RIGHT(AJ166,3)),AQ166,AO166)-AM166)*-BF166*VLOOKUP(AJ166,'FX RATES'!$H$1:$J$26,3,FALSE),0))</f>
        <v>197570.1709120328</v>
      </c>
      <c r="BI166" s="170" t="str">
        <f>RIGHT(AJ166,3)</f>
        <v>RUB</v>
      </c>
      <c r="BJ166" s="542">
        <f>IF(BH166=0,0,IFERROR(BH166/IF(BI166&lt;&gt;"USD",AQ166,1),"???"))</f>
        <v>2606.4666347233879</v>
      </c>
      <c r="BK166" s="170">
        <f>IFERROR(-AK166/(IF(OR(AJ166="USDAED",LEFT(AJ166,3)=RIGHT(AJ166,3)),AP166,AO166)-AM166)*BJ166,0)</f>
        <v>0</v>
      </c>
      <c r="BL166" s="542">
        <f>BJ166-BK166</f>
        <v>2606.4666347233879</v>
      </c>
      <c r="BM166" s="170">
        <f>IF(AND(ISERROR(SEARCH("REFUND",A166)),ISERROR(SEARCH("CANCELLED",A166))),BD166+BK166,0)</f>
        <v>0</v>
      </c>
      <c r="BN166" s="542">
        <f>IF(AND(ISERROR(SEARCH("REFUND",A166)),ISERROR(SEARCH("CANCELLED",A166))),BE166+BL166,0)</f>
        <v>2606.4666347233879</v>
      </c>
    </row>
    <row r="167" spans="1:66" ht="19.5" customHeight="1">
      <c r="A167" s="167" t="s">
        <v>366</v>
      </c>
      <c r="B167" s="168" t="s">
        <v>39</v>
      </c>
      <c r="C167" s="168" t="s">
        <v>383</v>
      </c>
      <c r="D167" s="168" t="s">
        <v>128</v>
      </c>
      <c r="E167" s="171">
        <v>46044</v>
      </c>
      <c r="F167" s="171"/>
      <c r="G167" s="168" t="s">
        <v>39</v>
      </c>
      <c r="H167" s="168" t="s">
        <v>384</v>
      </c>
      <c r="I167" s="169">
        <v>-59580000</v>
      </c>
      <c r="J167" s="170">
        <f>IF(I167="",AR167,I167)</f>
        <v>-59580000</v>
      </c>
      <c r="K167" s="168" t="s">
        <v>9</v>
      </c>
      <c r="L167" s="171" t="s">
        <v>374</v>
      </c>
      <c r="M167" s="168" t="s">
        <v>25</v>
      </c>
      <c r="N167" s="167" t="s">
        <v>371</v>
      </c>
      <c r="O167" s="168" t="s">
        <v>39</v>
      </c>
      <c r="P167" s="349" t="s">
        <v>384</v>
      </c>
      <c r="Q167" s="169"/>
      <c r="R167" s="170">
        <f>IF(Q167="",AS167,Q167)</f>
        <v>2879652.0057999031</v>
      </c>
      <c r="S167" s="168" t="s">
        <v>8</v>
      </c>
      <c r="T167" s="171" t="s">
        <v>385</v>
      </c>
      <c r="U167" s="168" t="s">
        <v>20</v>
      </c>
      <c r="V167" s="167" t="s">
        <v>371</v>
      </c>
      <c r="W167" s="172" t="s">
        <v>382</v>
      </c>
      <c r="X167" s="173">
        <f>IF(Y167="",VLOOKUP(H167,CLIENTS!$A$1:$O$649,5,FALSE),Y167)</f>
        <v>0</v>
      </c>
      <c r="Y167" s="174">
        <v>0</v>
      </c>
      <c r="Z167" s="173">
        <f>IF(AA167="",VLOOKUP(P167,CLIENTS!$A$1:$O$649,5,FALSE),AA167)</f>
        <v>0</v>
      </c>
      <c r="AA167" s="174">
        <v>0</v>
      </c>
      <c r="AB167" s="173" t="str">
        <f>IF(W167="via USD",IF(K167="EUR",K167&amp;"USD","USD"&amp;K167),IFERROR(VLOOKUP(K167&amp;S167,'FX RATES'!$H$2:$H$20,1,FALSE),S167&amp;K167))</f>
        <v>AEDRUB</v>
      </c>
      <c r="AC167" s="175">
        <f>IF(LEFT(AB167,3)=RIGHT(AB167,3),0,IFERROR(INDEX(CLIENTS!$A$1:$O$649,MATCH(H167,CLIENTS!$A$1:$A$649,0),MATCH(AB167,CLIENTS!$A$1:$O$1,0)),0))</f>
        <v>0</v>
      </c>
      <c r="AD167" s="176">
        <v>20.69</v>
      </c>
      <c r="AE167" s="177">
        <f>IF(W167="CLIENT","",IF(AD167="",AH167+AC167,AD167+AC167))</f>
        <v>20.69</v>
      </c>
      <c r="AF167" s="177" t="str">
        <f>E167&amp;AB167</f>
        <v>46044AEDRUB</v>
      </c>
      <c r="AG167" s="176">
        <v>20.63</v>
      </c>
      <c r="AH167" s="178">
        <f ca="1">IF(LEFT(AB167,3)=RIGHT(AB167,3),1,VLOOKUP(AB167,'FX RATES'!$H$1:$I$20,2,FALSE))</f>
        <v>20.8843</v>
      </c>
      <c r="AI167" s="178">
        <f>IF(OR(AB167="USDAED",LEFT(AB167,3)=RIGHT(AB167,3)),AH167,IF(LEFT(AB167)="USD",AG167,IF(RIGHT(AB167,3)="USD",1,IFERROR(VLOOKUP(E167&amp;"USD"&amp;RIGHT(AB167,3),$AF:$AG,2,FALSE),VLOOKUP(E167&amp;"USD"&amp;RIGHT(AJ167,3),$AN:$AO,2,FALSE)))))</f>
        <v>75.8</v>
      </c>
      <c r="AJ167" s="173" t="str">
        <f>IF(W167="via USD",IF(S167="EUR",S167&amp;"USD","USD"&amp;S167),IFERROR(VLOOKUP(K167&amp;S167,'FX RATES'!$H$2:$H$20,1,FALSE),S167&amp;K167))</f>
        <v>AEDRUB</v>
      </c>
      <c r="AK167" s="175">
        <f>IF(LEFT(AJ167,3)=RIGHT(AJ167,3),0,IFERROR(INDEX(CLIENTS!$A$1:$O$649,MATCH(P167,CLIENTS!$A$1:$A$649,0),MATCH(AJ167,CLIENTS!$A$1:$O$1,0)),0))</f>
        <v>0</v>
      </c>
      <c r="AL167" s="176"/>
      <c r="AM167" s="177" t="str">
        <f>IF(W167="VENDOR","",IF(AL167="",AP167+AK167,AL167+AK167))</f>
        <v/>
      </c>
      <c r="AN167" s="177" t="str">
        <f>E167&amp;AJ167</f>
        <v>46044AEDRUB</v>
      </c>
      <c r="AO167" s="176"/>
      <c r="AP167" s="178">
        <f ca="1">IF(LEFT(AJ167,3)=RIGHT(AJ167,3),1,VLOOKUP(AJ167,'FX RATES'!$H$1:$I$20,2,FALSE))</f>
        <v>20.8843</v>
      </c>
      <c r="AQ167" s="178">
        <f>IF(OR(AJ167="USDAED",LEFT(AJ167,3)=RIGHT(AJ167,3)),AP167,IF(LEFT(AJ167)="USD",AO167,IF(RIGHT(AJ167,3)="USD",1,IFERROR(VLOOKUP(E167&amp;"USD"&amp;RIGHT(AJ167,3),$AN:$AO,2,FALSE),VLOOKUP(E167&amp;"USD"&amp;RIGHT(AB167,3),$AF:$AG,2,FALSE)))))</f>
        <v>75.8</v>
      </c>
      <c r="AR167" s="179">
        <f>-Q167*(1-Z167)/(1+X167)*IF(W167="CLIENT",IF(S167=RIGHT(AJ167,3),1/AM167,AM167),IF(W167="VENDOR",IF(S167=RIGHT(AJ167,3),1/AE167,AE167),AE167^(VLOOKUP(AB167,'FX RATES'!$H$1:$J$26,3,FALSE))/AM167^(VLOOKUP(AJ167,'FX RATES'!$H$1:$J$26,3,FALSE))))</f>
        <v>0</v>
      </c>
      <c r="AS167" s="179">
        <f>-I167*(1+X167)/(1-Z167)*IF(W167="VENDOR",IF(K167=RIGHT(AB167,3),1/AE167,AE167),IF(W167="CLIENT",IF(K167=RIGHT(AB167,3),1/AM167,AM167),AM167^(VLOOKUP(AJ167,'FX RATES'!$H$1:$J$26,3,FALSE))/AE167^(VLOOKUP(AB167,'FX RATES'!$H$1:$J$26,3,FALSE))))</f>
        <v>2879652.0057999031</v>
      </c>
      <c r="AT167" s="170">
        <f ca="1">IF(AB167&lt;&gt;AJ167,J167/IF(K167=RIGHT(AB167,3),AE167,1/AE167),IF(S167="USD",J167/IF(K167=RIGHT(AB167,3),IF(W167="CLIENT",AM167,AE167),1/IF(W167="CLIENT",AM167,AE167)),J167*VLOOKUP(K167,'FX RATES'!$E$1:$F$10,2,FALSE)))</f>
        <v>-776585.1369581793</v>
      </c>
      <c r="AU167" s="170">
        <f ca="1">IF(AB167&lt;&gt;AJ167,R167/IF(S167=RIGHT(AJ167,3),AM167,1/AM167),IF(K167="USD",R167/IF(S167=RIGHT(AJ167,3),IF(W167="CLIENT",AM167,AE167),1/IF(W167="CLIENT",AM167,AE167)),R167*VLOOKUP(S167,'FX RATES'!$E$1:$F$10,2,FALSE)))</f>
        <v>784090.83641014621</v>
      </c>
      <c r="AV167" s="170">
        <f ca="1">AT167+AU167</f>
        <v>7505.6994519669097</v>
      </c>
      <c r="AW167" s="169"/>
      <c r="AX167" s="170">
        <f ca="1">IF(AND(ISERROR(SEARCH("INVOICE",T167)),ISERROR(SEARCH("SWITCH",T167)),ISERROR(SEARCH("FOREX",T167)),ISERROR(SEARCH("REFUND",A167)),ISERROR(SEARCH("CANCELLED",A167))),IF(AW167="",-AT167*X167+AU167*Z167,AW167),0)</f>
        <v>0</v>
      </c>
      <c r="AY167" s="170">
        <f>IF(AZ167="USD",AT167,IF(AZ167=K167,J167,-R167))</f>
        <v>-2879652.0057999031</v>
      </c>
      <c r="AZ167" s="170" t="str">
        <f>LEFT(AB167,3)</f>
        <v>AED</v>
      </c>
      <c r="BA167" s="542">
        <f>IF(OR(A167="REFUND",A167="CANCELLED"),0,IFERROR((IF(OR(AB167="USDAED",LEFT(AB167,3)=RIGHT(AB167,3)),AI167,AG167)-AE167)*-AY167*VLOOKUP(AB167,'FX RATES'!$H$1:$J$26,3,FALSE),0))</f>
        <v>-172779.12034800072</v>
      </c>
      <c r="BB167" s="170" t="str">
        <f>RIGHT(AB167,3)</f>
        <v>RUB</v>
      </c>
      <c r="BC167" s="542">
        <f>IF(BA167=0,0,IFERROR(BA167/IF(BB167&lt;&gt;"USD",AI167,1),"???"))</f>
        <v>-2279.4079201583208</v>
      </c>
      <c r="BD167" s="170">
        <f>IFERROR(-AC167/(IF(OR(AB167="USDAED",LEFT(AB167,3)=RIGHT(AB167,3)),AH167,AG167)-AE167)*BC167,0)</f>
        <v>0</v>
      </c>
      <c r="BE167" s="542">
        <f>BC167-BD167</f>
        <v>-2279.4079201583208</v>
      </c>
      <c r="BF167" s="170">
        <f>IF(BG167="USD",AU167,IF(BG167=S167,R167,-J167))</f>
        <v>2879652.0057999031</v>
      </c>
      <c r="BG167" s="170" t="str">
        <f>LEFT(AJ167,3)</f>
        <v>AED</v>
      </c>
      <c r="BH167" s="542">
        <f>IF(OR(A167="REFUND",A167="CANCELLED"),0,IFERROR((IF(OR(AJ167="USDAED",LEFT(AJ167,3)=RIGHT(AJ167,3)),AQ167,AO167)-AM167)*-BF167*VLOOKUP(AJ167,'FX RATES'!$H$1:$J$26,3,FALSE),0))</f>
        <v>0</v>
      </c>
      <c r="BI167" s="170" t="str">
        <f>RIGHT(AJ167,3)</f>
        <v>RUB</v>
      </c>
      <c r="BJ167" s="542">
        <f>IF(BH167=0,0,IFERROR(BH167/IF(BI167&lt;&gt;"USD",AQ167,1),"???"))</f>
        <v>0</v>
      </c>
      <c r="BK167" s="170">
        <f>IFERROR(-AK167/(IF(OR(AJ167="USDAED",LEFT(AJ167,3)=RIGHT(AJ167,3)),AP167,AO167)-AM167)*BJ167,0)</f>
        <v>0</v>
      </c>
      <c r="BL167" s="542">
        <f>BJ167-BK167</f>
        <v>0</v>
      </c>
      <c r="BM167" s="170">
        <f>IF(AND(ISERROR(SEARCH("REFUND",A167)),ISERROR(SEARCH("CANCELLED",A167))),BD167+BK167,0)</f>
        <v>0</v>
      </c>
      <c r="BN167" s="542">
        <f>IF(AND(ISERROR(SEARCH("REFUND",A167)),ISERROR(SEARCH("CANCELLED",A167))),BE167+BL167,0)</f>
        <v>-2279.4079201583208</v>
      </c>
    </row>
    <row r="168" spans="1:66" ht="19.5" customHeight="1">
      <c r="A168" s="180"/>
      <c r="E168" s="180"/>
      <c r="F168" s="182"/>
      <c r="L168" s="180"/>
      <c r="M168" s="180"/>
      <c r="N168" s="180"/>
      <c r="O168" s="180"/>
      <c r="P168" s="180"/>
      <c r="V168" s="180"/>
      <c r="W168" s="180"/>
    </row>
    <row r="169" spans="1:66" ht="19.5" customHeight="1">
      <c r="A169" s="167" t="s">
        <v>366</v>
      </c>
      <c r="B169" s="168" t="s">
        <v>39</v>
      </c>
      <c r="C169" s="168" t="s">
        <v>367</v>
      </c>
      <c r="D169" s="168" t="s">
        <v>368</v>
      </c>
      <c r="E169" s="171">
        <v>46044</v>
      </c>
      <c r="F169" s="171"/>
      <c r="G169" s="168" t="s">
        <v>39</v>
      </c>
      <c r="H169" s="168" t="s">
        <v>506</v>
      </c>
      <c r="I169" s="169">
        <v>-750000</v>
      </c>
      <c r="J169" s="170">
        <f>IF(I169="",AR169,I169)</f>
        <v>-750000</v>
      </c>
      <c r="K169" s="168" t="s">
        <v>5</v>
      </c>
      <c r="L169" s="171" t="s">
        <v>507</v>
      </c>
      <c r="M169" s="168" t="s">
        <v>20</v>
      </c>
      <c r="N169" s="167" t="s">
        <v>371</v>
      </c>
      <c r="O169" s="168" t="s">
        <v>39</v>
      </c>
      <c r="P169" s="168" t="s">
        <v>506</v>
      </c>
      <c r="Q169" s="169"/>
      <c r="R169" s="170">
        <f>IF(Q169="",AS169,Q169)</f>
        <v>57814070.3517588</v>
      </c>
      <c r="S169" s="168" t="s">
        <v>9</v>
      </c>
      <c r="T169" s="171" t="s">
        <v>439</v>
      </c>
      <c r="U169" s="168" t="s">
        <v>25</v>
      </c>
      <c r="V169" s="167" t="s">
        <v>371</v>
      </c>
      <c r="W169" s="172" t="s">
        <v>389</v>
      </c>
      <c r="X169" s="173">
        <f>IF(Y169="",VLOOKUP(H169,CLIENTS!$A$1:$O$649,5,FALSE),Y169)</f>
        <v>0</v>
      </c>
      <c r="Y169" s="174">
        <v>0</v>
      </c>
      <c r="Z169" s="173">
        <f>IF(AA169="",VLOOKUP(P169,CLIENTS!$A$1:$O$649,5,FALSE),AA169)</f>
        <v>5.0000000000000001E-3</v>
      </c>
      <c r="AA169" s="174">
        <v>5.0000000000000001E-3</v>
      </c>
      <c r="AB169" s="173" t="str">
        <f>IF(W169="via USD",IF(K169="EUR",K169&amp;"USD","USD"&amp;K169),IFERROR(VLOOKUP(K169&amp;S169,'FX RATES'!$H$2:$H$20,1,FALSE),S169&amp;K169))</f>
        <v>USDRUB</v>
      </c>
      <c r="AC169" s="175">
        <f>IF(LEFT(AB169,3)=RIGHT(AB169,3),0,IFERROR(INDEX(CLIENTS!$A$1:$O$649,MATCH(H169,CLIENTS!$A$1:$A$649,0),MATCH(AB169,CLIENTS!$A$1:$O$1,0)),0))</f>
        <v>0</v>
      </c>
      <c r="AD169" s="176"/>
      <c r="AE169" s="177" t="str">
        <f>IF(W169="CLIENT","",IF(AD169="",AH169+AC169,AD169+AC169))</f>
        <v/>
      </c>
      <c r="AF169" s="177" t="str">
        <f>E169&amp;AB169</f>
        <v>46044USDRUB</v>
      </c>
      <c r="AG169" s="176"/>
      <c r="AH169" s="178">
        <f ca="1">IF(LEFT(AB169,3)=RIGHT(AB169,3),1,VLOOKUP(AB169,'FX RATES'!$H$1:$I$20,2,FALSE))</f>
        <v>76.720500000000001</v>
      </c>
      <c r="AI169" s="178">
        <f>IF(OR(AB169="USDAED",LEFT(AB169,3)=RIGHT(AB169,3)),AH169,IF(LEFT(AB169)="USD",AG169,IF(RIGHT(AB169,3)="USD",1,IFERROR(VLOOKUP(E169&amp;"USD"&amp;RIGHT(AB169,3),$AF:$AG,2,FALSE),VLOOKUP(E169&amp;"USD"&amp;RIGHT(AJ169,3),$AN:$AO,2,FALSE)))))</f>
        <v>75.8</v>
      </c>
      <c r="AJ169" s="173" t="str">
        <f>IF(W169="via USD",IF(S169="EUR",S169&amp;"USD","USD"&amp;S169),IFERROR(VLOOKUP(K169&amp;S169,'FX RATES'!$H$2:$H$20,1,FALSE),S169&amp;K169))</f>
        <v>USDRUB</v>
      </c>
      <c r="AK169" s="175">
        <f>IF(LEFT(AJ169,3)=RIGHT(AJ169,3),0,IFERROR(INDEX(CLIENTS!$A$1:$O$649,MATCH(P169,CLIENTS!$A$1:$A$649,0),MATCH(AJ169,CLIENTS!$A$1:$O$1,0)),0))</f>
        <v>0</v>
      </c>
      <c r="AL169" s="176">
        <v>76.7</v>
      </c>
      <c r="AM169" s="177">
        <f>IF(W169="VENDOR","",IF(AL169="",AP169+AK169,AL169+AK169))</f>
        <v>76.7</v>
      </c>
      <c r="AN169" s="177" t="str">
        <f>E169&amp;AJ169</f>
        <v>46044USDRUB</v>
      </c>
      <c r="AO169" s="176">
        <v>75.8</v>
      </c>
      <c r="AP169" s="178">
        <f ca="1">IF(LEFT(AJ169,3)=RIGHT(AJ169,3),1,VLOOKUP(AJ169,'FX RATES'!$H$1:$I$20,2,FALSE))</f>
        <v>76.720500000000001</v>
      </c>
      <c r="AQ169" s="178">
        <f>IF(OR(AJ169="USDAED",LEFT(AJ169,3)=RIGHT(AJ169,3)),AP169,IF(LEFT(AJ169)="USD",AO169,IF(RIGHT(AJ169,3)="USD",1,IFERROR(VLOOKUP(E169&amp;"USD"&amp;RIGHT(AJ169,3),$AN:$AO,2,FALSE),VLOOKUP(E169&amp;"USD"&amp;RIGHT(AB169,3),$AF:$AG,2,FALSE)))))</f>
        <v>75.8</v>
      </c>
      <c r="AR169" s="179">
        <f>-Q169*(1-Z169)/(1+X169)*IF(W169="CLIENT",IF(S169=RIGHT(AJ169,3),1/AM169,AM169),IF(W169="VENDOR",IF(S169=RIGHT(AJ169,3),1/AE169,AE169),AE169^(VLOOKUP(AB169,'FX RATES'!$H$1:$J$26,3,FALSE))/AM169^(VLOOKUP(AJ169,'FX RATES'!$H$1:$J$26,3,FALSE))))</f>
        <v>0</v>
      </c>
      <c r="AS169" s="179">
        <f>-I169*(1+X169)/(1-Z169)*IF(W169="VENDOR",IF(K169=RIGHT(AB169,3),1/AE169,AE169),IF(W169="CLIENT",IF(K169=RIGHT(AB169,3),1/AM169,AM169),AM169^(VLOOKUP(AJ169,'FX RATES'!$H$1:$J$26,3,FALSE))/AE169^(VLOOKUP(AB169,'FX RATES'!$H$1:$J$26,3,FALSE))))</f>
        <v>57814070.3517588</v>
      </c>
      <c r="AT169" s="170">
        <f>IF(AB169&lt;&gt;AJ169,J169/IF(K169=RIGHT(AB169,3),AE169,1/AE169),IF(S169="USD",J169/IF(K169=RIGHT(AB169,3),IF(W169="CLIENT",AM169,AE169),1/IF(W169="CLIENT",AM169,AE169)),J169*VLOOKUP(K169,'FX RATES'!$E$1:$F$10,2,FALSE)))</f>
        <v>-750000</v>
      </c>
      <c r="AU169" s="170">
        <f>IF(AB169&lt;&gt;AJ169,R169/IF(S169=RIGHT(AJ169,3),AM169,1/AM169),IF(K169="USD",R169/IF(S169=RIGHT(AJ169,3),IF(W169="CLIENT",AM169,AE169),1/IF(W169="CLIENT",AM169,AE169)),R169*VLOOKUP(S169,'FX RATES'!$E$1:$F$10,2,FALSE)))</f>
        <v>753768.84422110557</v>
      </c>
      <c r="AV169" s="170">
        <f>AT169+AU169</f>
        <v>3768.8442211055662</v>
      </c>
      <c r="AW169" s="169"/>
      <c r="AX169" s="170">
        <f>IF(AND(ISERROR(SEARCH("INVOICE",T169)),ISERROR(SEARCH("SWITCH",T169)),ISERROR(SEARCH("FOREX",T169)),ISERROR(SEARCH("REFUND",A169)),ISERROR(SEARCH("CANCELLED",A169))),IF(AW169="",-AT169*X169+AU169*Z169,AW169),0)</f>
        <v>3768.844221105528</v>
      </c>
      <c r="AY169" s="170">
        <f>IF(AZ169="USD",AT169,IF(AZ169=K169,J169,-R169))</f>
        <v>-750000</v>
      </c>
      <c r="AZ169" s="170" t="str">
        <f>LEFT(AB169,3)</f>
        <v>USD</v>
      </c>
      <c r="BA169" s="542">
        <f>IF(OR(A169="REFUND",A169="CANCELLED"),0,IFERROR((IF(OR(AB169="USDAED",LEFT(AB169,3)=RIGHT(AB169,3)),AI169,AG169)-AE169)*-AY169*VLOOKUP(AB169,'FX RATES'!$H$1:$J$26,3,FALSE),0))</f>
        <v>0</v>
      </c>
      <c r="BB169" s="170" t="str">
        <f>RIGHT(AB169,3)</f>
        <v>RUB</v>
      </c>
      <c r="BC169" s="542">
        <f>IF(BA169=0,0,IFERROR(BA169/IF(BB169&lt;&gt;"USD",AI169,1),"???"))</f>
        <v>0</v>
      </c>
      <c r="BD169" s="170">
        <f>IFERROR(-AC169/(IF(OR(AB169="USDAED",LEFT(AB169,3)=RIGHT(AB169,3)),AH169,AG169)-AE169)*BC169,0)</f>
        <v>0</v>
      </c>
      <c r="BE169" s="542">
        <f>BC169-BD169</f>
        <v>0</v>
      </c>
      <c r="BF169" s="170">
        <f>IF(BG169="USD",AU169,IF(BG169=S169,R169,-J169))</f>
        <v>753768.84422110557</v>
      </c>
      <c r="BG169" s="170" t="str">
        <f>LEFT(AJ169,3)</f>
        <v>USD</v>
      </c>
      <c r="BH169" s="542">
        <f>IF(OR(A169="REFUND",A169="CANCELLED"),0,IFERROR((IF(OR(AJ169="USDAED",LEFT(AJ169,3)=RIGHT(AJ169,3)),AQ169,AO169)-AM169)*-BF169*VLOOKUP(AJ169,'FX RATES'!$H$1:$J$26,3,FALSE),0))</f>
        <v>678391.95979899925</v>
      </c>
      <c r="BI169" s="170" t="str">
        <f>RIGHT(AJ169,3)</f>
        <v>RUB</v>
      </c>
      <c r="BJ169" s="542">
        <f>IF(BH169=0,0,IFERROR(BH169/IF(BI169&lt;&gt;"USD",AQ169,1),"???"))</f>
        <v>8949.7620026253207</v>
      </c>
      <c r="BK169" s="170">
        <f>IFERROR(-AK169/(IF(OR(AJ169="USDAED",LEFT(AJ169,3)=RIGHT(AJ169,3)),AP169,AO169)-AM169)*BJ169,0)</f>
        <v>0</v>
      </c>
      <c r="BL169" s="542">
        <f>BJ169-BK169</f>
        <v>8949.7620026253207</v>
      </c>
      <c r="BM169" s="170">
        <f>IF(AND(ISERROR(SEARCH("REFUND",A169)),ISERROR(SEARCH("CANCELLED",A169))),BD169+BK169,0)</f>
        <v>0</v>
      </c>
      <c r="BN169" s="542">
        <f>IF(AND(ISERROR(SEARCH("REFUND",A169)),ISERROR(SEARCH("CANCELLED",A169))),BE169+BL169,0)</f>
        <v>8949.7620026253207</v>
      </c>
    </row>
    <row r="170" spans="1:66" ht="19.5" customHeight="1">
      <c r="A170" s="167" t="s">
        <v>366</v>
      </c>
      <c r="B170" s="168" t="s">
        <v>39</v>
      </c>
      <c r="C170" s="168" t="s">
        <v>383</v>
      </c>
      <c r="D170" s="168" t="s">
        <v>128</v>
      </c>
      <c r="E170" s="171">
        <v>46044</v>
      </c>
      <c r="F170" s="171"/>
      <c r="G170" s="168" t="s">
        <v>39</v>
      </c>
      <c r="H170" s="168" t="s">
        <v>384</v>
      </c>
      <c r="I170" s="169">
        <v>-57810000</v>
      </c>
      <c r="J170" s="170">
        <f>IF(I170="",AR170,I170)</f>
        <v>-57810000</v>
      </c>
      <c r="K170" s="168" t="s">
        <v>9</v>
      </c>
      <c r="L170" s="171" t="s">
        <v>374</v>
      </c>
      <c r="M170" s="168" t="s">
        <v>25</v>
      </c>
      <c r="N170" s="167" t="s">
        <v>371</v>
      </c>
      <c r="O170" s="168" t="s">
        <v>39</v>
      </c>
      <c r="P170" s="349" t="s">
        <v>384</v>
      </c>
      <c r="Q170" s="169"/>
      <c r="R170" s="170">
        <f>IF(Q170="",AS170,Q170)</f>
        <v>2790057.9150579153</v>
      </c>
      <c r="S170" s="168" t="s">
        <v>8</v>
      </c>
      <c r="T170" s="171" t="s">
        <v>385</v>
      </c>
      <c r="U170" s="168" t="s">
        <v>20</v>
      </c>
      <c r="V170" s="167" t="s">
        <v>371</v>
      </c>
      <c r="W170" s="172" t="s">
        <v>382</v>
      </c>
      <c r="X170" s="173">
        <f>IF(Y170="",VLOOKUP(H170,CLIENTS!$A$1:$O$649,5,FALSE),Y170)</f>
        <v>0</v>
      </c>
      <c r="Y170" s="174">
        <v>0</v>
      </c>
      <c r="Z170" s="173">
        <f>IF(AA170="",VLOOKUP(P170,CLIENTS!$A$1:$O$649,5,FALSE),AA170)</f>
        <v>0</v>
      </c>
      <c r="AA170" s="174">
        <v>0</v>
      </c>
      <c r="AB170" s="173" t="str">
        <f>IF(W170="via USD",IF(K170="EUR",K170&amp;"USD","USD"&amp;K170),IFERROR(VLOOKUP(K170&amp;S170,'FX RATES'!$H$2:$H$20,1,FALSE),S170&amp;K170))</f>
        <v>AEDRUB</v>
      </c>
      <c r="AC170" s="175">
        <f>IF(LEFT(AB170,3)=RIGHT(AB170,3),0,IFERROR(INDEX(CLIENTS!$A$1:$O$649,MATCH(H170,CLIENTS!$A$1:$A$649,0),MATCH(AB170,CLIENTS!$A$1:$O$1,0)),0))</f>
        <v>0</v>
      </c>
      <c r="AD170" s="176">
        <v>20.72</v>
      </c>
      <c r="AE170" s="177">
        <f>IF(W170="CLIENT","",IF(AD170="",AH170+AC170,AD170+AC170))</f>
        <v>20.72</v>
      </c>
      <c r="AF170" s="177" t="str">
        <f>E170&amp;AB170</f>
        <v>46044AEDRUB</v>
      </c>
      <c r="AG170" s="176">
        <v>20.63</v>
      </c>
      <c r="AH170" s="178">
        <f ca="1">IF(LEFT(AB170,3)=RIGHT(AB170,3),1,VLOOKUP(AB170,'FX RATES'!$H$1:$I$20,2,FALSE))</f>
        <v>20.8843</v>
      </c>
      <c r="AI170" s="178">
        <f>IF(OR(AB170="USDAED",LEFT(AB170,3)=RIGHT(AB170,3)),AH170,IF(LEFT(AB170)="USD",AG170,IF(RIGHT(AB170,3)="USD",1,IFERROR(VLOOKUP(E170&amp;"USD"&amp;RIGHT(AB170,3),$AF:$AG,2,FALSE),VLOOKUP(E170&amp;"USD"&amp;RIGHT(AJ170,3),$AN:$AO,2,FALSE)))))</f>
        <v>75.8</v>
      </c>
      <c r="AJ170" s="173" t="str">
        <f>IF(W170="via USD",IF(S170="EUR",S170&amp;"USD","USD"&amp;S170),IFERROR(VLOOKUP(K170&amp;S170,'FX RATES'!$H$2:$H$20,1,FALSE),S170&amp;K170))</f>
        <v>AEDRUB</v>
      </c>
      <c r="AK170" s="175">
        <f>IF(LEFT(AJ170,3)=RIGHT(AJ170,3),0,IFERROR(INDEX(CLIENTS!$A$1:$O$649,MATCH(P170,CLIENTS!$A$1:$A$649,0),MATCH(AJ170,CLIENTS!$A$1:$O$1,0)),0))</f>
        <v>0</v>
      </c>
      <c r="AL170" s="176"/>
      <c r="AM170" s="177" t="str">
        <f>IF(W170="VENDOR","",IF(AL170="",AP170+AK170,AL170+AK170))</f>
        <v/>
      </c>
      <c r="AN170" s="177" t="str">
        <f>E170&amp;AJ170</f>
        <v>46044AEDRUB</v>
      </c>
      <c r="AO170" s="176"/>
      <c r="AP170" s="178">
        <f ca="1">IF(LEFT(AJ170,3)=RIGHT(AJ170,3),1,VLOOKUP(AJ170,'FX RATES'!$H$1:$I$20,2,FALSE))</f>
        <v>20.8843</v>
      </c>
      <c r="AQ170" s="178">
        <f>IF(OR(AJ170="USDAED",LEFT(AJ170,3)=RIGHT(AJ170,3)),AP170,IF(LEFT(AJ170)="USD",AO170,IF(RIGHT(AJ170,3)="USD",1,IFERROR(VLOOKUP(E170&amp;"USD"&amp;RIGHT(AJ170,3),$AN:$AO,2,FALSE),VLOOKUP(E170&amp;"USD"&amp;RIGHT(AB170,3),$AF:$AG,2,FALSE)))))</f>
        <v>75.8</v>
      </c>
      <c r="AR170" s="179">
        <f>-Q170*(1-Z170)/(1+X170)*IF(W170="CLIENT",IF(S170=RIGHT(AJ170,3),1/AM170,AM170),IF(W170="VENDOR",IF(S170=RIGHT(AJ170,3),1/AE170,AE170),AE170^(VLOOKUP(AB170,'FX RATES'!$H$1:$J$26,3,FALSE))/AM170^(VLOOKUP(AJ170,'FX RATES'!$H$1:$J$26,3,FALSE))))</f>
        <v>0</v>
      </c>
      <c r="AS170" s="179">
        <f>-I170*(1+X170)/(1-Z170)*IF(W170="VENDOR",IF(K170=RIGHT(AB170,3),1/AE170,AE170),IF(W170="CLIENT",IF(K170=RIGHT(AB170,3),1/AM170,AM170),AM170^(VLOOKUP(AJ170,'FX RATES'!$H$1:$J$26,3,FALSE))/AE170^(VLOOKUP(AB170,'FX RATES'!$H$1:$J$26,3,FALSE))))</f>
        <v>2790057.9150579153</v>
      </c>
      <c r="AT170" s="170">
        <f ca="1">IF(AB170&lt;&gt;AJ170,J170/IF(K170=RIGHT(AB170,3),AE170,1/AE170),IF(S170="USD",J170/IF(K170=RIGHT(AB170,3),IF(W170="CLIENT",AM170,AE170),1/IF(W170="CLIENT",AM170,AE170)),J170*VLOOKUP(K170,'FX RATES'!$E$1:$F$10,2,FALSE)))</f>
        <v>-753514.38012004609</v>
      </c>
      <c r="AU170" s="170">
        <f ca="1">IF(AB170&lt;&gt;AJ170,R170/IF(S170=RIGHT(AJ170,3),AM170,1/AM170),IF(K170="USD",R170/IF(S170=RIGHT(AJ170,3),IF(W170="CLIENT",AM170,AE170),1/IF(W170="CLIENT",AM170,AE170)),R170*VLOOKUP(S170,'FX RATES'!$E$1:$F$10,2,FALSE)))</f>
        <v>759695.56038172275</v>
      </c>
      <c r="AV170" s="170">
        <f ca="1">AT170+AU170</f>
        <v>6181.1802616766654</v>
      </c>
      <c r="AW170" s="169"/>
      <c r="AX170" s="170">
        <f ca="1">IF(AND(ISERROR(SEARCH("INVOICE",T170)),ISERROR(SEARCH("SWITCH",T170)),ISERROR(SEARCH("FOREX",T170)),ISERROR(SEARCH("REFUND",A170)),ISERROR(SEARCH("CANCELLED",A170))),IF(AW170="",-AT170*X170+AU170*Z170,AW170),0)</f>
        <v>0</v>
      </c>
      <c r="AY170" s="170">
        <f>IF(AZ170="USD",AT170,IF(AZ170=K170,J170,-R170))</f>
        <v>-2790057.9150579153</v>
      </c>
      <c r="AZ170" s="170" t="str">
        <f>LEFT(AB170,3)</f>
        <v>AED</v>
      </c>
      <c r="BA170" s="542">
        <f>IF(OR(A170="REFUND",A170="CANCELLED"),0,IFERROR((IF(OR(AB170="USDAED",LEFT(AB170,3)=RIGHT(AB170,3)),AI170,AG170)-AE170)*-AY170*VLOOKUP(AB170,'FX RATES'!$H$1:$J$26,3,FALSE),0))</f>
        <v>-251105.21235521199</v>
      </c>
      <c r="BB170" s="170" t="str">
        <f>RIGHT(AB170,3)</f>
        <v>RUB</v>
      </c>
      <c r="BC170" s="542">
        <f>IF(BA170=0,0,IFERROR(BA170/IF(BB170&lt;&gt;"USD",AI170,1),"???"))</f>
        <v>-3312.7336722323485</v>
      </c>
      <c r="BD170" s="170">
        <f>IFERROR(-AC170/(IF(OR(AB170="USDAED",LEFT(AB170,3)=RIGHT(AB170,3)),AH170,AG170)-AE170)*BC170,0)</f>
        <v>0</v>
      </c>
      <c r="BE170" s="542">
        <f>BC170-BD170</f>
        <v>-3312.7336722323485</v>
      </c>
      <c r="BF170" s="170">
        <f>IF(BG170="USD",AU170,IF(BG170=S170,R170,-J170))</f>
        <v>2790057.9150579153</v>
      </c>
      <c r="BG170" s="170" t="str">
        <f>LEFT(AJ170,3)</f>
        <v>AED</v>
      </c>
      <c r="BH170" s="542">
        <f>IF(OR(A170="REFUND",A170="CANCELLED"),0,IFERROR((IF(OR(AJ170="USDAED",LEFT(AJ170,3)=RIGHT(AJ170,3)),AQ170,AO170)-AM170)*-BF170*VLOOKUP(AJ170,'FX RATES'!$H$1:$J$26,3,FALSE),0))</f>
        <v>0</v>
      </c>
      <c r="BI170" s="170" t="str">
        <f>RIGHT(AJ170,3)</f>
        <v>RUB</v>
      </c>
      <c r="BJ170" s="542">
        <f>IF(BH170=0,0,IFERROR(BH170/IF(BI170&lt;&gt;"USD",AQ170,1),"???"))</f>
        <v>0</v>
      </c>
      <c r="BK170" s="170">
        <f>IFERROR(-AK170/(IF(OR(AJ170="USDAED",LEFT(AJ170,3)=RIGHT(AJ170,3)),AP170,AO170)-AM170)*BJ170,0)</f>
        <v>0</v>
      </c>
      <c r="BL170" s="542">
        <f>BJ170-BK170</f>
        <v>0</v>
      </c>
      <c r="BM170" s="170">
        <f>IF(AND(ISERROR(SEARCH("REFUND",A170)),ISERROR(SEARCH("CANCELLED",A170))),BD170+BK170,0)</f>
        <v>0</v>
      </c>
      <c r="BN170" s="542">
        <f>IF(AND(ISERROR(SEARCH("REFUND",A170)),ISERROR(SEARCH("CANCELLED",A170))),BE170+BL170,0)</f>
        <v>-3312.7336722323485</v>
      </c>
    </row>
    <row r="171" spans="1:66" ht="19.5" customHeight="1">
      <c r="A171" s="180"/>
      <c r="E171" s="180"/>
      <c r="F171" s="182"/>
      <c r="L171" s="180"/>
      <c r="M171" s="180"/>
      <c r="N171" s="180"/>
      <c r="O171" s="180"/>
      <c r="P171" s="180"/>
      <c r="V171" s="180"/>
      <c r="W171" s="180"/>
    </row>
    <row r="172" spans="1:66" ht="19.5" customHeight="1">
      <c r="A172" s="167" t="s">
        <v>366</v>
      </c>
      <c r="B172" s="172" t="s">
        <v>52</v>
      </c>
      <c r="C172" s="172" t="s">
        <v>484</v>
      </c>
      <c r="D172" s="181" t="s">
        <v>368</v>
      </c>
      <c r="E172" s="171">
        <v>46044</v>
      </c>
      <c r="F172" s="171"/>
      <c r="G172" s="172" t="s">
        <v>52</v>
      </c>
      <c r="H172" s="172" t="s">
        <v>485</v>
      </c>
      <c r="I172" s="169"/>
      <c r="J172" s="170">
        <f>IF(I172="",AR172,I172)</f>
        <v>-180015.91792379998</v>
      </c>
      <c r="K172" s="172" t="s">
        <v>53</v>
      </c>
      <c r="L172" s="172" t="s">
        <v>420</v>
      </c>
      <c r="M172" s="172" t="s">
        <v>54</v>
      </c>
      <c r="N172" s="167" t="s">
        <v>371</v>
      </c>
      <c r="O172" s="172" t="s">
        <v>52</v>
      </c>
      <c r="P172" s="172" t="s">
        <v>485</v>
      </c>
      <c r="Q172" s="169">
        <v>60</v>
      </c>
      <c r="R172" s="170">
        <f>IF(Q172="",AS172,Q172)</f>
        <v>60</v>
      </c>
      <c r="S172" s="172" t="s">
        <v>486</v>
      </c>
      <c r="T172" s="171" t="s">
        <v>420</v>
      </c>
      <c r="U172" s="172" t="s">
        <v>54</v>
      </c>
      <c r="V172" s="167" t="s">
        <v>371</v>
      </c>
      <c r="W172" s="172" t="s">
        <v>389</v>
      </c>
      <c r="X172" s="173">
        <f>IF(Y172="",VLOOKUP(H172,CLIENTS!$A$1:$O$649,5,FALSE),Y172)</f>
        <v>0</v>
      </c>
      <c r="Y172" s="174">
        <v>0</v>
      </c>
      <c r="Z172" s="173">
        <f>IF(AA172="",VLOOKUP(P172,CLIENTS!$A$1:$O$649,5,FALSE),AA172)</f>
        <v>0</v>
      </c>
      <c r="AA172" s="174">
        <v>0</v>
      </c>
      <c r="AB172" s="173" t="str">
        <f>IF(W172="via USD",IF(K172="EUR",K172&amp;"USD","USD"&amp;K172),IFERROR(VLOOKUP(K172&amp;S172,'FX RATES'!$H$2:$H$55,1,FALSE),S172&amp;K172))</f>
        <v>ETHUSDT</v>
      </c>
      <c r="AC172" s="175">
        <f>IF(LEFT(AB172,3)=RIGHT(AB172,3),0,IFERROR(INDEX(CLIENTS!$A$1:$O$649,MATCH(H172,CLIENTS!$A$1:$A$649,0),MATCH(AB172,CLIENTS!$A$1:$O$1,0)),0))</f>
        <v>0</v>
      </c>
      <c r="AD172" s="176"/>
      <c r="AE172" s="177" t="str">
        <f>IF(W172="CLIENT","",IF(AD172="",AH172+AC172,AD172+AC172))</f>
        <v/>
      </c>
      <c r="AF172" s="177" t="str">
        <f>E172&amp;AB172</f>
        <v>46044ETHUSDT</v>
      </c>
      <c r="AG172" s="176"/>
      <c r="AH172" s="178">
        <f ca="1">IF(OR(LEFT(AB172,3)=RIGHT(AB172,3),OR(AB172="USDUSDT",AB172="USDTUSD")),1,VLOOKUP(AB172,'FX RATES'!$H$1:$I$50,2,FALSE))</f>
        <v>1964.42</v>
      </c>
      <c r="AI172" s="178">
        <f>IF(OR(AB172="USDAED",LEFT(AB172,3)=RIGHT(AB172,3)),AH172,IF(LEFT(AB172)="USD",AG172,IF(OR(RIGHT(AB172,3)="USD",RIGHT(AB172,4)="USDT"),1,IFERROR(VLOOKUP(E172&amp;"USD"&amp;RIGHT(AB172,3),$AF:$AG,2,FALSE),VLOOKUP(E172&amp;"USD"&amp;RIGHT(AJ172,3),$AN:$AO,2,FALSE)))))</f>
        <v>1</v>
      </c>
      <c r="AJ172" s="173" t="str">
        <f>IF(W172="via USD",IF(S172="EUR",S172&amp;"USD","USD"&amp;S172),IFERROR(VLOOKUP(K172&amp;S172,'FX RATES'!$H$2:$H$20,1,FALSE),S172&amp;K172))</f>
        <v>ETHUSDT</v>
      </c>
      <c r="AK172" s="175">
        <f>IF(LEFT(AJ172,3)=RIGHT(AJ172,3),0,IFERROR(INDEX(CLIENTS!$A$1:$O$649,MATCH(P172,CLIENTS!$A$1:$A$649,0),MATCH(AJ172,CLIENTS!$A$1:$O$1,0)),0))</f>
        <v>0</v>
      </c>
      <c r="AL172" s="176">
        <v>3000.2652987299998</v>
      </c>
      <c r="AM172" s="177">
        <f>IF(W172="VENDOR","",IF(AL172="",AP172+AK172,AL172+AK172))</f>
        <v>3000.2652987299998</v>
      </c>
      <c r="AN172" s="177" t="str">
        <f>E172&amp;AJ172</f>
        <v>46044ETHUSDT</v>
      </c>
      <c r="AO172" s="176">
        <v>3000.2652987299998</v>
      </c>
      <c r="AP172" s="178">
        <f ca="1">IF(OR(LEFT(AJ172,3)=RIGHT(AJ172,3),AND(OR(AB172="USDUSDT",AB172="USDTUSD"),OR(AJ172="USDUSDT",AJ172="USDTUSD"))),1,VLOOKUP(AJ172,'FX RATES'!$H$1:$I$50,2,FALSE))</f>
        <v>1964.42</v>
      </c>
      <c r="AQ172" s="178">
        <f>IF(OR(AJ172="USDAED",LEFT(AJ172,3)=RIGHT(AJ172,3)),AP172,IF(LEFT(AJ172)="USD",AO172,IF(OR(RIGHT(AB172,3)="USD",RIGHT(AB172,4)="USDT"),1,IFERROR(VLOOKUP(E172&amp;"USD"&amp;RIGHT(AJ172,3),$AN:$AO,2,FALSE),VLOOKUP(E172&amp;"USD"&amp;RIGHT(AB172,3),$AF:$AG,2,FALSE)))))</f>
        <v>1</v>
      </c>
      <c r="AR172" s="179">
        <f>-Q172*(1-Z172)/(1+X172)*IF(W172="CLIENT",IF(S172=RIGHT(AJ172,3),1/AM172,AM172),IF(W172="VENDOR",IF(S172=RIGHT(AJ172,3),1/AE172,AE172),AE172^(VLOOKUP(AB172,'FX RATES'!$H$1:$J$50,3,FALSE))/AM172^(VLOOKUP(AJ172,'FX RATES'!$H$1:$J$50,3,FALSE))))</f>
        <v>-180015.91792379998</v>
      </c>
      <c r="AS172" s="179">
        <f>-I172*(1+X172)/(1-Z172)*IF(W172="VENDOR",IF(K172=RIGHT(AB172,3),1/AE172,AE172),IF(W172="CLIENT",IF(K172=RIGHT(AB172,4),1/AM172,AM172),AM172^(VLOOKUP(AJ172,'FX RATES'!$H$1:$J$50,3,FALSE))/AE172^(VLOOKUP(AB172,'FX RATES'!$H$1:$J$50,3,FALSE))))</f>
        <v>0</v>
      </c>
      <c r="AT172" s="170">
        <f>IF(AB172&lt;&gt;AJ172,J172/IF(K172=RIGHT(AB172,3),AE172,1/AE172),IF(S172="USD",J172/IF(K172=RIGHT(AB172,3),IF(W172="CLIENT",AM172,AE172),1/IF(W172="CLIENT",AM172,AE172)),J172*VLOOKUP(K172,'FX RATES'!$E$1:$F$50,2,FALSE)))</f>
        <v>-180015.91792379998</v>
      </c>
      <c r="AU172" s="170">
        <f ca="1">IF(AB172&lt;&gt;AJ172,R172/IF(S172=RIGHT(AJ172,3),AM172,1/AM172),IF(K172="USD",R172/IF(S172=RIGHT(AJ172,3),IF(W172="CLIENT",AM172,AE172),1/IF(W172="CLIENT",AM172,AE172)),R172*VLOOKUP(S172,'FX RATES'!$E$1:$F$50,2,FALSE)))</f>
        <v>117865.20000000001</v>
      </c>
      <c r="AV172" s="170">
        <f ca="1">AT172+AU172</f>
        <v>-62150.717923799966</v>
      </c>
      <c r="AW172" s="169"/>
      <c r="AX172" s="170">
        <f ca="1">IF(AND(ISERROR(SEARCH("INVOICE",T172)),ISERROR(SEARCH("SWITCH",T172)),ISERROR(SEARCH("FOREX",T172)),ISERROR(SEARCH("REFUND",A172)),ISERROR(SEARCH("CANCELLED",A172))),IF(AW172="",-AT172*X172+AU172*Z172,AW172),0)</f>
        <v>0</v>
      </c>
      <c r="AY172" s="170">
        <f>IF(AZ172="USD",AT172,IF(AZ172=K172,J172,-R172))</f>
        <v>-60</v>
      </c>
      <c r="AZ172" s="170" t="str">
        <f>LEFT(AB172,3)</f>
        <v>ETH</v>
      </c>
      <c r="BA172" s="542">
        <f>IF(OR(A172="REFUND",A172="CANCELLED"),0,IFERROR((IF(OR(AB172="USDAED",LEFT(AB172,3)=RIGHT(AB172,3)),AI172,AG172)-AE172)*-AY172*VLOOKUP(AB172,'FX RATES'!$H$1:$J$26,3,FALSE),0))</f>
        <v>0</v>
      </c>
      <c r="BB172" s="170" t="str">
        <f>RIGHT(AB172,4)</f>
        <v>USDT</v>
      </c>
      <c r="BC172" s="542">
        <f>IF(BA172=0,0,IFERROR(BA172/IF(BB172&lt;&gt;"USD",AI172,1),"???"))</f>
        <v>0</v>
      </c>
      <c r="BD172" s="170">
        <f>IFERROR(-AC172/(IF(OR(AB172="USDAED",LEFT(AB172,3)=RIGHT(AB172,3)),AH172,AG172)-AE172)*BC172,0)</f>
        <v>0</v>
      </c>
      <c r="BE172" s="542">
        <f>BC172-BD172</f>
        <v>0</v>
      </c>
      <c r="BF172" s="170">
        <f>IF(BG172="USD",AU172,IF(BG172=S172,R172,-J172))</f>
        <v>60</v>
      </c>
      <c r="BG172" s="170" t="str">
        <f>LEFT(AJ172,3)</f>
        <v>ETH</v>
      </c>
      <c r="BH172" s="542">
        <f>IF(OR(A172="REFUND",A172="CANCELLED"),0,IFERROR((IF(OR(AJ172="USDAED",LEFT(AJ172,3)=RIGHT(AJ172,3)),AQ172,AO172)-AM172)*-BF172*VLOOKUP(AJ172,'FX RATES'!$H$1:$J$26,3,FALSE),0))</f>
        <v>0</v>
      </c>
      <c r="BI172" s="170" t="str">
        <f>RIGHT(AJ172,4)</f>
        <v>USDT</v>
      </c>
      <c r="BJ172" s="542">
        <f>IF(BH172=0,0,IFERROR(BH172/IF(BI172&lt;&gt;"USD",AQ172,1),"???"))</f>
        <v>0</v>
      </c>
      <c r="BK172" s="170">
        <f>IFERROR(-AK172/(IF(OR(AJ172="USDAED",LEFT(AJ172,3)=RIGHT(AJ172,3)),AP172,AO172)-AM172)*BJ172,0)</f>
        <v>0</v>
      </c>
      <c r="BL172" s="542">
        <f>BJ172-BK172</f>
        <v>0</v>
      </c>
      <c r="BM172" s="170">
        <f>IF(AND(ISERROR(SEARCH("REFUND",A172)),ISERROR(SEARCH("CANCELLED",A172))),BD172+BK172,0)</f>
        <v>0</v>
      </c>
      <c r="BN172" s="542">
        <f>IF(AND(ISERROR(SEARCH("REFUND",A172)),ISERROR(SEARCH("CANCELLED",A172))),BE172+BL172,0)</f>
        <v>0</v>
      </c>
    </row>
    <row r="173" spans="1:66" ht="19.5" customHeight="1">
      <c r="A173" s="167" t="s">
        <v>366</v>
      </c>
      <c r="B173" s="172" t="s">
        <v>52</v>
      </c>
      <c r="C173" s="172" t="s">
        <v>484</v>
      </c>
      <c r="D173" s="181" t="s">
        <v>368</v>
      </c>
      <c r="E173" s="171">
        <v>46044</v>
      </c>
      <c r="F173" s="171"/>
      <c r="G173" s="172" t="s">
        <v>52</v>
      </c>
      <c r="H173" s="172" t="s">
        <v>487</v>
      </c>
      <c r="I173" s="169">
        <v>-60</v>
      </c>
      <c r="J173" s="170">
        <f>IF(I173="",AR173,I173)</f>
        <v>-60</v>
      </c>
      <c r="K173" s="172" t="s">
        <v>486</v>
      </c>
      <c r="L173" s="172" t="s">
        <v>420</v>
      </c>
      <c r="M173" s="172" t="s">
        <v>54</v>
      </c>
      <c r="N173" s="167" t="s">
        <v>371</v>
      </c>
      <c r="O173" s="172" t="s">
        <v>99</v>
      </c>
      <c r="P173" s="172" t="s">
        <v>487</v>
      </c>
      <c r="Q173" s="169"/>
      <c r="R173" s="170">
        <f>IF(Q173="",AS173,Q173)</f>
        <v>13908000.000000414</v>
      </c>
      <c r="S173" s="172" t="s">
        <v>9</v>
      </c>
      <c r="T173" s="171" t="s">
        <v>391</v>
      </c>
      <c r="U173" s="172" t="s">
        <v>391</v>
      </c>
      <c r="V173" s="167" t="s">
        <v>371</v>
      </c>
      <c r="W173" s="172" t="s">
        <v>375</v>
      </c>
      <c r="X173" s="173">
        <f>IF(Y173="",VLOOKUP(H173,CLIENTS!$A$1:$O$649,5,FALSE),Y173)</f>
        <v>0</v>
      </c>
      <c r="Y173" s="174">
        <v>0</v>
      </c>
      <c r="Z173" s="173">
        <f>IF(AA173="",VLOOKUP(P173,CLIENTS!$A$1:$O$649,5,FALSE),AA173)</f>
        <v>0</v>
      </c>
      <c r="AA173" s="174">
        <v>0</v>
      </c>
      <c r="AB173" s="173" t="str">
        <f>IF(W173="via USD",IF(OR(K173="EUR", K173="ETH", K173="BTC"),K173&amp;"USD","USD"&amp;K173),IFERROR(VLOOKUP(K173&amp;S173,'FX RATES'!$H$2:$H$55,1,FALSE),S173&amp;K173))</f>
        <v>ETHUSD</v>
      </c>
      <c r="AC173" s="175">
        <f>IF(LEFT(AB173,3)=RIGHT(AB173,3),0,IFERROR(INDEX(CLIENTS!$A$1:$O$649,MATCH(H173,CLIENTS!$A$1:$A$649,0),MATCH(AB173,CLIENTS!$A$1:$O$1,0)),0))</f>
        <v>0</v>
      </c>
      <c r="AD173" s="176">
        <v>3010.3896103897</v>
      </c>
      <c r="AE173" s="177">
        <f>IF(W173="CLIENT","",IF(AD173="",AH173+AC173,AD173+AC173))</f>
        <v>3010.3896103897</v>
      </c>
      <c r="AF173" s="177" t="str">
        <f>E173&amp;AB173</f>
        <v>46044ETHUSD</v>
      </c>
      <c r="AG173" s="176">
        <v>3000.2652987299998</v>
      </c>
      <c r="AH173" s="178">
        <f ca="1">IF(OR(LEFT(AB173,3)=RIGHT(AB173,3),OR(AB173="USDUSDT",AB173="USDTUSD")),1,VLOOKUP(AB173,'FX RATES'!$H$1:$I$50,2,FALSE))</f>
        <v>1964.42</v>
      </c>
      <c r="AI173" s="178">
        <f>IF(OR(AB173="USDAED",LEFT(AB173,3)=RIGHT(AB173,3)),AH173,IF(LEFT(AB173)="USD",AG173,IF(OR(RIGHT(AB173,3)="USD",RIGHT(AB173,4)="USDT"),1,IFERROR(VLOOKUP(E173&amp;"USD"&amp;RIGHT(AB173,3),$AF:$AG,2,FALSE),VLOOKUP(E173&amp;"USD"&amp;RIGHT(AJ173,3),$AN:$AO,2,FALSE)))))</f>
        <v>1</v>
      </c>
      <c r="AJ173" s="173" t="str">
        <f>IF(W173="via USD",IF(S173="EUR",S173&amp;"USD","USD"&amp;S173),IFERROR(VLOOKUP(K173&amp;S173,'FX RATES'!$H$2:$H$20,1,FALSE),S173&amp;K173))</f>
        <v>USDRUB</v>
      </c>
      <c r="AK173" s="175">
        <f>IF(LEFT(AJ173,3)=RIGHT(AJ173,3),0,IFERROR(INDEX(CLIENTS!$A$1:$O$649,MATCH(P173,CLIENTS!$A$1:$A$649,0),MATCH(AJ173,CLIENTS!$A$1:$O$1,0)),0))</f>
        <v>0</v>
      </c>
      <c r="AL173" s="176">
        <v>77</v>
      </c>
      <c r="AM173" s="177">
        <f>IF(W173="VENDOR","",IF(AL173="",AP173+AK173,AL173+AK173))</f>
        <v>77</v>
      </c>
      <c r="AN173" s="177" t="str">
        <f>E173&amp;AJ173</f>
        <v>46044USDRUB</v>
      </c>
      <c r="AO173" s="176">
        <v>75.8</v>
      </c>
      <c r="AP173" s="178">
        <f ca="1">IF(OR(LEFT(AJ173,3)=RIGHT(AJ173,3),AND(OR(AB173="USDUSDT",AB173="USDTUSD"),OR(AJ173="USDUSDT",AJ173="USDTUSD"))),1,VLOOKUP(AJ173,'FX RATES'!$H$1:$I$50,2,FALSE))</f>
        <v>76.720500000000001</v>
      </c>
      <c r="AQ173" s="178">
        <f>IF(OR(AJ173="USDAED",LEFT(AJ173,3)=RIGHT(AJ173,3)),AP173,IF(LEFT(AJ173)="USD",AO173,IF(RIGHT(AJ173,3)="USD",1,IFERROR(VLOOKUP(E173&amp;"USD"&amp;RIGHT(AJ173,3),$AN:$AO,2,FALSE),VLOOKUP(E173&amp;"USD"&amp;RIGHT(AB173,3),$AF:$AG,2,FALSE)))))</f>
        <v>75.8</v>
      </c>
      <c r="AR173" s="179">
        <f>-Q173*(1-Z173)/(1+X173)*IF(W173="CLIENT",IF(S173=RIGHT(AJ173,3),1/AM173,AM173),IF(W173="VENDOR",IF(S173=RIGHT(AJ173,3),1/AE173,AE173),AE173^(VLOOKUP(AB173,'FX RATES'!$H$1:$J$50,3,FALSE))/AM173^(VLOOKUP(AJ173,'FX RATES'!$H$1:$J$50,3,FALSE))))</f>
        <v>0</v>
      </c>
      <c r="AS173" s="179">
        <f>-I173*(1+X173)/(1-Z173)*IF(W173="VENDOR",IF(K173=RIGHT(AB173,3),1/AE173,AE173),IF(W173="CLIENT",IF(K173=RIGHT(AB173,4),1/AM173,AM173),AM173^(VLOOKUP(AJ173,'FX RATES'!$H$1:$J$50,3,FALSE))/AE173^(VLOOKUP(AB173,'FX RATES'!$H$1:$J$50,3,FALSE))))</f>
        <v>13908000.000000414</v>
      </c>
      <c r="AT173" s="170">
        <f>IF(AB173&lt;&gt;AJ173,J173/IF(K173=RIGHT(AB173,3),AE173,1/AE173),IF(S173="USD",J173/IF(K173=RIGHT(AB173,3),IF(W173="CLIENT",AM173,AE173),1/IF(W173="CLIENT",AM173,AE173)),J173*VLOOKUP(K173,'FX RATES'!$E$1:$F$50,2,FALSE)))</f>
        <v>-180623.37662338201</v>
      </c>
      <c r="AU173" s="170">
        <f>IF(AB173&lt;&gt;AJ173,R173/IF(S173=RIGHT(AJ173,3),AM173,1/AM173),IF(K173="USD",R173/IF(S173=RIGHT(AJ173,3),IF(W173="CLIENT",AM173,AE173),1/IF(W173="CLIENT",AM173,AE173)),R173*VLOOKUP(S173,'FX RATES'!$E$1:$F$50,2,FALSE)))</f>
        <v>180623.37662338201</v>
      </c>
      <c r="AV173" s="170">
        <f>AT173+AU173</f>
        <v>0</v>
      </c>
      <c r="AW173" s="169"/>
      <c r="AX173" s="170">
        <f>IF(AND(ISERROR(SEARCH("INVOICE",T173)),ISERROR(SEARCH("SWITCH",T173)),ISERROR(SEARCH("FOREX",T173)),ISERROR(SEARCH("REFUND",A173)),ISERROR(SEARCH("CANCELLED",A173))),IF(AW173="",-AT173*X173+AU173*Z173,AW173),0)</f>
        <v>0</v>
      </c>
      <c r="AY173" s="170">
        <f>IF(AZ173="USD",AT173,IF(AZ173=K173,J173,-R173))</f>
        <v>-60</v>
      </c>
      <c r="AZ173" s="170" t="str">
        <f>LEFT(AB173,3)</f>
        <v>ETH</v>
      </c>
      <c r="BA173" s="542">
        <f>IF(OR(A173="REFUND",A173="CANCELLED"),0,IFERROR((IF(OR(AB173="USDAED",LEFT(AB173,3)=RIGHT(AB173,3)),AI173,AG173)-AE173)*-AY173*VLOOKUP(AB173,'FX RATES'!$H$1:$J$26,3,FALSE),0))</f>
        <v>607.45869958201183</v>
      </c>
      <c r="BB173" s="170" t="str">
        <f>RIGHT(AB173,3)</f>
        <v>USD</v>
      </c>
      <c r="BC173" s="542">
        <f>IF(BA173=0,0,IFERROR(BA173/IF(BB173&lt;&gt;"USD",AI173,1),"???"))</f>
        <v>607.45869958201183</v>
      </c>
      <c r="BD173" s="170">
        <f>IFERROR(-AC173/(IF(OR(AB173="USDAED",LEFT(AB173,3)=RIGHT(AB173,3)),AH173,AG173)-AE173)*BC173,0)</f>
        <v>0</v>
      </c>
      <c r="BE173" s="542">
        <f>BC173-BD173</f>
        <v>607.45869958201183</v>
      </c>
      <c r="BF173" s="170">
        <f>IF(BG173="USD",AU173,IF(BG173=S173,R173,-J173))</f>
        <v>180623.37662338201</v>
      </c>
      <c r="BG173" s="170" t="str">
        <f>LEFT(AJ173,3)</f>
        <v>USD</v>
      </c>
      <c r="BH173" s="542">
        <f>IF(OR(A173="REFUND",A173="CANCELLED"),0,IFERROR((IF(OR(AJ173="USDAED",LEFT(AJ173,3)=RIGHT(AJ173,3)),AQ173,AO173)-AM173)*-BF173*VLOOKUP(AJ173,'FX RATES'!$H$1:$J$26,3,FALSE),0))</f>
        <v>216748.05194805891</v>
      </c>
      <c r="BI173" s="170" t="str">
        <f>RIGHT(AJ173,3)</f>
        <v>RUB</v>
      </c>
      <c r="BJ173" s="542">
        <f>IF(BH173=0,0,IFERROR(BH173/IF(BI173&lt;&gt;"USD",AQ173,1),"???"))</f>
        <v>2859.4729808451043</v>
      </c>
      <c r="BK173" s="170">
        <f>IFERROR(-AK173/(IF(OR(AJ173="USDAED",LEFT(AJ173,3)=RIGHT(AJ173,3)),AP173,AO173)-AM173)*BJ173,0)</f>
        <v>0</v>
      </c>
      <c r="BL173" s="542">
        <f>BJ173-BK173</f>
        <v>2859.4729808451043</v>
      </c>
      <c r="BM173" s="170">
        <f>IF(AND(ISERROR(SEARCH("REFUND",A173)),ISERROR(SEARCH("CANCELLED",A173))),BD173+BK173,0)</f>
        <v>0</v>
      </c>
      <c r="BN173" s="542">
        <f>IF(AND(ISERROR(SEARCH("REFUND",A173)),ISERROR(SEARCH("CANCELLED",A173))),BE173+BL173,0)</f>
        <v>3466.9316804271161</v>
      </c>
    </row>
    <row r="174" spans="1:66" ht="19.5" customHeight="1">
      <c r="A174" s="167" t="s">
        <v>366</v>
      </c>
      <c r="B174" s="168" t="s">
        <v>39</v>
      </c>
      <c r="C174" s="168" t="s">
        <v>367</v>
      </c>
      <c r="D174" s="168" t="s">
        <v>472</v>
      </c>
      <c r="E174" s="171">
        <v>46042</v>
      </c>
      <c r="F174" s="171"/>
      <c r="G174" s="168" t="s">
        <v>39</v>
      </c>
      <c r="H174" s="168" t="s">
        <v>508</v>
      </c>
      <c r="I174" s="169">
        <v>-993400.52</v>
      </c>
      <c r="J174" s="170">
        <f t="shared" ref="J174" si="116">IF(I174="",AR174,I174)</f>
        <v>-993400.52</v>
      </c>
      <c r="K174" s="168" t="s">
        <v>8</v>
      </c>
      <c r="L174" s="168" t="s">
        <v>16</v>
      </c>
      <c r="M174" s="168" t="s">
        <v>20</v>
      </c>
      <c r="N174" s="167" t="s">
        <v>371</v>
      </c>
      <c r="O174" s="168" t="s">
        <v>52</v>
      </c>
      <c r="P174" s="168" t="s">
        <v>509</v>
      </c>
      <c r="Q174" s="169"/>
      <c r="R174" s="170">
        <f>IF(Q174="",AS174,Q174)</f>
        <v>21607695.622420385</v>
      </c>
      <c r="S174" s="168" t="s">
        <v>9</v>
      </c>
      <c r="T174" s="171" t="s">
        <v>25</v>
      </c>
      <c r="U174" s="168" t="s">
        <v>25</v>
      </c>
      <c r="V174" s="167" t="s">
        <v>371</v>
      </c>
      <c r="W174" s="172" t="s">
        <v>375</v>
      </c>
      <c r="X174" s="173">
        <f>IF(Y174="",VLOOKUP(H174,CLIENTS!$A$1:$O$649,5,FALSE),Y174)</f>
        <v>0</v>
      </c>
      <c r="Y174" s="174">
        <v>0</v>
      </c>
      <c r="Z174" s="173">
        <f>IF(AA174="",VLOOKUP(P174,CLIENTS!$A$1:$O$649,5,FALSE),AA174)</f>
        <v>1.7000000000000001E-2</v>
      </c>
      <c r="AA174" s="174">
        <v>1.7000000000000001E-2</v>
      </c>
      <c r="AB174" s="173" t="str">
        <f>IF(W174="via USD",IF(K174="EUR",K174&amp;"USD","USD"&amp;K174),IFERROR(VLOOKUP(K174&amp;S174,'FX RATES'!$H$2:$H$20,1,FALSE),S174&amp;K174))</f>
        <v>USDAED</v>
      </c>
      <c r="AC174" s="175">
        <f>IF(LEFT(AB174,3)=RIGHT(AB174,3),0,IFERROR(INDEX(CLIENTS!$A$1:$O$649,MATCH(H174,CLIENTS!$A$1:$A$649,0),MATCH(AB174,CLIENTS!$A$1:$O$1,0)),0))</f>
        <v>-2.5000000000000001E-3</v>
      </c>
      <c r="AD174" s="176"/>
      <c r="AE174" s="177">
        <f t="shared" ref="AE174" si="117">IF(W174="CLIENT","",IF(AD174="",AH174+AC174,AD174+AC174))</f>
        <v>3.67</v>
      </c>
      <c r="AF174" s="177" t="str">
        <f t="shared" ref="AF174" si="118">E174&amp;AB174</f>
        <v>46042USDAED</v>
      </c>
      <c r="AG174" s="176"/>
      <c r="AH174" s="178">
        <f>IF(LEFT(AB174,3)=RIGHT(AB174,3),1,VLOOKUP(AB174,'FX RATES'!$H$1:$I$20,2,FALSE))</f>
        <v>3.6724999999999999</v>
      </c>
      <c r="AI174" s="178">
        <f>IF(OR(AB174="USDAED",LEFT(AB174,3)=RIGHT(AB174,3)),AH174,IF(LEFT(AB174)="USD",AG174,IF(RIGHT(AB174,3)="USD",1,IFERROR(VLOOKUP(E174&amp;"USD"&amp;RIGHT(AB174,3),$AF:$AG,2,FALSE),VLOOKUP(E174&amp;"USD"&amp;RIGHT(AJ174,3),$AN:$AO,2,FALSE)))))</f>
        <v>3.6724999999999999</v>
      </c>
      <c r="AJ174" s="173" t="str">
        <f>IF(W174="via USD",IF(S174="EUR",S174&amp;"USD","USD"&amp;S174),IFERROR(VLOOKUP(K174&amp;S174,'FX RATES'!$H$2:$H$20,1,FALSE),S174&amp;K174))</f>
        <v>USDRUB</v>
      </c>
      <c r="AK174" s="175">
        <f>IF(LEFT(AJ174,3)=RIGHT(AJ174,3),0,IFERROR(INDEX(CLIENTS!$A$1:$O$649,MATCH(P174,CLIENTS!$A$1:$A$649,0),MATCH(AJ174,CLIENTS!$A$1:$O$1,0)),0))</f>
        <v>0</v>
      </c>
      <c r="AL174" s="176">
        <v>78.47</v>
      </c>
      <c r="AM174" s="177">
        <f t="shared" ref="AM174" si="119">IF(W174="VENDOR","",IF(AL174="",AP174+AK174,AL174+AK174))</f>
        <v>78.47</v>
      </c>
      <c r="AN174" s="177" t="str">
        <f t="shared" ref="AN174" si="120">E174&amp;AJ174</f>
        <v>46042USDRUB</v>
      </c>
      <c r="AO174" s="176">
        <v>77.7</v>
      </c>
      <c r="AP174" s="178">
        <f ca="1">IF(LEFT(AJ174,3)=RIGHT(AJ174,3),1,VLOOKUP(AJ174,'FX RATES'!$H$1:$I$20,2,FALSE))</f>
        <v>76.720500000000001</v>
      </c>
      <c r="AQ174" s="178">
        <f>IF(OR(AJ174="USDAED",LEFT(AJ174,3)=RIGHT(AJ174,3)),AP174,IF(LEFT(AJ174)="USD",AO174,IF(RIGHT(AJ174,3)="USD",1,IFERROR(VLOOKUP(E174&amp;"USD"&amp;RIGHT(AJ174,3),$AN:$AO,2,FALSE),VLOOKUP(E174&amp;"USD"&amp;RIGHT(AB174,3),$AF:$AG,2,FALSE)))))</f>
        <v>77.7</v>
      </c>
      <c r="AR174" s="179">
        <f>-Q174*(1-Z174)/(1+X174)*IF(W174="CLIENT",IF(S174=RIGHT(AJ174,3),1/AM174,AM174),IF(W174="VENDOR",IF(S174=RIGHT(AJ174,3),1/AE174,AE174),AE174^(VLOOKUP(AB174,'FX RATES'!$H$1:$J$26,3,FALSE))/AM174^(VLOOKUP(AJ174,'FX RATES'!$H$1:$J$26,3,FALSE))))</f>
        <v>0</v>
      </c>
      <c r="AS174" s="179">
        <f>-I174*(1+X174)/(1-Z174)*IF(W174="VENDOR",IF(K174=RIGHT(AB174,3),1/AE174,AE174),IF(W174="CLIENT",IF(K174=RIGHT(AB174,3),1/AM174,AM174),AM174^(VLOOKUP(AJ174,'FX RATES'!$H$1:$J$26,3,FALSE))/AE174^(VLOOKUP(AB174,'FX RATES'!$H$1:$J$26,3,FALSE))))</f>
        <v>21607695.622420385</v>
      </c>
      <c r="AT174" s="170">
        <f>IF(AB174&lt;&gt;AJ174,J174/IF(K174=RIGHT(AB174,3),AE174,1/AE174),IF(S174="USD",J174/IF(K174=RIGHT(AB174,3),IF(W174="CLIENT",AM174,AE174),1/IF(W174="CLIENT",AM174,AE174)),J174*VLOOKUP(K174,'FX RATES'!$E$1:$F$10,2,FALSE)))</f>
        <v>-270681.34059945506</v>
      </c>
      <c r="AU174" s="170">
        <f>IF(AB174&lt;&gt;AJ174,R174/IF(S174=RIGHT(AJ174,3),AM174,1/AM174),IF(K174="USD",R174/IF(S174=RIGHT(AJ174,3),IF(W174="CLIENT",AM174,AE174),1/IF(W174="CLIENT",AM174,AE174)),R174*VLOOKUP(S174,'FX RATES'!$E$1:$F$10,2,FALSE)))</f>
        <v>275362.50315305701</v>
      </c>
      <c r="AV174" s="170">
        <f t="shared" ref="AV174" si="121">AT174+AU174</f>
        <v>4681.1625536019565</v>
      </c>
      <c r="AW174" s="169"/>
      <c r="AX174" s="170">
        <f t="shared" ref="AX174" si="122">IF(AND(ISERROR(SEARCH("INVOICE",T174)),ISERROR(SEARCH("SWITCH",T174)),ISERROR(SEARCH("FOREX",T174)),ISERROR(SEARCH("REFUND",A174)),ISERROR(SEARCH("CANCELLED",A174))),IF(AW174="",-AT174*X174+AU174*Z174,AW174),0)</f>
        <v>4681.1625536019692</v>
      </c>
      <c r="AY174" s="170">
        <f t="shared" ref="AY174" si="123">IF(AZ174="USD",AT174,IF(AZ174=K174,J174,-R174))</f>
        <v>-270681.34059945506</v>
      </c>
      <c r="AZ174" s="170" t="str">
        <f t="shared" ref="AZ174" si="124">LEFT(AB174,3)</f>
        <v>USD</v>
      </c>
      <c r="BA174" s="542">
        <f>IF(OR(A174="REFUND",A174="CANCELLED"),0,IFERROR((IF(OR(AB174="USDAED",LEFT(AB174,3)=RIGHT(AB174,3)),AI174,AG174)-AE174)*-AY174*VLOOKUP(AB174,'FX RATES'!$H$1:$J$26,3,FALSE),0))</f>
        <v>676.70335149862319</v>
      </c>
      <c r="BB174" s="170" t="str">
        <f t="shared" ref="BB174" si="125">RIGHT(AB174,3)</f>
        <v>AED</v>
      </c>
      <c r="BC174" s="542">
        <f t="shared" ref="BC174" si="126">IF(BA174=0,0,IFERROR(BA174/IF(BB174&lt;&gt;"USD",AI174,1),"???"))</f>
        <v>184.26231490772585</v>
      </c>
      <c r="BD174" s="170">
        <f t="shared" ref="BD174" si="127">IFERROR(-AC174/(IF(OR(AB174="USDAED",LEFT(AB174,3)=RIGHT(AB174,3)),AH174,AG174)-AE174)*BC174,0)</f>
        <v>184.26231490772977</v>
      </c>
      <c r="BE174" s="542">
        <f t="shared" ref="BE174" si="128">BC174-BD174</f>
        <v>-3.922195901395753E-12</v>
      </c>
      <c r="BF174" s="170">
        <f t="shared" ref="BF174" si="129">IF(BG174="USD",AU174,IF(BG174=S174,R174,-J174))</f>
        <v>275362.50315305701</v>
      </c>
      <c r="BG174" s="170" t="str">
        <f t="shared" ref="BG174" si="130">LEFT(AJ174,3)</f>
        <v>USD</v>
      </c>
      <c r="BH174" s="542">
        <f>IF(OR(A174="REFUND",A174="CANCELLED"),0,IFERROR((IF(OR(AJ174="USDAED",LEFT(AJ174,3)=RIGHT(AJ174,3)),AQ174,AO174)-AM174)*-BF174*VLOOKUP(AJ174,'FX RATES'!$H$1:$J$26,3,FALSE),0))</f>
        <v>212029.1274278528</v>
      </c>
      <c r="BI174" s="170" t="str">
        <f t="shared" ref="BI174" si="131">RIGHT(AJ174,3)</f>
        <v>RUB</v>
      </c>
      <c r="BJ174" s="542">
        <f t="shared" ref="BJ174" si="132">IF(BH174=0,0,IFERROR(BH174/IF(BI174&lt;&gt;"USD",AQ174,1),"???"))</f>
        <v>2728.8175988140642</v>
      </c>
      <c r="BK174" s="170">
        <f t="shared" ref="BK174" si="133">IFERROR(-AK174/(IF(OR(AJ174="USDAED",LEFT(AJ174,3)=RIGHT(AJ174,3)),AP174,AO174)-AM174)*BJ174,0)</f>
        <v>0</v>
      </c>
      <c r="BL174" s="542">
        <f t="shared" ref="BL174" si="134">BJ174-BK174</f>
        <v>2728.8175988140642</v>
      </c>
      <c r="BM174" s="170">
        <f t="shared" ref="BM174" si="135">IF(AND(ISERROR(SEARCH("REFUND",A174)),ISERROR(SEARCH("CANCELLED",A174))),BD174+BK174,0)</f>
        <v>184.26231490772977</v>
      </c>
      <c r="BN174" s="542">
        <f t="shared" ref="BN174" si="136">IF(AND(ISERROR(SEARCH("REFUND",A174)),ISERROR(SEARCH("CANCELLED",A174))),BE174+BL174,0)</f>
        <v>2728.8175988140601</v>
      </c>
    </row>
    <row r="175" spans="1:66" ht="19.5" customHeight="1">
      <c r="A175" s="167" t="s">
        <v>366</v>
      </c>
      <c r="B175" s="168" t="s">
        <v>39</v>
      </c>
      <c r="C175" s="168" t="s">
        <v>367</v>
      </c>
      <c r="D175" s="168" t="s">
        <v>472</v>
      </c>
      <c r="E175" s="171">
        <v>46044</v>
      </c>
      <c r="F175" s="171"/>
      <c r="G175" s="168" t="s">
        <v>39</v>
      </c>
      <c r="H175" s="168" t="s">
        <v>508</v>
      </c>
      <c r="I175" s="169">
        <v>-782607.24</v>
      </c>
      <c r="J175" s="170">
        <f t="shared" ref="J175" si="137">IF(I175="",AR175,I175)</f>
        <v>-782607.24</v>
      </c>
      <c r="K175" s="168" t="s">
        <v>8</v>
      </c>
      <c r="L175" s="168" t="s">
        <v>16</v>
      </c>
      <c r="M175" s="168" t="s">
        <v>14</v>
      </c>
      <c r="N175" s="167" t="s">
        <v>371</v>
      </c>
      <c r="O175" s="168" t="s">
        <v>52</v>
      </c>
      <c r="P175" s="168" t="s">
        <v>509</v>
      </c>
      <c r="Q175" s="169"/>
      <c r="R175" s="170">
        <f t="shared" ref="R175" si="138">IF(Q175="",AS175,Q175)</f>
        <v>16519396.865514843</v>
      </c>
      <c r="S175" s="168" t="s">
        <v>9</v>
      </c>
      <c r="T175" s="171" t="s">
        <v>25</v>
      </c>
      <c r="U175" s="168" t="s">
        <v>25</v>
      </c>
      <c r="V175" s="167" t="s">
        <v>371</v>
      </c>
      <c r="W175" s="172" t="s">
        <v>375</v>
      </c>
      <c r="X175" s="173">
        <f>IF(Y175="",VLOOKUP(H175,CLIENTS!$A$1:$O$649,5,FALSE),Y175)</f>
        <v>0</v>
      </c>
      <c r="Y175" s="174">
        <v>0</v>
      </c>
      <c r="Z175" s="173">
        <f>IF(AA175="",VLOOKUP(P175,CLIENTS!$A$1:$O$649,5,FALSE),AA175)</f>
        <v>1.7000000000000001E-2</v>
      </c>
      <c r="AA175" s="174">
        <v>1.7000000000000001E-2</v>
      </c>
      <c r="AB175" s="173" t="str">
        <f>IF(W175="via USD",IF(K175="EUR",K175&amp;"USD","USD"&amp;K175),IFERROR(VLOOKUP(K175&amp;S175,'FX RATES'!$H$2:$H$20,1,FALSE),S175&amp;K175))</f>
        <v>USDAED</v>
      </c>
      <c r="AC175" s="175">
        <f>IF(LEFT(AB175,3)=RIGHT(AB175,3),0,IFERROR(INDEX(CLIENTS!$A$1:$O$649,MATCH(H175,CLIENTS!$A$1:$A$649,0),MATCH(AB175,CLIENTS!$A$1:$O$1,0)),0))</f>
        <v>-2.5000000000000001E-3</v>
      </c>
      <c r="AD175" s="176"/>
      <c r="AE175" s="177">
        <f t="shared" ref="AE175" si="139">IF(W175="CLIENT","",IF(AD175="",AH175+AC175,AD175+AC175))</f>
        <v>3.67</v>
      </c>
      <c r="AF175" s="177" t="str">
        <f t="shared" ref="AF175" si="140">E175&amp;AB175</f>
        <v>46044USDAED</v>
      </c>
      <c r="AG175" s="176"/>
      <c r="AH175" s="178">
        <f>IF(LEFT(AB175,3)=RIGHT(AB175,3),1,VLOOKUP(AB175,'FX RATES'!$H$1:$I$20,2,FALSE))</f>
        <v>3.6724999999999999</v>
      </c>
      <c r="AI175" s="178">
        <f>IF(OR(AB175="USDAED",LEFT(AB175,3)=RIGHT(AB175,3)),AH175,IF(LEFT(AB175)="USD",AG175,IF(RIGHT(AB175,3)="USD",1,IFERROR(VLOOKUP(E175&amp;"USD"&amp;RIGHT(AB175,3),$AF:$AG,2,FALSE),VLOOKUP(E175&amp;"USD"&amp;RIGHT(AJ175,3),$AN:$AO,2,FALSE)))))</f>
        <v>3.6724999999999999</v>
      </c>
      <c r="AJ175" s="173" t="str">
        <f>IF(W175="via USD",IF(S175="EUR",S175&amp;"USD","USD"&amp;S175),IFERROR(VLOOKUP(K175&amp;S175,'FX RATES'!$H$2:$H$20,1,FALSE),S175&amp;K175))</f>
        <v>USDRUB</v>
      </c>
      <c r="AK175" s="175">
        <f>IF(LEFT(AJ175,3)=RIGHT(AJ175,3),0,IFERROR(INDEX(CLIENTS!$A$1:$O$649,MATCH(P175,CLIENTS!$A$1:$A$649,0),MATCH(AJ175,CLIENTS!$A$1:$O$1,0)),0))</f>
        <v>0</v>
      </c>
      <c r="AL175" s="176">
        <v>76.150000000000006</v>
      </c>
      <c r="AM175" s="177">
        <f t="shared" ref="AM175" si="141">IF(W175="VENDOR","",IF(AL175="",AP175+AK175,AL175+AK175))</f>
        <v>76.150000000000006</v>
      </c>
      <c r="AN175" s="177" t="str">
        <f t="shared" ref="AN175" si="142">E175&amp;AJ175</f>
        <v>46044USDRUB</v>
      </c>
      <c r="AO175" s="176">
        <v>75.8</v>
      </c>
      <c r="AP175" s="178">
        <f ca="1">IF(LEFT(AJ175,3)=RIGHT(AJ175,3),1,VLOOKUP(AJ175,'FX RATES'!$H$1:$I$20,2,FALSE))</f>
        <v>76.720500000000001</v>
      </c>
      <c r="AQ175" s="178">
        <f>IF(OR(AJ175="USDAED",LEFT(AJ175,3)=RIGHT(AJ175,3)),AP175,IF(LEFT(AJ175)="USD",AO175,IF(RIGHT(AJ175,3)="USD",1,IFERROR(VLOOKUP(E175&amp;"USD"&amp;RIGHT(AJ175,3),$AN:$AO,2,FALSE),VLOOKUP(E175&amp;"USD"&amp;RIGHT(AB175,3),$AF:$AG,2,FALSE)))))</f>
        <v>75.8</v>
      </c>
      <c r="AR175" s="179">
        <f>-Q175*(1-Z175)/(1+X175)*IF(W175="CLIENT",IF(S175=RIGHT(AJ175,3),1/AM175,AM175),IF(W175="VENDOR",IF(S175=RIGHT(AJ175,3),1/AE175,AE175),AE175^(VLOOKUP(AB175,'FX RATES'!$H$1:$J$26,3,FALSE))/AM175^(VLOOKUP(AJ175,'FX RATES'!$H$1:$J$26,3,FALSE))))</f>
        <v>0</v>
      </c>
      <c r="AS175" s="179">
        <f>-I175*(1+X175)/(1-Z175)*IF(W175="VENDOR",IF(K175=RIGHT(AB175,3),1/AE175,AE175),IF(W175="CLIENT",IF(K175=RIGHT(AB175,3),1/AM175,AM175),AM175^(VLOOKUP(AJ175,'FX RATES'!$H$1:$J$26,3,FALSE))/AE175^(VLOOKUP(AB175,'FX RATES'!$H$1:$J$26,3,FALSE))))</f>
        <v>16519396.865514843</v>
      </c>
      <c r="AT175" s="170">
        <f>IF(AB175&lt;&gt;AJ175,J175/IF(K175=RIGHT(AB175,3),AE175,1/AE175),IF(S175="USD",J175/IF(K175=RIGHT(AB175,3),IF(W175="CLIENT",AM175,AE175),1/IF(W175="CLIENT",AM175,AE175)),J175*VLOOKUP(K175,'FX RATES'!$E$1:$F$10,2,FALSE)))</f>
        <v>-213244.47956403269</v>
      </c>
      <c r="AU175" s="170">
        <f>IF(AB175&lt;&gt;AJ175,R175/IF(S175=RIGHT(AJ175,3),AM175,1/AM175),IF(K175="USD",R175/IF(S175=RIGHT(AJ175,3),IF(W175="CLIENT",AM175,AE175),1/IF(W175="CLIENT",AM175,AE175)),R175*VLOOKUP(S175,'FX RATES'!$E$1:$F$10,2,FALSE)))</f>
        <v>216932.32915974842</v>
      </c>
      <c r="AV175" s="170">
        <f t="shared" ref="AV175" si="143">AT175+AU175</f>
        <v>3687.8495957157284</v>
      </c>
      <c r="AW175" s="169"/>
      <c r="AX175" s="170">
        <f t="shared" ref="AX175" si="144">IF(AND(ISERROR(SEARCH("INVOICE",T175)),ISERROR(SEARCH("SWITCH",T175)),ISERROR(SEARCH("FOREX",T175)),ISERROR(SEARCH("REFUND",A175)),ISERROR(SEARCH("CANCELLED",A175))),IF(AW175="",-AT175*X175+AU175*Z175,AW175),0)</f>
        <v>3687.8495957157234</v>
      </c>
      <c r="AY175" s="170">
        <f t="shared" ref="AY175" si="145">IF(AZ175="USD",AT175,IF(AZ175=K175,J175,-R175))</f>
        <v>-213244.47956403269</v>
      </c>
      <c r="AZ175" s="170" t="str">
        <f t="shared" ref="AZ175" si="146">LEFT(AB175,3)</f>
        <v>USD</v>
      </c>
      <c r="BA175" s="542">
        <f>IF(OR(A175="REFUND",A175="CANCELLED"),0,IFERROR((IF(OR(AB175="USDAED",LEFT(AB175,3)=RIGHT(AB175,3)),AI175,AG175)-AE175)*-AY175*VLOOKUP(AB175,'FX RATES'!$H$1:$J$26,3,FALSE),0))</f>
        <v>533.11119891007036</v>
      </c>
      <c r="BB175" s="170" t="str">
        <f t="shared" ref="BB175" si="147">RIGHT(AB175,3)</f>
        <v>AED</v>
      </c>
      <c r="BC175" s="542">
        <f t="shared" ref="BC175" si="148">IF(BA175=0,0,IFERROR(BA175/IF(BB175&lt;&gt;"USD",AI175,1),"???"))</f>
        <v>145.16302216748002</v>
      </c>
      <c r="BD175" s="170">
        <f t="shared" ref="BD175" si="149">IFERROR(-AC175/(IF(OR(AB175="USDAED",LEFT(AB175,3)=RIGHT(AB175,3)),AH175,AG175)-AE175)*BC175,0)</f>
        <v>145.16302216748312</v>
      </c>
      <c r="BE175" s="542">
        <f t="shared" ref="BE175" si="150">BC175-BD175</f>
        <v>-3.0979663279140368E-12</v>
      </c>
      <c r="BF175" s="170">
        <f t="shared" ref="BF175" si="151">IF(BG175="USD",AU175,IF(BG175=S175,R175,-J175))</f>
        <v>216932.32915974842</v>
      </c>
      <c r="BG175" s="170" t="str">
        <f t="shared" ref="BG175" si="152">LEFT(AJ175,3)</f>
        <v>USD</v>
      </c>
      <c r="BH175" s="542">
        <f>IF(OR(A175="REFUND",A175="CANCELLED"),0,IFERROR((IF(OR(AJ175="USDAED",LEFT(AJ175,3)=RIGHT(AJ175,3)),AQ175,AO175)-AM175)*-BF175*VLOOKUP(AJ175,'FX RATES'!$H$1:$J$26,3,FALSE),0))</f>
        <v>75926.315205913794</v>
      </c>
      <c r="BI175" s="170" t="str">
        <f t="shared" ref="BI175" si="153">RIGHT(AJ175,3)</f>
        <v>RUB</v>
      </c>
      <c r="BJ175" s="542">
        <f t="shared" ref="BJ175" si="154">IF(BH175=0,0,IFERROR(BH175/IF(BI175&lt;&gt;"USD",AQ175,1),"???"))</f>
        <v>1001.6664275186516</v>
      </c>
      <c r="BK175" s="170">
        <f t="shared" ref="BK175" si="155">IFERROR(-AK175/(IF(OR(AJ175="USDAED",LEFT(AJ175,3)=RIGHT(AJ175,3)),AP175,AO175)-AM175)*BJ175,0)</f>
        <v>0</v>
      </c>
      <c r="BL175" s="542">
        <f t="shared" ref="BL175" si="156">BJ175-BK175</f>
        <v>1001.6664275186516</v>
      </c>
      <c r="BM175" s="170">
        <f t="shared" ref="BM175" si="157">IF(AND(ISERROR(SEARCH("REFUND",A175)),ISERROR(SEARCH("CANCELLED",A175))),BD175+BK175,0)</f>
        <v>145.16302216748312</v>
      </c>
      <c r="BN175" s="542">
        <f t="shared" ref="BN175" si="158">IF(AND(ISERROR(SEARCH("REFUND",A175)),ISERROR(SEARCH("CANCELLED",A175))),BE175+BL175,0)</f>
        <v>1001.6664275186486</v>
      </c>
    </row>
    <row r="176" spans="1:66" ht="19.5" customHeight="1">
      <c r="A176" s="167" t="s">
        <v>366</v>
      </c>
      <c r="B176" s="168" t="s">
        <v>99</v>
      </c>
      <c r="C176" s="168" t="s">
        <v>383</v>
      </c>
      <c r="D176" s="168" t="s">
        <v>121</v>
      </c>
      <c r="E176" s="171">
        <v>46044</v>
      </c>
      <c r="F176" s="171"/>
      <c r="G176" s="168" t="s">
        <v>99</v>
      </c>
      <c r="H176" s="181" t="s">
        <v>476</v>
      </c>
      <c r="I176" s="169">
        <f>-R173</f>
        <v>-13908000.000000414</v>
      </c>
      <c r="J176" s="170">
        <f>IF(I176="",AR176,I176)</f>
        <v>-13908000.000000414</v>
      </c>
      <c r="K176" s="168" t="s">
        <v>9</v>
      </c>
      <c r="L176" s="171" t="s">
        <v>25</v>
      </c>
      <c r="M176" s="168" t="s">
        <v>391</v>
      </c>
      <c r="N176" s="167" t="s">
        <v>371</v>
      </c>
      <c r="O176" s="168" t="s">
        <v>0</v>
      </c>
      <c r="P176" s="168" t="s">
        <v>0</v>
      </c>
      <c r="Q176" s="169"/>
      <c r="R176" s="170">
        <f>IF(Q176="",AS176,Q176)</f>
        <v>675890.42294180545</v>
      </c>
      <c r="S176" s="168" t="s">
        <v>8</v>
      </c>
      <c r="T176" s="171" t="s">
        <v>477</v>
      </c>
      <c r="U176" s="168" t="s">
        <v>25</v>
      </c>
      <c r="V176" s="167" t="s">
        <v>371</v>
      </c>
      <c r="W176" s="172" t="s">
        <v>382</v>
      </c>
      <c r="X176" s="173">
        <f>IF(Y176="",VLOOKUP(H176,CLIENTS!$A$1:$O$649,5,FALSE),Y176)</f>
        <v>0</v>
      </c>
      <c r="Y176" s="174"/>
      <c r="Z176" s="173">
        <f>IF(AA176="",VLOOKUP(P176,CLIENTS!$A$1:$O$649,5,FALSE),AA176)</f>
        <v>0</v>
      </c>
      <c r="AA176" s="174"/>
      <c r="AB176" s="173" t="str">
        <f>IF(W176="via USD",IF(K176="EUR",K176&amp;"USD","USD"&amp;K176),IFERROR(VLOOKUP(K176&amp;S176,'FX RATES'!$H$2:$H$20,1,FALSE),S176&amp;K176))</f>
        <v>AEDRUB</v>
      </c>
      <c r="AC176" s="175">
        <f>IF(LEFT(AB176,3)=RIGHT(AB176,3),0,IFERROR(INDEX(CLIENTS!$A$1:$O$649,MATCH(H176,CLIENTS!$A$1:$A$649,0),MATCH(AB176,CLIENTS!$A$1:$O$1,0)),0))</f>
        <v>0</v>
      </c>
      <c r="AD176" s="176">
        <v>20.577300000000001</v>
      </c>
      <c r="AE176" s="177">
        <f>IF(W176="CLIENT","",IF(AD176="",AH176+AC176,AD176+AC176))</f>
        <v>20.577300000000001</v>
      </c>
      <c r="AF176" s="177" t="str">
        <f>E176&amp;AB176</f>
        <v>46044AEDRUB</v>
      </c>
      <c r="AG176" s="176">
        <v>20.63</v>
      </c>
      <c r="AH176" s="178">
        <f ca="1">IF(LEFT(AB176,3)=RIGHT(AB176,3),1,VLOOKUP(AB176,'FX RATES'!$H$1:$I$20,2,FALSE))</f>
        <v>20.8843</v>
      </c>
      <c r="AI176" s="178">
        <f>IF(OR(AB176="USDAED",LEFT(AB176,3)=RIGHT(AB176,3)),AH176,IF(LEFT(AB176)="USD",AG176,IF(RIGHT(AB176,3)="USD",1,IFERROR(VLOOKUP(E176&amp;"USD"&amp;RIGHT(AB176,3),$AF:$AG,2,FALSE),VLOOKUP(E176&amp;"USD"&amp;RIGHT(AJ176,3),$AN:$AO,2,FALSE)))))</f>
        <v>75.8</v>
      </c>
      <c r="AJ176" s="173" t="str">
        <f>IF(W176="via USD",IF(S176="EUR",S176&amp;"USD","USD"&amp;S176),IFERROR(VLOOKUP(K176&amp;S176,'FX RATES'!$H$2:$H$20,1,FALSE),S176&amp;K176))</f>
        <v>AEDRUB</v>
      </c>
      <c r="AK176" s="175">
        <f>IF(LEFT(AJ176,3)=RIGHT(AJ176,3),0,IFERROR(INDEX(CLIENTS!$A$1:$O$649,MATCH(P176,CLIENTS!$A$1:$A$649,0),MATCH(AJ176,CLIENTS!$A$1:$O$1,0)),0))</f>
        <v>0</v>
      </c>
      <c r="AL176" s="176"/>
      <c r="AM176" s="177" t="str">
        <f>IF(W176="VENDOR","",IF(AL176="",AP176+AK176,AL176+AK176))</f>
        <v/>
      </c>
      <c r="AN176" s="177" t="str">
        <f>E176&amp;AJ176</f>
        <v>46044AEDRUB</v>
      </c>
      <c r="AO176" s="176"/>
      <c r="AP176" s="178">
        <f ca="1">IF(LEFT(AJ176,3)=RIGHT(AJ176,3),1,VLOOKUP(AJ176,'FX RATES'!$H$1:$I$20,2,FALSE))</f>
        <v>20.8843</v>
      </c>
      <c r="AQ176" s="178">
        <f>IF(OR(AJ176="USDAED",LEFT(AJ176,3)=RIGHT(AJ176,3)),AP176,IF(LEFT(AJ176)="USD",AO176,IF(RIGHT(AJ176,3)="USD",1,IFERROR(VLOOKUP(E176&amp;"USD"&amp;RIGHT(AJ176,3),$AN:$AO,2,FALSE),VLOOKUP(E176&amp;"USD"&amp;RIGHT(AB176,3),$AF:$AG,2,FALSE)))))</f>
        <v>75.8</v>
      </c>
      <c r="AR176" s="179">
        <f>-Q176*(1-Z176)/(1+X176)*IF(W176="CLIENT",IF(S176=RIGHT(AJ176,3),1/AM176,AM176),IF(W176="VENDOR",IF(S176=RIGHT(AJ176,3),1/AE176,AE176),AE176^(VLOOKUP(AB176,'FX RATES'!$H$1:$J$26,3,FALSE))/AM176^(VLOOKUP(AJ176,'FX RATES'!$H$1:$J$26,3,FALSE))))</f>
        <v>0</v>
      </c>
      <c r="AS176" s="179">
        <f>-I176*(1+X176)/(1-Z176)*IF(W176="VENDOR",IF(K176=RIGHT(AB176,3),1/AE176,AE176),IF(W176="CLIENT",IF(K176=RIGHT(AB176,3),1/AM176,AM176),AM176^(VLOOKUP(AJ176,'FX RATES'!$H$1:$J$26,3,FALSE))/AE176^(VLOOKUP(AB176,'FX RATES'!$H$1:$J$26,3,FALSE))))</f>
        <v>675890.42294180545</v>
      </c>
      <c r="AT176" s="170">
        <f ca="1">IF(AB176&lt;&gt;AJ176,J176/IF(K176=RIGHT(AB176,3),AE176,1/AE176),IF(S176="USD",J176/IF(K176=RIGHT(AB176,3),IF(W176="CLIENT",AM176,AE176),1/IF(W176="CLIENT",AM176,AE176)),J176*VLOOKUP(K176,'FX RATES'!$E$1:$F$10,2,FALSE)))</f>
        <v>-181281.40457896408</v>
      </c>
      <c r="AU176" s="170">
        <f ca="1">IF(AB176&lt;&gt;AJ176,R176/IF(S176=RIGHT(AJ176,3),AM176,1/AM176),IF(K176="USD",R176/IF(S176=RIGHT(AJ176,3),IF(W176="CLIENT",AM176,AE176),1/IF(W176="CLIENT",AM176,AE176)),R176*VLOOKUP(S176,'FX RATES'!$E$1:$F$10,2,FALSE)))</f>
        <v>184035.94808631635</v>
      </c>
      <c r="AV176" s="170">
        <f ca="1">AT176+AU176</f>
        <v>2754.5435073522676</v>
      </c>
      <c r="AW176" s="169"/>
      <c r="AX176" s="170">
        <f>IF(AND(ISERROR(SEARCH("INVOICE",T176)),ISERROR(SEARCH("SWITCH",T176)),ISERROR(SEARCH("FOREX",T176)),ISERROR(SEARCH("REFUND",A176)),ISERROR(SEARCH("CANCELLED",A176))),IF(AW176="",-AT176*X176+AU176*Z176,AW176),0)</f>
        <v>0</v>
      </c>
      <c r="AY176" s="170">
        <f>IF(AZ176="USD",AT176,IF(AZ176=K176,J176,-R176))</f>
        <v>-675890.42294180545</v>
      </c>
      <c r="AZ176" s="170" t="str">
        <f>LEFT(AB176,3)</f>
        <v>AED</v>
      </c>
      <c r="BA176" s="542">
        <f>IF(OR(A176="REFUND",A176="CANCELLED"),0,IFERROR((IF(OR(AB176="USDAED",LEFT(AB176,3)=RIGHT(AB176,3)),AI176,AG176)-AE176)*-AY176*VLOOKUP(AB176,'FX RATES'!$H$1:$J$26,3,FALSE),0))</f>
        <v>35619.425289031773</v>
      </c>
      <c r="BB176" s="170" t="str">
        <f>RIGHT(AB176,3)</f>
        <v>RUB</v>
      </c>
      <c r="BC176" s="542">
        <f>IF(BA176=0,0,IFERROR(BA176/IF(BB176&lt;&gt;"USD",AI176,1),"???"))</f>
        <v>469.91326238828196</v>
      </c>
      <c r="BD176" s="170">
        <f>IFERROR(-AC176/(IF(OR(AB176="USDAED",LEFT(AB176,3)=RIGHT(AB176,3)),AH176,AG176)-AE176)*BC176,0)</f>
        <v>0</v>
      </c>
      <c r="BE176" s="542">
        <f>BC176-BD176</f>
        <v>469.91326238828196</v>
      </c>
      <c r="BF176" s="170">
        <f>IF(BG176="USD",AU176,IF(BG176=S176,R176,-J176))</f>
        <v>675890.42294180545</v>
      </c>
      <c r="BG176" s="170" t="str">
        <f>LEFT(AJ176,3)</f>
        <v>AED</v>
      </c>
      <c r="BH176" s="542">
        <f>IF(OR(A176="REFUND",A176="CANCELLED"),0,IFERROR((IF(OR(AJ176="USDAED",LEFT(AJ176,3)=RIGHT(AJ176,3)),AQ176,AO176)-AM176)*-BF176*VLOOKUP(AJ176,'FX RATES'!$H$1:$J$26,3,FALSE),0))</f>
        <v>0</v>
      </c>
      <c r="BI176" s="170" t="str">
        <f>RIGHT(AJ176,3)</f>
        <v>RUB</v>
      </c>
      <c r="BJ176" s="542">
        <f>IF(BH176=0,0,IFERROR(BH176/IF(BI176&lt;&gt;"USD",AQ176,1),"???"))</f>
        <v>0</v>
      </c>
      <c r="BK176" s="170">
        <f>IFERROR(-AK176/(IF(OR(AJ176="USDAED",LEFT(AJ176,3)=RIGHT(AJ176,3)),AP176,AO176)-AM176)*BJ176,0)</f>
        <v>0</v>
      </c>
      <c r="BL176" s="542">
        <f>BJ176-BK176</f>
        <v>0</v>
      </c>
      <c r="BM176" s="170">
        <f>IF(AND(ISERROR(SEARCH("REFUND",A176)),ISERROR(SEARCH("CANCELLED",A176))),BD176+BK176,0)</f>
        <v>0</v>
      </c>
      <c r="BN176" s="542">
        <f>IF(AND(ISERROR(SEARCH("REFUND",A176)),ISERROR(SEARCH("CANCELLED",A176))),BE176+BL176,0)</f>
        <v>469.91326238828196</v>
      </c>
    </row>
    <row r="177" spans="1:66" ht="19.5" customHeight="1">
      <c r="A177" s="167" t="s">
        <v>366</v>
      </c>
      <c r="B177" s="168" t="s">
        <v>0</v>
      </c>
      <c r="C177" s="168" t="s">
        <v>383</v>
      </c>
      <c r="D177" s="168" t="s">
        <v>121</v>
      </c>
      <c r="E177" s="171">
        <v>46044</v>
      </c>
      <c r="F177" s="171"/>
      <c r="G177" s="168" t="s">
        <v>52</v>
      </c>
      <c r="H177" s="181" t="s">
        <v>476</v>
      </c>
      <c r="I177" s="169">
        <f>-R175</f>
        <v>-16519396.865514843</v>
      </c>
      <c r="J177" s="170">
        <f>IF(I177="",AR177,I177)</f>
        <v>-16519396.865514843</v>
      </c>
      <c r="K177" s="168" t="s">
        <v>9</v>
      </c>
      <c r="L177" s="171" t="s">
        <v>25</v>
      </c>
      <c r="M177" s="168" t="s">
        <v>25</v>
      </c>
      <c r="N177" s="167" t="s">
        <v>371</v>
      </c>
      <c r="O177" s="168" t="s">
        <v>0</v>
      </c>
      <c r="P177" s="168" t="s">
        <v>0</v>
      </c>
      <c r="Q177" s="169"/>
      <c r="R177" s="170">
        <f>IF(Q177="",AS177,Q177)</f>
        <v>802797.10484440823</v>
      </c>
      <c r="S177" s="168" t="s">
        <v>8</v>
      </c>
      <c r="T177" s="171" t="s">
        <v>477</v>
      </c>
      <c r="U177" s="168" t="s">
        <v>25</v>
      </c>
      <c r="V177" s="167" t="s">
        <v>371</v>
      </c>
      <c r="W177" s="172" t="s">
        <v>382</v>
      </c>
      <c r="X177" s="173">
        <f>IF(Y177="",VLOOKUP(H177,CLIENTS!$A$1:$O$649,5,FALSE),Y177)</f>
        <v>0</v>
      </c>
      <c r="Y177" s="174"/>
      <c r="Z177" s="173">
        <f>IF(AA177="",VLOOKUP(P177,CLIENTS!$A$1:$O$649,5,FALSE),AA177)</f>
        <v>0</v>
      </c>
      <c r="AA177" s="174"/>
      <c r="AB177" s="173" t="str">
        <f>IF(W177="via USD",IF(K177="EUR",K177&amp;"USD","USD"&amp;K177),IFERROR(VLOOKUP(K177&amp;S177,'FX RATES'!$H$2:$H$20,1,FALSE),S177&amp;K177))</f>
        <v>AEDRUB</v>
      </c>
      <c r="AC177" s="175">
        <f>IF(LEFT(AB177,3)=RIGHT(AB177,3),0,IFERROR(INDEX(CLIENTS!$A$1:$O$649,MATCH(H177,CLIENTS!$A$1:$A$649,0),MATCH(AB177,CLIENTS!$A$1:$O$1,0)),0))</f>
        <v>0</v>
      </c>
      <c r="AD177" s="176">
        <v>20.577300000000001</v>
      </c>
      <c r="AE177" s="177">
        <f>IF(W177="CLIENT","",IF(AD177="",AH177+AC177,AD177+AC177))</f>
        <v>20.577300000000001</v>
      </c>
      <c r="AF177" s="177" t="str">
        <f>E177&amp;AB177</f>
        <v>46044AEDRUB</v>
      </c>
      <c r="AG177" s="176">
        <v>20.63</v>
      </c>
      <c r="AH177" s="178">
        <f ca="1">IF(LEFT(AB177,3)=RIGHT(AB177,3),1,VLOOKUP(AB177,'FX RATES'!$H$1:$I$20,2,FALSE))</f>
        <v>20.8843</v>
      </c>
      <c r="AI177" s="178">
        <f>IF(OR(AB177="USDAED",LEFT(AB177,3)=RIGHT(AB177,3)),AH177,IF(LEFT(AB177)="USD",AG177,IF(RIGHT(AB177,3)="USD",1,IFERROR(VLOOKUP(E177&amp;"USD"&amp;RIGHT(AB177,3),$AF:$AG,2,FALSE),VLOOKUP(E177&amp;"USD"&amp;RIGHT(AJ177,3),$AN:$AO,2,FALSE)))))</f>
        <v>75.8</v>
      </c>
      <c r="AJ177" s="173" t="str">
        <f>IF(W177="via USD",IF(S177="EUR",S177&amp;"USD","USD"&amp;S177),IFERROR(VLOOKUP(K177&amp;S177,'FX RATES'!$H$2:$H$20,1,FALSE),S177&amp;K177))</f>
        <v>AEDRUB</v>
      </c>
      <c r="AK177" s="175">
        <f>IF(LEFT(AJ177,3)=RIGHT(AJ177,3),0,IFERROR(INDEX(CLIENTS!$A$1:$O$649,MATCH(P177,CLIENTS!$A$1:$A$649,0),MATCH(AJ177,CLIENTS!$A$1:$O$1,0)),0))</f>
        <v>0</v>
      </c>
      <c r="AL177" s="176"/>
      <c r="AM177" s="177" t="str">
        <f>IF(W177="VENDOR","",IF(AL177="",AP177+AK177,AL177+AK177))</f>
        <v/>
      </c>
      <c r="AN177" s="177" t="str">
        <f>E177&amp;AJ177</f>
        <v>46044AEDRUB</v>
      </c>
      <c r="AO177" s="176"/>
      <c r="AP177" s="178">
        <f ca="1">IF(LEFT(AJ177,3)=RIGHT(AJ177,3),1,VLOOKUP(AJ177,'FX RATES'!$H$1:$I$20,2,FALSE))</f>
        <v>20.8843</v>
      </c>
      <c r="AQ177" s="178">
        <f>IF(OR(AJ177="USDAED",LEFT(AJ177,3)=RIGHT(AJ177,3)),AP177,IF(LEFT(AJ177)="USD",AO177,IF(RIGHT(AJ177,3)="USD",1,IFERROR(VLOOKUP(E177&amp;"USD"&amp;RIGHT(AJ177,3),$AN:$AO,2,FALSE),VLOOKUP(E177&amp;"USD"&amp;RIGHT(AB177,3),$AF:$AG,2,FALSE)))))</f>
        <v>75.8</v>
      </c>
      <c r="AR177" s="179">
        <f>-Q177*(1-Z177)/(1+X177)*IF(W177="CLIENT",IF(S177=RIGHT(AJ177,3),1/AM177,AM177),IF(W177="VENDOR",IF(S177=RIGHT(AJ177,3),1/AE177,AE177),AE177^(VLOOKUP(AB177,'FX RATES'!$H$1:$J$26,3,FALSE))/AM177^(VLOOKUP(AJ177,'FX RATES'!$H$1:$J$26,3,FALSE))))</f>
        <v>0</v>
      </c>
      <c r="AS177" s="179">
        <f>-I177*(1+X177)/(1-Z177)*IF(W177="VENDOR",IF(K177=RIGHT(AB177,3),1/AE177,AE177),IF(W177="CLIENT",IF(K177=RIGHT(AB177,3),1/AM177,AM177),AM177^(VLOOKUP(AJ177,'FX RATES'!$H$1:$J$26,3,FALSE))/AE177^(VLOOKUP(AB177,'FX RATES'!$H$1:$J$26,3,FALSE))))</f>
        <v>802797.10484440823</v>
      </c>
      <c r="AT177" s="170">
        <f ca="1">IF(AB177&lt;&gt;AJ177,J177/IF(K177=RIGHT(AB177,3),AE177,1/AE177),IF(S177="USD",J177/IF(K177=RIGHT(AB177,3),IF(W177="CLIENT",AM177,AE177),1/IF(W177="CLIENT",AM177,AE177)),J177*VLOOKUP(K177,'FX RATES'!$E$1:$F$10,2,FALSE)))</f>
        <v>-215319.20237113733</v>
      </c>
      <c r="AU177" s="170">
        <f ca="1">IF(AB177&lt;&gt;AJ177,R177/IF(S177=RIGHT(AJ177,3),AM177,1/AM177),IF(K177="USD",R177/IF(S177=RIGHT(AJ177,3),IF(W177="CLIENT",AM177,AE177),1/IF(W177="CLIENT",AM177,AE177)),R177*VLOOKUP(S177,'FX RATES'!$E$1:$F$10,2,FALSE)))</f>
        <v>218590.94506464308</v>
      </c>
      <c r="AV177" s="170">
        <f ca="1">AT177+AU177</f>
        <v>3271.7426935057447</v>
      </c>
      <c r="AW177" s="169"/>
      <c r="AX177" s="170">
        <f>IF(AND(ISERROR(SEARCH("INVOICE",T177)),ISERROR(SEARCH("SWITCH",T177)),ISERROR(SEARCH("FOREX",T177)),ISERROR(SEARCH("REFUND",A177)),ISERROR(SEARCH("CANCELLED",A177))),IF(AW177="",-AT177*X177+AU177*Z177,AW177),0)</f>
        <v>0</v>
      </c>
      <c r="AY177" s="170">
        <f>IF(AZ177="USD",AT177,IF(AZ177=K177,J177,-R177))</f>
        <v>-802797.10484440823</v>
      </c>
      <c r="AZ177" s="170" t="str">
        <f>LEFT(AB177,3)</f>
        <v>AED</v>
      </c>
      <c r="BA177" s="542">
        <f>IF(OR(A177="REFUND",A177="CANCELLED"),0,IFERROR((IF(OR(AB177="USDAED",LEFT(AB177,3)=RIGHT(AB177,3)),AI177,AG177)-AE177)*-AY177*VLOOKUP(AB177,'FX RATES'!$H$1:$J$26,3,FALSE),0))</f>
        <v>42307.407425298683</v>
      </c>
      <c r="BB177" s="170" t="str">
        <f>RIGHT(AB177,3)</f>
        <v>RUB</v>
      </c>
      <c r="BC177" s="542">
        <f>IF(BA177=0,0,IFERROR(BA177/IF(BB177&lt;&gt;"USD",AI177,1),"???"))</f>
        <v>558.14521669259477</v>
      </c>
      <c r="BD177" s="170">
        <f>IFERROR(-AC177/(IF(OR(AB177="USDAED",LEFT(AB177,3)=RIGHT(AB177,3)),AH177,AG177)-AE177)*BC177,0)</f>
        <v>0</v>
      </c>
      <c r="BE177" s="542">
        <f>BC177-BD177</f>
        <v>558.14521669259477</v>
      </c>
      <c r="BF177" s="170">
        <f>IF(BG177="USD",AU177,IF(BG177=S177,R177,-J177))</f>
        <v>802797.10484440823</v>
      </c>
      <c r="BG177" s="170" t="str">
        <f>LEFT(AJ177,3)</f>
        <v>AED</v>
      </c>
      <c r="BH177" s="542">
        <f>IF(OR(A177="REFUND",A177="CANCELLED"),0,IFERROR((IF(OR(AJ177="USDAED",LEFT(AJ177,3)=RIGHT(AJ177,3)),AQ177,AO177)-AM177)*-BF177*VLOOKUP(AJ177,'FX RATES'!$H$1:$J$26,3,FALSE),0))</f>
        <v>0</v>
      </c>
      <c r="BI177" s="170" t="str">
        <f>RIGHT(AJ177,3)</f>
        <v>RUB</v>
      </c>
      <c r="BJ177" s="542">
        <f>IF(BH177=0,0,IFERROR(BH177/IF(BI177&lt;&gt;"USD",AQ177,1),"???"))</f>
        <v>0</v>
      </c>
      <c r="BK177" s="170">
        <f>IFERROR(-AK177/(IF(OR(AJ177="USDAED",LEFT(AJ177,3)=RIGHT(AJ177,3)),AP177,AO177)-AM177)*BJ177,0)</f>
        <v>0</v>
      </c>
      <c r="BL177" s="542">
        <f>BJ177-BK177</f>
        <v>0</v>
      </c>
      <c r="BM177" s="170">
        <f>IF(AND(ISERROR(SEARCH("REFUND",A177)),ISERROR(SEARCH("CANCELLED",A177))),BD177+BK177,0)</f>
        <v>0</v>
      </c>
      <c r="BN177" s="542">
        <f>IF(AND(ISERROR(SEARCH("REFUND",A177)),ISERROR(SEARCH("CANCELLED",A177))),BE177+BL177,0)</f>
        <v>558.14521669259477</v>
      </c>
    </row>
    <row r="178" spans="1:66" ht="19.5" customHeight="1">
      <c r="A178" s="180"/>
      <c r="E178" s="180"/>
      <c r="F178" s="182"/>
      <c r="L178" s="180"/>
      <c r="M178" s="180"/>
      <c r="N178" s="180"/>
      <c r="O178" s="180"/>
      <c r="P178" s="180"/>
      <c r="V178" s="180"/>
      <c r="W178" s="180"/>
    </row>
    <row r="179" spans="1:66" ht="19.5" customHeight="1">
      <c r="A179" s="167" t="s">
        <v>366</v>
      </c>
      <c r="B179" s="168" t="s">
        <v>39</v>
      </c>
      <c r="C179" s="168" t="s">
        <v>367</v>
      </c>
      <c r="D179" s="181" t="s">
        <v>368</v>
      </c>
      <c r="E179" s="171">
        <v>46045</v>
      </c>
      <c r="F179" s="171"/>
      <c r="G179" s="168" t="s">
        <v>39</v>
      </c>
      <c r="H179" s="181" t="s">
        <v>483</v>
      </c>
      <c r="I179" s="169">
        <v>-970500</v>
      </c>
      <c r="J179" s="170">
        <f>IF(I179="",AR179,I179)</f>
        <v>-970500</v>
      </c>
      <c r="K179" s="168" t="s">
        <v>5</v>
      </c>
      <c r="L179" s="168" t="s">
        <v>510</v>
      </c>
      <c r="M179" s="168" t="s">
        <v>20</v>
      </c>
      <c r="N179" s="167" t="s">
        <v>371</v>
      </c>
      <c r="O179" s="168" t="s">
        <v>39</v>
      </c>
      <c r="P179" s="168" t="s">
        <v>379</v>
      </c>
      <c r="Q179" s="169"/>
      <c r="R179" s="170">
        <f>IF(Q179="",AS179,Q179)</f>
        <v>74165902.613065332</v>
      </c>
      <c r="S179" s="168" t="s">
        <v>9</v>
      </c>
      <c r="T179" s="171" t="s">
        <v>380</v>
      </c>
      <c r="U179" s="171" t="s">
        <v>25</v>
      </c>
      <c r="V179" s="167" t="s">
        <v>371</v>
      </c>
      <c r="W179" s="172" t="s">
        <v>375</v>
      </c>
      <c r="X179" s="173">
        <f>IF(Y179="",VLOOKUP(H179,CLIENTS!$A$1:$O$649,5,FALSE),Y179)</f>
        <v>0</v>
      </c>
      <c r="Y179" s="174">
        <v>0</v>
      </c>
      <c r="Z179" s="173">
        <f>IF(AA179="",VLOOKUP(P179,CLIENTS!$A$1:$O$649,5,FALSE),AA179)</f>
        <v>3.6678932431331024E-3</v>
      </c>
      <c r="AA179" s="174">
        <v>3.6678932431331024E-3</v>
      </c>
      <c r="AB179" s="173" t="str">
        <f>IF(W179="via USD",IF(K179="EUR",K179&amp;"USD","USD"&amp;K179),IFERROR(VLOOKUP(K179&amp;S179,'FX RATES'!$H$2:$H$20,1,FALSE),S179&amp;K179))</f>
        <v>USDUSD</v>
      </c>
      <c r="AC179" s="175">
        <f>IF(LEFT(AB179,3)=RIGHT(AB179,3),0,IFERROR(INDEX(CLIENTS!$A$1:$O$649,MATCH(H179,CLIENTS!$A$1:$A$649,0),MATCH(AB179,CLIENTS!$A$1:$O$1,0)),0))</f>
        <v>0</v>
      </c>
      <c r="AD179" s="176"/>
      <c r="AE179" s="177">
        <f>IF(W179="CLIENT","",IF(AD179="",AH179+AC179,AD179+AC179))</f>
        <v>1</v>
      </c>
      <c r="AF179" s="177" t="str">
        <f>E179&amp;AB179</f>
        <v>46045USDUSD</v>
      </c>
      <c r="AG179" s="176"/>
      <c r="AH179" s="178">
        <f>IF(LEFT(AB179,3)=RIGHT(AB179,3),1,VLOOKUP(AB179,'FX RATES'!$H$1:$I$20,2,FALSE))</f>
        <v>1</v>
      </c>
      <c r="AI179" s="178">
        <f>IF(OR(AB179="USDAED",LEFT(AB179,3)=RIGHT(AB179,3)),AH179,IF(LEFT(AB179)="USD",AG179,IF(RIGHT(AB179,3)="USD",1,IFERROR(VLOOKUP(E179&amp;"USD"&amp;RIGHT(AB179,3),$AF:$AG,2,FALSE),VLOOKUP(E179&amp;"USD"&amp;RIGHT(AJ179,3),$AN:$AO,2,FALSE)))))</f>
        <v>1</v>
      </c>
      <c r="AJ179" s="173" t="str">
        <f>IF(W179="via USD",IF(S179="EUR",S179&amp;"USD","USD"&amp;S179),IFERROR(VLOOKUP(K179&amp;S179,'FX RATES'!$H$2:$H$20,1,FALSE),S179&amp;K179))</f>
        <v>USDRUB</v>
      </c>
      <c r="AK179" s="175">
        <f>IF(LEFT(AJ179,3)=RIGHT(AJ179,3),0,IFERROR(INDEX(CLIENTS!$A$1:$O$649,MATCH(P179,CLIENTS!$A$1:$A$649,0),MATCH(AJ179,CLIENTS!$A$1:$O$1,0)),0))</f>
        <v>0</v>
      </c>
      <c r="AL179" s="176">
        <v>76.14</v>
      </c>
      <c r="AM179" s="177">
        <f>IF(W179="VENDOR","",IF(AL179="",AP179+AK179,AL179+AK179))</f>
        <v>76.14</v>
      </c>
      <c r="AN179" s="177" t="str">
        <f>E179&amp;AJ179</f>
        <v>46045USDRUB</v>
      </c>
      <c r="AO179" s="176">
        <v>75.900000000000006</v>
      </c>
      <c r="AP179" s="178">
        <f ca="1">IF(LEFT(AJ179,3)=RIGHT(AJ179,3),1,VLOOKUP(AJ179,'FX RATES'!$H$1:$I$20,2,FALSE))</f>
        <v>76.720500000000001</v>
      </c>
      <c r="AQ179" s="178">
        <f>IF(OR(AJ179="USDAED",LEFT(AJ179,3)=RIGHT(AJ179,3)),AP179,IF(LEFT(AJ179)="USD",AO179,IF(RIGHT(AJ179,3)="USD",1,IFERROR(VLOOKUP(E179&amp;"USD"&amp;RIGHT(AJ179,3),$AN:$AO,2,FALSE),VLOOKUP(E179&amp;"USD"&amp;RIGHT(AB179,3),$AF:$AG,2,FALSE)))))</f>
        <v>75.900000000000006</v>
      </c>
      <c r="AR179" s="179">
        <f>-Q179*(1-Z179)/(1+X179)*IF(W179="CLIENT",IF(S179=RIGHT(AJ179,3),1/AM179,AM179),IF(W179="VENDOR",IF(S179=RIGHT(AJ179,3),1/AE179,AE179),AE179^(VLOOKUP(AB179,'FX RATES'!$H$1:$J$26,3,FALSE))/AM179^(VLOOKUP(AJ179,'FX RATES'!$H$1:$J$26,3,FALSE))))</f>
        <v>0</v>
      </c>
      <c r="AS179" s="179">
        <f>-I179*(1+X179)/(1-Z179)*IF(W179="VENDOR",IF(K179=RIGHT(AB179,3),1/AE179,AE179),IF(W179="CLIENT",IF(K179=RIGHT(AB179,3),1/AM179,AM179),AM179^(VLOOKUP(AJ179,'FX RATES'!$H$1:$J$26,3,FALSE))/AE179^(VLOOKUP(AB179,'FX RATES'!$H$1:$J$26,3,FALSE))))</f>
        <v>74165902.613065332</v>
      </c>
      <c r="AT179" s="170">
        <f>IF(AB179&lt;&gt;AJ179,J179/IF(K179=RIGHT(AB179,3),AE179,1/AE179),IF(S179="USD",J179/IF(K179=RIGHT(AB179,3),IF(W179="CLIENT",AM179,AE179),1/IF(W179="CLIENT",AM179,AE179)),J179*VLOOKUP(K179,'FX RATES'!$E$1:$F$10,2,FALSE)))</f>
        <v>-970500</v>
      </c>
      <c r="AU179" s="170">
        <f>IF(AB179&lt;&gt;AJ179,R179/IF(S179=RIGHT(AJ179,3),AM179,1/AM179),IF(K179="USD",R179/IF(S179=RIGHT(AJ179,3),IF(W179="CLIENT",AM179,AE179),1/IF(W179="CLIENT",AM179,AE179)),R179*VLOOKUP(S179,'FX RATES'!$E$1:$F$10,2,FALSE)))</f>
        <v>974072.79502318532</v>
      </c>
      <c r="AV179" s="170">
        <f>AT179+AU179</f>
        <v>3572.7950231853174</v>
      </c>
      <c r="AW179" s="169"/>
      <c r="AX179" s="170">
        <f>IF(AND(ISERROR(SEARCH("INVOICE",T179)),ISERROR(SEARCH("SWITCH",T179)),ISERROR(SEARCH("FOREX",T179)),ISERROR(SEARCH("REFUND",A179)),ISERROR(SEARCH("CANCELLED",A179))),IF(AW179="",-AT179*X179+AU179*Z179,AW179),0)</f>
        <v>3572.7950231853169</v>
      </c>
      <c r="AY179" s="170">
        <f>IF(AZ179="USD",AT179,IF(AZ179=K179,J179,-R179))</f>
        <v>-970500</v>
      </c>
      <c r="AZ179" s="170" t="str">
        <f>LEFT(AB179,3)</f>
        <v>USD</v>
      </c>
      <c r="BA179" s="542">
        <f>IF(OR(A179="REFUND",A179="CANCELLED"),0,IFERROR((IF(OR(AB179="USDAED",LEFT(AB179,3)=RIGHT(AB179,3)),AI179,AG179)-AE179)*-AY179*VLOOKUP(AB179,'FX RATES'!$H$1:$J$26,3,FALSE),0))</f>
        <v>0</v>
      </c>
      <c r="BB179" s="170" t="str">
        <f>RIGHT(AB179,3)</f>
        <v>USD</v>
      </c>
      <c r="BC179" s="542">
        <f>IF(BA179=0,0,IFERROR(BA179/IF(BB179&lt;&gt;"USD",AI179,1),"???"))</f>
        <v>0</v>
      </c>
      <c r="BD179" s="170">
        <f>IFERROR(-AC179/(IF(OR(AB179="USDAED",LEFT(AB179,3)=RIGHT(AB179,3)),AH179,AG179)-AE179)*BC179,0)</f>
        <v>0</v>
      </c>
      <c r="BE179" s="542">
        <f>BC179-BD179</f>
        <v>0</v>
      </c>
      <c r="BF179" s="170">
        <f>IF(BG179="USD",AU179,IF(BG179=S179,R179,-J179))</f>
        <v>974072.79502318532</v>
      </c>
      <c r="BG179" s="170" t="str">
        <f>LEFT(AJ179,3)</f>
        <v>USD</v>
      </c>
      <c r="BH179" s="542">
        <f>IF(OR(A179="REFUND",A179="CANCELLED"),0,IFERROR((IF(OR(AJ179="USDAED",LEFT(AJ179,3)=RIGHT(AJ179,3)),AQ179,AO179)-AM179)*-BF179*VLOOKUP(AJ179,'FX RATES'!$H$1:$J$26,3,FALSE),0))</f>
        <v>233777.47080555948</v>
      </c>
      <c r="BI179" s="170" t="str">
        <f>RIGHT(AJ179,3)</f>
        <v>RUB</v>
      </c>
      <c r="BJ179" s="542">
        <f>IF(BH179=0,0,IFERROR(BH179/IF(BI179&lt;&gt;"USD",AQ179,1),"???"))</f>
        <v>3080.0720791246308</v>
      </c>
      <c r="BK179" s="170">
        <f>IFERROR(-AK179/(IF(OR(AJ179="USDAED",LEFT(AJ179,3)=RIGHT(AJ179,3)),AP179,AO179)-AM179)*BJ179,0)</f>
        <v>0</v>
      </c>
      <c r="BL179" s="542">
        <f>BJ179-BK179</f>
        <v>3080.0720791246308</v>
      </c>
      <c r="BM179" s="170">
        <f>IF(AND(ISERROR(SEARCH("REFUND",A179)),ISERROR(SEARCH("CANCELLED",A179))),BD179+BK179,0)</f>
        <v>0</v>
      </c>
      <c r="BN179" s="542">
        <f>IF(AND(ISERROR(SEARCH("REFUND",A179)),ISERROR(SEARCH("CANCELLED",A179))),BE179+BL179,0)</f>
        <v>3080.0720791246308</v>
      </c>
    </row>
    <row r="180" spans="1:66" ht="19.5" customHeight="1">
      <c r="A180" s="167" t="s">
        <v>366</v>
      </c>
      <c r="B180" s="168" t="s">
        <v>39</v>
      </c>
      <c r="C180" s="168" t="s">
        <v>367</v>
      </c>
      <c r="D180" s="168" t="s">
        <v>368</v>
      </c>
      <c r="E180" s="171">
        <v>46045</v>
      </c>
      <c r="F180" s="171"/>
      <c r="G180" s="168" t="s">
        <v>39</v>
      </c>
      <c r="H180" s="168" t="s">
        <v>393</v>
      </c>
      <c r="I180" s="169">
        <v>-322202.06</v>
      </c>
      <c r="J180" s="170">
        <f>IF(I180="",AR180,I180)</f>
        <v>-322202.06</v>
      </c>
      <c r="K180" s="168" t="s">
        <v>5</v>
      </c>
      <c r="L180" s="171" t="s">
        <v>378</v>
      </c>
      <c r="M180" s="168" t="s">
        <v>20</v>
      </c>
      <c r="N180" s="167" t="s">
        <v>371</v>
      </c>
      <c r="O180" s="168" t="s">
        <v>39</v>
      </c>
      <c r="P180" s="168" t="s">
        <v>394</v>
      </c>
      <c r="Q180" s="169">
        <v>24531527.879999999</v>
      </c>
      <c r="R180" s="170">
        <f>IF(Q180="",AS180,Q180)</f>
        <v>24531527.879999999</v>
      </c>
      <c r="S180" s="168" t="s">
        <v>9</v>
      </c>
      <c r="T180" s="171" t="s">
        <v>25</v>
      </c>
      <c r="U180" s="168" t="s">
        <v>25</v>
      </c>
      <c r="V180" s="167" t="s">
        <v>371</v>
      </c>
      <c r="W180" s="172" t="s">
        <v>389</v>
      </c>
      <c r="X180" s="173">
        <f>IF(Y180="",VLOOKUP(H180,CLIENTS!$A$1:$O$649,5,FALSE),Y180)</f>
        <v>0</v>
      </c>
      <c r="Y180" s="174">
        <v>0</v>
      </c>
      <c r="Z180" s="173">
        <f>IF(AA180="",VLOOKUP(P180,CLIENTS!$A$1:$O$649,5,FALSE),AA180)</f>
        <v>4.6692320438924684E-3</v>
      </c>
      <c r="AA180" s="174">
        <v>4.6692320438924684E-3</v>
      </c>
      <c r="AB180" s="173" t="str">
        <f>IF(W180="via USD",IF(K180="EUR",K180&amp;"USD","USD"&amp;K180),IFERROR(VLOOKUP(K180&amp;S180,'FX RATES'!$H$2:$H$20,1,FALSE),S180&amp;K180))</f>
        <v>USDRUB</v>
      </c>
      <c r="AC180" s="175">
        <f>IF(LEFT(AB180,3)=RIGHT(AB180,3),0,IFERROR(INDEX(CLIENTS!$A$1:$O$649,MATCH(H180,CLIENTS!$A$1:$A$649,0),MATCH(AB180,CLIENTS!$A$1:$O$1,0)),0))</f>
        <v>0</v>
      </c>
      <c r="AD180" s="176"/>
      <c r="AE180" s="177" t="str">
        <f>IF(W180="CLIENT","",IF(AD180="",AH180+AC180,AD180+AC180))</f>
        <v/>
      </c>
      <c r="AF180" s="177" t="str">
        <f>E180&amp;AB180</f>
        <v>46045USDRUB</v>
      </c>
      <c r="AG180" s="176">
        <v>75.900000000000006</v>
      </c>
      <c r="AH180" s="178">
        <f ca="1">IF(LEFT(AB180,3)=RIGHT(AB180,3),1,VLOOKUP(AB180,'FX RATES'!$H$1:$I$20,2,FALSE))</f>
        <v>76.720500000000001</v>
      </c>
      <c r="AI180" s="178">
        <f>IF(OR(AB180="USDAED",LEFT(AB180,3)=RIGHT(AB180,3)),AH180,IF(LEFT(AB180)="USD",AG180,IF(RIGHT(AB180,3)="USD",1,IFERROR(VLOOKUP(E180&amp;"USD"&amp;RIGHT(AB180,3),$AF:$AG,2,FALSE),VLOOKUP(E180&amp;"USD"&amp;RIGHT(AJ180,3),$AN:$AO,2,FALSE)))))</f>
        <v>75.900000000000006</v>
      </c>
      <c r="AJ180" s="173" t="str">
        <f>IF(W180="via USD",IF(S180="EUR",S180&amp;"USD","USD"&amp;S180),IFERROR(VLOOKUP(K180&amp;S180,'FX RATES'!$H$2:$H$20,1,FALSE),S180&amp;K180))</f>
        <v>USDRUB</v>
      </c>
      <c r="AK180" s="175">
        <f>IF(LEFT(AJ180,3)=RIGHT(AJ180,3),0,IFERROR(INDEX(CLIENTS!$A$1:$O$649,MATCH(P180,CLIENTS!$A$1:$A$649,0),MATCH(AJ180,CLIENTS!$A$1:$O$1,0)),0))</f>
        <v>0</v>
      </c>
      <c r="AL180" s="176">
        <v>76.14</v>
      </c>
      <c r="AM180" s="177">
        <f>IF(W180="VENDOR","",IF(AL180="",AP180+AK180,AL180+AK180))</f>
        <v>76.14</v>
      </c>
      <c r="AN180" s="177" t="str">
        <f>E180&amp;AJ180</f>
        <v>46045USDRUB</v>
      </c>
      <c r="AO180" s="176">
        <v>75.900000000000006</v>
      </c>
      <c r="AP180" s="178">
        <f ca="1">IF(LEFT(AJ180,3)=RIGHT(AJ180,3),1,VLOOKUP(AJ180,'FX RATES'!$H$1:$I$20,2,FALSE))</f>
        <v>76.720500000000001</v>
      </c>
      <c r="AQ180" s="178">
        <f>IF(OR(AJ180="USDAED",LEFT(AJ180,3)=RIGHT(AJ180,3)),AP180,IF(LEFT(AJ180)="USD",AO180,IF(RIGHT(AJ180,3)="USD",1,IFERROR(VLOOKUP(E180&amp;"USD"&amp;RIGHT(AJ180,3),$AN:$AO,2,FALSE),VLOOKUP(E180&amp;"USD"&amp;RIGHT(AB180,3),$AF:$AG,2,FALSE)))))</f>
        <v>75.900000000000006</v>
      </c>
      <c r="AR180" s="179">
        <f>-Q180*(1-Z180)/(1+X180)*IF(W180="CLIENT",IF(S180=RIGHT(AJ180,3),1/AM180,AM180),IF(W180="VENDOR",IF(S180=RIGHT(AJ180,3),1/AE180,AE180),AE180^(VLOOKUP(AB180,'FX RATES'!$H$1:$J$26,3,FALSE))/AM180^(VLOOKUP(AJ180,'FX RATES'!$H$1:$J$26,3,FALSE))))</f>
        <v>-320685.37541288498</v>
      </c>
      <c r="AS180" s="179">
        <f>-I180*(1+X180)/(1-Z180)*IF(W180="VENDOR",IF(K180=RIGHT(AB180,3),1/AE180,AE180),IF(W180="CLIENT",IF(K180=RIGHT(AB180,3),1/AM180,AM180),AM180^(VLOOKUP(AJ180,'FX RATES'!$H$1:$J$26,3,FALSE))/AE180^(VLOOKUP(AB180,'FX RATES'!$H$1:$J$26,3,FALSE))))</f>
        <v>24647549.978563346</v>
      </c>
      <c r="AT180" s="170">
        <f>IF(AB180&lt;&gt;AJ180,J180/IF(K180=RIGHT(AB180,3),AE180,1/AE180),IF(S180="USD",J180/IF(K180=RIGHT(AB180,3),IF(W180="CLIENT",AM180,AE180),1/IF(W180="CLIENT",AM180,AE180)),J180*VLOOKUP(K180,'FX RATES'!$E$1:$F$10,2,FALSE)))</f>
        <v>-322202.06</v>
      </c>
      <c r="AU180" s="170">
        <f>IF(AB180&lt;&gt;AJ180,R180/IF(S180=RIGHT(AJ180,3),AM180,1/AM180),IF(K180="USD",R180/IF(S180=RIGHT(AJ180,3),IF(W180="CLIENT",AM180,AE180),1/IF(W180="CLIENT",AM180,AE180)),R180*VLOOKUP(S180,'FX RATES'!$E$1:$F$10,2,FALSE)))</f>
        <v>322189.75413711584</v>
      </c>
      <c r="AV180" s="170">
        <f>AT180+AU180</f>
        <v>-12.305862884153612</v>
      </c>
      <c r="AW180" s="169"/>
      <c r="AX180" s="170">
        <f>IF(AND(ISERROR(SEARCH("INVOICE",T180)),ISERROR(SEARCH("SWITCH",T180)),ISERROR(SEARCH("FOREX",T180)),ISERROR(SEARCH("REFUND",A180)),ISERROR(SEARCH("CANCELLED",A180))),IF(AW180="",-AT180*X180+AU180*Z180,AW180),0)</f>
        <v>1504.3787242308572</v>
      </c>
      <c r="AY180" s="170">
        <f>IF(AZ180="USD",AT180,IF(AZ180=K180,J180,-R180))</f>
        <v>-322202.06</v>
      </c>
      <c r="AZ180" s="170" t="str">
        <f>LEFT(AB180,3)</f>
        <v>USD</v>
      </c>
      <c r="BA180" s="542">
        <f>IF(OR(A180="REFUND",A180="CANCELLED"),0,IFERROR((IF(OR(AB180="USDAED",LEFT(AB180,3)=RIGHT(AB180,3)),AI180,AG180)-AE180)*-AY180*VLOOKUP(AB180,'FX RATES'!$H$1:$J$26,3,FALSE),0))</f>
        <v>0</v>
      </c>
      <c r="BB180" s="170" t="str">
        <f>RIGHT(AB180,3)</f>
        <v>RUB</v>
      </c>
      <c r="BC180" s="542">
        <f>IF(BA180=0,0,IFERROR(BA180/IF(BB180&lt;&gt;"USD",AI180,1),"???"))</f>
        <v>0</v>
      </c>
      <c r="BD180" s="170">
        <f>IFERROR(-AC180/(IF(OR(AB180="USDAED",LEFT(AB180,3)=RIGHT(AB180,3)),AH180,AG180)-AE180)*BC180,0)</f>
        <v>0</v>
      </c>
      <c r="BE180" s="542">
        <f>BC180-BD180</f>
        <v>0</v>
      </c>
      <c r="BF180" s="170">
        <f>IF(BG180="USD",AU180,IF(BG180=S180,R180,-J180))</f>
        <v>322189.75413711584</v>
      </c>
      <c r="BG180" s="170" t="str">
        <f>LEFT(AJ180,3)</f>
        <v>USD</v>
      </c>
      <c r="BH180" s="542">
        <f>IF(OR(A180="REFUND",A180="CANCELLED"),0,IFERROR((IF(OR(AJ180="USDAED",LEFT(AJ180,3)=RIGHT(AJ180,3)),AQ180,AO180)-AM180)*-BF180*VLOOKUP(AJ180,'FX RATES'!$H$1:$J$26,3,FALSE),0))</f>
        <v>77325.540992906157</v>
      </c>
      <c r="BI180" s="170" t="str">
        <f>RIGHT(AJ180,3)</f>
        <v>RUB</v>
      </c>
      <c r="BJ180" s="542">
        <f>IF(BH180=0,0,IFERROR(BH180/IF(BI180&lt;&gt;"USD",AQ180,1),"???"))</f>
        <v>1018.7818312635857</v>
      </c>
      <c r="BK180" s="170">
        <f>IFERROR(-AK180/(IF(OR(AJ180="USDAED",LEFT(AJ180,3)=RIGHT(AJ180,3)),AP180,AO180)-AM180)*BJ180,0)</f>
        <v>0</v>
      </c>
      <c r="BL180" s="542">
        <f>BJ180-BK180</f>
        <v>1018.7818312635857</v>
      </c>
      <c r="BM180" s="170">
        <f>IF(AND(ISERROR(SEARCH("REFUND",A180)),ISERROR(SEARCH("CANCELLED",A180))),BD180+BK180,0)</f>
        <v>0</v>
      </c>
      <c r="BN180" s="542">
        <f>IF(AND(ISERROR(SEARCH("REFUND",A180)),ISERROR(SEARCH("CANCELLED",A180))),BE180+BL180,0)</f>
        <v>1018.7818312635857</v>
      </c>
    </row>
    <row r="181" spans="1:66" ht="19.5" customHeight="1">
      <c r="A181" s="167" t="s">
        <v>366</v>
      </c>
      <c r="B181" s="168" t="s">
        <v>39</v>
      </c>
      <c r="C181" s="168" t="s">
        <v>367</v>
      </c>
      <c r="D181" s="168" t="s">
        <v>368</v>
      </c>
      <c r="E181" s="171">
        <v>46045</v>
      </c>
      <c r="F181" s="171"/>
      <c r="G181" s="168" t="s">
        <v>39</v>
      </c>
      <c r="H181" s="168" t="s">
        <v>480</v>
      </c>
      <c r="I181" s="169">
        <v>-300000</v>
      </c>
      <c r="J181" s="170">
        <f>IF(I181="",AR181,I181)</f>
        <v>-300000</v>
      </c>
      <c r="K181" s="168" t="s">
        <v>5</v>
      </c>
      <c r="L181" s="171" t="s">
        <v>511</v>
      </c>
      <c r="M181" s="168" t="s">
        <v>20</v>
      </c>
      <c r="N181" s="167" t="s">
        <v>371</v>
      </c>
      <c r="O181" s="168" t="s">
        <v>39</v>
      </c>
      <c r="P181" s="168" t="s">
        <v>482</v>
      </c>
      <c r="Q181" s="169">
        <v>23065176.949999999</v>
      </c>
      <c r="R181" s="170">
        <f>IF(Q181="",AS181,Q181)</f>
        <v>23065176.949999999</v>
      </c>
      <c r="S181" s="168" t="s">
        <v>9</v>
      </c>
      <c r="T181" s="171" t="s">
        <v>25</v>
      </c>
      <c r="U181" s="168" t="s">
        <v>25</v>
      </c>
      <c r="V181" s="167" t="s">
        <v>371</v>
      </c>
      <c r="W181" s="172" t="s">
        <v>389</v>
      </c>
      <c r="X181" s="173">
        <f>IF(Y181="",VLOOKUP(H181,CLIENTS!$A$1:$O$649,5,FALSE),Y181)</f>
        <v>0</v>
      </c>
      <c r="Y181" s="174">
        <v>0</v>
      </c>
      <c r="Z181" s="173">
        <f>IF(AA181="",VLOOKUP(P181,CLIENTS!$A$1:$O$649,5,FALSE),AA181)</f>
        <v>4.6692320438931345E-3</v>
      </c>
      <c r="AA181" s="174">
        <v>4.6692320438931345E-3</v>
      </c>
      <c r="AB181" s="173" t="str">
        <f>IF(W181="via USD",IF(K181="EUR",K181&amp;"USD","USD"&amp;K181),IFERROR(VLOOKUP(K181&amp;S181,'FX RATES'!$H$2:$H$20,1,FALSE),S181&amp;K181))</f>
        <v>USDRUB</v>
      </c>
      <c r="AC181" s="175">
        <f>IF(LEFT(AB181,3)=RIGHT(AB181,3),0,IFERROR(INDEX(CLIENTS!$A$1:$O$649,MATCH(H181,CLIENTS!$A$1:$A$649,0),MATCH(AB181,CLIENTS!$A$1:$O$1,0)),0))</f>
        <v>0</v>
      </c>
      <c r="AD181" s="176"/>
      <c r="AE181" s="177" t="str">
        <f>IF(W181="CLIENT","",IF(AD181="",AH181+AC181,AD181+AC181))</f>
        <v/>
      </c>
      <c r="AF181" s="177" t="str">
        <f>E181&amp;AB181</f>
        <v>46045USDRUB</v>
      </c>
      <c r="AG181" s="176"/>
      <c r="AH181" s="178">
        <f ca="1">IF(LEFT(AB181,3)=RIGHT(AB181,3),1,VLOOKUP(AB181,'FX RATES'!$H$1:$I$20,2,FALSE))</f>
        <v>76.720500000000001</v>
      </c>
      <c r="AI181" s="178">
        <f>IF(OR(AB181="USDAED",LEFT(AB181,3)=RIGHT(AB181,3)),AH181,IF(LEFT(AB181)="USD",AG181,IF(RIGHT(AB181,3)="USD",1,IFERROR(VLOOKUP(E181&amp;"USD"&amp;RIGHT(AB181,3),$AF:$AG,2,FALSE),VLOOKUP(E181&amp;"USD"&amp;RIGHT(AJ181,3),$AN:$AO,2,FALSE)))))</f>
        <v>75.900000000000006</v>
      </c>
      <c r="AJ181" s="173" t="str">
        <f>IF(W181="via USD",IF(S181="EUR",S181&amp;"USD","USD"&amp;S181),IFERROR(VLOOKUP(K181&amp;S181,'FX RATES'!$H$2:$H$20,1,FALSE),S181&amp;K181))</f>
        <v>USDRUB</v>
      </c>
      <c r="AK181" s="175">
        <f>IF(LEFT(AJ181,3)=RIGHT(AJ181,3),0,IFERROR(INDEX(CLIENTS!$A$1:$O$649,MATCH(P181,CLIENTS!$A$1:$A$649,0),MATCH(AJ181,CLIENTS!$A$1:$O$1,0)),0))</f>
        <v>0</v>
      </c>
      <c r="AL181" s="176">
        <v>76.14</v>
      </c>
      <c r="AM181" s="177">
        <f>IF(W181="VENDOR","",IF(AL181="",AP181+AK181,AL181+AK181))</f>
        <v>76.14</v>
      </c>
      <c r="AN181" s="177" t="str">
        <f>E181&amp;AJ181</f>
        <v>46045USDRUB</v>
      </c>
      <c r="AO181" s="176">
        <v>75.900000000000006</v>
      </c>
      <c r="AP181" s="178">
        <f ca="1">IF(LEFT(AJ181,3)=RIGHT(AJ181,3),1,VLOOKUP(AJ181,'FX RATES'!$H$1:$I$20,2,FALSE))</f>
        <v>76.720500000000001</v>
      </c>
      <c r="AQ181" s="178">
        <f>IF(OR(AJ181="USDAED",LEFT(AJ181,3)=RIGHT(AJ181,3)),AP181,IF(LEFT(AJ181)="USD",AO181,IF(RIGHT(AJ181,3)="USD",1,IFERROR(VLOOKUP(E181&amp;"USD"&amp;RIGHT(AJ181,3),$AN:$AO,2,FALSE),VLOOKUP(E181&amp;"USD"&amp;RIGHT(AB181,3),$AF:$AG,2,FALSE)))))</f>
        <v>75.900000000000006</v>
      </c>
      <c r="AR181" s="179">
        <f>-Q181*(1-Z181)/(1+X181)*IF(W181="CLIENT",IF(S181=RIGHT(AJ181,3),1/AM181,AM181),IF(W181="VENDOR",IF(S181=RIGHT(AJ181,3),1/AE181,AE181),AE181^(VLOOKUP(AB181,'FX RATES'!$H$1:$J$26,3,FALSE))/AM181^(VLOOKUP(AJ181,'FX RATES'!$H$1:$J$26,3,FALSE))))</f>
        <v>-301516.68356562906</v>
      </c>
      <c r="AS181" s="179">
        <f>-I181*(1+X181)/(1-Z181)*IF(W181="VENDOR",IF(K181=RIGHT(AB181,3),1/AE181,AE181),IF(W181="CLIENT",IF(K181=RIGHT(AB181,3),1/AM181,AM181),AM181^(VLOOKUP(AJ181,'FX RATES'!$H$1:$J$26,3,FALSE))/AE181^(VLOOKUP(AB181,'FX RATES'!$H$1:$J$26,3,FALSE))))</f>
        <v>22949154.929577451</v>
      </c>
      <c r="AT181" s="170">
        <f>IF(AB181&lt;&gt;AJ181,J181/IF(K181=RIGHT(AB181,3),AE181,1/AE181),IF(S181="USD",J181/IF(K181=RIGHT(AB181,3),IF(W181="CLIENT",AM181,AE181),1/IF(W181="CLIENT",AM181,AE181)),J181*VLOOKUP(K181,'FX RATES'!$E$1:$F$10,2,FALSE)))</f>
        <v>-300000</v>
      </c>
      <c r="AU181" s="170">
        <f>IF(AB181&lt;&gt;AJ181,R181/IF(S181=RIGHT(AJ181,3),AM181,1/AM181),IF(K181="USD",R181/IF(S181=RIGHT(AJ181,3),IF(W181="CLIENT",AM181,AE181),1/IF(W181="CLIENT",AM181,AE181)),R181*VLOOKUP(S181,'FX RATES'!$E$1:$F$10,2,FALSE)))</f>
        <v>302931.13934856839</v>
      </c>
      <c r="AV181" s="170">
        <f>AT181+AU181</f>
        <v>2931.1393485683948</v>
      </c>
      <c r="AW181" s="169"/>
      <c r="AX181" s="170">
        <f>IF(AND(ISERROR(SEARCH("INVOICE",T181)),ISERROR(SEARCH("SWITCH",T181)),ISERROR(SEARCH("FOREX",T181)),ISERROR(SEARCH("REFUND",A181)),ISERROR(SEARCH("CANCELLED",A181))),IF(AW181="",-AT181*X181+AU181*Z181,AW181),0)</f>
        <v>1414.4557829393918</v>
      </c>
      <c r="AY181" s="170">
        <f>IF(AZ181="USD",AT181,IF(AZ181=K181,J181,-R181))</f>
        <v>-300000</v>
      </c>
      <c r="AZ181" s="170" t="str">
        <f>LEFT(AB181,3)</f>
        <v>USD</v>
      </c>
      <c r="BA181" s="542">
        <f>IF(OR(A181="REFUND",A181="CANCELLED"),0,IFERROR((IF(OR(AB181="USDAED",LEFT(AB181,3)=RIGHT(AB181,3)),AI181,AG181)-AE181)*-AY181*VLOOKUP(AB181,'FX RATES'!$H$1:$J$26,3,FALSE),0))</f>
        <v>0</v>
      </c>
      <c r="BB181" s="170" t="str">
        <f>RIGHT(AB181,3)</f>
        <v>RUB</v>
      </c>
      <c r="BC181" s="542">
        <f>IF(BA181=0,0,IFERROR(BA181/IF(BB181&lt;&gt;"USD",AI181,1),"???"))</f>
        <v>0</v>
      </c>
      <c r="BD181" s="170">
        <f>IFERROR(-AC181/(IF(OR(AB181="USDAED",LEFT(AB181,3)=RIGHT(AB181,3)),AH181,AG181)-AE181)*BC181,0)</f>
        <v>0</v>
      </c>
      <c r="BE181" s="542">
        <f>BC181-BD181</f>
        <v>0</v>
      </c>
      <c r="BF181" s="170">
        <f>IF(BG181="USD",AU181,IF(BG181=S181,R181,-J181))</f>
        <v>302931.13934856839</v>
      </c>
      <c r="BG181" s="170" t="str">
        <f>LEFT(AJ181,3)</f>
        <v>USD</v>
      </c>
      <c r="BH181" s="542">
        <f>IF(OR(A181="REFUND",A181="CANCELLED"),0,IFERROR((IF(OR(AJ181="USDAED",LEFT(AJ181,3)=RIGHT(AJ181,3)),AQ181,AO181)-AM181)*-BF181*VLOOKUP(AJ181,'FX RATES'!$H$1:$J$26,3,FALSE),0))</f>
        <v>72703.473443654861</v>
      </c>
      <c r="BI181" s="170" t="str">
        <f>RIGHT(AJ181,3)</f>
        <v>RUB</v>
      </c>
      <c r="BJ181" s="542">
        <f>IF(BH181=0,0,IFERROR(BH181/IF(BI181&lt;&gt;"USD",AQ181,1),"???"))</f>
        <v>957.88502560810082</v>
      </c>
      <c r="BK181" s="170">
        <f>IFERROR(-AK181/(IF(OR(AJ181="USDAED",LEFT(AJ181,3)=RIGHT(AJ181,3)),AP181,AO181)-AM181)*BJ181,0)</f>
        <v>0</v>
      </c>
      <c r="BL181" s="542">
        <f>BJ181-BK181</f>
        <v>957.88502560810082</v>
      </c>
      <c r="BM181" s="170">
        <f>IF(AND(ISERROR(SEARCH("REFUND",A181)),ISERROR(SEARCH("CANCELLED",A181))),BD181+BK181,0)</f>
        <v>0</v>
      </c>
      <c r="BN181" s="542">
        <f>IF(AND(ISERROR(SEARCH("REFUND",A181)),ISERROR(SEARCH("CANCELLED",A181))),BE181+BL181,0)</f>
        <v>957.88502560810082</v>
      </c>
    </row>
    <row r="182" spans="1:66" ht="19.5" customHeight="1">
      <c r="A182" s="167" t="s">
        <v>366</v>
      </c>
      <c r="B182" s="168" t="s">
        <v>39</v>
      </c>
      <c r="C182" s="168" t="s">
        <v>383</v>
      </c>
      <c r="D182" s="168" t="s">
        <v>128</v>
      </c>
      <c r="E182" s="171">
        <v>46045</v>
      </c>
      <c r="F182" s="171"/>
      <c r="G182" s="168" t="s">
        <v>39</v>
      </c>
      <c r="H182" s="168" t="s">
        <v>384</v>
      </c>
      <c r="I182" s="169">
        <v>-121760000</v>
      </c>
      <c r="J182" s="170">
        <f>IF(I182="",AR182,I182)</f>
        <v>-121760000</v>
      </c>
      <c r="K182" s="168" t="s">
        <v>9</v>
      </c>
      <c r="L182" s="171" t="s">
        <v>374</v>
      </c>
      <c r="M182" s="168" t="s">
        <v>25</v>
      </c>
      <c r="N182" s="167" t="s">
        <v>371</v>
      </c>
      <c r="O182" s="168" t="s">
        <v>39</v>
      </c>
      <c r="P182" s="349" t="s">
        <v>384</v>
      </c>
      <c r="Q182" s="169"/>
      <c r="R182" s="170">
        <f>IF(Q182="",AS182,Q182)</f>
        <v>5873613.1210805587</v>
      </c>
      <c r="S182" s="168" t="s">
        <v>8</v>
      </c>
      <c r="T182" s="171" t="s">
        <v>385</v>
      </c>
      <c r="U182" s="168" t="s">
        <v>20</v>
      </c>
      <c r="V182" s="167" t="s">
        <v>371</v>
      </c>
      <c r="W182" s="172" t="s">
        <v>382</v>
      </c>
      <c r="X182" s="173">
        <f>IF(Y182="",VLOOKUP(H182,CLIENTS!$A$1:$O$649,5,FALSE),Y182)</f>
        <v>0</v>
      </c>
      <c r="Y182" s="174">
        <v>0</v>
      </c>
      <c r="Z182" s="173">
        <f>IF(AA182="",VLOOKUP(P182,CLIENTS!$A$1:$O$649,5,FALSE),AA182)</f>
        <v>0</v>
      </c>
      <c r="AA182" s="174">
        <v>0</v>
      </c>
      <c r="AB182" s="173" t="str">
        <f>IF(W182="via USD",IF(K182="EUR",K182&amp;"USD","USD"&amp;K182),IFERROR(VLOOKUP(K182&amp;S182,'FX RATES'!$H$2:$H$20,1,FALSE),S182&amp;K182))</f>
        <v>AEDRUB</v>
      </c>
      <c r="AC182" s="175">
        <f>IF(LEFT(AB182,3)=RIGHT(AB182,3),0,IFERROR(INDEX(CLIENTS!$A$1:$O$649,MATCH(H182,CLIENTS!$A$1:$A$649,0),MATCH(AB182,CLIENTS!$A$1:$O$1,0)),0))</f>
        <v>0</v>
      </c>
      <c r="AD182" s="176">
        <v>20.73</v>
      </c>
      <c r="AE182" s="177">
        <f>IF(W182="CLIENT","",IF(AD182="",AH182+AC182,AD182+AC182))</f>
        <v>20.73</v>
      </c>
      <c r="AF182" s="177" t="str">
        <f>E182&amp;AB182</f>
        <v>46045AEDRUB</v>
      </c>
      <c r="AG182" s="176">
        <v>20.667100000000001</v>
      </c>
      <c r="AH182" s="178">
        <f ca="1">IF(LEFT(AB182,3)=RIGHT(AB182,3),1,VLOOKUP(AB182,'FX RATES'!$H$1:$I$20,2,FALSE))</f>
        <v>20.8843</v>
      </c>
      <c r="AI182" s="178">
        <f>IF(OR(AB182="USDAED",LEFT(AB182,3)=RIGHT(AB182,3)),AH182,IF(LEFT(AB182)="USD",AG182,IF(RIGHT(AB182,3)="USD",1,IFERROR(VLOOKUP(E182&amp;"USD"&amp;RIGHT(AB182,3),$AF:$AG,2,FALSE),VLOOKUP(E182&amp;"USD"&amp;RIGHT(AJ182,3),$AN:$AO,2,FALSE)))))</f>
        <v>75.900000000000006</v>
      </c>
      <c r="AJ182" s="173" t="str">
        <f>IF(W182="via USD",IF(S182="EUR",S182&amp;"USD","USD"&amp;S182),IFERROR(VLOOKUP(K182&amp;S182,'FX RATES'!$H$2:$H$20,1,FALSE),S182&amp;K182))</f>
        <v>AEDRUB</v>
      </c>
      <c r="AK182" s="175">
        <f>IF(LEFT(AJ182,3)=RIGHT(AJ182,3),0,IFERROR(INDEX(CLIENTS!$A$1:$O$649,MATCH(P182,CLIENTS!$A$1:$A$649,0),MATCH(AJ182,CLIENTS!$A$1:$O$1,0)),0))</f>
        <v>0</v>
      </c>
      <c r="AL182" s="176"/>
      <c r="AM182" s="177" t="str">
        <f>IF(W182="VENDOR","",IF(AL182="",AP182+AK182,AL182+AK182))</f>
        <v/>
      </c>
      <c r="AN182" s="177" t="str">
        <f>E182&amp;AJ182</f>
        <v>46045AEDRUB</v>
      </c>
      <c r="AO182" s="176"/>
      <c r="AP182" s="178">
        <f ca="1">IF(LEFT(AJ182,3)=RIGHT(AJ182,3),1,VLOOKUP(AJ182,'FX RATES'!$H$1:$I$20,2,FALSE))</f>
        <v>20.8843</v>
      </c>
      <c r="AQ182" s="178">
        <f>IF(OR(AJ182="USDAED",LEFT(AJ182,3)=RIGHT(AJ182,3)),AP182,IF(LEFT(AJ182)="USD",AO182,IF(RIGHT(AJ182,3)="USD",1,IFERROR(VLOOKUP(E182&amp;"USD"&amp;RIGHT(AJ182,3),$AN:$AO,2,FALSE),VLOOKUP(E182&amp;"USD"&amp;RIGHT(AB182,3),$AF:$AG,2,FALSE)))))</f>
        <v>75.900000000000006</v>
      </c>
      <c r="AR182" s="179">
        <f>-Q182*(1-Z182)/(1+X182)*IF(W182="CLIENT",IF(S182=RIGHT(AJ182,3),1/AM182,AM182),IF(W182="VENDOR",IF(S182=RIGHT(AJ182,3),1/AE182,AE182),AE182^(VLOOKUP(AB182,'FX RATES'!$H$1:$J$26,3,FALSE))/AM182^(VLOOKUP(AJ182,'FX RATES'!$H$1:$J$26,3,FALSE))))</f>
        <v>0</v>
      </c>
      <c r="AS182" s="179">
        <f>-I182*(1+X182)/(1-Z182)*IF(W182="VENDOR",IF(K182=RIGHT(AB182,3),1/AE182,AE182),IF(W182="CLIENT",IF(K182=RIGHT(AB182,3),1/AM182,AM182),AM182^(VLOOKUP(AJ182,'FX RATES'!$H$1:$J$26,3,FALSE))/AE182^(VLOOKUP(AB182,'FX RATES'!$H$1:$J$26,3,FALSE))))</f>
        <v>5873613.1210805587</v>
      </c>
      <c r="AT182" s="170">
        <f ca="1">IF(AB182&lt;&gt;AJ182,J182/IF(K182=RIGHT(AB182,3),AE182,1/AE182),IF(S182="USD",J182/IF(K182=RIGHT(AB182,3),IF(W182="CLIENT",AM182,AE182),1/IF(W182="CLIENT",AM182,AE182)),J182*VLOOKUP(K182,'FX RATES'!$E$1:$F$10,2,FALSE)))</f>
        <v>-1587059.5212492098</v>
      </c>
      <c r="AU182" s="170">
        <f ca="1">IF(AB182&lt;&gt;AJ182,R182/IF(S182=RIGHT(AJ182,3),AM182,1/AM182),IF(K182="USD",R182/IF(S182=RIGHT(AJ182,3),IF(W182="CLIENT",AM182,AE182),1/IF(W182="CLIENT",AM182,AE182)),R182*VLOOKUP(S182,'FX RATES'!$E$1:$F$10,2,FALSE)))</f>
        <v>1599306.5188369434</v>
      </c>
      <c r="AV182" s="170">
        <f ca="1">AT182+AU182</f>
        <v>12246.997587733669</v>
      </c>
      <c r="AW182" s="169"/>
      <c r="AX182" s="170">
        <f ca="1">IF(AND(ISERROR(SEARCH("INVOICE",T182)),ISERROR(SEARCH("SWITCH",T182)),ISERROR(SEARCH("FOREX",T182)),ISERROR(SEARCH("REFUND",A182)),ISERROR(SEARCH("CANCELLED",A182))),IF(AW182="",-AT182*X182+AU182*Z182,AW182),0)</f>
        <v>0</v>
      </c>
      <c r="AY182" s="170">
        <f>IF(AZ182="USD",AT182,IF(AZ182=K182,J182,-R182))</f>
        <v>-5873613.1210805587</v>
      </c>
      <c r="AZ182" s="170" t="str">
        <f>LEFT(AB182,3)</f>
        <v>AED</v>
      </c>
      <c r="BA182" s="542">
        <f>IF(OR(A182="REFUND",A182="CANCELLED"),0,IFERROR((IF(OR(AB182="USDAED",LEFT(AB182,3)=RIGHT(AB182,3)),AI182,AG182)-AE182)*-AY182*VLOOKUP(AB182,'FX RATES'!$H$1:$J$26,3,FALSE),0))</f>
        <v>-369450.26531596167</v>
      </c>
      <c r="BB182" s="170" t="str">
        <f>RIGHT(AB182,3)</f>
        <v>RUB</v>
      </c>
      <c r="BC182" s="542">
        <f>IF(BA182=0,0,IFERROR(BA182/IF(BB182&lt;&gt;"USD",AI182,1),"???"))</f>
        <v>-4867.5924284052917</v>
      </c>
      <c r="BD182" s="170">
        <f>IFERROR(-AC182/(IF(OR(AB182="USDAED",LEFT(AB182,3)=RIGHT(AB182,3)),AH182,AG182)-AE182)*BC182,0)</f>
        <v>0</v>
      </c>
      <c r="BE182" s="542">
        <f>BC182-BD182</f>
        <v>-4867.5924284052917</v>
      </c>
      <c r="BF182" s="170">
        <f>IF(BG182="USD",AU182,IF(BG182=S182,R182,-J182))</f>
        <v>5873613.1210805587</v>
      </c>
      <c r="BG182" s="170" t="str">
        <f>LEFT(AJ182,3)</f>
        <v>AED</v>
      </c>
      <c r="BH182" s="542">
        <f>IF(OR(A182="REFUND",A182="CANCELLED"),0,IFERROR((IF(OR(AJ182="USDAED",LEFT(AJ182,3)=RIGHT(AJ182,3)),AQ182,AO182)-AM182)*-BF182*VLOOKUP(AJ182,'FX RATES'!$H$1:$J$26,3,FALSE),0))</f>
        <v>0</v>
      </c>
      <c r="BI182" s="170" t="str">
        <f>RIGHT(AJ182,3)</f>
        <v>RUB</v>
      </c>
      <c r="BJ182" s="542">
        <f>IF(BH182=0,0,IFERROR(BH182/IF(BI182&lt;&gt;"USD",AQ182,1),"???"))</f>
        <v>0</v>
      </c>
      <c r="BK182" s="170">
        <f>IFERROR(-AK182/(IF(OR(AJ182="USDAED",LEFT(AJ182,3)=RIGHT(AJ182,3)),AP182,AO182)-AM182)*BJ182,0)</f>
        <v>0</v>
      </c>
      <c r="BL182" s="542">
        <f>BJ182-BK182</f>
        <v>0</v>
      </c>
      <c r="BM182" s="170">
        <f>IF(AND(ISERROR(SEARCH("REFUND",A182)),ISERROR(SEARCH("CANCELLED",A182))),BD182+BK182,0)</f>
        <v>0</v>
      </c>
      <c r="BN182" s="542">
        <f>IF(AND(ISERROR(SEARCH("REFUND",A182)),ISERROR(SEARCH("CANCELLED",A182))),BE182+BL182,0)</f>
        <v>-4867.5924284052917</v>
      </c>
    </row>
    <row r="183" spans="1:66" ht="19.5" customHeight="1">
      <c r="J183" s="450"/>
    </row>
    <row r="184" spans="1:66" ht="19.5" customHeight="1">
      <c r="A184" s="167" t="s">
        <v>366</v>
      </c>
      <c r="B184" s="168" t="s">
        <v>102</v>
      </c>
      <c r="C184" s="181" t="s">
        <v>367</v>
      </c>
      <c r="D184" s="181" t="s">
        <v>451</v>
      </c>
      <c r="E184" s="171">
        <v>46045</v>
      </c>
      <c r="F184" s="171"/>
      <c r="G184" s="168" t="s">
        <v>102</v>
      </c>
      <c r="H184" s="168" t="s">
        <v>512</v>
      </c>
      <c r="I184" s="169">
        <f>-191522.4</f>
        <v>-191522.4</v>
      </c>
      <c r="J184" s="170">
        <f>IF(I184="",AR184,I184)</f>
        <v>-191522.4</v>
      </c>
      <c r="K184" s="172" t="s">
        <v>5</v>
      </c>
      <c r="L184" s="171" t="s">
        <v>513</v>
      </c>
      <c r="M184" s="168" t="s">
        <v>420</v>
      </c>
      <c r="N184" s="167" t="s">
        <v>371</v>
      </c>
      <c r="O184" s="168" t="s">
        <v>52</v>
      </c>
      <c r="P184" s="168" t="s">
        <v>379</v>
      </c>
      <c r="Q184" s="169"/>
      <c r="R184" s="170">
        <f>IF(Q184="",AS184,Q184)</f>
        <v>14562604.108108107</v>
      </c>
      <c r="S184" s="168" t="s">
        <v>9</v>
      </c>
      <c r="T184" s="168" t="s">
        <v>514</v>
      </c>
      <c r="U184" s="168" t="s">
        <v>514</v>
      </c>
      <c r="V184" s="167" t="s">
        <v>371</v>
      </c>
      <c r="W184" s="172" t="s">
        <v>375</v>
      </c>
      <c r="X184" s="173">
        <f>IF(Y184="",VLOOKUP(H184,CLIENTS!$A$1:$O$649,5,FALSE),Y184)</f>
        <v>0</v>
      </c>
      <c r="Y184" s="174">
        <v>0</v>
      </c>
      <c r="Z184" s="173">
        <f>IF(AA184="",VLOOKUP(P184,CLIENTS!$A$1:$O$649,5,FALSE),AA184)</f>
        <v>1E-3</v>
      </c>
      <c r="AA184" s="174">
        <v>1E-3</v>
      </c>
      <c r="AB184" s="173" t="str">
        <f>IF(W184="via USD",IF(K184="EUR",K184&amp;"USD","USD"&amp;K184),IFERROR(VLOOKUP(K184&amp;S184,'FX RATES'!$H$2:$H$20,1,FALSE),S184&amp;K184))</f>
        <v>USDUSD</v>
      </c>
      <c r="AC184" s="175">
        <f>IF(LEFT(AB184,3)=RIGHT(AB184,3),0,IFERROR(INDEX(CLIENTS!$A$1:$O$649,MATCH(H184,CLIENTS!$A$1:$A$649,0),MATCH(AB184,CLIENTS!$A$1:$O$1,0)),0))</f>
        <v>0</v>
      </c>
      <c r="AD184" s="176"/>
      <c r="AE184" s="177">
        <f>IF(W184="CLIENT","",IF(AD184="",AH184+AC184,AD184+AC184))</f>
        <v>1</v>
      </c>
      <c r="AF184" s="177" t="str">
        <f>E184&amp;AB184</f>
        <v>46045USDUSD</v>
      </c>
      <c r="AG184" s="176"/>
      <c r="AH184" s="178">
        <f>IF(LEFT(AB184,3)=RIGHT(AB184,3),1,VLOOKUP(AB184,'FX RATES'!$H$1:$I$20,2,FALSE))</f>
        <v>1</v>
      </c>
      <c r="AI184" s="178">
        <f>IF(OR(AB184="USDAED",LEFT(AB184,3)=RIGHT(AB184,3)),AH184,IF(LEFT(AB184)="USD",AG184,IF(RIGHT(AB184,3)="USD",1,IFERROR(VLOOKUP(E184&amp;"USD"&amp;RIGHT(AB184,3),$AF:$AG,2,FALSE),VLOOKUP(E184&amp;"USD"&amp;RIGHT(AJ184,3),$AN:$AO,2,FALSE)))))</f>
        <v>1</v>
      </c>
      <c r="AJ184" s="173" t="str">
        <f>IF(W184="via USD",IF(S184="EUR",S184&amp;"USD","USD"&amp;S184),IFERROR(VLOOKUP(K184&amp;S184,'FX RATES'!$H$2:$H$20,1,FALSE),S184&amp;K184))</f>
        <v>USDRUB</v>
      </c>
      <c r="AK184" s="175">
        <f>IF(LEFT(AJ184,3)=RIGHT(AJ184,3),0,IFERROR(INDEX(CLIENTS!$A$1:$O$649,MATCH(P184,CLIENTS!$A$1:$A$649,0),MATCH(AJ184,CLIENTS!$A$1:$O$1,0)),0))</f>
        <v>0</v>
      </c>
      <c r="AL184" s="176">
        <v>75.959999999999994</v>
      </c>
      <c r="AM184" s="177">
        <f>IF(W184="VENDOR","",IF(AL184="",AP184+AK184,AL184+AK184))</f>
        <v>75.959999999999994</v>
      </c>
      <c r="AN184" s="177" t="str">
        <f>E184&amp;AJ184</f>
        <v>46045USDRUB</v>
      </c>
      <c r="AO184" s="176">
        <v>75.900000000000006</v>
      </c>
      <c r="AP184" s="178">
        <f ca="1">IF(LEFT(AJ184,3)=RIGHT(AJ184,3),1,VLOOKUP(AJ184,'FX RATES'!$H$1:$I$50,2,FALSE))</f>
        <v>76.720500000000001</v>
      </c>
      <c r="AQ184" s="178">
        <f>IF(OR(AJ184="USDAED",LEFT(AJ184,3)=RIGHT(AJ184,3),AJ184="USDUSDT",AJ184="USDTUSD"),AP184,IF(LEFT(AJ184)="USD",AO184,IF(RIGHT(AJ184,3)="USD",1,IFERROR(VLOOKUP(E184&amp;"USD"&amp;RIGHT(AJ184,3),$AN:$AO,2,FALSE),VLOOKUP(E184&amp;"USD"&amp;RIGHT(AB184,3),$AF:$AG,2,FALSE)))))</f>
        <v>75.900000000000006</v>
      </c>
      <c r="AR184" s="179">
        <f>-Q184*(1-Z184)/(1+X184)*IF(W184="CLIENT",IF(S184=RIGHT(AJ184,3),1/AM184,AM184),IF(W184="VENDOR",IF(S184=RIGHT(AJ184,3),1/AE184,AE184),AE184^(VLOOKUP(AB184,'FX RATES'!$H$1:$J$26,3,FALSE))/AM184^(VLOOKUP(AJ184,'FX RATES'!$H$1:$J$26,3,FALSE))))</f>
        <v>0</v>
      </c>
      <c r="AS184" s="179">
        <f>-I184*(1+X184)/(1-Z184)*IF(W184="VENDOR",IF(K184=RIGHT(AB184,3),1/AE184,AE184),IF(W184="CLIENT",IF(K184=RIGHT(AB184,3),1/AM184,AM184),AM184^(VLOOKUP(AJ184,'FX RATES'!$H$1:$J$26,3,FALSE))/AE184^(VLOOKUP(AB184,'FX RATES'!$H$1:$J$26,3,FALSE))))</f>
        <v>14562604.108108107</v>
      </c>
      <c r="AT184" s="170">
        <f>IF(AB184&lt;&gt;AJ184,J184/IF(K184=RIGHT(AB184,3),AE184,1/AE184),IF(S184="USD",J184/IF(K184=RIGHT(AB184,3),IF(W184="CLIENT",AM184,AE184),1/IF(W184="CLIENT",AM184,AE184)),J184*VLOOKUP(K184,'FX RATES'!$E$1:$F$10,2,FALSE)))</f>
        <v>-191522.4</v>
      </c>
      <c r="AU184" s="170">
        <f>IF(AB184&lt;&gt;AJ184,R184/IF(S184=RIGHT(AJ184,3),AM184,1/AM184),IF(K184="USD",R184/IF(S184=RIGHT(AJ184,3),IF(W184="CLIENT",AM184,AE184),1/IF(W184="CLIENT",AM184,AE184)),R184*VLOOKUP(S184,'FX RATES'!$E$1:$F$10,2,FALSE)))</f>
        <v>191714.11411411411</v>
      </c>
      <c r="AV184" s="170">
        <f>AT184+AU184</f>
        <v>191.71411411411827</v>
      </c>
      <c r="AW184" s="169"/>
      <c r="AX184" s="170">
        <f>IF(AND(ISERROR(SEARCH("INVOICE",T184)),ISERROR(SEARCH("SWITCH",T184)),ISERROR(SEARCH("FOREX",T184)),ISERROR(SEARCH("REFUND",A184)),ISERROR(SEARCH("CANCELLED",A184))),IF(AW184="",-AT184*X184+AU184*Z184,AW184),0)</f>
        <v>191.71411411411412</v>
      </c>
      <c r="AY184" s="170">
        <f>IF(AZ184="USD",AT184,IF(AZ184=K184,J184,-R184))</f>
        <v>-191522.4</v>
      </c>
      <c r="AZ184" s="170" t="str">
        <f>LEFT(AB184,3)</f>
        <v>USD</v>
      </c>
      <c r="BA184" s="542">
        <f>IF(OR(A184="REFUND",A184="CANCELLED"),0,IFERROR((IF(OR(AB184="USDAED",LEFT(AB184,3)=RIGHT(AB184,3)),AI184,AG184)-AE184)*-AY184*VLOOKUP(AB184,'FX RATES'!$H$1:$J$26,3,FALSE),0))</f>
        <v>0</v>
      </c>
      <c r="BB184" s="170" t="str">
        <f>RIGHT(AB184,3)</f>
        <v>USD</v>
      </c>
      <c r="BC184" s="542">
        <f>IF(BA184=0,0,IFERROR(BA184/IF(BB184&lt;&gt;"USD",AI184,1),"???"))</f>
        <v>0</v>
      </c>
      <c r="BD184" s="170">
        <f>IFERROR(-AC184/(IF(OR(AB184="USDAED",LEFT(AB184,3)=RIGHT(AB184,3)),AH184,AG184)-AE184)*BC184,0)</f>
        <v>0</v>
      </c>
      <c r="BE184" s="542">
        <f>BC184-BD184</f>
        <v>0</v>
      </c>
      <c r="BF184" s="170">
        <f>IF(BG184="USD",AU184,IF(BG184=S184,R184,-J184))</f>
        <v>191714.11411411411</v>
      </c>
      <c r="BG184" s="170" t="str">
        <f>LEFT(AJ184,3)</f>
        <v>USD</v>
      </c>
      <c r="BH184" s="542">
        <f>IF(OR(A184="REFUND",A184="CANCELLED"),0,IFERROR((IF(OR(AJ184="USDAED",LEFT(AJ184,3)=RIGHT(AJ184,3),AJ184="USDUSDT",AJ184="USDTUSD"),AQ184,AO184)-AM184)*-BF184*VLOOKUP(AJ184,'FX RATES'!$H$1:$J$26,3,FALSE),0))</f>
        <v>11502.846846844559</v>
      </c>
      <c r="BI184" s="170" t="str">
        <f>RIGHT(AJ184,4)</f>
        <v>DRUB</v>
      </c>
      <c r="BJ184" s="542">
        <f>IF(BH184=0,0,IFERROR(BH184/IF(BI184&lt;&gt;"USD",AQ184,1),"???"))</f>
        <v>151.55265937871619</v>
      </c>
      <c r="BK184" s="170">
        <f>IFERROR(-AK184/(IF(OR(AJ184="USDAED",LEFT(AJ184,3)=RIGHT(AJ184,3)),AP184,AO184)-AM184)*BJ184,0)</f>
        <v>0</v>
      </c>
      <c r="BL184" s="542">
        <f>BJ184-BK184</f>
        <v>151.55265937871619</v>
      </c>
      <c r="BM184" s="170">
        <f>IF(AND(ISERROR(SEARCH("REFUND",A184)),ISERROR(SEARCH("CANCELLED",A184))),BD184+BK184,0)</f>
        <v>0</v>
      </c>
      <c r="BN184" s="542">
        <f>IF(AND(ISERROR(SEARCH("REFUND",A184)),ISERROR(SEARCH("CANCELLED",A184))),BE184+BL184,0)</f>
        <v>151.55265937871619</v>
      </c>
    </row>
    <row r="185" spans="1:66" ht="19.5" customHeight="1">
      <c r="A185" s="167" t="s">
        <v>366</v>
      </c>
      <c r="B185" s="172" t="s">
        <v>102</v>
      </c>
      <c r="C185" s="172" t="s">
        <v>102</v>
      </c>
      <c r="D185" s="181" t="s">
        <v>451</v>
      </c>
      <c r="E185" s="171">
        <v>46045</v>
      </c>
      <c r="F185" s="171"/>
      <c r="G185" s="172" t="s">
        <v>102</v>
      </c>
      <c r="H185" s="172" t="s">
        <v>104</v>
      </c>
      <c r="I185" s="169"/>
      <c r="J185" s="170">
        <f>IF(I185="",AR185,I185)</f>
        <v>-192288.4896</v>
      </c>
      <c r="K185" s="172" t="s">
        <v>53</v>
      </c>
      <c r="L185" s="172" t="s">
        <v>420</v>
      </c>
      <c r="M185" s="172" t="s">
        <v>54</v>
      </c>
      <c r="N185" s="167" t="s">
        <v>371</v>
      </c>
      <c r="O185" s="172" t="s">
        <v>102</v>
      </c>
      <c r="P185" s="172" t="s">
        <v>104</v>
      </c>
      <c r="Q185" s="169">
        <f>191522.4</f>
        <v>191522.4</v>
      </c>
      <c r="R185" s="170">
        <f>IF(Q185="",AS185,Q185)</f>
        <v>191522.4</v>
      </c>
      <c r="S185" s="172" t="s">
        <v>5</v>
      </c>
      <c r="T185" s="171" t="s">
        <v>420</v>
      </c>
      <c r="U185" s="172" t="s">
        <v>54</v>
      </c>
      <c r="V185" s="167" t="s">
        <v>371</v>
      </c>
      <c r="W185" s="172" t="s">
        <v>375</v>
      </c>
      <c r="X185" s="173">
        <f>IF(Y185="",VLOOKUP(H185,CLIENTS!$A$1:$O$649,5,FALSE),Y185)</f>
        <v>0</v>
      </c>
      <c r="Y185" s="174">
        <v>0</v>
      </c>
      <c r="Z185" s="173">
        <f>IF(AA185="",VLOOKUP(P185,CLIENTS!$A$1:$O$649,5,FALSE),AA185)</f>
        <v>-4.0000000000000001E-3</v>
      </c>
      <c r="AA185" s="174">
        <v>-4.0000000000000001E-3</v>
      </c>
      <c r="AB185" s="173" t="str">
        <f>IF(W185="via USD",IF(K185="EUR",K185&amp;"USD","USD"&amp;K185),IFERROR(VLOOKUP(K185&amp;S185,'FX RATES'!$H$2:$H$55,1,FALSE),S185&amp;K185))</f>
        <v>USDUSDT</v>
      </c>
      <c r="AC185" s="175">
        <f>IF(LEFT(AB185,3)=RIGHT(AB185,3),0,IFERROR(INDEX(CLIENTS!$A$1:$O$649,MATCH(H185,CLIENTS!$A$1:$A$649,0),MATCH(AB185,CLIENTS!$A$1:$O$1,0)),0))</f>
        <v>0</v>
      </c>
      <c r="AD185" s="176"/>
      <c r="AE185" s="177">
        <f>IF(W185="CLIENT","",IF(AD185="",AH185+AC185,AD185+AC185))</f>
        <v>1</v>
      </c>
      <c r="AF185" s="177" t="str">
        <f>E185&amp;AB185</f>
        <v>46045USDUSDT</v>
      </c>
      <c r="AG185" s="176">
        <v>1</v>
      </c>
      <c r="AH185" s="178">
        <f>IF(OR(LEFT(AB185,3)=RIGHT(AB185,3),OR(AB185="USDUSDT",AB185="USDTUSD")),1,VLOOKUP(AB185,'FX RATES'!$H$1:$I$20,2,FALSE))</f>
        <v>1</v>
      </c>
      <c r="AI185" s="178">
        <f>IF(OR(AB185="USDAED",LEFT(AB185,3)=RIGHT(AB185,3)),AH185,IF(LEFT(AB185)="USD",AG185,IF(OR(RIGHT(AB185,3)="USD",RIGHT(AB185,4)="USDT"),1,IFERROR(VLOOKUP(E185&amp;"USD"&amp;RIGHT(AB185,3),$AF:$AG,2,FALSE),VLOOKUP(E185&amp;"USD"&amp;RIGHT(AJ185,3),$AN:$AO,2,FALSE)))))</f>
        <v>1</v>
      </c>
      <c r="AJ185" s="173" t="str">
        <f>IF(W185="via USD",IF(S185="EUR",S185&amp;"USD","USD"&amp;S185),IFERROR(VLOOKUP(K185&amp;S185,'FX RATES'!$H$2:$H$20,1,FALSE),S185&amp;K185))</f>
        <v>USDUSD</v>
      </c>
      <c r="AK185" s="175">
        <f>IF(LEFT(AJ185,3)=RIGHT(AJ185,3),0,IFERROR(INDEX(CLIENTS!$A$1:$O$649,MATCH(P185,CLIENTS!$A$1:$A$649,0),MATCH(AJ185,CLIENTS!$A$1:$O$1,0)),0))</f>
        <v>0</v>
      </c>
      <c r="AL185" s="176"/>
      <c r="AM185" s="177">
        <f>IF(W185="VENDOR","",IF(AL185="",AP185+AK185,AL185+AK185))</f>
        <v>1</v>
      </c>
      <c r="AN185" s="177" t="str">
        <f>E185&amp;AJ185</f>
        <v>46045USDUSD</v>
      </c>
      <c r="AO185" s="176"/>
      <c r="AP185" s="178">
        <f>IF(OR(LEFT(AJ185,3)=RIGHT(AJ185,3),AND(OR(AB185="USDUSDT",AB185="USDTUSD"),OR(AJ185="USDUSDT",AJ185="USDTUSD"))),1,VLOOKUP(AJ185,'FX RATES'!$H$1:$I$20,2,FALSE))</f>
        <v>1</v>
      </c>
      <c r="AQ185" s="178">
        <f>IF(OR(AJ185="USDAED",LEFT(AJ185,3)=RIGHT(AJ185,3)),AP185,IF(LEFT(AJ185)="USD",AO185,IF(OR(RIGHT(AB185,3)="USD",RIGHT(AB185,4)="USDT"),1,IFERROR(VLOOKUP(E185&amp;"USD"&amp;RIGHT(AJ185,3),$AN:$AO,2,FALSE),VLOOKUP(E185&amp;"USD"&amp;RIGHT(AB185,3),$AF:$AG,2,FALSE)))))</f>
        <v>1</v>
      </c>
      <c r="AR185" s="179">
        <f>-Q185*(1-Z185)/(1+X185)*IF(W185="CLIENT",IF(S185=RIGHT(AJ185,3),1/AM185,AM185),IF(W185="VENDOR",IF(S185=RIGHT(AJ185,3),1/AE185,AE185),AE185^(VLOOKUP(AB185,'FX RATES'!$H$1:$J$26,3,FALSE))/AM185^(VLOOKUP(AJ185,'FX RATES'!$H$1:$J$26,3,FALSE))))</f>
        <v>-192288.4896</v>
      </c>
      <c r="AS185" s="179">
        <f>-I185*(1+X185)/(1-Z185)*IF(W185="VENDOR",IF(K185=RIGHT(AB185,3),1/AE185,AE185),IF(W185="CLIENT",IF(K185=RIGHT(AB185,3),1/AM185,AM185),AM185^(VLOOKUP(AJ185,'FX RATES'!$H$1:$J$26,3,FALSE))/AE185^(VLOOKUP(AB185,'FX RATES'!$H$1:$J$26,3,FALSE))))</f>
        <v>0</v>
      </c>
      <c r="AT185" s="170">
        <f>IF(AB185&lt;&gt;AJ185,J185/IF(K185=RIGHT(AB185,3),AE185,1/AE185),IF(S185="USD",J185/IF(K185=RIGHT(AB185,3),IF(W185="CLIENT",AM185,AE185),1/IF(W185="CLIENT",AM185,AE185)),J185*VLOOKUP(K185,'FX RATES'!$E$1:$F$10,2,FALSE)))</f>
        <v>-192288.4896</v>
      </c>
      <c r="AU185" s="170">
        <f>IF(AB185&lt;&gt;AJ185,R185/IF(S185=RIGHT(AJ185,3),AM185,1/AM185),IF(K185="USD",R185/IF(S185=RIGHT(AJ185,3),IF(W185="CLIENT",AM185,AE185),1/IF(W185="CLIENT",AM185,AE185)),R185*VLOOKUP(S185,'FX RATES'!$E$1:$F$10,2,FALSE)))</f>
        <v>191522.4</v>
      </c>
      <c r="AV185" s="170">
        <f>AT185+AU185</f>
        <v>-766.08960000000661</v>
      </c>
      <c r="AW185" s="169"/>
      <c r="AX185" s="170">
        <f>IF(AND(ISERROR(SEARCH("INVOICE",T185)),ISERROR(SEARCH("SWITCH",T185)),ISERROR(SEARCH("FOREX",T185)),ISERROR(SEARCH("REFUND",A185)),ISERROR(SEARCH("CANCELLED",A185))),IF(AW185="",-AT185*X185+AU185*Z185,AW185),0)</f>
        <v>-766.08960000000002</v>
      </c>
      <c r="AY185" s="170">
        <f>IF(AZ185="USD",AT185,IF(AZ185=K185,J185,-R185))</f>
        <v>-192288.4896</v>
      </c>
      <c r="AZ185" s="170" t="str">
        <f>LEFT(AB185,3)</f>
        <v>USD</v>
      </c>
      <c r="BA185" s="542">
        <f>IF(OR(A185="REFUND",A185="CANCELLED"),0,IFERROR((IF(OR(AB185="USDAED",LEFT(AB185,3)=RIGHT(AB185,3)),AI185,AG185)-AE185)*-AY185*VLOOKUP(AB185,'FX RATES'!$H$1:$J$26,3,FALSE),0))</f>
        <v>0</v>
      </c>
      <c r="BB185" s="170" t="str">
        <f>RIGHT(AB185,4)</f>
        <v>USDT</v>
      </c>
      <c r="BC185" s="542">
        <f>IF(BA185=0,0,IFERROR(BA185/IF(BB185&lt;&gt;"USD",AI185,1),"???"))</f>
        <v>0</v>
      </c>
      <c r="BD185" s="170">
        <f>IFERROR(-AC185/(IF(OR(AB185="USDAED",LEFT(AB185,3)=RIGHT(AB185,3)),AH185,AG185)-AE185)*BC185,0)</f>
        <v>0</v>
      </c>
      <c r="BE185" s="542">
        <f>BC185-BD185</f>
        <v>0</v>
      </c>
      <c r="BF185" s="170">
        <f>IF(BG185="USD",AU185,IF(BG185=S185,R185,-J185))</f>
        <v>191522.4</v>
      </c>
      <c r="BG185" s="170" t="str">
        <f>LEFT(AJ185,3)</f>
        <v>USD</v>
      </c>
      <c r="BH185" s="542">
        <f>IF(OR(A185="REFUND",A185="CANCELLED"),0,IFERROR((IF(OR(AJ185="USDAED",LEFT(AJ185,3)=RIGHT(AJ185,3)),AQ185,AO185)-AM185)*-BF185*VLOOKUP(AJ185,'FX RATES'!$H$1:$J$26,3,FALSE),0))</f>
        <v>0</v>
      </c>
      <c r="BI185" s="170" t="str">
        <f>RIGHT(AJ185,3)</f>
        <v>USD</v>
      </c>
      <c r="BJ185" s="542">
        <f>IF(BH185=0,0,IFERROR(BH185/IF(BI185&lt;&gt;"USD",AQ185,1),"???"))</f>
        <v>0</v>
      </c>
      <c r="BK185" s="170">
        <f>IFERROR(-AK185/(IF(OR(AJ185="USDAED",LEFT(AJ185,3)=RIGHT(AJ185,3)),AP185,AO185)-AM185)*BJ185,0)</f>
        <v>0</v>
      </c>
      <c r="BL185" s="542">
        <f>BJ185-BK185</f>
        <v>0</v>
      </c>
      <c r="BM185" s="170">
        <f>IF(AND(ISERROR(SEARCH("REFUND",A185)),ISERROR(SEARCH("CANCELLED",A185))),BD185+BK185,0)</f>
        <v>0</v>
      </c>
      <c r="BN185" s="542">
        <f>IF(AND(ISERROR(SEARCH("REFUND",A185)),ISERROR(SEARCH("CANCELLED",A185))),BE185+BL185,0)</f>
        <v>0</v>
      </c>
    </row>
    <row r="186" spans="1:66" ht="19.5" customHeight="1">
      <c r="A186" s="167" t="s">
        <v>366</v>
      </c>
      <c r="B186" s="168" t="s">
        <v>102</v>
      </c>
      <c r="C186" s="181" t="s">
        <v>367</v>
      </c>
      <c r="D186" s="181" t="s">
        <v>451</v>
      </c>
      <c r="E186" s="171">
        <v>46045</v>
      </c>
      <c r="F186" s="171"/>
      <c r="G186" s="168" t="s">
        <v>102</v>
      </c>
      <c r="H186" s="168" t="s">
        <v>515</v>
      </c>
      <c r="I186" s="169">
        <f>-R184</f>
        <v>-14562604.108108107</v>
      </c>
      <c r="J186" s="170">
        <f>IF(I186="",AR186,I186)</f>
        <v>-14562604.108108107</v>
      </c>
      <c r="K186" s="172" t="s">
        <v>9</v>
      </c>
      <c r="L186" s="168" t="s">
        <v>514</v>
      </c>
      <c r="M186" s="168" t="s">
        <v>514</v>
      </c>
      <c r="N186" s="167" t="s">
        <v>371</v>
      </c>
      <c r="O186" s="168" t="s">
        <v>52</v>
      </c>
      <c r="P186" s="168" t="s">
        <v>104</v>
      </c>
      <c r="Q186" s="169"/>
      <c r="R186" s="170">
        <f>IF(Q186="",AS186,Q186)</f>
        <v>195884.52557756915</v>
      </c>
      <c r="S186" s="168" t="s">
        <v>5</v>
      </c>
      <c r="T186" s="168"/>
      <c r="U186" s="168" t="s">
        <v>514</v>
      </c>
      <c r="V186" s="167" t="s">
        <v>371</v>
      </c>
      <c r="W186" s="172" t="s">
        <v>375</v>
      </c>
      <c r="X186" s="173">
        <f>IF(Y186="",VLOOKUP(H186,CLIENTS!$A$1:$O$649,5,FALSE),Y186)</f>
        <v>0</v>
      </c>
      <c r="Y186" s="174">
        <v>0</v>
      </c>
      <c r="Z186" s="173">
        <f>IF(AA186="",VLOOKUP(P186,CLIENTS!$A$1:$O$649,5,FALSE),AA186)</f>
        <v>0.02</v>
      </c>
      <c r="AA186" s="174">
        <v>0.02</v>
      </c>
      <c r="AB186" s="173" t="str">
        <f>IF(W186="via USD",IF(K186="EUR",K186&amp;"USD","USD"&amp;K186),IFERROR(VLOOKUP(K186&amp;S186,'FX RATES'!$H$2:$H$20,1,FALSE),S186&amp;K186))</f>
        <v>USDRUB</v>
      </c>
      <c r="AC186" s="175">
        <f>IF(LEFT(AB186,3)=RIGHT(AB186,3),0,IFERROR(INDEX(CLIENTS!$A$1:$O$649,MATCH(H186,CLIENTS!$A$1:$A$649,0),MATCH(AB186,CLIENTS!$A$1:$O$1,0)),0))</f>
        <v>0</v>
      </c>
      <c r="AD186" s="176">
        <v>75.86</v>
      </c>
      <c r="AE186" s="177">
        <f>IF(W186="CLIENT","",IF(AD186="",AH186+AC186,AD186+AC186))</f>
        <v>75.86</v>
      </c>
      <c r="AF186" s="177" t="str">
        <f>E186&amp;AB186</f>
        <v>46045USDRUB</v>
      </c>
      <c r="AG186" s="176">
        <v>75.900000000000006</v>
      </c>
      <c r="AH186" s="178">
        <f ca="1">IF(LEFT(AB186,3)=RIGHT(AB186,3),1,VLOOKUP(AB186,'FX RATES'!$H$1:$I$20,2,FALSE))</f>
        <v>76.720500000000001</v>
      </c>
      <c r="AI186" s="178">
        <f>IF(OR(AB186="USDAED",LEFT(AB186,3)=RIGHT(AB186,3)),AH186,IF(LEFT(AB186)="USD",AG186,IF(RIGHT(AB186,3)="USD",1,IFERROR(VLOOKUP(E186&amp;"USD"&amp;RIGHT(AB186,3),$AF:$AG,2,FALSE),VLOOKUP(E186&amp;"USD"&amp;RIGHT(AJ186,3),$AN:$AO,2,FALSE)))))</f>
        <v>75.900000000000006</v>
      </c>
      <c r="AJ186" s="173" t="str">
        <f>IF(W186="via USD",IF(S186="EUR",S186&amp;"USD","USD"&amp;S186),IFERROR(VLOOKUP(K186&amp;S186,'FX RATES'!$H$2:$H$20,1,FALSE),S186&amp;K186))</f>
        <v>USDUSD</v>
      </c>
      <c r="AK186" s="175">
        <f>IF(LEFT(AJ186,3)=RIGHT(AJ186,3),0,IFERROR(INDEX(CLIENTS!$A$1:$O$649,MATCH(P186,CLIENTS!$A$1:$A$649,0),MATCH(AJ186,CLIENTS!$A$1:$O$1,0)),0))</f>
        <v>0</v>
      </c>
      <c r="AL186" s="176"/>
      <c r="AM186" s="177">
        <f>IF(W186="VENDOR","",IF(AL186="",AP186+AK186,AL186+AK186))</f>
        <v>1</v>
      </c>
      <c r="AN186" s="177" t="str">
        <f>E186&amp;AJ186</f>
        <v>46045USDUSD</v>
      </c>
      <c r="AO186" s="176"/>
      <c r="AP186" s="178">
        <f>IF(LEFT(AJ186,3)=RIGHT(AJ186,3),1,VLOOKUP(AJ186,'FX RATES'!$H$1:$I$50,2,FALSE))</f>
        <v>1</v>
      </c>
      <c r="AQ186" s="178">
        <f>IF(OR(AJ186="USDAED",LEFT(AJ186,3)=RIGHT(AJ186,3),AJ186="USDUSDT",AJ186="USDTUSD"),AP186,IF(LEFT(AJ186)="USD",AO186,IF(RIGHT(AJ186,3)="USD",1,IFERROR(VLOOKUP(E186&amp;"USD"&amp;RIGHT(AJ186,3),$AN:$AO,2,FALSE),VLOOKUP(E186&amp;"USD"&amp;RIGHT(AB186,3),$AF:$AG,2,FALSE)))))</f>
        <v>1</v>
      </c>
      <c r="AR186" s="179">
        <f>-Q186*(1-Z186)/(1+X186)*IF(W186="CLIENT",IF(S186=RIGHT(AJ186,3),1/AM186,AM186),IF(W186="VENDOR",IF(S186=RIGHT(AJ186,3),1/AE186,AE186),AE186^(VLOOKUP(AB186,'FX RATES'!$H$1:$J$26,3,FALSE))/AM186^(VLOOKUP(AJ186,'FX RATES'!$H$1:$J$26,3,FALSE))))</f>
        <v>0</v>
      </c>
      <c r="AS186" s="179">
        <f>-I186*(1+X186)/(1-Z186)*IF(W186="VENDOR",IF(K186=RIGHT(AB186,3),1/AE186,AE186),IF(W186="CLIENT",IF(K186=RIGHT(AB186,3),1/AM186,AM186),AM186^(VLOOKUP(AJ186,'FX RATES'!$H$1:$J$26,3,FALSE))/AE186^(VLOOKUP(AB186,'FX RATES'!$H$1:$J$26,3,FALSE))))</f>
        <v>195884.52557756915</v>
      </c>
      <c r="AT186" s="170">
        <f>IF(AB186&lt;&gt;AJ186,J186/IF(K186=RIGHT(AB186,3),AE186,1/AE186),IF(S186="USD",J186/IF(K186=RIGHT(AB186,3),IF(W186="CLIENT",AM186,AE186),1/IF(W186="CLIENT",AM186,AE186)),J186*VLOOKUP(K186,'FX RATES'!$E$1:$F$10,2,FALSE)))</f>
        <v>-191966.83506601775</v>
      </c>
      <c r="AU186" s="170">
        <f>IF(AB186&lt;&gt;AJ186,R186/IF(S186=RIGHT(AJ186,3),AM186,1/AM186),IF(K186="USD",R186/IF(S186=RIGHT(AJ186,3),IF(W186="CLIENT",AM186,AE186),1/IF(W186="CLIENT",AM186,AE186)),R186*VLOOKUP(S186,'FX RATES'!$E$1:$F$10,2,FALSE)))</f>
        <v>195884.52557756915</v>
      </c>
      <c r="AV186" s="170">
        <f>AT186+AU186</f>
        <v>3917.6905115513946</v>
      </c>
      <c r="AW186" s="169"/>
      <c r="AX186" s="170">
        <f>IF(AND(ISERROR(SEARCH("INVOICE",T186)),ISERROR(SEARCH("SWITCH",T186)),ISERROR(SEARCH("FOREX",T186)),ISERROR(SEARCH("REFUND",A186)),ISERROR(SEARCH("CANCELLED",A186))),IF(AW186="",-AT186*X186+AU186*Z186,AW186),0)</f>
        <v>3917.6905115513832</v>
      </c>
      <c r="AY186" s="170">
        <f>IF(AZ186="USD",AT186,IF(AZ186=K186,J186,-R186))</f>
        <v>-191966.83506601775</v>
      </c>
      <c r="AZ186" s="170" t="str">
        <f>LEFT(AB186,3)</f>
        <v>USD</v>
      </c>
      <c r="BA186" s="542">
        <f>IF(OR(A186="REFUND",A186="CANCELLED"),0,IFERROR((IF(OR(AB186="USDAED",LEFT(AB186,3)=RIGHT(AB186,3)),AI186,AG186)-AE186)*-AY186*VLOOKUP(AB186,'FX RATES'!$H$1:$J$26,3,FALSE),0))</f>
        <v>7678.6734026419108</v>
      </c>
      <c r="BB186" s="170" t="str">
        <f>RIGHT(AB186,3)</f>
        <v>RUB</v>
      </c>
      <c r="BC186" s="542">
        <f>IF(BA186=0,0,IFERROR(BA186/IF(BB186&lt;&gt;"USD",AI186,1),"???"))</f>
        <v>101.16829252492636</v>
      </c>
      <c r="BD186" s="170">
        <f>IFERROR(-AC186/(IF(OR(AB186="USDAED",LEFT(AB186,3)=RIGHT(AB186,3)),AH186,AG186)-AE186)*BC186,0)</f>
        <v>0</v>
      </c>
      <c r="BE186" s="542">
        <f>BC186-BD186</f>
        <v>101.16829252492636</v>
      </c>
      <c r="BF186" s="170">
        <f>IF(BG186="USD",AU186,IF(BG186=S186,R186,-J186))</f>
        <v>195884.52557756915</v>
      </c>
      <c r="BG186" s="170" t="str">
        <f>LEFT(AJ186,3)</f>
        <v>USD</v>
      </c>
      <c r="BH186" s="542">
        <f>IF(OR(A186="REFUND",A186="CANCELLED"),0,IFERROR((IF(OR(AJ186="USDAED",LEFT(AJ186,3)=RIGHT(AJ186,3),AJ186="USDUSDT",AJ186="USDTUSD"),AQ186,AO186)-AM186)*-BF186*VLOOKUP(AJ186,'FX RATES'!$H$1:$J$26,3,FALSE),0))</f>
        <v>0</v>
      </c>
      <c r="BI186" s="170" t="str">
        <f>RIGHT(AJ186,4)</f>
        <v>DUSD</v>
      </c>
      <c r="BJ186" s="542">
        <f>IF(BH186=0,0,IFERROR(BH186/IF(BI186&lt;&gt;"USD",AQ186,1),"???"))</f>
        <v>0</v>
      </c>
      <c r="BK186" s="170">
        <f>IFERROR(-AK186/(IF(OR(AJ186="USDAED",LEFT(AJ186,3)=RIGHT(AJ186,3)),AP186,AO186)-AM186)*BJ186,0)</f>
        <v>0</v>
      </c>
      <c r="BL186" s="542">
        <f>BJ186-BK186</f>
        <v>0</v>
      </c>
      <c r="BM186" s="170">
        <f>IF(AND(ISERROR(SEARCH("REFUND",A186)),ISERROR(SEARCH("CANCELLED",A186))),BD186+BK186,0)</f>
        <v>0</v>
      </c>
      <c r="BN186" s="542">
        <f>IF(AND(ISERROR(SEARCH("REFUND",A186)),ISERROR(SEARCH("CANCELLED",A186))),BE186+BL186,0)</f>
        <v>101.16829252492636</v>
      </c>
    </row>
    <row r="187" spans="1:66" ht="19.5" customHeight="1">
      <c r="J187" s="450"/>
    </row>
    <row r="188" spans="1:66" ht="19.5" customHeight="1">
      <c r="A188" s="167" t="s">
        <v>366</v>
      </c>
      <c r="B188" s="181" t="s">
        <v>39</v>
      </c>
      <c r="C188" s="181" t="s">
        <v>367</v>
      </c>
      <c r="D188" s="181" t="s">
        <v>418</v>
      </c>
      <c r="E188" s="171">
        <v>46045</v>
      </c>
      <c r="F188" s="171"/>
      <c r="G188" s="181" t="s">
        <v>39</v>
      </c>
      <c r="H188" s="168" t="s">
        <v>428</v>
      </c>
      <c r="I188" s="169"/>
      <c r="J188" s="170">
        <f>IF(I188="",AR188,I188)</f>
        <v>-204590</v>
      </c>
      <c r="K188" s="168" t="s">
        <v>5</v>
      </c>
      <c r="L188" s="168" t="s">
        <v>378</v>
      </c>
      <c r="M188" s="168" t="s">
        <v>20</v>
      </c>
      <c r="N188" s="167" t="s">
        <v>371</v>
      </c>
      <c r="O188" s="168" t="s">
        <v>52</v>
      </c>
      <c r="P188" s="168" t="s">
        <v>428</v>
      </c>
      <c r="Q188" s="169">
        <v>205000</v>
      </c>
      <c r="R188" s="170">
        <f>IF(Q188="",AS188,Q188)</f>
        <v>205000</v>
      </c>
      <c r="S188" s="168" t="s">
        <v>53</v>
      </c>
      <c r="T188" s="168" t="s">
        <v>420</v>
      </c>
      <c r="U188" s="168" t="s">
        <v>54</v>
      </c>
      <c r="V188" s="167" t="s">
        <v>371</v>
      </c>
      <c r="W188" s="172" t="s">
        <v>375</v>
      </c>
      <c r="X188" s="173">
        <f>IF(Y188="",VLOOKUP(H188,CLIENTS!$A$1:$O$649,5,FALSE),Y188)</f>
        <v>0</v>
      </c>
      <c r="Y188" s="174">
        <v>0</v>
      </c>
      <c r="Z188" s="173">
        <f>IF(AA188="",VLOOKUP(P188,CLIENTS!$A$1:$O$649,5,FALSE),AA188)</f>
        <v>2E-3</v>
      </c>
      <c r="AA188" s="174">
        <v>2E-3</v>
      </c>
      <c r="AB188" s="173" t="str">
        <f>IF(W188="via USD",IF(K188="EUR",K188&amp;"USD","USD"&amp;K188),IFERROR(VLOOKUP(K188&amp;S188,'FX RATES'!$H$2:$H$20,1,FALSE),S188&amp;K188))</f>
        <v>USDUSD</v>
      </c>
      <c r="AC188" s="175">
        <f>IF(LEFT(AB188,3)=RIGHT(AB188,3),0,IFERROR(INDEX(CLIENTS!$A$1:$O$649,MATCH(H188,CLIENTS!$A$1:$A$649,0),MATCH(AB188,CLIENTS!$A$1:$O$1,0)),0))</f>
        <v>0</v>
      </c>
      <c r="AD188" s="176"/>
      <c r="AE188" s="177">
        <f>IF(W188="CLIENT","",IF(AD188="",AH188+AC188,AD188+AC188))</f>
        <v>1</v>
      </c>
      <c r="AF188" s="177" t="str">
        <f>E188&amp;AB188</f>
        <v>46045USDUSD</v>
      </c>
      <c r="AG188" s="176"/>
      <c r="AH188" s="178">
        <f>IF(LEFT(AB188,3)=RIGHT(AB188,3),1,VLOOKUP(AB188,'FX RATES'!$H$1:$I$20,2,FALSE))</f>
        <v>1</v>
      </c>
      <c r="AI188" s="178">
        <f>IF(OR(AB188="USDAED",LEFT(AB188,3)=RIGHT(AB188,3)),AH188,IF(LEFT(AB188)="USD",AG188,IF(RIGHT(AB188,3)="USD",1,IFERROR(VLOOKUP(E188&amp;"USD"&amp;RIGHT(AB188,3),$AF:$AG,2,FALSE),VLOOKUP(E188&amp;"USD"&amp;RIGHT(AJ188,3),$AN:$AO,2,FALSE)))))</f>
        <v>1</v>
      </c>
      <c r="AJ188" s="173" t="str">
        <f>IF(W188="via USD",IF(S188="EUR",S188&amp;"USD","USD"&amp;S188),IFERROR(VLOOKUP(K188&amp;S188,'FX RATES'!$H$2:$H$20,1,FALSE),S188&amp;K188))</f>
        <v>USDUSDT</v>
      </c>
      <c r="AK188" s="175">
        <f>IF(LEFT(AJ188,3)=RIGHT(AJ188,3),0,IFERROR(INDEX(CLIENTS!$A$1:$O$649,MATCH(P188,CLIENTS!$A$1:$A$649,0),MATCH(AJ188,CLIENTS!$A$1:$O$1,0)),0))</f>
        <v>0</v>
      </c>
      <c r="AL188" s="176"/>
      <c r="AM188" s="177">
        <f>IF(W188="VENDOR","",IF(AL188="",AP188+AK188,AL188+AK188))</f>
        <v>1</v>
      </c>
      <c r="AN188" s="177" t="str">
        <f>E188&amp;AJ188</f>
        <v>46045USDUSDT</v>
      </c>
      <c r="AO188" s="176">
        <v>1</v>
      </c>
      <c r="AP188" s="178">
        <f>IF(LEFT(AJ188,3)=RIGHT(AJ188,3),1,VLOOKUP(AJ188,'FX RATES'!$H$1:$I$50,2,FALSE))</f>
        <v>1</v>
      </c>
      <c r="AQ188" s="178">
        <f>IF(OR(AJ188="USDAED",LEFT(AJ188,3)=RIGHT(AJ188,3),AJ188="USDUSDT",AJ188="USDTUSD"),AP188,IF(LEFT(AJ188)="USD",AO188,IF(RIGHT(AJ188,3)="USD",1,IFERROR(VLOOKUP(E188&amp;"USD"&amp;RIGHT(AJ188,3),$AN:$AO,2,FALSE),VLOOKUP(E188&amp;"USD"&amp;RIGHT(AB188,3),$AF:$AG,2,FALSE)))))</f>
        <v>1</v>
      </c>
      <c r="AR188" s="179">
        <f>-Q188*(1-Z188)/(1+X188)*IF(W188="CLIENT",IF(S188=RIGHT(AJ188,3),1/AM188,AM188),IF(W188="VENDOR",IF(S188=RIGHT(AJ188,3),1/AE188,AE188),AE188^(VLOOKUP(AB188,'FX RATES'!$H$1:$J$26,3,FALSE))/AM188^(VLOOKUP(AJ188,'FX RATES'!$H$1:$J$26,3,FALSE))))</f>
        <v>-204590</v>
      </c>
      <c r="AS188" s="179">
        <f>-I188*(1+X188)/(1-Z188)*IF(W188="VENDOR",IF(K188=RIGHT(AB188,3),1/AE188,AE188),IF(W188="CLIENT",IF(K188=RIGHT(AB188,3),1/AM188,AM188),AM188^(VLOOKUP(AJ188,'FX RATES'!$H$1:$J$26,3,FALSE))/AE188^(VLOOKUP(AB188,'FX RATES'!$H$1:$J$26,3,FALSE))))</f>
        <v>0</v>
      </c>
      <c r="AT188" s="170">
        <f>IF(AB188&lt;&gt;AJ188,J188/IF(K188=RIGHT(AB188,3),AE188,1/AE188),IF(S188="USD",J188/IF(K188=RIGHT(AB188,3),IF(W188="CLIENT",AM188,AE188),1/IF(W188="CLIENT",AM188,AE188)),J188*VLOOKUP(K188,'FX RATES'!$E$1:$F$10,2,FALSE)))</f>
        <v>-204590</v>
      </c>
      <c r="AU188" s="170">
        <f>IF(AB188&lt;&gt;AJ188,R188/IF(S188=RIGHT(AJ188,3),AM188,1/AM188),IF(K188="USD",R188/IF(S188=RIGHT(AJ188,3),IF(W188="CLIENT",AM188,AE188),1/IF(W188="CLIENT",AM188,AE188)),R188*VLOOKUP(S188,'FX RATES'!$E$1:$F$10,2,FALSE)))</f>
        <v>205000</v>
      </c>
      <c r="AV188" s="170">
        <f>AT188+AU188</f>
        <v>410</v>
      </c>
      <c r="AW188" s="169"/>
      <c r="AX188" s="170">
        <f>IF(AND(ISERROR(SEARCH("INVOICE",T188)),ISERROR(SEARCH("SWITCH",T188)),ISERROR(SEARCH("FOREX",T188)),ISERROR(SEARCH("REFUND",A188)),ISERROR(SEARCH("CANCELLED",A188))),IF(AW188="",-AT188*X188+AU188*Z188,AW188),0)</f>
        <v>410</v>
      </c>
      <c r="AY188" s="170">
        <f>IF(AZ188="USD",AT188,IF(AZ188=K188,J188,-R188))</f>
        <v>-204590</v>
      </c>
      <c r="AZ188" s="170" t="str">
        <f>LEFT(AB188,3)</f>
        <v>USD</v>
      </c>
      <c r="BA188" s="542">
        <f>IF(OR(A188="REFUND",A188="CANCELLED"),0,IFERROR((IF(OR(AB188="USDAED",LEFT(AB188,3)=RIGHT(AB188,3)),AI188,AG188)-AE188)*-AY188*VLOOKUP(AB188,'FX RATES'!$H$1:$J$26,3,FALSE),0))</f>
        <v>0</v>
      </c>
      <c r="BB188" s="170" t="str">
        <f>RIGHT(AB188,3)</f>
        <v>USD</v>
      </c>
      <c r="BC188" s="542">
        <f>IF(BA188=0,0,IFERROR(BA188/IF(BB188&lt;&gt;"USD",AI188,1),"???"))</f>
        <v>0</v>
      </c>
      <c r="BD188" s="170">
        <f>IFERROR(-AC188/(IF(OR(AB188="USDAED",LEFT(AB188,3)=RIGHT(AB188,3)),AH188,AG188)-AE188)*BC188,0)</f>
        <v>0</v>
      </c>
      <c r="BE188" s="542">
        <f>BC188-BD188</f>
        <v>0</v>
      </c>
      <c r="BF188" s="170">
        <f>IF(BG188="USD",AU188,IF(BG188=S188,R188,-J188))</f>
        <v>205000</v>
      </c>
      <c r="BG188" s="170" t="str">
        <f>LEFT(AJ188,3)</f>
        <v>USD</v>
      </c>
      <c r="BH188" s="542">
        <f>IF(OR(A188="REFUND",A188="CANCELLED"),0,IFERROR((IF(OR(AJ188="USDAED",LEFT(AJ188,3)=RIGHT(AJ188,3),AJ188="USDUSDT",AJ188="USDTUSD"),AQ188,AO188)-AM188)*-BF188*VLOOKUP(AJ188,'FX RATES'!$H$1:$J$26,3,FALSE),0))</f>
        <v>0</v>
      </c>
      <c r="BI188" s="170" t="str">
        <f>RIGHT(AJ188,4)</f>
        <v>USDT</v>
      </c>
      <c r="BJ188" s="542">
        <f>IF(BH188=0,0,IFERROR(BH188/IF(BI188&lt;&gt;"USD",AQ188,1),"???"))</f>
        <v>0</v>
      </c>
      <c r="BK188" s="170">
        <f>IFERROR(-AK188/(IF(OR(AJ188="USDAED",LEFT(AJ188,3)=RIGHT(AJ188,3)),AP188,AO188)-AM188)*BJ188,0)</f>
        <v>0</v>
      </c>
      <c r="BL188" s="542">
        <f>BJ188-BK188</f>
        <v>0</v>
      </c>
      <c r="BM188" s="170">
        <f>IF(AND(ISERROR(SEARCH("REFUND",A188)),ISERROR(SEARCH("CANCELLED",A188))),BD188+BK188,0)</f>
        <v>0</v>
      </c>
      <c r="BN188" s="542">
        <f>IF(AND(ISERROR(SEARCH("REFUND",A188)),ISERROR(SEARCH("CANCELLED",A188))),BE188+BL188,0)</f>
        <v>0</v>
      </c>
    </row>
    <row r="189" spans="1:66" ht="19.5" customHeight="1">
      <c r="J189" s="450"/>
    </row>
    <row r="190" spans="1:66" ht="19.5" customHeight="1">
      <c r="A190" s="167" t="s">
        <v>516</v>
      </c>
      <c r="B190" s="168" t="s">
        <v>102</v>
      </c>
      <c r="C190" s="181" t="s">
        <v>367</v>
      </c>
      <c r="D190" s="181" t="s">
        <v>418</v>
      </c>
      <c r="E190" s="171">
        <v>46045</v>
      </c>
      <c r="F190" s="171"/>
      <c r="G190" s="168" t="s">
        <v>102</v>
      </c>
      <c r="H190" s="168" t="s">
        <v>419</v>
      </c>
      <c r="I190" s="169">
        <v>-400000</v>
      </c>
      <c r="J190" s="170">
        <f>IF(I190="",AR190,I190)</f>
        <v>-400000</v>
      </c>
      <c r="K190" s="168" t="s">
        <v>5</v>
      </c>
      <c r="L190" s="168" t="s">
        <v>420</v>
      </c>
      <c r="M190" s="168" t="s">
        <v>420</v>
      </c>
      <c r="N190" s="167" t="s">
        <v>517</v>
      </c>
      <c r="O190" s="168" t="s">
        <v>52</v>
      </c>
      <c r="P190" s="168" t="s">
        <v>421</v>
      </c>
      <c r="Q190" s="169"/>
      <c r="R190" s="170">
        <f>IF(Q190="",AS190,Q190)</f>
        <v>402010.05025125627</v>
      </c>
      <c r="S190" s="168" t="s">
        <v>53</v>
      </c>
      <c r="T190" s="168" t="s">
        <v>420</v>
      </c>
      <c r="U190" s="168" t="s">
        <v>54</v>
      </c>
      <c r="V190" s="167" t="s">
        <v>371</v>
      </c>
      <c r="W190" s="172" t="s">
        <v>375</v>
      </c>
      <c r="X190" s="173">
        <f>IF(Y190="",VLOOKUP(H190,CLIENTS!$A$1:$O$649,5,FALSE),Y190)</f>
        <v>0</v>
      </c>
      <c r="Y190" s="174">
        <v>0</v>
      </c>
      <c r="Z190" s="173">
        <f>IF(AA190="",VLOOKUP(P190,CLIENTS!$A$1:$O$649,5,FALSE),AA190)</f>
        <v>5.0000000000000001E-3</v>
      </c>
      <c r="AA190" s="174">
        <v>5.0000000000000001E-3</v>
      </c>
      <c r="AB190" s="173" t="str">
        <f>IF(W190="via USD",IF(K190="EUR",K190&amp;"USD","USD"&amp;K190),IFERROR(VLOOKUP(K190&amp;S190,'FX RATES'!$H$2:$H$20,1,FALSE),S190&amp;K190))</f>
        <v>USDUSD</v>
      </c>
      <c r="AC190" s="175">
        <f>IF(LEFT(AB190,3)=RIGHT(AB190,3),0,IFERROR(INDEX(CLIENTS!$A$1:$O$649,MATCH(H190,CLIENTS!$A$1:$A$649,0),MATCH(AB190,CLIENTS!$A$1:$O$1,0)),0))</f>
        <v>0</v>
      </c>
      <c r="AD190" s="176"/>
      <c r="AE190" s="177">
        <f>IF(W190="CLIENT","",IF(AD190="",AH190+AC190,AD190+AC190))</f>
        <v>1</v>
      </c>
      <c r="AF190" s="177" t="str">
        <f>E190&amp;AB190</f>
        <v>46045USDUSD</v>
      </c>
      <c r="AG190" s="176"/>
      <c r="AH190" s="178">
        <f>IF(LEFT(AB190,3)=RIGHT(AB190,3),1,VLOOKUP(AB190,'FX RATES'!$H$1:$I$20,2,FALSE))</f>
        <v>1</v>
      </c>
      <c r="AI190" s="178">
        <f>IF(OR(AB190="USDAED",LEFT(AB190,3)=RIGHT(AB190,3)),AH190,IF(LEFT(AB190)="USD",AG190,IF(RIGHT(AB190,3)="USD",1,IFERROR(VLOOKUP(E190&amp;"USD"&amp;RIGHT(AB190,3),$AF:$AG,2,FALSE),VLOOKUP(E190&amp;"USD"&amp;RIGHT(AJ190,3),$AN:$AO,2,FALSE)))))</f>
        <v>1</v>
      </c>
      <c r="AJ190" s="173" t="str">
        <f>IF(W190="via USD",IF(S190="EUR",S190&amp;"USD","USD"&amp;S190),IFERROR(VLOOKUP(K190&amp;S190,'FX RATES'!$H$2:$H$20,1,FALSE),S190&amp;K190))</f>
        <v>USDUSDT</v>
      </c>
      <c r="AK190" s="175">
        <f>IF(LEFT(AJ190,3)=RIGHT(AJ190,3),0,IFERROR(INDEX(CLIENTS!$A$1:$O$649,MATCH(P190,CLIENTS!$A$1:$A$649,0),MATCH(AJ190,CLIENTS!$A$1:$O$1,0)),0))</f>
        <v>0</v>
      </c>
      <c r="AL190" s="176"/>
      <c r="AM190" s="177">
        <f>IF(W190="VENDOR","",IF(AL190="",AP190+AK190,AL190+AK190))</f>
        <v>1</v>
      </c>
      <c r="AN190" s="177" t="str">
        <f>E190&amp;AJ190</f>
        <v>46045USDUSDT</v>
      </c>
      <c r="AO190" s="176"/>
      <c r="AP190" s="178">
        <f>IF(LEFT(AJ190,3)=RIGHT(AJ190,3),1,VLOOKUP(AJ190,'FX RATES'!$H$1:$I$50,2,FALSE))</f>
        <v>1</v>
      </c>
      <c r="AQ190" s="178">
        <f>IF(OR(AJ190="USDAED",LEFT(AJ190,3)=RIGHT(AJ190,3),AJ190="USDUSDT",AJ190="USDTUSD"),AP190,IF(LEFT(AJ190)="USD",AO190,IF(RIGHT(AJ190,3)="USD",1,IFERROR(VLOOKUP(E190&amp;"USD"&amp;RIGHT(AJ190,3),$AN:$AO,2,FALSE),VLOOKUP(E190&amp;"USD"&amp;RIGHT(AB190,3),$AF:$AG,2,FALSE)))))</f>
        <v>1</v>
      </c>
      <c r="AR190" s="179">
        <f>-Q190*(1-Z190)/(1+X190)*IF(W190="CLIENT",IF(S190=RIGHT(AJ190,3),1/AM190,AM190),IF(W190="VENDOR",IF(S190=RIGHT(AJ190,3),1/AE190,AE190),AE190^(VLOOKUP(AB190,'FX RATES'!$H$1:$J$26,3,FALSE))/AM190^(VLOOKUP(AJ190,'FX RATES'!$H$1:$J$26,3,FALSE))))</f>
        <v>0</v>
      </c>
      <c r="AS190" s="179">
        <f>-I190*(1+X190)/(1-Z190)*IF(W190="VENDOR",IF(K190=RIGHT(AB190,3),1/AE190,AE190),IF(W190="CLIENT",IF(K190=RIGHT(AB190,3),1/AM190,AM190),AM190^(VLOOKUP(AJ190,'FX RATES'!$H$1:$J$26,3,FALSE))/AE190^(VLOOKUP(AB190,'FX RATES'!$H$1:$J$26,3,FALSE))))</f>
        <v>402010.05025125627</v>
      </c>
      <c r="AT190" s="170">
        <f>IF(AB190&lt;&gt;AJ190,J190/IF(K190=RIGHT(AB190,3),AE190,1/AE190),IF(S190="USD",J190/IF(K190=RIGHT(AB190,3),IF(W190="CLIENT",AM190,AE190),1/IF(W190="CLIENT",AM190,AE190)),J190*VLOOKUP(K190,'FX RATES'!$E$1:$F$10,2,FALSE)))</f>
        <v>-400000</v>
      </c>
      <c r="AU190" s="170">
        <f>IF(AB190&lt;&gt;AJ190,R190/IF(S190=RIGHT(AJ190,3),AM190,1/AM190),IF(K190="USD",R190/IF(S190=RIGHT(AJ190,3),IF(W190="CLIENT",AM190,AE190),1/IF(W190="CLIENT",AM190,AE190)),R190*VLOOKUP(S190,'FX RATES'!$E$1:$F$10,2,FALSE)))</f>
        <v>402010.05025125627</v>
      </c>
      <c r="AV190" s="170">
        <f>AT190+AU190</f>
        <v>2010.0502512562671</v>
      </c>
      <c r="AW190" s="169"/>
      <c r="AX190" s="170">
        <f>IF(AND(ISERROR(SEARCH("INVOICE",T190)),ISERROR(SEARCH("SWITCH",T190)),ISERROR(SEARCH("FOREX",T190)),ISERROR(SEARCH("REFUND",A190)),ISERROR(SEARCH("CANCELLED",A190))),IF(AW190="",-AT190*X190+AU190*Z190,AW190),0)</f>
        <v>0</v>
      </c>
      <c r="AY190" s="170">
        <f>IF(AZ190="USD",AT190,IF(AZ190=K190,J190,-R190))</f>
        <v>-400000</v>
      </c>
      <c r="AZ190" s="170" t="str">
        <f>LEFT(AB190,3)</f>
        <v>USD</v>
      </c>
      <c r="BA190" s="542">
        <f>IF(OR(A190="REFUND",A190="CANCELLED"),0,IFERROR((IF(OR(AB190="USDAED",LEFT(AB190,3)=RIGHT(AB190,3)),AI190,AG190)-AE190)*-AY190*VLOOKUP(AB190,'FX RATES'!$H$1:$J$26,3,FALSE),0))</f>
        <v>0</v>
      </c>
      <c r="BB190" s="170" t="str">
        <f>RIGHT(AB190,3)</f>
        <v>USD</v>
      </c>
      <c r="BC190" s="542">
        <f>IF(BA190=0,0,IFERROR(BA190/IF(BB190&lt;&gt;"USD",AI190,1),"???"))</f>
        <v>0</v>
      </c>
      <c r="BD190" s="170">
        <f>IFERROR(-AC190/(IF(OR(AB190="USDAED",LEFT(AB190,3)=RIGHT(AB190,3)),AH190,AG190)-AE190)*BC190,0)</f>
        <v>0</v>
      </c>
      <c r="BE190" s="542">
        <f>BC190-BD190</f>
        <v>0</v>
      </c>
      <c r="BF190" s="170">
        <f>IF(BG190="USD",AU190,IF(BG190=S190,R190,-J190))</f>
        <v>402010.05025125627</v>
      </c>
      <c r="BG190" s="170" t="str">
        <f>LEFT(AJ190,3)</f>
        <v>USD</v>
      </c>
      <c r="BH190" s="542">
        <f>IF(OR(A190="REFUND",A190="CANCELLED"),0,IFERROR((IF(OR(AJ190="USDAED",LEFT(AJ190,3)=RIGHT(AJ190,3),AJ190="USDUSDT",AJ190="USDTUSD"),AQ190,AO190)-AM190)*-BF190*VLOOKUP(AJ190,'FX RATES'!$H$1:$J$26,3,FALSE),0))</f>
        <v>0</v>
      </c>
      <c r="BI190" s="170" t="str">
        <f>RIGHT(AJ190,4)</f>
        <v>USDT</v>
      </c>
      <c r="BJ190" s="542">
        <f>IF(BH190=0,0,IFERROR(BH190/IF(BI190&lt;&gt;"USD",AQ190,1),"???"))</f>
        <v>0</v>
      </c>
      <c r="BK190" s="170">
        <f>IFERROR(-AK190/(IF(OR(AJ190="USDAED",LEFT(AJ190,3)=RIGHT(AJ190,3)),AP190,AO190)-AM190)*BJ190,0)</f>
        <v>0</v>
      </c>
      <c r="BL190" s="542">
        <f>BJ190-BK190</f>
        <v>0</v>
      </c>
      <c r="BM190" s="170">
        <f>IF(AND(ISERROR(SEARCH("REFUND",A190)),ISERROR(SEARCH("CANCELLED",A190))),BD190+BK190,0)</f>
        <v>0</v>
      </c>
      <c r="BN190" s="542">
        <f>IF(AND(ISERROR(SEARCH("REFUND",A190)),ISERROR(SEARCH("CANCELLED",A190))),BE190+BL190,0)</f>
        <v>0</v>
      </c>
    </row>
    <row r="191" spans="1:66" ht="19.5" customHeight="1">
      <c r="A191" s="167" t="s">
        <v>516</v>
      </c>
      <c r="B191" s="172" t="s">
        <v>102</v>
      </c>
      <c r="C191" s="172" t="s">
        <v>102</v>
      </c>
      <c r="D191" s="181" t="s">
        <v>368</v>
      </c>
      <c r="E191" s="171">
        <v>46045</v>
      </c>
      <c r="F191" s="171"/>
      <c r="G191" s="172" t="s">
        <v>102</v>
      </c>
      <c r="H191" s="172" t="s">
        <v>104</v>
      </c>
      <c r="I191" s="169"/>
      <c r="J191" s="170">
        <f>IF(I191="",AR191,I191)</f>
        <v>-401600</v>
      </c>
      <c r="K191" s="172" t="s">
        <v>53</v>
      </c>
      <c r="L191" s="172" t="s">
        <v>420</v>
      </c>
      <c r="M191" s="172" t="s">
        <v>54</v>
      </c>
      <c r="N191" s="167" t="s">
        <v>371</v>
      </c>
      <c r="O191" s="172" t="s">
        <v>102</v>
      </c>
      <c r="P191" s="172" t="s">
        <v>104</v>
      </c>
      <c r="Q191" s="169">
        <f>-J190</f>
        <v>400000</v>
      </c>
      <c r="R191" s="170">
        <f>IF(Q191="",AS191,Q191)</f>
        <v>400000</v>
      </c>
      <c r="S191" s="172" t="s">
        <v>5</v>
      </c>
      <c r="T191" s="171" t="s">
        <v>420</v>
      </c>
      <c r="U191" s="172" t="s">
        <v>54</v>
      </c>
      <c r="V191" s="167" t="s">
        <v>517</v>
      </c>
      <c r="W191" s="172" t="s">
        <v>375</v>
      </c>
      <c r="X191" s="173">
        <f>IF(Y191="",VLOOKUP(H191,CLIENTS!$A$1:$O$649,5,FALSE),Y191)</f>
        <v>0</v>
      </c>
      <c r="Y191" s="174">
        <v>0</v>
      </c>
      <c r="Z191" s="173">
        <f>IF(AA191="",VLOOKUP(P191,CLIENTS!$A$1:$O$649,5,FALSE),AA191)</f>
        <v>-4.0000000000000001E-3</v>
      </c>
      <c r="AA191" s="174">
        <v>-4.0000000000000001E-3</v>
      </c>
      <c r="AB191" s="173" t="str">
        <f>IF(W191="via USD",IF(K191="EUR",K191&amp;"USD","USD"&amp;K191),IFERROR(VLOOKUP(K191&amp;S191,'FX RATES'!$H$2:$H$55,1,FALSE),S191&amp;K191))</f>
        <v>USDUSDT</v>
      </c>
      <c r="AC191" s="175">
        <f>IF(LEFT(AB191,3)=RIGHT(AB191,3),0,IFERROR(INDEX(CLIENTS!$A$1:$O$649,MATCH(H191,CLIENTS!$A$1:$A$649,0),MATCH(AB191,CLIENTS!$A$1:$O$1,0)),0))</f>
        <v>0</v>
      </c>
      <c r="AD191" s="176"/>
      <c r="AE191" s="177">
        <f>IF(W191="CLIENT","",IF(AD191="",AH191+AC191,AD191+AC191))</f>
        <v>1</v>
      </c>
      <c r="AF191" s="177" t="str">
        <f>E191&amp;AB191</f>
        <v>46045USDUSDT</v>
      </c>
      <c r="AG191" s="176">
        <v>1</v>
      </c>
      <c r="AH191" s="178">
        <f>IF(OR(LEFT(AB191,3)=RIGHT(AB191,3),OR(AB191="USDUSDT",AB191="USDTUSD")),1,VLOOKUP(AB191,'FX RATES'!$H$1:$I$20,2,FALSE))</f>
        <v>1</v>
      </c>
      <c r="AI191" s="178">
        <f>IF(OR(AB191="USDAED",LEFT(AB191,3)=RIGHT(AB191,3)),AH191,IF(LEFT(AB191)="USD",AG191,IF(OR(RIGHT(AB191,3)="USD",RIGHT(AB191,4)="USDT"),1,IFERROR(VLOOKUP(E191&amp;"USD"&amp;RIGHT(AB191,3),$AF:$AG,2,FALSE),VLOOKUP(E191&amp;"USD"&amp;RIGHT(AJ191,3),$AN:$AO,2,FALSE)))))</f>
        <v>1</v>
      </c>
      <c r="AJ191" s="173" t="str">
        <f>IF(W191="via USD",IF(S191="EUR",S191&amp;"USD","USD"&amp;S191),IFERROR(VLOOKUP(K191&amp;S191,'FX RATES'!$H$2:$H$20,1,FALSE),S191&amp;K191))</f>
        <v>USDUSD</v>
      </c>
      <c r="AK191" s="175">
        <f>IF(LEFT(AJ191,3)=RIGHT(AJ191,3),0,IFERROR(INDEX(CLIENTS!$A$1:$O$649,MATCH(P191,CLIENTS!$A$1:$A$649,0),MATCH(AJ191,CLIENTS!$A$1:$O$1,0)),0))</f>
        <v>0</v>
      </c>
      <c r="AL191" s="176"/>
      <c r="AM191" s="177">
        <f>IF(W191="VENDOR","",IF(AL191="",AP191+AK191,AL191+AK191))</f>
        <v>1</v>
      </c>
      <c r="AN191" s="177" t="str">
        <f>E191&amp;AJ191</f>
        <v>46045USDUSD</v>
      </c>
      <c r="AO191" s="176"/>
      <c r="AP191" s="178">
        <f>IF(OR(LEFT(AJ191,3)=RIGHT(AJ191,3),AND(OR(AB191="USDUSDT",AB191="USDTUSD"),OR(AJ191="USDUSDT",AJ191="USDTUSD"))),1,VLOOKUP(AJ191,'FX RATES'!$H$1:$I$20,2,FALSE))</f>
        <v>1</v>
      </c>
      <c r="AQ191" s="178">
        <f>IF(OR(AJ191="USDAED",LEFT(AJ191,3)=RIGHT(AJ191,3)),AP191,IF(LEFT(AJ191)="USD",AO191,IF(OR(RIGHT(AB191,3)="USD",RIGHT(AB191,4)="USDT"),1,IFERROR(VLOOKUP(E191&amp;"USD"&amp;RIGHT(AJ191,3),$AN:$AO,2,FALSE),VLOOKUP(E191&amp;"USD"&amp;RIGHT(AB191,3),$AF:$AG,2,FALSE)))))</f>
        <v>1</v>
      </c>
      <c r="AR191" s="179">
        <f>-Q191*(1-Z191)/(1+X191)*IF(W191="CLIENT",IF(S191=RIGHT(AJ191,3),1/AM191,AM191),IF(W191="VENDOR",IF(S191=RIGHT(AJ191,3),1/AE191,AE191),AE191^(VLOOKUP(AB191,'FX RATES'!$H$1:$J$26,3,FALSE))/AM191^(VLOOKUP(AJ191,'FX RATES'!$H$1:$J$26,3,FALSE))))</f>
        <v>-401600</v>
      </c>
      <c r="AS191" s="179">
        <f>-I191*(1+X191)/(1-Z191)*IF(W191="VENDOR",IF(K191=RIGHT(AB191,3),1/AE191,AE191),IF(W191="CLIENT",IF(K191=RIGHT(AB191,3),1/AM191,AM191),AM191^(VLOOKUP(AJ191,'FX RATES'!$H$1:$J$26,3,FALSE))/AE191^(VLOOKUP(AB191,'FX RATES'!$H$1:$J$26,3,FALSE))))</f>
        <v>0</v>
      </c>
      <c r="AT191" s="170">
        <f>IF(AB191&lt;&gt;AJ191,J191/IF(K191=RIGHT(AB191,3),AE191,1/AE191),IF(S191="USD",J191/IF(K191=RIGHT(AB191,3),IF(W191="CLIENT",AM191,AE191),1/IF(W191="CLIENT",AM191,AE191)),J191*VLOOKUP(K191,'FX RATES'!$E$1:$F$10,2,FALSE)))</f>
        <v>-401600</v>
      </c>
      <c r="AU191" s="170">
        <f>IF(AB191&lt;&gt;AJ191,R191/IF(S191=RIGHT(AJ191,3),AM191,1/AM191),IF(K191="USD",R191/IF(S191=RIGHT(AJ191,3),IF(W191="CLIENT",AM191,AE191),1/IF(W191="CLIENT",AM191,AE191)),R191*VLOOKUP(S191,'FX RATES'!$E$1:$F$10,2,FALSE)))</f>
        <v>400000</v>
      </c>
      <c r="AV191" s="170">
        <f>AT191+AU191</f>
        <v>-1600</v>
      </c>
      <c r="AW191" s="169"/>
      <c r="AX191" s="170">
        <f>IF(AND(ISERROR(SEARCH("INVOICE",T191)),ISERROR(SEARCH("SWITCH",T191)),ISERROR(SEARCH("FOREX",T191)),ISERROR(SEARCH("REFUND",A191)),ISERROR(SEARCH("CANCELLED",A191))),IF(AW191="",-AT191*X191+AU191*Z191,AW191),0)</f>
        <v>0</v>
      </c>
      <c r="AY191" s="170">
        <f>IF(AZ191="USD",AT191,IF(AZ191=K191,J191,-R191))</f>
        <v>-401600</v>
      </c>
      <c r="AZ191" s="170" t="str">
        <f>LEFT(AB191,3)</f>
        <v>USD</v>
      </c>
      <c r="BA191" s="542">
        <f>IF(OR(A191="REFUND",A191="CANCELLED"),0,IFERROR((IF(OR(AB191="USDAED",LEFT(AB191,3)=RIGHT(AB191,3)),AI191,AG191)-AE191)*-AY191*VLOOKUP(AB191,'FX RATES'!$H$1:$J$26,3,FALSE),0))</f>
        <v>0</v>
      </c>
      <c r="BB191" s="170" t="str">
        <f>RIGHT(AB191,4)</f>
        <v>USDT</v>
      </c>
      <c r="BC191" s="542">
        <f>IF(BA191=0,0,IFERROR(BA191/IF(BB191&lt;&gt;"USD",AI191,1),"???"))</f>
        <v>0</v>
      </c>
      <c r="BD191" s="170">
        <f>IFERROR(-AC191/(IF(OR(AB191="USDAED",LEFT(AB191,3)=RIGHT(AB191,3)),AH191,AG191)-AE191)*BC191,0)</f>
        <v>0</v>
      </c>
      <c r="BE191" s="542">
        <f>BC191-BD191</f>
        <v>0</v>
      </c>
      <c r="BF191" s="170">
        <f>IF(BG191="USD",AU191,IF(BG191=S191,R191,-J191))</f>
        <v>400000</v>
      </c>
      <c r="BG191" s="170" t="str">
        <f>LEFT(AJ191,3)</f>
        <v>USD</v>
      </c>
      <c r="BH191" s="542">
        <f>IF(OR(A191="REFUND",A191="CANCELLED"),0,IFERROR((IF(OR(AJ191="USDAED",LEFT(AJ191,3)=RIGHT(AJ191,3)),AQ191,AO191)-AM191)*-BF191*VLOOKUP(AJ191,'FX RATES'!$H$1:$J$26,3,FALSE),0))</f>
        <v>0</v>
      </c>
      <c r="BI191" s="170" t="str">
        <f>RIGHT(AJ191,3)</f>
        <v>USD</v>
      </c>
      <c r="BJ191" s="542">
        <f>IF(BH191=0,0,IFERROR(BH191/IF(BI191&lt;&gt;"USD",AQ191,1),"???"))</f>
        <v>0</v>
      </c>
      <c r="BK191" s="170">
        <f>IFERROR(-AK191/(IF(OR(AJ191="USDAED",LEFT(AJ191,3)=RIGHT(AJ191,3)),AP191,AO191)-AM191)*BJ191,0)</f>
        <v>0</v>
      </c>
      <c r="BL191" s="542">
        <f>BJ191-BK191</f>
        <v>0</v>
      </c>
      <c r="BM191" s="170">
        <f>IF(AND(ISERROR(SEARCH("REFUND",A191)),ISERROR(SEARCH("CANCELLED",A191))),BD191+BK191,0)</f>
        <v>0</v>
      </c>
      <c r="BN191" s="542">
        <f>IF(AND(ISERROR(SEARCH("REFUND",A191)),ISERROR(SEARCH("CANCELLED",A191))),BE191+BL191,0)</f>
        <v>0</v>
      </c>
    </row>
    <row r="192" spans="1:66" ht="19.5" customHeight="1">
      <c r="J192" s="450"/>
    </row>
    <row r="193" spans="1:66" ht="19.5" customHeight="1">
      <c r="A193" s="167" t="s">
        <v>366</v>
      </c>
      <c r="B193" s="168" t="s">
        <v>102</v>
      </c>
      <c r="C193" s="181" t="s">
        <v>367</v>
      </c>
      <c r="D193" s="181" t="s">
        <v>418</v>
      </c>
      <c r="E193" s="171">
        <v>46045</v>
      </c>
      <c r="F193" s="171"/>
      <c r="G193" s="168" t="s">
        <v>102</v>
      </c>
      <c r="H193" s="168" t="s">
        <v>419</v>
      </c>
      <c r="I193" s="169">
        <v>-398000</v>
      </c>
      <c r="J193" s="170">
        <f>IF(I193="",AR193,I193)</f>
        <v>-398000</v>
      </c>
      <c r="K193" s="168" t="s">
        <v>5</v>
      </c>
      <c r="L193" s="168" t="s">
        <v>420</v>
      </c>
      <c r="M193" s="168" t="s">
        <v>420</v>
      </c>
      <c r="N193" s="167" t="s">
        <v>371</v>
      </c>
      <c r="O193" s="168" t="s">
        <v>52</v>
      </c>
      <c r="P193" s="168" t="s">
        <v>421</v>
      </c>
      <c r="Q193" s="169"/>
      <c r="R193" s="170">
        <f>IF(Q193="",AS193,Q193)</f>
        <v>400000</v>
      </c>
      <c r="S193" s="168" t="s">
        <v>53</v>
      </c>
      <c r="T193" s="168" t="s">
        <v>420</v>
      </c>
      <c r="U193" s="168" t="s">
        <v>54</v>
      </c>
      <c r="V193" s="167" t="s">
        <v>371</v>
      </c>
      <c r="W193" s="172" t="s">
        <v>375</v>
      </c>
      <c r="X193" s="173">
        <f>IF(Y193="",VLOOKUP(H193,CLIENTS!$A$1:$O$649,5,FALSE),Y193)</f>
        <v>0</v>
      </c>
      <c r="Y193" s="174">
        <v>0</v>
      </c>
      <c r="Z193" s="173">
        <f>IF(AA193="",VLOOKUP(P193,CLIENTS!$A$1:$O$649,5,FALSE),AA193)</f>
        <v>5.0000000000000001E-3</v>
      </c>
      <c r="AA193" s="174">
        <v>5.0000000000000001E-3</v>
      </c>
      <c r="AB193" s="173" t="str">
        <f>IF(W193="via USD",IF(K193="EUR",K193&amp;"USD","USD"&amp;K193),IFERROR(VLOOKUP(K193&amp;S193,'FX RATES'!$H$2:$H$20,1,FALSE),S193&amp;K193))</f>
        <v>USDUSD</v>
      </c>
      <c r="AC193" s="175">
        <f>IF(LEFT(AB193,3)=RIGHT(AB193,3),0,IFERROR(INDEX(CLIENTS!$A$1:$O$649,MATCH(H193,CLIENTS!$A$1:$A$649,0),MATCH(AB193,CLIENTS!$A$1:$O$1,0)),0))</f>
        <v>0</v>
      </c>
      <c r="AD193" s="176"/>
      <c r="AE193" s="177">
        <f>IF(W193="CLIENT","",IF(AD193="",AH193+AC193,AD193+AC193))</f>
        <v>1</v>
      </c>
      <c r="AF193" s="177" t="str">
        <f>E193&amp;AB193</f>
        <v>46045USDUSD</v>
      </c>
      <c r="AG193" s="176"/>
      <c r="AH193" s="178">
        <f>IF(LEFT(AB193,3)=RIGHT(AB193,3),1,VLOOKUP(AB193,'FX RATES'!$H$1:$I$20,2,FALSE))</f>
        <v>1</v>
      </c>
      <c r="AI193" s="178">
        <f>IF(OR(AB193="USDAED",LEFT(AB193,3)=RIGHT(AB193,3)),AH193,IF(LEFT(AB193)="USD",AG193,IF(RIGHT(AB193,3)="USD",1,IFERROR(VLOOKUP(E193&amp;"USD"&amp;RIGHT(AB193,3),$AF:$AG,2,FALSE),VLOOKUP(E193&amp;"USD"&amp;RIGHT(AJ193,3),$AN:$AO,2,FALSE)))))</f>
        <v>1</v>
      </c>
      <c r="AJ193" s="173" t="str">
        <f>IF(W193="via USD",IF(S193="EUR",S193&amp;"USD","USD"&amp;S193),IFERROR(VLOOKUP(K193&amp;S193,'FX RATES'!$H$2:$H$20,1,FALSE),S193&amp;K193))</f>
        <v>USDUSDT</v>
      </c>
      <c r="AK193" s="175">
        <f>IF(LEFT(AJ193,3)=RIGHT(AJ193,3),0,IFERROR(INDEX(CLIENTS!$A$1:$O$649,MATCH(P193,CLIENTS!$A$1:$A$649,0),MATCH(AJ193,CLIENTS!$A$1:$O$1,0)),0))</f>
        <v>0</v>
      </c>
      <c r="AL193" s="176"/>
      <c r="AM193" s="177">
        <f>IF(W193="VENDOR","",IF(AL193="",AP193+AK193,AL193+AK193))</f>
        <v>1</v>
      </c>
      <c r="AN193" s="177" t="str">
        <f>E193&amp;AJ193</f>
        <v>46045USDUSDT</v>
      </c>
      <c r="AO193" s="176"/>
      <c r="AP193" s="178">
        <f>IF(LEFT(AJ193,3)=RIGHT(AJ193,3),1,VLOOKUP(AJ193,'FX RATES'!$H$1:$I$50,2,FALSE))</f>
        <v>1</v>
      </c>
      <c r="AQ193" s="178">
        <f>IF(OR(AJ193="USDAED",LEFT(AJ193,3)=RIGHT(AJ193,3),AJ193="USDUSDT",AJ193="USDTUSD"),AP193,IF(LEFT(AJ193)="USD",AO193,IF(RIGHT(AJ193,3)="USD",1,IFERROR(VLOOKUP(E193&amp;"USD"&amp;RIGHT(AJ193,3),$AN:$AO,2,FALSE),VLOOKUP(E193&amp;"USD"&amp;RIGHT(AB193,3),$AF:$AG,2,FALSE)))))</f>
        <v>1</v>
      </c>
      <c r="AR193" s="179">
        <f>-Q193*(1-Z193)/(1+X193)*IF(W193="CLIENT",IF(S193=RIGHT(AJ193,3),1/AM193,AM193),IF(W193="VENDOR",IF(S193=RIGHT(AJ193,3),1/AE193,AE193),AE193^(VLOOKUP(AB193,'FX RATES'!$H$1:$J$26,3,FALSE))/AM193^(VLOOKUP(AJ193,'FX RATES'!$H$1:$J$26,3,FALSE))))</f>
        <v>0</v>
      </c>
      <c r="AS193" s="179">
        <f>-I193*(1+X193)/(1-Z193)*IF(W193="VENDOR",IF(K193=RIGHT(AB193,3),1/AE193,AE193),IF(W193="CLIENT",IF(K193=RIGHT(AB193,3),1/AM193,AM193),AM193^(VLOOKUP(AJ193,'FX RATES'!$H$1:$J$26,3,FALSE))/AE193^(VLOOKUP(AB193,'FX RATES'!$H$1:$J$26,3,FALSE))))</f>
        <v>400000</v>
      </c>
      <c r="AT193" s="170">
        <f>IF(AB193&lt;&gt;AJ193,J193/IF(K193=RIGHT(AB193,3),AE193,1/AE193),IF(S193="USD",J193/IF(K193=RIGHT(AB193,3),IF(W193="CLIENT",AM193,AE193),1/IF(W193="CLIENT",AM193,AE193)),J193*VLOOKUP(K193,'FX RATES'!$E$1:$F$10,2,FALSE)))</f>
        <v>-398000</v>
      </c>
      <c r="AU193" s="170">
        <f>IF(AB193&lt;&gt;AJ193,R193/IF(S193=RIGHT(AJ193,3),AM193,1/AM193),IF(K193="USD",R193/IF(S193=RIGHT(AJ193,3),IF(W193="CLIENT",AM193,AE193),1/IF(W193="CLIENT",AM193,AE193)),R193*VLOOKUP(S193,'FX RATES'!$E$1:$F$10,2,FALSE)))</f>
        <v>400000</v>
      </c>
      <c r="AV193" s="170">
        <f>AT193+AU193</f>
        <v>2000</v>
      </c>
      <c r="AW193" s="169"/>
      <c r="AX193" s="170">
        <f>IF(AND(ISERROR(SEARCH("INVOICE",T193)),ISERROR(SEARCH("SWITCH",T193)),ISERROR(SEARCH("FOREX",T193)),ISERROR(SEARCH("REFUND",A193)),ISERROR(SEARCH("CANCELLED",A193))),IF(AW193="",-AT193*X193+AU193*Z193,AW193),0)</f>
        <v>2000</v>
      </c>
      <c r="AY193" s="170">
        <f>IF(AZ193="USD",AT193,IF(AZ193=K193,J193,-R193))</f>
        <v>-398000</v>
      </c>
      <c r="AZ193" s="170" t="str">
        <f>LEFT(AB193,3)</f>
        <v>USD</v>
      </c>
      <c r="BA193" s="542">
        <f>IF(OR(A193="REFUND",A193="CANCELLED"),0,IFERROR((IF(OR(AB193="USDAED",LEFT(AB193,3)=RIGHT(AB193,3)),AI193,AG193)-AE193)*-AY193*VLOOKUP(AB193,'FX RATES'!$H$1:$J$26,3,FALSE),0))</f>
        <v>0</v>
      </c>
      <c r="BB193" s="170" t="str">
        <f>RIGHT(AB193,3)</f>
        <v>USD</v>
      </c>
      <c r="BC193" s="542">
        <f>IF(BA193=0,0,IFERROR(BA193/IF(BB193&lt;&gt;"USD",AI193,1),"???"))</f>
        <v>0</v>
      </c>
      <c r="BD193" s="170">
        <f>IFERROR(-AC193/(IF(OR(AB193="USDAED",LEFT(AB193,3)=RIGHT(AB193,3)),AH193,AG193)-AE193)*BC193,0)</f>
        <v>0</v>
      </c>
      <c r="BE193" s="542">
        <f>BC193-BD193</f>
        <v>0</v>
      </c>
      <c r="BF193" s="170">
        <f>IF(BG193="USD",AU193,IF(BG193=S193,R193,-J193))</f>
        <v>400000</v>
      </c>
      <c r="BG193" s="170" t="str">
        <f>LEFT(AJ193,3)</f>
        <v>USD</v>
      </c>
      <c r="BH193" s="542">
        <f>IF(OR(A193="REFUND",A193="CANCELLED"),0,IFERROR((IF(OR(AJ193="USDAED",LEFT(AJ193,3)=RIGHT(AJ193,3),AJ193="USDUSDT",AJ193="USDTUSD"),AQ193,AO193)-AM193)*-BF193*VLOOKUP(AJ193,'FX RATES'!$H$1:$J$26,3,FALSE),0))</f>
        <v>0</v>
      </c>
      <c r="BI193" s="170" t="str">
        <f>RIGHT(AJ193,4)</f>
        <v>USDT</v>
      </c>
      <c r="BJ193" s="542">
        <f>IF(BH193=0,0,IFERROR(BH193/IF(BI193&lt;&gt;"USD",AQ193,1),"???"))</f>
        <v>0</v>
      </c>
      <c r="BK193" s="170">
        <f>IFERROR(-AK193/(IF(OR(AJ193="USDAED",LEFT(AJ193,3)=RIGHT(AJ193,3)),AP193,AO193)-AM193)*BJ193,0)</f>
        <v>0</v>
      </c>
      <c r="BL193" s="542">
        <f>BJ193-BK193</f>
        <v>0</v>
      </c>
      <c r="BM193" s="170">
        <f>IF(AND(ISERROR(SEARCH("REFUND",A193)),ISERROR(SEARCH("CANCELLED",A193))),BD193+BK193,0)</f>
        <v>0</v>
      </c>
      <c r="BN193" s="542">
        <f>IF(AND(ISERROR(SEARCH("REFUND",A193)),ISERROR(SEARCH("CANCELLED",A193))),BE193+BL193,0)</f>
        <v>0</v>
      </c>
    </row>
    <row r="194" spans="1:66" ht="19.5" customHeight="1">
      <c r="A194" s="167" t="s">
        <v>366</v>
      </c>
      <c r="B194" s="172" t="s">
        <v>102</v>
      </c>
      <c r="C194" s="172" t="s">
        <v>102</v>
      </c>
      <c r="D194" s="181" t="s">
        <v>368</v>
      </c>
      <c r="E194" s="171">
        <v>46045</v>
      </c>
      <c r="F194" s="171"/>
      <c r="G194" s="172" t="s">
        <v>102</v>
      </c>
      <c r="H194" s="172" t="s">
        <v>104</v>
      </c>
      <c r="I194" s="169"/>
      <c r="J194" s="170">
        <f>IF(I194="",AR194,I194)</f>
        <v>-399592</v>
      </c>
      <c r="K194" s="172" t="s">
        <v>53</v>
      </c>
      <c r="L194" s="172" t="s">
        <v>420</v>
      </c>
      <c r="M194" s="172" t="s">
        <v>54</v>
      </c>
      <c r="N194" s="167" t="s">
        <v>371</v>
      </c>
      <c r="O194" s="172" t="s">
        <v>102</v>
      </c>
      <c r="P194" s="172" t="s">
        <v>104</v>
      </c>
      <c r="Q194" s="169">
        <f>-J193</f>
        <v>398000</v>
      </c>
      <c r="R194" s="170">
        <f>IF(Q194="",AS194,Q194)</f>
        <v>398000</v>
      </c>
      <c r="S194" s="172" t="s">
        <v>5</v>
      </c>
      <c r="T194" s="171" t="s">
        <v>420</v>
      </c>
      <c r="U194" s="172" t="s">
        <v>54</v>
      </c>
      <c r="V194" s="167" t="s">
        <v>371</v>
      </c>
      <c r="W194" s="172" t="s">
        <v>375</v>
      </c>
      <c r="X194" s="173">
        <f>IF(Y194="",VLOOKUP(H194,CLIENTS!$A$1:$O$649,5,FALSE),Y194)</f>
        <v>0</v>
      </c>
      <c r="Y194" s="174">
        <v>0</v>
      </c>
      <c r="Z194" s="173">
        <f>IF(AA194="",VLOOKUP(P194,CLIENTS!$A$1:$O$649,5,FALSE),AA194)</f>
        <v>-4.0000000000000001E-3</v>
      </c>
      <c r="AA194" s="174">
        <v>-4.0000000000000001E-3</v>
      </c>
      <c r="AB194" s="173" t="str">
        <f>IF(W194="via USD",IF(K194="EUR",K194&amp;"USD","USD"&amp;K194),IFERROR(VLOOKUP(K194&amp;S194,'FX RATES'!$H$2:$H$55,1,FALSE),S194&amp;K194))</f>
        <v>USDUSDT</v>
      </c>
      <c r="AC194" s="175">
        <f>IF(LEFT(AB194,3)=RIGHT(AB194,3),0,IFERROR(INDEX(CLIENTS!$A$1:$O$649,MATCH(H194,CLIENTS!$A$1:$A$649,0),MATCH(AB194,CLIENTS!$A$1:$O$1,0)),0))</f>
        <v>0</v>
      </c>
      <c r="AD194" s="176"/>
      <c r="AE194" s="177">
        <f>IF(W194="CLIENT","",IF(AD194="",AH194+AC194,AD194+AC194))</f>
        <v>1</v>
      </c>
      <c r="AF194" s="177" t="str">
        <f>E194&amp;AB194</f>
        <v>46045USDUSDT</v>
      </c>
      <c r="AG194" s="176">
        <v>1</v>
      </c>
      <c r="AH194" s="178">
        <f>IF(OR(LEFT(AB194,3)=RIGHT(AB194,3),OR(AB194="USDUSDT",AB194="USDTUSD")),1,VLOOKUP(AB194,'FX RATES'!$H$1:$I$20,2,FALSE))</f>
        <v>1</v>
      </c>
      <c r="AI194" s="178">
        <f>IF(OR(AB194="USDAED",LEFT(AB194,3)=RIGHT(AB194,3)),AH194,IF(LEFT(AB194)="USD",AG194,IF(OR(RIGHT(AB194,3)="USD",RIGHT(AB194,4)="USDT"),1,IFERROR(VLOOKUP(E194&amp;"USD"&amp;RIGHT(AB194,3),$AF:$AG,2,FALSE),VLOOKUP(E194&amp;"USD"&amp;RIGHT(AJ194,3),$AN:$AO,2,FALSE)))))</f>
        <v>1</v>
      </c>
      <c r="AJ194" s="173" t="str">
        <f>IF(W194="via USD",IF(S194="EUR",S194&amp;"USD","USD"&amp;S194),IFERROR(VLOOKUP(K194&amp;S194,'FX RATES'!$H$2:$H$20,1,FALSE),S194&amp;K194))</f>
        <v>USDUSD</v>
      </c>
      <c r="AK194" s="175">
        <f>IF(LEFT(AJ194,3)=RIGHT(AJ194,3),0,IFERROR(INDEX(CLIENTS!$A$1:$O$649,MATCH(P194,CLIENTS!$A$1:$A$649,0),MATCH(AJ194,CLIENTS!$A$1:$O$1,0)),0))</f>
        <v>0</v>
      </c>
      <c r="AL194" s="176"/>
      <c r="AM194" s="177">
        <f>IF(W194="VENDOR","",IF(AL194="",AP194+AK194,AL194+AK194))</f>
        <v>1</v>
      </c>
      <c r="AN194" s="177" t="str">
        <f>E194&amp;AJ194</f>
        <v>46045USDUSD</v>
      </c>
      <c r="AO194" s="176"/>
      <c r="AP194" s="178">
        <f>IF(OR(LEFT(AJ194,3)=RIGHT(AJ194,3),AND(OR(AB194="USDUSDT",AB194="USDTUSD"),OR(AJ194="USDUSDT",AJ194="USDTUSD"))),1,VLOOKUP(AJ194,'FX RATES'!$H$1:$I$20,2,FALSE))</f>
        <v>1</v>
      </c>
      <c r="AQ194" s="178">
        <f>IF(OR(AJ194="USDAED",LEFT(AJ194,3)=RIGHT(AJ194,3)),AP194,IF(LEFT(AJ194)="USD",AO194,IF(OR(RIGHT(AB194,3)="USD",RIGHT(AB194,4)="USDT"),1,IFERROR(VLOOKUP(E194&amp;"USD"&amp;RIGHT(AJ194,3),$AN:$AO,2,FALSE),VLOOKUP(E194&amp;"USD"&amp;RIGHT(AB194,3),$AF:$AG,2,FALSE)))))</f>
        <v>1</v>
      </c>
      <c r="AR194" s="179">
        <f>-Q194*(1-Z194)/(1+X194)*IF(W194="CLIENT",IF(S194=RIGHT(AJ194,3),1/AM194,AM194),IF(W194="VENDOR",IF(S194=RIGHT(AJ194,3),1/AE194,AE194),AE194^(VLOOKUP(AB194,'FX RATES'!$H$1:$J$26,3,FALSE))/AM194^(VLOOKUP(AJ194,'FX RATES'!$H$1:$J$26,3,FALSE))))</f>
        <v>-399592</v>
      </c>
      <c r="AS194" s="179">
        <f>-I194*(1+X194)/(1-Z194)*IF(W194="VENDOR",IF(K194=RIGHT(AB194,3),1/AE194,AE194),IF(W194="CLIENT",IF(K194=RIGHT(AB194,3),1/AM194,AM194),AM194^(VLOOKUP(AJ194,'FX RATES'!$H$1:$J$26,3,FALSE))/AE194^(VLOOKUP(AB194,'FX RATES'!$H$1:$J$26,3,FALSE))))</f>
        <v>0</v>
      </c>
      <c r="AT194" s="170">
        <f>IF(AB194&lt;&gt;AJ194,J194/IF(K194=RIGHT(AB194,3),AE194,1/AE194),IF(S194="USD",J194/IF(K194=RIGHT(AB194,3),IF(W194="CLIENT",AM194,AE194),1/IF(W194="CLIENT",AM194,AE194)),J194*VLOOKUP(K194,'FX RATES'!$E$1:$F$10,2,FALSE)))</f>
        <v>-399592</v>
      </c>
      <c r="AU194" s="170">
        <f>IF(AB194&lt;&gt;AJ194,R194/IF(S194=RIGHT(AJ194,3),AM194,1/AM194),IF(K194="USD",R194/IF(S194=RIGHT(AJ194,3),IF(W194="CLIENT",AM194,AE194),1/IF(W194="CLIENT",AM194,AE194)),R194*VLOOKUP(S194,'FX RATES'!$E$1:$F$10,2,FALSE)))</f>
        <v>398000</v>
      </c>
      <c r="AV194" s="170">
        <f>AT194+AU194</f>
        <v>-1592</v>
      </c>
      <c r="AW194" s="169"/>
      <c r="AX194" s="170">
        <f>IF(AND(ISERROR(SEARCH("INVOICE",T194)),ISERROR(SEARCH("SWITCH",T194)),ISERROR(SEARCH("FOREX",T194)),ISERROR(SEARCH("REFUND",A194)),ISERROR(SEARCH("CANCELLED",A194))),IF(AW194="",-AT194*X194+AU194*Z194,AW194),0)</f>
        <v>-1592</v>
      </c>
      <c r="AY194" s="170">
        <f>IF(AZ194="USD",AT194,IF(AZ194=K194,J194,-R194))</f>
        <v>-399592</v>
      </c>
      <c r="AZ194" s="170" t="str">
        <f>LEFT(AB194,3)</f>
        <v>USD</v>
      </c>
      <c r="BA194" s="542">
        <f>IF(OR(A194="REFUND",A194="CANCELLED"),0,IFERROR((IF(OR(AB194="USDAED",LEFT(AB194,3)=RIGHT(AB194,3)),AI194,AG194)-AE194)*-AY194*VLOOKUP(AB194,'FX RATES'!$H$1:$J$26,3,FALSE),0))</f>
        <v>0</v>
      </c>
      <c r="BB194" s="170" t="str">
        <f>RIGHT(AB194,4)</f>
        <v>USDT</v>
      </c>
      <c r="BC194" s="542">
        <f>IF(BA194=0,0,IFERROR(BA194/IF(BB194&lt;&gt;"USD",AI194,1),"???"))</f>
        <v>0</v>
      </c>
      <c r="BD194" s="170">
        <f>IFERROR(-AC194/(IF(OR(AB194="USDAED",LEFT(AB194,3)=RIGHT(AB194,3)),AH194,AG194)-AE194)*BC194,0)</f>
        <v>0</v>
      </c>
      <c r="BE194" s="542">
        <f>BC194-BD194</f>
        <v>0</v>
      </c>
      <c r="BF194" s="170">
        <f>IF(BG194="USD",AU194,IF(BG194=S194,R194,-J194))</f>
        <v>398000</v>
      </c>
      <c r="BG194" s="170" t="str">
        <f>LEFT(AJ194,3)</f>
        <v>USD</v>
      </c>
      <c r="BH194" s="542">
        <f>IF(OR(A194="REFUND",A194="CANCELLED"),0,IFERROR((IF(OR(AJ194="USDAED",LEFT(AJ194,3)=RIGHT(AJ194,3)),AQ194,AO194)-AM194)*-BF194*VLOOKUP(AJ194,'FX RATES'!$H$1:$J$26,3,FALSE),0))</f>
        <v>0</v>
      </c>
      <c r="BI194" s="170" t="str">
        <f>RIGHT(AJ194,3)</f>
        <v>USD</v>
      </c>
      <c r="BJ194" s="542">
        <f>IF(BH194=0,0,IFERROR(BH194/IF(BI194&lt;&gt;"USD",AQ194,1),"???"))</f>
        <v>0</v>
      </c>
      <c r="BK194" s="170">
        <f>IFERROR(-AK194/(IF(OR(AJ194="USDAED",LEFT(AJ194,3)=RIGHT(AJ194,3)),AP194,AO194)-AM194)*BJ194,0)</f>
        <v>0</v>
      </c>
      <c r="BL194" s="542">
        <f>BJ194-BK194</f>
        <v>0</v>
      </c>
      <c r="BM194" s="170">
        <f>IF(AND(ISERROR(SEARCH("REFUND",A194)),ISERROR(SEARCH("CANCELLED",A194))),BD194+BK194,0)</f>
        <v>0</v>
      </c>
      <c r="BN194" s="542">
        <f>IF(AND(ISERROR(SEARCH("REFUND",A194)),ISERROR(SEARCH("CANCELLED",A194))),BE194+BL194,0)</f>
        <v>0</v>
      </c>
    </row>
    <row r="195" spans="1:66" ht="19.5" customHeight="1">
      <c r="J195" s="450"/>
    </row>
    <row r="196" spans="1:66" ht="19.5" customHeight="1">
      <c r="A196" s="167" t="s">
        <v>366</v>
      </c>
      <c r="B196" s="172" t="s">
        <v>52</v>
      </c>
      <c r="C196" s="172" t="s">
        <v>484</v>
      </c>
      <c r="D196" s="181" t="s">
        <v>368</v>
      </c>
      <c r="E196" s="171">
        <v>46045</v>
      </c>
      <c r="F196" s="171"/>
      <c r="G196" s="172" t="s">
        <v>52</v>
      </c>
      <c r="H196" s="172" t="s">
        <v>485</v>
      </c>
      <c r="I196" s="169"/>
      <c r="J196" s="170">
        <f t="shared" ref="J196:J203" si="159">IF(I196="",AR196,I196)</f>
        <v>-176994.6209376</v>
      </c>
      <c r="K196" s="172" t="s">
        <v>53</v>
      </c>
      <c r="L196" s="172" t="s">
        <v>420</v>
      </c>
      <c r="M196" s="172" t="s">
        <v>54</v>
      </c>
      <c r="N196" s="167" t="s">
        <v>371</v>
      </c>
      <c r="O196" s="172" t="s">
        <v>52</v>
      </c>
      <c r="P196" s="172" t="s">
        <v>485</v>
      </c>
      <c r="Q196" s="169">
        <v>60</v>
      </c>
      <c r="R196" s="170">
        <f t="shared" ref="R196:R203" si="160">IF(Q196="",AS196,Q196)</f>
        <v>60</v>
      </c>
      <c r="S196" s="172" t="s">
        <v>486</v>
      </c>
      <c r="T196" s="171" t="s">
        <v>420</v>
      </c>
      <c r="U196" s="172" t="s">
        <v>54</v>
      </c>
      <c r="V196" s="167" t="s">
        <v>371</v>
      </c>
      <c r="W196" s="172" t="s">
        <v>389</v>
      </c>
      <c r="X196" s="173">
        <f>IF(Y196="",VLOOKUP(H196,CLIENTS!$A$1:$O$649,5,FALSE),Y196)</f>
        <v>0</v>
      </c>
      <c r="Y196" s="174">
        <v>0</v>
      </c>
      <c r="Z196" s="173">
        <f>IF(AA196="",VLOOKUP(P196,CLIENTS!$A$1:$O$649,5,FALSE),AA196)</f>
        <v>0</v>
      </c>
      <c r="AA196" s="174">
        <v>0</v>
      </c>
      <c r="AB196" s="173" t="str">
        <f>IF(W196="via USD",IF(K196="EUR",K196&amp;"USD","USD"&amp;K196),IFERROR(VLOOKUP(K196&amp;S196,'FX RATES'!$H$2:$H$55,1,FALSE),S196&amp;K196))</f>
        <v>ETHUSDT</v>
      </c>
      <c r="AC196" s="175">
        <f>IF(LEFT(AB196,3)=RIGHT(AB196,3),0,IFERROR(INDEX(CLIENTS!$A$1:$O$649,MATCH(H196,CLIENTS!$A$1:$A$649,0),MATCH(AB196,CLIENTS!$A$1:$O$1,0)),0))</f>
        <v>0</v>
      </c>
      <c r="AD196" s="176"/>
      <c r="AE196" s="177" t="str">
        <f t="shared" ref="AE196:AE203" si="161">IF(W196="CLIENT","",IF(AD196="",AH196+AC196,AD196+AC196))</f>
        <v/>
      </c>
      <c r="AF196" s="177" t="str">
        <f t="shared" ref="AF196:AF203" si="162">E196&amp;AB196</f>
        <v>46045ETHUSDT</v>
      </c>
      <c r="AG196" s="176"/>
      <c r="AH196" s="178">
        <f ca="1">IF(OR(LEFT(AB196,3)=RIGHT(AB196,3),OR(AB196="USDUSDT",AB196="USDTUSD")),1,VLOOKUP(AB196,'FX RATES'!$H$1:$I$50,2,FALSE))</f>
        <v>1964.42</v>
      </c>
      <c r="AI196" s="178">
        <f>IF(OR(AB196="USDAED",LEFT(AB196,3)=RIGHT(AB196,3)),AH196,IF(LEFT(AB196)="USD",AG196,IF(OR(RIGHT(AB196,3)="USD",RIGHT(AB196,4)="USDT"),1,IFERROR(VLOOKUP(E196&amp;"USD"&amp;RIGHT(AB196,3),$AF:$AG,2,FALSE),VLOOKUP(E196&amp;"USD"&amp;RIGHT(AJ196,3),$AN:$AO,2,FALSE)))))</f>
        <v>1</v>
      </c>
      <c r="AJ196" s="173" t="str">
        <f>IF(W196="via USD",IF(S196="EUR",S196&amp;"USD","USD"&amp;S196),IFERROR(VLOOKUP(K196&amp;S196,'FX RATES'!$H$2:$H$20,1,FALSE),S196&amp;K196))</f>
        <v>ETHUSDT</v>
      </c>
      <c r="AK196" s="175">
        <f>IF(LEFT(AJ196,3)=RIGHT(AJ196,3),0,IFERROR(INDEX(CLIENTS!$A$1:$O$649,MATCH(P196,CLIENTS!$A$1:$A$649,0),MATCH(AJ196,CLIENTS!$A$1:$O$1,0)),0))</f>
        <v>0</v>
      </c>
      <c r="AL196" s="176">
        <v>2949.9103489600002</v>
      </c>
      <c r="AM196" s="177">
        <f t="shared" ref="AM196:AM203" si="163">IF(W196="VENDOR","",IF(AL196="",AP196+AK196,AL196+AK196))</f>
        <v>2949.9103489600002</v>
      </c>
      <c r="AN196" s="177" t="str">
        <f t="shared" ref="AN196:AN203" si="164">E196&amp;AJ196</f>
        <v>46045ETHUSDT</v>
      </c>
      <c r="AO196" s="176">
        <v>2949.9103489600002</v>
      </c>
      <c r="AP196" s="178">
        <f ca="1">IF(OR(LEFT(AJ196,3)=RIGHT(AJ196,3),AND(OR(AB196="USDUSDT",AB196="USDTUSD"),OR(AJ196="USDUSDT",AJ196="USDTUSD"))),1,VLOOKUP(AJ196,'FX RATES'!$H$1:$I$50,2,FALSE))</f>
        <v>1964.42</v>
      </c>
      <c r="AQ196" s="178">
        <f>IF(OR(AJ196="USDAED",LEFT(AJ196,3)=RIGHT(AJ196,3)),AP196,IF(LEFT(AJ196)="USD",AO196,IF(OR(RIGHT(AB196,3)="USD",RIGHT(AB196,4)="USDT"),1,IFERROR(VLOOKUP(E196&amp;"USD"&amp;RIGHT(AJ196,3),$AN:$AO,2,FALSE),VLOOKUP(E196&amp;"USD"&amp;RIGHT(AB196,3),$AF:$AG,2,FALSE)))))</f>
        <v>1</v>
      </c>
      <c r="AR196" s="179">
        <f>-Q196*(1-Z196)/(1+X196)*IF(W196="CLIENT",IF(S196=RIGHT(AJ196,3),1/AM196,AM196),IF(W196="VENDOR",IF(S196=RIGHT(AJ196,3),1/AE196,AE196),AE196^(VLOOKUP(AB196,'FX RATES'!$H$1:$J$50,3,FALSE))/AM196^(VLOOKUP(AJ196,'FX RATES'!$H$1:$J$50,3,FALSE))))</f>
        <v>-176994.6209376</v>
      </c>
      <c r="AS196" s="179">
        <f>-I196*(1+X196)/(1-Z196)*IF(W196="VENDOR",IF(K196=RIGHT(AB196,3),1/AE196,AE196),IF(W196="CLIENT",IF(K196=RIGHT(AB196,4),1/AM196,AM196),AM196^(VLOOKUP(AJ196,'FX RATES'!$H$1:$J$50,3,FALSE))/AE196^(VLOOKUP(AB196,'FX RATES'!$H$1:$J$50,3,FALSE))))</f>
        <v>0</v>
      </c>
      <c r="AT196" s="170">
        <f>IF(AB196&lt;&gt;AJ196,J196/IF(K196=RIGHT(AB196,3),AE196,1/AE196),IF(S196="USD",J196/IF(K196=RIGHT(AB196,3),IF(W196="CLIENT",AM196,AE196),1/IF(W196="CLIENT",AM196,AE196)),J196*VLOOKUP(K196,'FX RATES'!$E$1:$F$50,2,FALSE)))</f>
        <v>-176994.6209376</v>
      </c>
      <c r="AU196" s="170">
        <f ca="1">IF(AB196&lt;&gt;AJ196,R196/IF(S196=RIGHT(AJ196,3),AM196,1/AM196),IF(K196="USD",R196/IF(S196=RIGHT(AJ196,3),IF(W196="CLIENT",AM196,AE196),1/IF(W196="CLIENT",AM196,AE196)),R196*VLOOKUP(S196,'FX RATES'!$E$1:$F$50,2,FALSE)))</f>
        <v>117865.20000000001</v>
      </c>
      <c r="AV196" s="170">
        <f t="shared" ref="AV196:AV203" ca="1" si="165">AT196+AU196</f>
        <v>-59129.420937599993</v>
      </c>
      <c r="AW196" s="169"/>
      <c r="AX196" s="170">
        <f t="shared" ref="AX196:AX203" ca="1" si="166">IF(AND(ISERROR(SEARCH("INVOICE",T196)),ISERROR(SEARCH("SWITCH",T196)),ISERROR(SEARCH("FOREX",T196)),ISERROR(SEARCH("REFUND",A196)),ISERROR(SEARCH("CANCELLED",A196))),IF(AW196="",-AT196*X196+AU196*Z196,AW196),0)</f>
        <v>0</v>
      </c>
      <c r="AY196" s="170">
        <f t="shared" ref="AY196:AY203" si="167">IF(AZ196="USD",AT196,IF(AZ196=K196,J196,-R196))</f>
        <v>-60</v>
      </c>
      <c r="AZ196" s="170" t="str">
        <f t="shared" ref="AZ196:AZ203" si="168">LEFT(AB196,3)</f>
        <v>ETH</v>
      </c>
      <c r="BA196" s="542">
        <f>IF(OR(A196="REFUND",A196="CANCELLED"),0,IFERROR((IF(OR(AB196="USDAED",LEFT(AB196,3)=RIGHT(AB196,3)),AI196,AG196)-AE196)*-AY196*VLOOKUP(AB196,'FX RATES'!$H$1:$J$26,3,FALSE),0))</f>
        <v>0</v>
      </c>
      <c r="BB196" s="170" t="str">
        <f>RIGHT(AB196,4)</f>
        <v>USDT</v>
      </c>
      <c r="BC196" s="542">
        <f t="shared" ref="BC196:BC203" si="169">IF(BA196=0,0,IFERROR(BA196/IF(BB196&lt;&gt;"USD",AI196,1),"???"))</f>
        <v>0</v>
      </c>
      <c r="BD196" s="170">
        <f t="shared" ref="BD196:BD203" si="170">IFERROR(-AC196/(IF(OR(AB196="USDAED",LEFT(AB196,3)=RIGHT(AB196,3)),AH196,AG196)-AE196)*BC196,0)</f>
        <v>0</v>
      </c>
      <c r="BE196" s="542">
        <f t="shared" ref="BE196:BE203" si="171">BC196-BD196</f>
        <v>0</v>
      </c>
      <c r="BF196" s="170">
        <f t="shared" ref="BF196:BF203" si="172">IF(BG196="USD",AU196,IF(BG196=S196,R196,-J196))</f>
        <v>60</v>
      </c>
      <c r="BG196" s="170" t="str">
        <f t="shared" ref="BG196:BG203" si="173">LEFT(AJ196,3)</f>
        <v>ETH</v>
      </c>
      <c r="BH196" s="542">
        <f>IF(OR(A196="REFUND",A196="CANCELLED"),0,IFERROR((IF(OR(AJ196="USDAED",LEFT(AJ196,3)=RIGHT(AJ196,3)),AQ196,AO196)-AM196)*-BF196*VLOOKUP(AJ196,'FX RATES'!$H$1:$J$26,3,FALSE),0))</f>
        <v>0</v>
      </c>
      <c r="BI196" s="170" t="str">
        <f>RIGHT(AJ196,4)</f>
        <v>USDT</v>
      </c>
      <c r="BJ196" s="542">
        <f t="shared" ref="BJ196:BJ203" si="174">IF(BH196=0,0,IFERROR(BH196/IF(BI196&lt;&gt;"USD",AQ196,1),"???"))</f>
        <v>0</v>
      </c>
      <c r="BK196" s="170">
        <f t="shared" ref="BK196:BK203" si="175">IFERROR(-AK196/(IF(OR(AJ196="USDAED",LEFT(AJ196,3)=RIGHT(AJ196,3)),AP196,AO196)-AM196)*BJ196,0)</f>
        <v>0</v>
      </c>
      <c r="BL196" s="542">
        <f t="shared" ref="BL196:BL203" si="176">BJ196-BK196</f>
        <v>0</v>
      </c>
      <c r="BM196" s="170">
        <f t="shared" ref="BM196:BM203" si="177">IF(AND(ISERROR(SEARCH("REFUND",A196)),ISERROR(SEARCH("CANCELLED",A196))),BD196+BK196,0)</f>
        <v>0</v>
      </c>
      <c r="BN196" s="542">
        <f t="shared" ref="BN196:BN203" si="178">IF(AND(ISERROR(SEARCH("REFUND",A196)),ISERROR(SEARCH("CANCELLED",A196))),BE196+BL196,0)</f>
        <v>0</v>
      </c>
    </row>
    <row r="197" spans="1:66" ht="19.5" customHeight="1">
      <c r="A197" s="167" t="s">
        <v>366</v>
      </c>
      <c r="B197" s="172" t="s">
        <v>52</v>
      </c>
      <c r="C197" s="172" t="s">
        <v>484</v>
      </c>
      <c r="D197" s="181" t="s">
        <v>368</v>
      </c>
      <c r="E197" s="171">
        <v>46045</v>
      </c>
      <c r="F197" s="171"/>
      <c r="G197" s="172" t="s">
        <v>52</v>
      </c>
      <c r="H197" s="172" t="s">
        <v>487</v>
      </c>
      <c r="I197" s="169">
        <v>-60</v>
      </c>
      <c r="J197" s="170">
        <f t="shared" si="159"/>
        <v>-60</v>
      </c>
      <c r="K197" s="172" t="s">
        <v>486</v>
      </c>
      <c r="L197" s="172" t="s">
        <v>420</v>
      </c>
      <c r="M197" s="172" t="s">
        <v>54</v>
      </c>
      <c r="N197" s="167" t="s">
        <v>371</v>
      </c>
      <c r="O197" s="172" t="s">
        <v>99</v>
      </c>
      <c r="P197" s="172" t="s">
        <v>487</v>
      </c>
      <c r="Q197" s="169"/>
      <c r="R197" s="170">
        <f t="shared" si="160"/>
        <v>13608000.000000086</v>
      </c>
      <c r="S197" s="172" t="s">
        <v>9</v>
      </c>
      <c r="T197" s="171" t="s">
        <v>391</v>
      </c>
      <c r="U197" s="172" t="s">
        <v>391</v>
      </c>
      <c r="V197" s="167" t="s">
        <v>371</v>
      </c>
      <c r="W197" s="172" t="s">
        <v>375</v>
      </c>
      <c r="X197" s="173">
        <f>IF(Y197="",VLOOKUP(H197,CLIENTS!$A$1:$O$649,5,FALSE),Y197)</f>
        <v>0</v>
      </c>
      <c r="Y197" s="174">
        <v>0</v>
      </c>
      <c r="Z197" s="173">
        <f>IF(AA197="",VLOOKUP(P197,CLIENTS!$A$1:$O$649,5,FALSE),AA197)</f>
        <v>0</v>
      </c>
      <c r="AA197" s="174">
        <v>0</v>
      </c>
      <c r="AB197" s="173" t="str">
        <f>IF(W197="via USD",IF(OR(K197="EUR", K197="ETH", K197="BTC"),K197&amp;"USD","USD"&amp;K197),IFERROR(VLOOKUP(K197&amp;S197,'FX RATES'!$H$2:$H$55,1,FALSE),S197&amp;K197))</f>
        <v>ETHUSD</v>
      </c>
      <c r="AC197" s="175">
        <f>IF(LEFT(AB197,3)=RIGHT(AB197,3),0,IFERROR(INDEX(CLIENTS!$A$1:$O$649,MATCH(H197,CLIENTS!$A$1:$A$649,0),MATCH(AB197,CLIENTS!$A$1:$O$1,0)),0))</f>
        <v>0</v>
      </c>
      <c r="AD197" s="176">
        <v>2960.8355091384001</v>
      </c>
      <c r="AE197" s="177">
        <f t="shared" si="161"/>
        <v>2960.8355091384001</v>
      </c>
      <c r="AF197" s="177" t="str">
        <f t="shared" si="162"/>
        <v>46045ETHUSD</v>
      </c>
      <c r="AG197" s="176">
        <v>2949.9103489600002</v>
      </c>
      <c r="AH197" s="178">
        <f ca="1">IF(OR(LEFT(AB197,3)=RIGHT(AB197,3),OR(AB197="USDUSDT",AB197="USDTUSD")),1,VLOOKUP(AB197,'FX RATES'!$H$1:$I$50,2,FALSE))</f>
        <v>1964.42</v>
      </c>
      <c r="AI197" s="178">
        <f>IF(OR(AB197="USDAED",LEFT(AB197,3)=RIGHT(AB197,3)),AH197,IF(LEFT(AB197)="USD",AG197,IF(OR(RIGHT(AB197,3)="USD",RIGHT(AB197,4)="USDT"),1,IFERROR(VLOOKUP(E197&amp;"USD"&amp;RIGHT(AB197,3),$AF:$AG,2,FALSE),VLOOKUP(E197&amp;"USD"&amp;RIGHT(AJ197,3),$AN:$AO,2,FALSE)))))</f>
        <v>1</v>
      </c>
      <c r="AJ197" s="173" t="str">
        <f>IF(W197="via USD",IF(S197="EUR",S197&amp;"USD","USD"&amp;S197),IFERROR(VLOOKUP(K197&amp;S197,'FX RATES'!$H$2:$H$20,1,FALSE),S197&amp;K197))</f>
        <v>USDRUB</v>
      </c>
      <c r="AK197" s="175">
        <f>IF(LEFT(AJ197,3)=RIGHT(AJ197,3),0,IFERROR(INDEX(CLIENTS!$A$1:$O$649,MATCH(P197,CLIENTS!$A$1:$A$649,0),MATCH(AJ197,CLIENTS!$A$1:$O$1,0)),0))</f>
        <v>0</v>
      </c>
      <c r="AL197" s="176">
        <v>76.599999999999994</v>
      </c>
      <c r="AM197" s="177">
        <f t="shared" si="163"/>
        <v>76.599999999999994</v>
      </c>
      <c r="AN197" s="177" t="str">
        <f t="shared" si="164"/>
        <v>46045USDRUB</v>
      </c>
      <c r="AO197" s="176">
        <v>75.900000000000006</v>
      </c>
      <c r="AP197" s="178">
        <f ca="1">IF(OR(LEFT(AJ197,3)=RIGHT(AJ197,3),AND(OR(AB197="USDUSDT",AB197="USDTUSD"),OR(AJ197="USDUSDT",AJ197="USDTUSD"))),1,VLOOKUP(AJ197,'FX RATES'!$H$1:$I$50,2,FALSE))</f>
        <v>76.720500000000001</v>
      </c>
      <c r="AQ197" s="178">
        <f>IF(OR(AJ197="USDAED",LEFT(AJ197,3)=RIGHT(AJ197,3)),AP197,IF(LEFT(AJ197)="USD",AO197,IF(RIGHT(AJ197,3)="USD",1,IFERROR(VLOOKUP(E197&amp;"USD"&amp;RIGHT(AJ197,3),$AN:$AO,2,FALSE),VLOOKUP(E197&amp;"USD"&amp;RIGHT(AB197,3),$AF:$AG,2,FALSE)))))</f>
        <v>75.900000000000006</v>
      </c>
      <c r="AR197" s="179">
        <f>-Q197*(1-Z197)/(1+X197)*IF(W197="CLIENT",IF(S197=RIGHT(AJ197,3),1/AM197,AM197),IF(W197="VENDOR",IF(S197=RIGHT(AJ197,3),1/AE197,AE197),AE197^(VLOOKUP(AB197,'FX RATES'!$H$1:$J$50,3,FALSE))/AM197^(VLOOKUP(AJ197,'FX RATES'!$H$1:$J$50,3,FALSE))))</f>
        <v>0</v>
      </c>
      <c r="AS197" s="179">
        <f>-I197*(1+X197)/(1-Z197)*IF(W197="VENDOR",IF(K197=RIGHT(AB197,3),1/AE197,AE197),IF(W197="CLIENT",IF(K197=RIGHT(AB197,4),1/AM197,AM197),AM197^(VLOOKUP(AJ197,'FX RATES'!$H$1:$J$50,3,FALSE))/AE197^(VLOOKUP(AB197,'FX RATES'!$H$1:$J$50,3,FALSE))))</f>
        <v>13608000.000000086</v>
      </c>
      <c r="AT197" s="170">
        <f>IF(AB197&lt;&gt;AJ197,J197/IF(K197=RIGHT(AB197,3),AE197,1/AE197),IF(S197="USD",J197/IF(K197=RIGHT(AB197,3),IF(W197="CLIENT",AM197,AE197),1/IF(W197="CLIENT",AM197,AE197)),J197*VLOOKUP(K197,'FX RATES'!$E$1:$F$50,2,FALSE)))</f>
        <v>-177650.13054830401</v>
      </c>
      <c r="AU197" s="170">
        <f>IF(AB197&lt;&gt;AJ197,R197/IF(S197=RIGHT(AJ197,3),AM197,1/AM197),IF(K197="USD",R197/IF(S197=RIGHT(AJ197,3),IF(W197="CLIENT",AM197,AE197),1/IF(W197="CLIENT",AM197,AE197)),R197*VLOOKUP(S197,'FX RATES'!$E$1:$F$50,2,FALSE)))</f>
        <v>177650.13054830401</v>
      </c>
      <c r="AV197" s="170">
        <f t="shared" si="165"/>
        <v>0</v>
      </c>
      <c r="AW197" s="169"/>
      <c r="AX197" s="170">
        <f t="shared" si="166"/>
        <v>0</v>
      </c>
      <c r="AY197" s="170">
        <f t="shared" si="167"/>
        <v>-60</v>
      </c>
      <c r="AZ197" s="170" t="str">
        <f t="shared" si="168"/>
        <v>ETH</v>
      </c>
      <c r="BA197" s="542">
        <f>IF(OR(A197="REFUND",A197="CANCELLED"),0,IFERROR((IF(OR(AB197="USDAED",LEFT(AB197,3)=RIGHT(AB197,3)),AI197,AG197)-AE197)*-AY197*VLOOKUP(AB197,'FX RATES'!$H$1:$J$26,3,FALSE),0))</f>
        <v>655.50961070399353</v>
      </c>
      <c r="BB197" s="170" t="str">
        <f t="shared" ref="BB197:BB203" si="179">RIGHT(AB197,3)</f>
        <v>USD</v>
      </c>
      <c r="BC197" s="542">
        <f t="shared" si="169"/>
        <v>655.50961070399353</v>
      </c>
      <c r="BD197" s="170">
        <f t="shared" si="170"/>
        <v>0</v>
      </c>
      <c r="BE197" s="542">
        <f t="shared" si="171"/>
        <v>655.50961070399353</v>
      </c>
      <c r="BF197" s="170">
        <f t="shared" si="172"/>
        <v>177650.13054830401</v>
      </c>
      <c r="BG197" s="170" t="str">
        <f t="shared" si="173"/>
        <v>USD</v>
      </c>
      <c r="BH197" s="542">
        <f>IF(OR(A197="REFUND",A197="CANCELLED"),0,IFERROR((IF(OR(AJ197="USDAED",LEFT(AJ197,3)=RIGHT(AJ197,3)),AQ197,AO197)-AM197)*-BF197*VLOOKUP(AJ197,'FX RATES'!$H$1:$J$26,3,FALSE),0))</f>
        <v>124355.09138381078</v>
      </c>
      <c r="BI197" s="170" t="str">
        <f t="shared" ref="BI197:BI203" si="180">RIGHT(AJ197,3)</f>
        <v>RUB</v>
      </c>
      <c r="BJ197" s="542">
        <f t="shared" si="174"/>
        <v>1638.4070011042263</v>
      </c>
      <c r="BK197" s="170">
        <f t="shared" si="175"/>
        <v>0</v>
      </c>
      <c r="BL197" s="542">
        <f t="shared" si="176"/>
        <v>1638.4070011042263</v>
      </c>
      <c r="BM197" s="170">
        <f t="shared" si="177"/>
        <v>0</v>
      </c>
      <c r="BN197" s="542">
        <f t="shared" si="178"/>
        <v>2293.9166118082198</v>
      </c>
    </row>
    <row r="198" spans="1:66" ht="19.5" customHeight="1">
      <c r="A198" s="167" t="s">
        <v>366</v>
      </c>
      <c r="B198" s="168" t="s">
        <v>39</v>
      </c>
      <c r="C198" s="168" t="s">
        <v>367</v>
      </c>
      <c r="D198" s="168" t="s">
        <v>368</v>
      </c>
      <c r="E198" s="171">
        <v>46045</v>
      </c>
      <c r="F198" s="171"/>
      <c r="G198" s="168" t="s">
        <v>39</v>
      </c>
      <c r="H198" s="181" t="s">
        <v>518</v>
      </c>
      <c r="I198" s="169">
        <v>-277630</v>
      </c>
      <c r="J198" s="170">
        <f t="shared" si="159"/>
        <v>-277630</v>
      </c>
      <c r="K198" s="168" t="s">
        <v>6</v>
      </c>
      <c r="L198" s="168" t="s">
        <v>519</v>
      </c>
      <c r="M198" s="168" t="s">
        <v>14</v>
      </c>
      <c r="N198" s="167" t="s">
        <v>371</v>
      </c>
      <c r="O198" s="168" t="s">
        <v>39</v>
      </c>
      <c r="P198" s="168" t="s">
        <v>379</v>
      </c>
      <c r="Q198" s="169"/>
      <c r="R198" s="202">
        <f t="shared" si="160"/>
        <v>25014334.03458694</v>
      </c>
      <c r="S198" s="168" t="s">
        <v>9</v>
      </c>
      <c r="T198" s="171" t="s">
        <v>380</v>
      </c>
      <c r="U198" s="168" t="s">
        <v>25</v>
      </c>
      <c r="V198" s="167" t="s">
        <v>371</v>
      </c>
      <c r="W198" s="172" t="s">
        <v>375</v>
      </c>
      <c r="X198" s="173">
        <f>IF(Y198="",VLOOKUP(H198,CLIENTS!$A$1:$O$649,5,FALSE),Y198)</f>
        <v>0</v>
      </c>
      <c r="Y198" s="174">
        <v>0</v>
      </c>
      <c r="Z198" s="173">
        <f>IF(AA198="",VLOOKUP(P198,CLIENTS!$A$1:$O$649,5,FALSE),AA198)</f>
        <v>5.0000000000000001E-3</v>
      </c>
      <c r="AA198" s="174">
        <v>5.0000000000000001E-3</v>
      </c>
      <c r="AB198" s="173" t="str">
        <f>IF(W198="via USD",IF(K198="EUR",K198&amp;"USD","USD"&amp;K198),IFERROR(VLOOKUP(K198&amp;S198,'FX RATES'!$H$2:$H$20,1,FALSE),S198&amp;K198))</f>
        <v>EURUSD</v>
      </c>
      <c r="AC198" s="175">
        <f>IF(LEFT(AB198,3)=RIGHT(AB198,3),0,IFERROR(INDEX(CLIENTS!$A$1:$O$649,MATCH(H198,CLIENTS!$A$1:$A$649,0),MATCH(AB198,CLIENTS!$A$1:$O$1,0)),0))</f>
        <v>0</v>
      </c>
      <c r="AD198" s="176">
        <v>1.179</v>
      </c>
      <c r="AE198" s="177">
        <f t="shared" si="161"/>
        <v>1.179</v>
      </c>
      <c r="AF198" s="177" t="str">
        <f t="shared" si="162"/>
        <v>46045EURUSD</v>
      </c>
      <c r="AG198" s="176">
        <v>1.1752</v>
      </c>
      <c r="AH198" s="178">
        <f ca="1">IF(LEFT(AB198,3)=RIGHT(AB198,3),1,VLOOKUP(AB198,'FX RATES'!$H$1:$I$20,2,FALSE))</f>
        <v>1.1779999999999999</v>
      </c>
      <c r="AI198" s="178">
        <f t="shared" ref="AI198:AI214" si="181">IF(OR(AB198="USDAED",LEFT(AB198,3)=RIGHT(AB198,3)),AH198,IF(LEFT(AB198)="USD",AG198,IF(RIGHT(AB198,3)="USD",1,IFERROR(VLOOKUP(E198&amp;"USD"&amp;RIGHT(AB198,3),$AF:$AG,2,FALSE),VLOOKUP(E198&amp;"USD"&amp;RIGHT(AJ198,3),$AN:$AO,2,FALSE)))))</f>
        <v>1</v>
      </c>
      <c r="AJ198" s="173" t="str">
        <f>IF(W198="via USD",IF(S198="EUR",S198&amp;"USD","USD"&amp;S198),IFERROR(VLOOKUP(K198&amp;S198,'FX RATES'!$H$2:$H$20,1,FALSE),S198&amp;K198))</f>
        <v>USDRUB</v>
      </c>
      <c r="AK198" s="175">
        <f>IF(LEFT(AJ198,3)=RIGHT(AJ198,3),0,IFERROR(INDEX(CLIENTS!$A$1:$O$649,MATCH(P198,CLIENTS!$A$1:$A$649,0),MATCH(AJ198,CLIENTS!$A$1:$O$1,0)),0))</f>
        <v>0</v>
      </c>
      <c r="AL198" s="176">
        <v>76.038200000000003</v>
      </c>
      <c r="AM198" s="177">
        <f t="shared" si="163"/>
        <v>76.038200000000003</v>
      </c>
      <c r="AN198" s="177" t="str">
        <f t="shared" si="164"/>
        <v>46045USDRUB</v>
      </c>
      <c r="AO198" s="176">
        <v>75.900000000000006</v>
      </c>
      <c r="AP198" s="178">
        <f ca="1">IF(LEFT(AJ198,3)=RIGHT(AJ198,3),1,VLOOKUP(AJ198,'FX RATES'!$H$1:$I$20,2,FALSE))</f>
        <v>76.720500000000001</v>
      </c>
      <c r="AQ198" s="178">
        <f>IF(OR(AJ198="USDAED",LEFT(AJ198,3)=RIGHT(AJ198,3)),AP198,IF(LEFT(AJ198)="USD",AO198,IF(RIGHT(AJ198,3)="USD",1,IFERROR(VLOOKUP(E198&amp;"USD"&amp;RIGHT(AJ198,3),$AN:$AO,2,FALSE),VLOOKUP(E198&amp;"USD"&amp;RIGHT(AB198,3),$AF:$AG,2,FALSE)))))</f>
        <v>75.900000000000006</v>
      </c>
      <c r="AR198" s="179">
        <f>-Q198*(1-Z198)/(1+X198)*IF(W198="CLIENT",IF(S198=RIGHT(AJ198,3),1/AM198,AM198),IF(W198="VENDOR",IF(S198=RIGHT(AJ198,3),1/AE198,AE198),AE198^(VLOOKUP(AB198,'FX RATES'!$H$1:$J$26,3,FALSE))/AM198^(VLOOKUP(AJ198,'FX RATES'!$H$1:$J$26,3,FALSE))))</f>
        <v>0</v>
      </c>
      <c r="AS198" s="179">
        <f>-I198*(1+X198)/(1-Z198)*IF(W198="VENDOR",IF(K198=RIGHT(AB198,3),1/AE198,AE198),IF(W198="CLIENT",IF(K198=RIGHT(AB198,3),1/AM198,AM198),AM198^(VLOOKUP(AJ198,'FX RATES'!$H$1:$J$26,3,FALSE))/AE198^(VLOOKUP(AB198,'FX RATES'!$H$1:$J$26,3,FALSE))))</f>
        <v>25014334.03458694</v>
      </c>
      <c r="AT198" s="170">
        <f>IF(AB198&lt;&gt;AJ198,J198/IF(K198=RIGHT(AB198,3),AE198,1/AE198),IF(S198="USD",J198/IF(K198=RIGHT(AB198,3),IF(W198="CLIENT",AM198,AE198),1/IF(W198="CLIENT",AM198,AE198)),J198*VLOOKUP(K198,'FX RATES'!$E$1:$F$10,2,FALSE)))</f>
        <v>-327325.77</v>
      </c>
      <c r="AU198" s="170">
        <f>IF(AB198&lt;&gt;AJ198,R198/IF(S198=RIGHT(AJ198,3),AM198,1/AM198),IF(K198="USD",R198/IF(S198=RIGHT(AJ198,3),IF(W198="CLIENT",AM198,AE198),1/IF(W198="CLIENT",AM198,AE198)),R198*VLOOKUP(S198,'FX RATES'!$E$1:$F$10,2,FALSE)))</f>
        <v>328970.62311557797</v>
      </c>
      <c r="AV198" s="170">
        <f t="shared" si="165"/>
        <v>1644.8531155779492</v>
      </c>
      <c r="AW198" s="169"/>
      <c r="AX198" s="170">
        <f t="shared" si="166"/>
        <v>1644.8531155778899</v>
      </c>
      <c r="AY198" s="170">
        <f t="shared" si="167"/>
        <v>-277630</v>
      </c>
      <c r="AZ198" s="170" t="str">
        <f t="shared" si="168"/>
        <v>EUR</v>
      </c>
      <c r="BA198" s="542">
        <f>IF(OR(A198="REFUND",A198="CANCELLED"),0,IFERROR((IF(OR(AB198="USDAED",LEFT(AB198,3)=RIGHT(AB198,3)),AI198,AG198)-AE198)*-AY198*VLOOKUP(AB198,'FX RATES'!$H$1:$J$26,3,FALSE),0))</f>
        <v>1054.9940000000072</v>
      </c>
      <c r="BB198" s="170" t="str">
        <f t="shared" si="179"/>
        <v>USD</v>
      </c>
      <c r="BC198" s="542">
        <f t="shared" si="169"/>
        <v>1054.9940000000072</v>
      </c>
      <c r="BD198" s="170">
        <f t="shared" si="170"/>
        <v>0</v>
      </c>
      <c r="BE198" s="542">
        <f t="shared" si="171"/>
        <v>1054.9940000000072</v>
      </c>
      <c r="BF198" s="170">
        <f t="shared" si="172"/>
        <v>328970.62311557797</v>
      </c>
      <c r="BG198" s="170" t="str">
        <f t="shared" si="173"/>
        <v>USD</v>
      </c>
      <c r="BH198" s="542">
        <f>IF(OR(A198="REFUND",A198="CANCELLED"),0,IFERROR((IF(OR(AJ198="USDAED",LEFT(AJ198,3)=RIGHT(AJ198,3)),AQ198,AO198)-AM198)*-BF198*VLOOKUP(AJ198,'FX RATES'!$H$1:$J$26,3,FALSE),0))</f>
        <v>45463.740114572101</v>
      </c>
      <c r="BI198" s="170" t="str">
        <f t="shared" si="180"/>
        <v>RUB</v>
      </c>
      <c r="BJ198" s="542">
        <f t="shared" si="174"/>
        <v>598.99525842650985</v>
      </c>
      <c r="BK198" s="170">
        <f t="shared" si="175"/>
        <v>0</v>
      </c>
      <c r="BL198" s="542">
        <f t="shared" si="176"/>
        <v>598.99525842650985</v>
      </c>
      <c r="BM198" s="170">
        <f t="shared" si="177"/>
        <v>0</v>
      </c>
      <c r="BN198" s="542">
        <f t="shared" si="178"/>
        <v>1653.9892584265172</v>
      </c>
    </row>
    <row r="199" spans="1:66" ht="19.5" customHeight="1">
      <c r="A199" s="167" t="s">
        <v>366</v>
      </c>
      <c r="B199" s="168" t="s">
        <v>42</v>
      </c>
      <c r="C199" s="168" t="s">
        <v>367</v>
      </c>
      <c r="D199" s="168" t="s">
        <v>368</v>
      </c>
      <c r="E199" s="171">
        <v>46045</v>
      </c>
      <c r="F199" s="171"/>
      <c r="G199" s="168" t="s">
        <v>42</v>
      </c>
      <c r="H199" s="168" t="s">
        <v>506</v>
      </c>
      <c r="I199" s="169">
        <v>-150000</v>
      </c>
      <c r="J199" s="170">
        <f t="shared" si="159"/>
        <v>-150000</v>
      </c>
      <c r="K199" s="168" t="s">
        <v>7</v>
      </c>
      <c r="L199" s="171" t="s">
        <v>22</v>
      </c>
      <c r="M199" s="168" t="s">
        <v>22</v>
      </c>
      <c r="N199" s="167" t="s">
        <v>371</v>
      </c>
      <c r="O199" s="168" t="s">
        <v>52</v>
      </c>
      <c r="P199" s="168" t="s">
        <v>506</v>
      </c>
      <c r="Q199" s="169"/>
      <c r="R199" s="170">
        <f t="shared" si="160"/>
        <v>1653768.8442211056</v>
      </c>
      <c r="S199" s="168" t="s">
        <v>9</v>
      </c>
      <c r="T199" s="171" t="s">
        <v>414</v>
      </c>
      <c r="U199" s="168" t="s">
        <v>25</v>
      </c>
      <c r="V199" s="167" t="s">
        <v>371</v>
      </c>
      <c r="W199" s="172" t="s">
        <v>389</v>
      </c>
      <c r="X199" s="173">
        <f>IF(Y199="",VLOOKUP(H199,CLIENTS!$A$1:$O$649,5,FALSE),Y199)</f>
        <v>0</v>
      </c>
      <c r="Y199" s="174">
        <v>0</v>
      </c>
      <c r="Z199" s="173">
        <f>IF(AA199="",VLOOKUP(P199,CLIENTS!$A$1:$O$649,5,FALSE),AA199)</f>
        <v>5.0000000000000001E-3</v>
      </c>
      <c r="AA199" s="174">
        <v>5.0000000000000001E-3</v>
      </c>
      <c r="AB199" s="173" t="str">
        <f>IF(W199="via USD",IF(K199="EUR",K199&amp;"USD","USD"&amp;K199),IFERROR(VLOOKUP(K199&amp;S199,'FX RATES'!$H$2:$H$20,1,FALSE),S199&amp;K199))</f>
        <v>CNYRUB</v>
      </c>
      <c r="AC199" s="175">
        <f>IF(LEFT(AB199,3)=RIGHT(AB199,3),0,IFERROR(INDEX(CLIENTS!$A$1:$O$649,MATCH(H199,CLIENTS!$A$1:$A$649,0),MATCH(AB199,CLIENTS!$A$1:$O$1,0)),0))</f>
        <v>0</v>
      </c>
      <c r="AD199" s="176"/>
      <c r="AE199" s="177" t="str">
        <f t="shared" si="161"/>
        <v/>
      </c>
      <c r="AF199" s="177" t="str">
        <f t="shared" si="162"/>
        <v>46045CNYRUB</v>
      </c>
      <c r="AG199" s="176"/>
      <c r="AH199" s="178">
        <f ca="1">IF(LEFT(AB199,3)=RIGHT(AB199,3),1,VLOOKUP(AB199,'FX RATES'!$H$1:$I$20,2,FALSE))</f>
        <v>11.103899999999999</v>
      </c>
      <c r="AI199" s="178">
        <f t="shared" si="181"/>
        <v>75.900000000000006</v>
      </c>
      <c r="AJ199" s="173" t="str">
        <f>IF(W199="via USD",IF(S199="EUR",S199&amp;"USD","USD"&amp;S199),IFERROR(VLOOKUP(K199&amp;S199,'FX RATES'!$H$2:$H$20,1,FALSE),S199&amp;K199))</f>
        <v>CNYRUB</v>
      </c>
      <c r="AK199" s="175">
        <f>IF(LEFT(AJ199,3)=RIGHT(AJ199,3),0,IFERROR(INDEX(CLIENTS!$A$1:$O$649,MATCH(P199,CLIENTS!$A$1:$A$649,0),MATCH(AJ199,CLIENTS!$A$1:$O$1,0)),0))</f>
        <v>0</v>
      </c>
      <c r="AL199" s="176">
        <v>10.97</v>
      </c>
      <c r="AM199" s="177">
        <f t="shared" si="163"/>
        <v>10.97</v>
      </c>
      <c r="AN199" s="177" t="str">
        <f t="shared" si="164"/>
        <v>46045CNYRUB</v>
      </c>
      <c r="AO199" s="176">
        <v>10.9</v>
      </c>
      <c r="AP199" s="178">
        <f ca="1">IF(LEFT(AJ199,3)=RIGHT(AJ199,3),1,VLOOKUP(AJ199,'FX RATES'!$H$1:$I$20,2,FALSE))</f>
        <v>11.103899999999999</v>
      </c>
      <c r="AQ199" s="178">
        <f>IF(OR(AJ199="USDAED",LEFT(AJ199,3)=RIGHT(AJ199,3)),AP199,IF(LEFT(AJ199)="USD",AO199,IF(RIGHT(AJ199,3)="USD",1,IFERROR(VLOOKUP(E199&amp;"USD"&amp;RIGHT(AJ199,3),$AN:$AO,2,FALSE),VLOOKUP(E199&amp;"USD"&amp;RIGHT(AB199,3),$AF:$AG,2,FALSE)))))</f>
        <v>75.900000000000006</v>
      </c>
      <c r="AR199" s="179">
        <f>-Q199*(1-Z199)/(1+X199)*IF(W199="CLIENT",IF(S199=RIGHT(AJ199,3),1/AM199,AM199),IF(W199="VENDOR",IF(S199=RIGHT(AJ199,3),1/AE199,AE199),AE199^(VLOOKUP(AB199,'FX RATES'!$H$1:$J$26,3,FALSE))/AM199^(VLOOKUP(AJ199,'FX RATES'!$H$1:$J$26,3,FALSE))))</f>
        <v>0</v>
      </c>
      <c r="AS199" s="179">
        <f>-I199*(1+X199)/(1-Z199)*IF(W199="VENDOR",IF(K199=RIGHT(AB199,3),1/AE199,AE199),IF(W199="CLIENT",IF(K199=RIGHT(AB199,3),1/AM199,AM199),AM199^(VLOOKUP(AJ199,'FX RATES'!$H$1:$J$26,3,FALSE))/AE199^(VLOOKUP(AB199,'FX RATES'!$H$1:$J$26,3,FALSE))))</f>
        <v>1653768.8442211056</v>
      </c>
      <c r="AT199" s="170">
        <f ca="1">IF(AB199&lt;&gt;AJ199,J199/IF(K199=RIGHT(AB199,3),AE199,1/AE199),IF(S199="USD",J199/IF(K199=RIGHT(AB199,3),IF(W199="CLIENT",AM199,AE199),1/IF(W199="CLIENT",AM199,AE199)),J199*VLOOKUP(K199,'FX RATES'!$E$1:$F$10,2,FALSE)))</f>
        <v>-21713.954834973942</v>
      </c>
      <c r="AU199" s="170">
        <f ca="1">IF(AB199&lt;&gt;AJ199,R199/IF(S199=RIGHT(AJ199,3),AM199,1/AM199),IF(K199="USD",R199/IF(S199=RIGHT(AJ199,3),IF(W199="CLIENT",AM199,AE199),1/IF(W199="CLIENT",AM199,AE199)),R199*VLOOKUP(S199,'FX RATES'!$E$1:$F$10,2,FALSE)))</f>
        <v>21555.762074297032</v>
      </c>
      <c r="AV199" s="170">
        <f t="shared" ca="1" si="165"/>
        <v>-158.19276067690953</v>
      </c>
      <c r="AW199" s="169"/>
      <c r="AX199" s="170">
        <f t="shared" ca="1" si="166"/>
        <v>107.77881037148516</v>
      </c>
      <c r="AY199" s="170">
        <f t="shared" si="167"/>
        <v>-150000</v>
      </c>
      <c r="AZ199" s="170" t="str">
        <f t="shared" si="168"/>
        <v>CNY</v>
      </c>
      <c r="BA199" s="542">
        <f>IF(OR(A199="REFUND",A199="CANCELLED"),0,IFERROR((IF(OR(AB199="USDAED",LEFT(AB199,3)=RIGHT(AB199,3)),AI199,AG199)-AE199)*-AY199*VLOOKUP(AB199,'FX RATES'!$H$1:$J$26,3,FALSE),0))</f>
        <v>0</v>
      </c>
      <c r="BB199" s="170" t="str">
        <f t="shared" si="179"/>
        <v>RUB</v>
      </c>
      <c r="BC199" s="542">
        <f t="shared" si="169"/>
        <v>0</v>
      </c>
      <c r="BD199" s="170">
        <f t="shared" si="170"/>
        <v>0</v>
      </c>
      <c r="BE199" s="542">
        <f t="shared" si="171"/>
        <v>0</v>
      </c>
      <c r="BF199" s="170">
        <f t="shared" si="172"/>
        <v>150000</v>
      </c>
      <c r="BG199" s="170" t="str">
        <f t="shared" si="173"/>
        <v>CNY</v>
      </c>
      <c r="BH199" s="542">
        <f>IF(OR(A199="REFUND",A199="CANCELLED"),0,IFERROR((IF(OR(AJ199="USDAED",LEFT(AJ199,3)=RIGHT(AJ199,3)),AQ199,AO199)-AM199)*-BF199*VLOOKUP(AJ199,'FX RATES'!$H$1:$J$26,3,FALSE),0))</f>
        <v>10500.000000000042</v>
      </c>
      <c r="BI199" s="170" t="str">
        <f t="shared" si="180"/>
        <v>RUB</v>
      </c>
      <c r="BJ199" s="542">
        <f t="shared" si="174"/>
        <v>138.33992094861713</v>
      </c>
      <c r="BK199" s="170">
        <f t="shared" si="175"/>
        <v>0</v>
      </c>
      <c r="BL199" s="542">
        <f t="shared" si="176"/>
        <v>138.33992094861713</v>
      </c>
      <c r="BM199" s="170">
        <f t="shared" si="177"/>
        <v>0</v>
      </c>
      <c r="BN199" s="542">
        <f t="shared" si="178"/>
        <v>138.33992094861713</v>
      </c>
    </row>
    <row r="200" spans="1:66" ht="19.5" customHeight="1">
      <c r="A200" s="167" t="s">
        <v>366</v>
      </c>
      <c r="B200" s="168" t="s">
        <v>39</v>
      </c>
      <c r="C200" s="168" t="s">
        <v>367</v>
      </c>
      <c r="D200" s="168" t="s">
        <v>368</v>
      </c>
      <c r="E200" s="171">
        <v>46045</v>
      </c>
      <c r="F200" s="171"/>
      <c r="G200" s="168" t="s">
        <v>39</v>
      </c>
      <c r="H200" s="168" t="s">
        <v>431</v>
      </c>
      <c r="I200" s="169">
        <v>-238510</v>
      </c>
      <c r="J200" s="170">
        <f t="shared" si="159"/>
        <v>-238510</v>
      </c>
      <c r="K200" s="168" t="s">
        <v>8</v>
      </c>
      <c r="L200" s="171" t="s">
        <v>432</v>
      </c>
      <c r="M200" s="168" t="s">
        <v>20</v>
      </c>
      <c r="N200" s="167" t="s">
        <v>371</v>
      </c>
      <c r="O200" s="168" t="s">
        <v>39</v>
      </c>
      <c r="P200" s="168" t="s">
        <v>433</v>
      </c>
      <c r="Q200" s="169"/>
      <c r="R200" s="170">
        <f t="shared" si="160"/>
        <v>4976489.6734910049</v>
      </c>
      <c r="S200" s="168" t="s">
        <v>9</v>
      </c>
      <c r="T200" s="171" t="s">
        <v>25</v>
      </c>
      <c r="U200" s="168" t="s">
        <v>25</v>
      </c>
      <c r="V200" s="167" t="s">
        <v>371</v>
      </c>
      <c r="W200" s="172" t="s">
        <v>375</v>
      </c>
      <c r="X200" s="173">
        <f>IF(Y200="",VLOOKUP(H200,CLIENTS!$A$1:$O$649,5,FALSE),Y200)</f>
        <v>0</v>
      </c>
      <c r="Y200" s="174">
        <v>0</v>
      </c>
      <c r="Z200" s="173">
        <f>IF(AA200="",VLOOKUP(P200,CLIENTS!$A$1:$O$649,5,FALSE),AA200)</f>
        <v>7.0000000000000001E-3</v>
      </c>
      <c r="AA200" s="174">
        <v>7.0000000000000001E-3</v>
      </c>
      <c r="AB200" s="173" t="str">
        <f>IF(W200="via USD",IF(K200="EUR",K200&amp;"USD","USD"&amp;K200),IFERROR(VLOOKUP(K200&amp;S200,'FX RATES'!$H$2:$H$20,1,FALSE),S200&amp;K200))</f>
        <v>USDAED</v>
      </c>
      <c r="AC200" s="175">
        <f>IF(LEFT(AB200,3)=RIGHT(AB200,3),0,IFERROR(INDEX(CLIENTS!$A$1:$O$649,MATCH(H200,CLIENTS!$A$1:$A$649,0),MATCH(AB200,CLIENTS!$A$1:$O$1,0)),0))+0.001</f>
        <v>0</v>
      </c>
      <c r="AD200" s="176">
        <v>3.67</v>
      </c>
      <c r="AE200" s="177">
        <f t="shared" si="161"/>
        <v>3.67</v>
      </c>
      <c r="AF200" s="177" t="str">
        <f t="shared" si="162"/>
        <v>46045USDAED</v>
      </c>
      <c r="AG200" s="176"/>
      <c r="AH200" s="178">
        <f>IF(LEFT(AB200,3)=RIGHT(AB200,3),1,VLOOKUP(AB200,'FX RATES'!$H$1:$I$20,2,FALSE))</f>
        <v>3.6724999999999999</v>
      </c>
      <c r="AI200" s="178">
        <f t="shared" si="181"/>
        <v>3.6724999999999999</v>
      </c>
      <c r="AJ200" s="173" t="str">
        <f>IF(W200="via USD",IF(S200="EUR",S200&amp;"USD","USD"&amp;S200),IFERROR(VLOOKUP(K200&amp;S200,'FX RATES'!$H$2:$H$20,1,FALSE),S200&amp;K200))</f>
        <v>USDRUB</v>
      </c>
      <c r="AK200" s="175">
        <f>IF(LEFT(AJ200,3)=RIGHT(AJ200,3),0,IFERROR(INDEX(CLIENTS!$A$1:$O$649,MATCH(P200,CLIENTS!$A$1:$A$649,0),MATCH(AJ200,CLIENTS!$A$1:$O$1,0)),0))</f>
        <v>0</v>
      </c>
      <c r="AL200" s="176">
        <v>76.038200000000003</v>
      </c>
      <c r="AM200" s="177">
        <f t="shared" si="163"/>
        <v>76.038200000000003</v>
      </c>
      <c r="AN200" s="177" t="str">
        <f t="shared" si="164"/>
        <v>46045USDRUB</v>
      </c>
      <c r="AO200" s="176">
        <v>75.900000000000006</v>
      </c>
      <c r="AP200" s="178">
        <f ca="1">IF(LEFT(AJ200,3)=RIGHT(AJ200,3),1,VLOOKUP(AJ200,'FX RATES'!$H$1:$I$20,2,FALSE))</f>
        <v>76.720500000000001</v>
      </c>
      <c r="AQ200" s="178">
        <f>IF(OR(AJ200="USDAED",LEFT(AJ200,3)=RIGHT(AJ200,3)),AP200,IF(LEFT(AJ200)="USD",AO200,IF(RIGHT(AJ200,3)="USD",1,IFERROR(VLOOKUP(E200&amp;"USD"&amp;RIGHT(AJ200,3),$AN:$AO,2,FALSE),VLOOKUP(E200&amp;"USD"&amp;RIGHT(AB200,3),$AF:$AG,2,FALSE)))))</f>
        <v>75.900000000000006</v>
      </c>
      <c r="AR200" s="179">
        <f>-Q200*(1-Z200)/(1+X200)*IF(W200="CLIENT",IF(S200=RIGHT(AJ200,3),1/AM200,AM200),IF(W200="VENDOR",IF(S200=RIGHT(AJ200,3),1/AE200,AE200),AE200^(VLOOKUP(AB200,'FX RATES'!$H$1:$J$26,3,FALSE))/AM200^(VLOOKUP(AJ200,'FX RATES'!$H$1:$J$26,3,FALSE))))</f>
        <v>0</v>
      </c>
      <c r="AS200" s="179">
        <f>-I200*(1+X200)/(1-Z200)*IF(W200="VENDOR",IF(K200=RIGHT(AB200,3),1/AE200,AE200),IF(W200="CLIENT",IF(K200=RIGHT(AB200,3),1/AM200,AM200),AM200^(VLOOKUP(AJ200,'FX RATES'!$H$1:$J$26,3,FALSE))/AE200^(VLOOKUP(AB200,'FX RATES'!$H$1:$J$26,3,FALSE))))</f>
        <v>4976489.6734910049</v>
      </c>
      <c r="AT200" s="170">
        <f>IF(AB200&lt;&gt;AJ200,J200/IF(K200=RIGHT(AB200,3),AE200,1/AE200),IF(S200="USD",J200/IF(K200=RIGHT(AB200,3),IF(W200="CLIENT",AM200,AE200),1/IF(W200="CLIENT",AM200,AE200)),J200*VLOOKUP(K200,'FX RATES'!$E$1:$F$10,2,FALSE)))</f>
        <v>-64989.100817438695</v>
      </c>
      <c r="AU200" s="170">
        <f>IF(AB200&lt;&gt;AJ200,R200/IF(S200=RIGHT(AJ200,3),AM200,1/AM200),IF(K200="USD",R200/IF(S200=RIGHT(AJ200,3),IF(W200="CLIENT",AM200,AE200),1/IF(W200="CLIENT",AM200,AE200)),R200*VLOOKUP(S200,'FX RATES'!$E$1:$F$10,2,FALSE)))</f>
        <v>65447.231437501214</v>
      </c>
      <c r="AV200" s="170">
        <f t="shared" si="165"/>
        <v>458.13062006251857</v>
      </c>
      <c r="AW200" s="169"/>
      <c r="AX200" s="170">
        <f t="shared" si="166"/>
        <v>458.13062006250851</v>
      </c>
      <c r="AY200" s="170">
        <f t="shared" si="167"/>
        <v>-64989.100817438695</v>
      </c>
      <c r="AZ200" s="170" t="str">
        <f t="shared" si="168"/>
        <v>USD</v>
      </c>
      <c r="BA200" s="542">
        <f>IF(OR(A200="REFUND",A200="CANCELLED"),0,IFERROR((IF(OR(AB200="USDAED",LEFT(AB200,3)=RIGHT(AB200,3)),AI200,AG200)-AE200)*-AY200*VLOOKUP(AB200,'FX RATES'!$H$1:$J$26,3,FALSE),0))</f>
        <v>162.47275204359329</v>
      </c>
      <c r="BB200" s="170" t="str">
        <f t="shared" si="179"/>
        <v>AED</v>
      </c>
      <c r="BC200" s="542">
        <f t="shared" si="169"/>
        <v>44.240368153463116</v>
      </c>
      <c r="BD200" s="170">
        <f t="shared" si="170"/>
        <v>0</v>
      </c>
      <c r="BE200" s="542">
        <f t="shared" si="171"/>
        <v>44.240368153463116</v>
      </c>
      <c r="BF200" s="170">
        <f t="shared" si="172"/>
        <v>65447.231437501214</v>
      </c>
      <c r="BG200" s="170" t="str">
        <f t="shared" si="173"/>
        <v>USD</v>
      </c>
      <c r="BH200" s="542">
        <f>IF(OR(A200="REFUND",A200="CANCELLED"),0,IFERROR((IF(OR(AJ200="USDAED",LEFT(AJ200,3)=RIGHT(AJ200,3)),AQ200,AO200)-AM200)*-BF200*VLOOKUP(AJ200,'FX RATES'!$H$1:$J$26,3,FALSE),0))</f>
        <v>9044.8073846625139</v>
      </c>
      <c r="BI200" s="170" t="str">
        <f t="shared" si="180"/>
        <v>RUB</v>
      </c>
      <c r="BJ200" s="542">
        <f t="shared" si="174"/>
        <v>119.16742272282626</v>
      </c>
      <c r="BK200" s="170">
        <f t="shared" si="175"/>
        <v>0</v>
      </c>
      <c r="BL200" s="542">
        <f t="shared" si="176"/>
        <v>119.16742272282626</v>
      </c>
      <c r="BM200" s="170">
        <f t="shared" si="177"/>
        <v>0</v>
      </c>
      <c r="BN200" s="542">
        <f t="shared" si="178"/>
        <v>163.40779087628937</v>
      </c>
    </row>
    <row r="201" spans="1:66" ht="19.5" customHeight="1">
      <c r="A201" s="167" t="s">
        <v>366</v>
      </c>
      <c r="B201" s="181" t="s">
        <v>39</v>
      </c>
      <c r="C201" s="181" t="s">
        <v>367</v>
      </c>
      <c r="D201" s="181" t="s">
        <v>418</v>
      </c>
      <c r="E201" s="171">
        <v>46045</v>
      </c>
      <c r="F201" s="171"/>
      <c r="G201" s="181" t="s">
        <v>39</v>
      </c>
      <c r="H201" s="181" t="s">
        <v>428</v>
      </c>
      <c r="I201" s="169"/>
      <c r="J201" s="170">
        <f t="shared" si="159"/>
        <v>-130320.5465055176</v>
      </c>
      <c r="K201" s="168" t="s">
        <v>5</v>
      </c>
      <c r="L201" s="168" t="s">
        <v>378</v>
      </c>
      <c r="M201" s="168" t="s">
        <v>14</v>
      </c>
      <c r="N201" s="167" t="s">
        <v>371</v>
      </c>
      <c r="O201" s="168" t="s">
        <v>52</v>
      </c>
      <c r="P201" s="168" t="s">
        <v>429</v>
      </c>
      <c r="Q201" s="169">
        <v>10000000</v>
      </c>
      <c r="R201" s="170">
        <f t="shared" si="160"/>
        <v>10000000</v>
      </c>
      <c r="S201" s="168" t="s">
        <v>9</v>
      </c>
      <c r="T201" s="168" t="s">
        <v>391</v>
      </c>
      <c r="U201" s="168" t="s">
        <v>25</v>
      </c>
      <c r="V201" s="167" t="s">
        <v>371</v>
      </c>
      <c r="W201" s="172" t="s">
        <v>375</v>
      </c>
      <c r="X201" s="173">
        <f>IF(Y201="",VLOOKUP(H201,CLIENTS!$A$1:$O$649,5,FALSE),Y201)</f>
        <v>0</v>
      </c>
      <c r="Y201" s="174">
        <v>0</v>
      </c>
      <c r="Z201" s="173">
        <f>IF(AA201="",VLOOKUP(P201,CLIENTS!$A$1:$O$649,5,FALSE),AA201)</f>
        <v>8.0000000000000002E-3</v>
      </c>
      <c r="AA201" s="174">
        <v>8.0000000000000002E-3</v>
      </c>
      <c r="AB201" s="173" t="str">
        <f>IF(W201="via USD",IF(K201="EUR",K201&amp;"USD","USD"&amp;K201),IFERROR(VLOOKUP(K201&amp;S201,'FX RATES'!$H$2:$H$20,1,FALSE),S201&amp;K201))</f>
        <v>USDUSD</v>
      </c>
      <c r="AC201" s="175">
        <f>IF(LEFT(AB201,3)=RIGHT(AB201,3),0,IFERROR(INDEX(CLIENTS!$A$1:$O$649,MATCH(H201,CLIENTS!$A$1:$A$649,0),MATCH(AB201,CLIENTS!$A$1:$O$1,0)),0))</f>
        <v>0</v>
      </c>
      <c r="AD201" s="176"/>
      <c r="AE201" s="177">
        <f t="shared" si="161"/>
        <v>1</v>
      </c>
      <c r="AF201" s="177" t="str">
        <f t="shared" si="162"/>
        <v>46045USDUSD</v>
      </c>
      <c r="AG201" s="176"/>
      <c r="AH201" s="178">
        <f>IF(LEFT(AB201,3)=RIGHT(AB201,3),1,VLOOKUP(AB201,'FX RATES'!$H$1:$I$20,2,FALSE))</f>
        <v>1</v>
      </c>
      <c r="AI201" s="178">
        <f t="shared" si="181"/>
        <v>1</v>
      </c>
      <c r="AJ201" s="173" t="str">
        <f>IF(W201="via USD",IF(S201="EUR",S201&amp;"USD","USD"&amp;S201),IFERROR(VLOOKUP(K201&amp;S201,'FX RATES'!$H$2:$H$20,1,FALSE),S201&amp;K201))</f>
        <v>USDRUB</v>
      </c>
      <c r="AK201" s="175">
        <f>IF(LEFT(AJ201,3)=RIGHT(AJ201,3),0,IFERROR(INDEX(CLIENTS!$A$1:$O$649,MATCH(P201,CLIENTS!$A$1:$A$649,0),MATCH(AJ201,CLIENTS!$A$1:$O$1,0)),0))</f>
        <v>0</v>
      </c>
      <c r="AL201" s="176">
        <v>76.12</v>
      </c>
      <c r="AM201" s="177">
        <f t="shared" si="163"/>
        <v>76.12</v>
      </c>
      <c r="AN201" s="177" t="str">
        <f t="shared" si="164"/>
        <v>46045USDRUB</v>
      </c>
      <c r="AO201" s="176">
        <v>75.900000000000006</v>
      </c>
      <c r="AP201" s="178">
        <f ca="1">IF(LEFT(AJ201,3)=RIGHT(AJ201,3),1,VLOOKUP(AJ201,'FX RATES'!$H$1:$I$50,2,FALSE))</f>
        <v>76.720500000000001</v>
      </c>
      <c r="AQ201" s="178">
        <f>IF(OR(AJ201="USDAED",LEFT(AJ201,3)=RIGHT(AJ201,3),AJ201="USDUSDT",AJ201="USDTUSD"),AP201,IF(LEFT(AJ201)="USD",AO201,IF(RIGHT(AJ201,3)="USD",1,IFERROR(VLOOKUP(E201&amp;"USD"&amp;RIGHT(AJ201,3),$AN:$AO,2,FALSE),VLOOKUP(E201&amp;"USD"&amp;RIGHT(AB201,3),$AF:$AG,2,FALSE)))))</f>
        <v>75.900000000000006</v>
      </c>
      <c r="AR201" s="179">
        <f>-Q201*(1-Z201)/(1+X201)*IF(W201="CLIENT",IF(S201=RIGHT(AJ201,3),1/AM201,AM201),IF(W201="VENDOR",IF(S201=RIGHT(AJ201,3),1/AE201,AE201),AE201^(VLOOKUP(AB201,'FX RATES'!$H$1:$J$26,3,FALSE))/AM201^(VLOOKUP(AJ201,'FX RATES'!$H$1:$J$26,3,FALSE))))</f>
        <v>-130320.5465055176</v>
      </c>
      <c r="AS201" s="179">
        <f>-I201*(1+X201)/(1-Z201)*IF(W201="VENDOR",IF(K201=RIGHT(AB201,3),1/AE201,AE201),IF(W201="CLIENT",IF(K201=RIGHT(AB201,3),1/AM201,AM201),AM201^(VLOOKUP(AJ201,'FX RATES'!$H$1:$J$26,3,FALSE))/AE201^(VLOOKUP(AB201,'FX RATES'!$H$1:$J$26,3,FALSE))))</f>
        <v>0</v>
      </c>
      <c r="AT201" s="170">
        <f>IF(AB201&lt;&gt;AJ201,J201/IF(K201=RIGHT(AB201,3),AE201,1/AE201),IF(S201="USD",J201/IF(K201=RIGHT(AB201,3),IF(W201="CLIENT",AM201,AE201),1/IF(W201="CLIENT",AM201,AE201)),J201*VLOOKUP(K201,'FX RATES'!$E$1:$F$10,2,FALSE)))</f>
        <v>-130320.5465055176</v>
      </c>
      <c r="AU201" s="170">
        <f>IF(AB201&lt;&gt;AJ201,R201/IF(S201=RIGHT(AJ201,3),AM201,1/AM201),IF(K201="USD",R201/IF(S201=RIGHT(AJ201,3),IF(W201="CLIENT",AM201,AE201),1/IF(W201="CLIENT",AM201,AE201)),R201*VLOOKUP(S201,'FX RATES'!$E$1:$F$10,2,FALSE)))</f>
        <v>131371.51865475564</v>
      </c>
      <c r="AV201" s="170">
        <f t="shared" si="165"/>
        <v>1050.972149238034</v>
      </c>
      <c r="AW201" s="169"/>
      <c r="AX201" s="170">
        <f t="shared" si="166"/>
        <v>1050.9721492380452</v>
      </c>
      <c r="AY201" s="170">
        <f t="shared" si="167"/>
        <v>-130320.5465055176</v>
      </c>
      <c r="AZ201" s="170" t="str">
        <f t="shared" si="168"/>
        <v>USD</v>
      </c>
      <c r="BA201" s="542">
        <f>IF(OR(A201="REFUND",A201="CANCELLED"),0,IFERROR((IF(OR(AB201="USDAED",LEFT(AB201,3)=RIGHT(AB201,3)),AI201,AG201)-AE201)*-AY201*VLOOKUP(AB201,'FX RATES'!$H$1:$J$26,3,FALSE),0))</f>
        <v>0</v>
      </c>
      <c r="BB201" s="170" t="str">
        <f t="shared" si="179"/>
        <v>USD</v>
      </c>
      <c r="BC201" s="542">
        <f t="shared" si="169"/>
        <v>0</v>
      </c>
      <c r="BD201" s="170">
        <f t="shared" si="170"/>
        <v>0</v>
      </c>
      <c r="BE201" s="542">
        <f t="shared" si="171"/>
        <v>0</v>
      </c>
      <c r="BF201" s="170">
        <f t="shared" si="172"/>
        <v>131371.51865475564</v>
      </c>
      <c r="BG201" s="170" t="str">
        <f t="shared" si="173"/>
        <v>USD</v>
      </c>
      <c r="BH201" s="542">
        <f>IF(OR(A201="REFUND",A201="CANCELLED"),0,IFERROR((IF(OR(AJ201="USDAED",LEFT(AJ201,3)=RIGHT(AJ201,3),AJ201="USDUSDT",AJ201="USDTUSD"),AQ201,AO201)-AM201)*-BF201*VLOOKUP(AJ201,'FX RATES'!$H$1:$J$26,3,FALSE),0))</f>
        <v>28901.734104046092</v>
      </c>
      <c r="BI201" s="170" t="str">
        <f t="shared" si="180"/>
        <v>RUB</v>
      </c>
      <c r="BJ201" s="542">
        <f t="shared" si="174"/>
        <v>380.78701059349265</v>
      </c>
      <c r="BK201" s="170">
        <f t="shared" si="175"/>
        <v>0</v>
      </c>
      <c r="BL201" s="542">
        <f t="shared" si="176"/>
        <v>380.78701059349265</v>
      </c>
      <c r="BM201" s="170">
        <f t="shared" si="177"/>
        <v>0</v>
      </c>
      <c r="BN201" s="542">
        <f t="shared" si="178"/>
        <v>380.78701059349265</v>
      </c>
    </row>
    <row r="202" spans="1:66" ht="19.5" customHeight="1">
      <c r="A202" s="167" t="s">
        <v>366</v>
      </c>
      <c r="B202" s="168" t="s">
        <v>39</v>
      </c>
      <c r="C202" s="168" t="s">
        <v>367</v>
      </c>
      <c r="D202" s="181" t="s">
        <v>368</v>
      </c>
      <c r="E202" s="171">
        <v>46045</v>
      </c>
      <c r="F202" s="171"/>
      <c r="G202" s="168" t="s">
        <v>39</v>
      </c>
      <c r="H202" s="181" t="s">
        <v>520</v>
      </c>
      <c r="I202" s="169">
        <v>-56667.24</v>
      </c>
      <c r="J202" s="170">
        <f t="shared" si="159"/>
        <v>-56667.24</v>
      </c>
      <c r="K202" s="168" t="s">
        <v>5</v>
      </c>
      <c r="L202" s="168" t="s">
        <v>521</v>
      </c>
      <c r="M202" s="168" t="s">
        <v>20</v>
      </c>
      <c r="N202" s="167" t="s">
        <v>371</v>
      </c>
      <c r="O202" s="168" t="s">
        <v>52</v>
      </c>
      <c r="P202" s="168" t="s">
        <v>522</v>
      </c>
      <c r="Q202" s="169"/>
      <c r="R202" s="170">
        <f t="shared" si="160"/>
        <v>4346771.0682779457</v>
      </c>
      <c r="S202" s="168" t="s">
        <v>9</v>
      </c>
      <c r="T202" s="171" t="s">
        <v>436</v>
      </c>
      <c r="U202" s="171" t="s">
        <v>25</v>
      </c>
      <c r="V202" s="167" t="s">
        <v>371</v>
      </c>
      <c r="W202" s="172" t="s">
        <v>375</v>
      </c>
      <c r="X202" s="173">
        <f>IF(Y202="",VLOOKUP(H202,CLIENTS!$A$1:$O$649,5,FALSE),Y202)</f>
        <v>0</v>
      </c>
      <c r="Y202" s="174">
        <v>0</v>
      </c>
      <c r="Z202" s="173">
        <f>IF(AA202="",VLOOKUP(P202,CLIENTS!$A$1:$O$649,5,FALSE),AA202)</f>
        <v>7.0000000000000001E-3</v>
      </c>
      <c r="AA202" s="174">
        <v>7.0000000000000001E-3</v>
      </c>
      <c r="AB202" s="173" t="str">
        <f>IF(W202="via USD",IF(K202="EUR",K202&amp;"USD","USD"&amp;K202),IFERROR(VLOOKUP(K202&amp;S202,'FX RATES'!$H$2:$H$20,1,FALSE),S202&amp;K202))</f>
        <v>USDUSD</v>
      </c>
      <c r="AC202" s="175">
        <f>IF(LEFT(AB202,3)=RIGHT(AB202,3),0,IFERROR(INDEX(CLIENTS!$A$1:$O$649,MATCH(H202,CLIENTS!$A$1:$A$649,0),MATCH(AB202,CLIENTS!$A$1:$O$1,0)),0))</f>
        <v>0</v>
      </c>
      <c r="AD202" s="176"/>
      <c r="AE202" s="177">
        <f t="shared" si="161"/>
        <v>1</v>
      </c>
      <c r="AF202" s="177" t="str">
        <f t="shared" si="162"/>
        <v>46045USDUSD</v>
      </c>
      <c r="AG202" s="176"/>
      <c r="AH202" s="178">
        <f>IF(LEFT(AB202,3)=RIGHT(AB202,3),1,VLOOKUP(AB202,'FX RATES'!$H$1:$I$20,2,FALSE))</f>
        <v>1</v>
      </c>
      <c r="AI202" s="178">
        <f t="shared" si="181"/>
        <v>1</v>
      </c>
      <c r="AJ202" s="173" t="str">
        <f>IF(W202="via USD",IF(S202="EUR",S202&amp;"USD","USD"&amp;S202),IFERROR(VLOOKUP(K202&amp;S202,'FX RATES'!$H$2:$H$20,1,FALSE),S202&amp;K202))</f>
        <v>USDRUB</v>
      </c>
      <c r="AK202" s="175">
        <f>IF(LEFT(AJ202,3)=RIGHT(AJ202,3),0,IFERROR(INDEX(CLIENTS!$A$1:$O$649,MATCH(P202,CLIENTS!$A$1:$A$649,0),MATCH(AJ202,CLIENTS!$A$1:$O$1,0)),0))-0.15</f>
        <v>0</v>
      </c>
      <c r="AL202" s="176">
        <v>76.17</v>
      </c>
      <c r="AM202" s="177">
        <f t="shared" si="163"/>
        <v>76.17</v>
      </c>
      <c r="AN202" s="177" t="str">
        <f t="shared" si="164"/>
        <v>46045USDRUB</v>
      </c>
      <c r="AO202" s="176">
        <v>75.900000000000006</v>
      </c>
      <c r="AP202" s="178">
        <f ca="1">IF(LEFT(AJ202,3)=RIGHT(AJ202,3),1,VLOOKUP(AJ202,'FX RATES'!$H$1:$I$20,2,FALSE))</f>
        <v>76.720500000000001</v>
      </c>
      <c r="AQ202" s="178">
        <f t="shared" ref="AQ202:AQ214" si="182">IF(OR(AJ202="USDAED",LEFT(AJ202,3)=RIGHT(AJ202,3)),AP202,IF(LEFT(AJ202)="USD",AO202,IF(RIGHT(AJ202,3)="USD",1,IFERROR(VLOOKUP(E202&amp;"USD"&amp;RIGHT(AJ202,3),$AN:$AO,2,FALSE),VLOOKUP(E202&amp;"USD"&amp;RIGHT(AB202,3),$AF:$AG,2,FALSE)))))</f>
        <v>75.900000000000006</v>
      </c>
      <c r="AR202" s="179">
        <f>-Q202*(1-Z202)/(1+X202)*IF(W202="CLIENT",IF(S202=RIGHT(AJ202,3),1/AM202,AM202),IF(W202="VENDOR",IF(S202=RIGHT(AJ202,3),1/AE202,AE202),AE202^(VLOOKUP(AB202,'FX RATES'!$H$1:$J$26,3,FALSE))/AM202^(VLOOKUP(AJ202,'FX RATES'!$H$1:$J$26,3,FALSE))))</f>
        <v>0</v>
      </c>
      <c r="AS202" s="179">
        <f>-I202*(1+X202)/(1-Z202)*IF(W202="VENDOR",IF(K202=RIGHT(AB202,3),1/AE202,AE202),IF(W202="CLIENT",IF(K202=RIGHT(AB202,3),1/AM202,AM202),AM202^(VLOOKUP(AJ202,'FX RATES'!$H$1:$J$26,3,FALSE))/AE202^(VLOOKUP(AB202,'FX RATES'!$H$1:$J$26,3,FALSE))))</f>
        <v>4346771.0682779457</v>
      </c>
      <c r="AT202" s="170">
        <f>IF(AB202&lt;&gt;AJ202,J202/IF(K202=RIGHT(AB202,3),AE202,1/AE202),IF(S202="USD",J202/IF(K202=RIGHT(AB202,3),IF(W202="CLIENT",AM202,AE202),1/IF(W202="CLIENT",AM202,AE202)),J202*VLOOKUP(K202,'FX RATES'!$E$1:$F$10,2,FALSE)))</f>
        <v>-56667.24</v>
      </c>
      <c r="AU202" s="170">
        <f>IF(AB202&lt;&gt;AJ202,R202/IF(S202=RIGHT(AJ202,3),AM202,1/AM202),IF(K202="USD",R202/IF(S202=RIGHT(AJ202,3),IF(W202="CLIENT",AM202,AE202),1/IF(W202="CLIENT",AM202,AE202)),R202*VLOOKUP(S202,'FX RATES'!$E$1:$F$10,2,FALSE)))</f>
        <v>57066.706948640487</v>
      </c>
      <c r="AV202" s="170">
        <f t="shared" si="165"/>
        <v>399.46694864048914</v>
      </c>
      <c r="AW202" s="169"/>
      <c r="AX202" s="170">
        <f t="shared" si="166"/>
        <v>399.46694864048339</v>
      </c>
      <c r="AY202" s="170">
        <f t="shared" si="167"/>
        <v>-56667.24</v>
      </c>
      <c r="AZ202" s="170" t="str">
        <f t="shared" si="168"/>
        <v>USD</v>
      </c>
      <c r="BA202" s="542">
        <f>IF(OR(A202="REFUND",A202="CANCELLED"),0,IFERROR((IF(OR(AB202="USDAED",LEFT(AB202,3)=RIGHT(AB202,3)),AI202,AG202)-AE202)*-AY202*VLOOKUP(AB202,'FX RATES'!$H$1:$J$26,3,FALSE),0))</f>
        <v>0</v>
      </c>
      <c r="BB202" s="170" t="str">
        <f t="shared" si="179"/>
        <v>USD</v>
      </c>
      <c r="BC202" s="542">
        <f t="shared" si="169"/>
        <v>0</v>
      </c>
      <c r="BD202" s="170">
        <f t="shared" si="170"/>
        <v>0</v>
      </c>
      <c r="BE202" s="542">
        <f t="shared" si="171"/>
        <v>0</v>
      </c>
      <c r="BF202" s="170">
        <f t="shared" si="172"/>
        <v>57066.706948640487</v>
      </c>
      <c r="BG202" s="170" t="str">
        <f t="shared" si="173"/>
        <v>USD</v>
      </c>
      <c r="BH202" s="542">
        <f>IF(OR(A202="REFUND",A202="CANCELLED"),0,IFERROR((IF(OR(AJ202="USDAED",LEFT(AJ202,3)=RIGHT(AJ202,3)),AQ202,AO202)-AM202)*-BF202*VLOOKUP(AJ202,'FX RATES'!$H$1:$J$26,3,FALSE),0))</f>
        <v>15408.010876132705</v>
      </c>
      <c r="BI202" s="170" t="str">
        <f t="shared" si="180"/>
        <v>RUB</v>
      </c>
      <c r="BJ202" s="542">
        <f t="shared" si="174"/>
        <v>203.004095864726</v>
      </c>
      <c r="BK202" s="170">
        <f t="shared" si="175"/>
        <v>0</v>
      </c>
      <c r="BL202" s="542">
        <f t="shared" si="176"/>
        <v>203.004095864726</v>
      </c>
      <c r="BM202" s="170">
        <f t="shared" si="177"/>
        <v>0</v>
      </c>
      <c r="BN202" s="542">
        <f t="shared" si="178"/>
        <v>203.004095864726</v>
      </c>
    </row>
    <row r="203" spans="1:66" ht="19.5" customHeight="1">
      <c r="A203" s="167" t="s">
        <v>366</v>
      </c>
      <c r="B203" s="168" t="s">
        <v>39</v>
      </c>
      <c r="C203" s="168" t="s">
        <v>367</v>
      </c>
      <c r="D203" s="168" t="s">
        <v>472</v>
      </c>
      <c r="E203" s="171">
        <v>46045</v>
      </c>
      <c r="F203" s="171"/>
      <c r="G203" s="168" t="s">
        <v>39</v>
      </c>
      <c r="H203" s="181" t="s">
        <v>473</v>
      </c>
      <c r="I203" s="169">
        <v>-127889.93</v>
      </c>
      <c r="J203" s="170">
        <f t="shared" si="159"/>
        <v>-127889.93</v>
      </c>
      <c r="K203" s="168" t="s">
        <v>5</v>
      </c>
      <c r="L203" s="168" t="s">
        <v>14</v>
      </c>
      <c r="M203" s="168" t="s">
        <v>20</v>
      </c>
      <c r="N203" s="167" t="s">
        <v>371</v>
      </c>
      <c r="O203" s="168" t="s">
        <v>39</v>
      </c>
      <c r="P203" s="168" t="s">
        <v>474</v>
      </c>
      <c r="Q203" s="169"/>
      <c r="R203" s="170">
        <f t="shared" si="160"/>
        <v>9872609.2135289349</v>
      </c>
      <c r="S203" s="168" t="s">
        <v>9</v>
      </c>
      <c r="T203" s="171" t="s">
        <v>475</v>
      </c>
      <c r="U203" s="168" t="s">
        <v>25</v>
      </c>
      <c r="V203" s="167" t="s">
        <v>371</v>
      </c>
      <c r="W203" s="172" t="s">
        <v>375</v>
      </c>
      <c r="X203" s="173">
        <f>IF(Y203="",VLOOKUP(H203,CLIENTS!$A$1:$O$649,5,FALSE),Y203)</f>
        <v>0</v>
      </c>
      <c r="Y203" s="174">
        <v>0</v>
      </c>
      <c r="Z203" s="173">
        <f>IF(AA203="",VLOOKUP(P203,CLIENTS!$A$1:$O$649,5,FALSE),AA203)</f>
        <v>1.4999999999999999E-2</v>
      </c>
      <c r="AA203" s="174">
        <v>1.4999999999999999E-2</v>
      </c>
      <c r="AB203" s="173" t="str">
        <f>IF(W203="via USD",IF(K203="EUR",K203&amp;"USD","USD"&amp;K203),IFERROR(VLOOKUP(K203&amp;S203,'FX RATES'!$H$2:$H$20,1,FALSE),S203&amp;K203))</f>
        <v>USDUSD</v>
      </c>
      <c r="AC203" s="175">
        <f>IF(LEFT(AB203,3)=RIGHT(AB203,3),0,IFERROR(INDEX(CLIENTS!$A$1:$O$649,MATCH(H203,CLIENTS!$A$1:$A$649,0),MATCH(AB203,CLIENTS!$A$1:$O$1,0)),0))</f>
        <v>0</v>
      </c>
      <c r="AD203" s="176"/>
      <c r="AE203" s="177">
        <f t="shared" si="161"/>
        <v>1</v>
      </c>
      <c r="AF203" s="177" t="str">
        <f t="shared" si="162"/>
        <v>46045USDUSD</v>
      </c>
      <c r="AG203" s="176"/>
      <c r="AH203" s="178">
        <f>IF(LEFT(AB203,3)=RIGHT(AB203,3),1,VLOOKUP(AB203,'FX RATES'!$H$1:$I$20,2,FALSE))</f>
        <v>1</v>
      </c>
      <c r="AI203" s="178">
        <f t="shared" si="181"/>
        <v>1</v>
      </c>
      <c r="AJ203" s="173" t="str">
        <f>IF(W203="via USD",IF(S203="EUR",S203&amp;"USD","USD"&amp;S203),IFERROR(VLOOKUP(K203&amp;S203,'FX RATES'!$H$2:$H$20,1,FALSE),S203&amp;K203))</f>
        <v>USDRUB</v>
      </c>
      <c r="AK203" s="175">
        <f>IF(LEFT(AJ203,3)=RIGHT(AJ203,3),0,IFERROR(INDEX(CLIENTS!$A$1:$O$649,MATCH(P203,CLIENTS!$A$1:$A$649,0),MATCH(AJ203,CLIENTS!$A$1:$O$1,0)),0))</f>
        <v>0</v>
      </c>
      <c r="AL203" s="176">
        <v>76.038200000000003</v>
      </c>
      <c r="AM203" s="177">
        <f t="shared" si="163"/>
        <v>76.038200000000003</v>
      </c>
      <c r="AN203" s="177" t="str">
        <f t="shared" si="164"/>
        <v>46045USDRUB</v>
      </c>
      <c r="AO203" s="176">
        <v>75.900000000000006</v>
      </c>
      <c r="AP203" s="178">
        <f ca="1">IF(LEFT(AJ203,3)=RIGHT(AJ203,3),1,VLOOKUP(AJ203,'FX RATES'!$H$1:$I$20,2,FALSE))</f>
        <v>76.720500000000001</v>
      </c>
      <c r="AQ203" s="178">
        <f t="shared" si="182"/>
        <v>75.900000000000006</v>
      </c>
      <c r="AR203" s="179">
        <f>-Q203*(1-Z203)/(1+X203)*IF(W203="CLIENT",IF(S203=RIGHT(AJ203,3),1/AM203,AM203),IF(W203="VENDOR",IF(S203=RIGHT(AJ203,3),1/AE203,AE203),AE203^(VLOOKUP(AB203,'FX RATES'!$H$1:$J$26,3,FALSE))/AM203^(VLOOKUP(AJ203,'FX RATES'!$H$1:$J$26,3,FALSE))))</f>
        <v>0</v>
      </c>
      <c r="AS203" s="179">
        <f>-I203*(1+X203)/(1-Z203)*IF(W203="VENDOR",IF(K203=RIGHT(AB203,3),1/AE203,AE203),IF(W203="CLIENT",IF(K203=RIGHT(AB203,3),1/AM203,AM203),AM203^(VLOOKUP(AJ203,'FX RATES'!$H$1:$J$26,3,FALSE))/AE203^(VLOOKUP(AB203,'FX RATES'!$H$1:$J$26,3,FALSE))))</f>
        <v>9872609.2135289349</v>
      </c>
      <c r="AT203" s="170">
        <f>IF(AB203&lt;&gt;AJ203,J203/IF(K203=RIGHT(AB203,3),AE203,1/AE203),IF(S203="USD",J203/IF(K203=RIGHT(AB203,3),IF(W203="CLIENT",AM203,AE203),1/IF(W203="CLIENT",AM203,AE203)),J203*VLOOKUP(K203,'FX RATES'!$E$1:$F$10,2,FALSE)))</f>
        <v>-127889.93</v>
      </c>
      <c r="AU203" s="170">
        <f>IF(AB203&lt;&gt;AJ203,R203/IF(S203=RIGHT(AJ203,3),AM203,1/AM203),IF(K203="USD",R203/IF(S203=RIGHT(AJ203,3),IF(W203="CLIENT",AM203,AE203),1/IF(W203="CLIENT",AM203,AE203)),R203*VLOOKUP(S203,'FX RATES'!$E$1:$F$10,2,FALSE)))</f>
        <v>129837.49238578681</v>
      </c>
      <c r="AV203" s="170">
        <f t="shared" si="165"/>
        <v>1947.5623857868195</v>
      </c>
      <c r="AW203" s="169"/>
      <c r="AX203" s="170">
        <f t="shared" si="166"/>
        <v>1947.5623857868022</v>
      </c>
      <c r="AY203" s="170">
        <f t="shared" si="167"/>
        <v>-127889.93</v>
      </c>
      <c r="AZ203" s="170" t="str">
        <f t="shared" si="168"/>
        <v>USD</v>
      </c>
      <c r="BA203" s="542">
        <f>IF(OR(A203="REFUND",A203="CANCELLED"),0,IFERROR((IF(OR(AB203="USDAED",LEFT(AB203,3)=RIGHT(AB203,3)),AI203,AG203)-AE203)*-AY203*VLOOKUP(AB203,'FX RATES'!$H$1:$J$26,3,FALSE),0))</f>
        <v>0</v>
      </c>
      <c r="BB203" s="170" t="str">
        <f t="shared" si="179"/>
        <v>USD</v>
      </c>
      <c r="BC203" s="542">
        <f t="shared" si="169"/>
        <v>0</v>
      </c>
      <c r="BD203" s="170">
        <f t="shared" si="170"/>
        <v>0</v>
      </c>
      <c r="BE203" s="542">
        <f t="shared" si="171"/>
        <v>0</v>
      </c>
      <c r="BF203" s="170">
        <f t="shared" si="172"/>
        <v>129837.49238578681</v>
      </c>
      <c r="BG203" s="170" t="str">
        <f t="shared" si="173"/>
        <v>USD</v>
      </c>
      <c r="BH203" s="542">
        <f>IF(OR(A203="REFUND",A203="CANCELLED"),0,IFERROR((IF(OR(AJ203="USDAED",LEFT(AJ203,3)=RIGHT(AJ203,3)),AQ203,AO203)-AM203)*-BF203*VLOOKUP(AJ203,'FX RATES'!$H$1:$J$26,3,FALSE),0))</f>
        <v>17943.541447715434</v>
      </c>
      <c r="BI203" s="170" t="str">
        <f t="shared" si="180"/>
        <v>RUB</v>
      </c>
      <c r="BJ203" s="542">
        <f t="shared" si="174"/>
        <v>236.41029575382652</v>
      </c>
      <c r="BK203" s="170">
        <f t="shared" si="175"/>
        <v>0</v>
      </c>
      <c r="BL203" s="542">
        <f t="shared" si="176"/>
        <v>236.41029575382652</v>
      </c>
      <c r="BM203" s="170">
        <f t="shared" si="177"/>
        <v>0</v>
      </c>
      <c r="BN203" s="542">
        <f t="shared" si="178"/>
        <v>236.41029575382652</v>
      </c>
    </row>
    <row r="204" spans="1:66" ht="19.5" customHeight="1">
      <c r="A204" s="167" t="s">
        <v>366</v>
      </c>
      <c r="B204" s="168" t="s">
        <v>39</v>
      </c>
      <c r="C204" s="168" t="s">
        <v>367</v>
      </c>
      <c r="D204" s="168" t="s">
        <v>368</v>
      </c>
      <c r="E204" s="171">
        <v>46045</v>
      </c>
      <c r="F204" s="171"/>
      <c r="G204" s="168" t="s">
        <v>39</v>
      </c>
      <c r="H204" s="168" t="s">
        <v>405</v>
      </c>
      <c r="I204" s="169">
        <v>-1795053</v>
      </c>
      <c r="J204" s="170">
        <f t="shared" ref="J204" si="183">IF(I204="",AR204,I204)</f>
        <v>-1795053</v>
      </c>
      <c r="K204" s="168" t="s">
        <v>8</v>
      </c>
      <c r="L204" s="168" t="s">
        <v>16</v>
      </c>
      <c r="M204" s="168" t="s">
        <v>17</v>
      </c>
      <c r="N204" s="167" t="s">
        <v>371</v>
      </c>
      <c r="O204" s="168" t="s">
        <v>39</v>
      </c>
      <c r="P204" s="168" t="s">
        <v>406</v>
      </c>
      <c r="Q204" s="169">
        <v>37493913</v>
      </c>
      <c r="R204" s="170">
        <f t="shared" ref="R204" si="184">IF(Q204="",AS204,Q204)</f>
        <v>37493913</v>
      </c>
      <c r="S204" s="168" t="s">
        <v>9</v>
      </c>
      <c r="T204" s="171" t="s">
        <v>391</v>
      </c>
      <c r="U204" s="168" t="s">
        <v>25</v>
      </c>
      <c r="V204" s="167" t="s">
        <v>371</v>
      </c>
      <c r="W204" s="172" t="s">
        <v>375</v>
      </c>
      <c r="X204" s="173">
        <f>IF(Y204="",VLOOKUP(H204,CLIENTS!$A$1:$O$649,5,FALSE),Y204)</f>
        <v>0</v>
      </c>
      <c r="Y204" s="174">
        <v>0</v>
      </c>
      <c r="Z204" s="173">
        <f>IF(AA204="",VLOOKUP(P204,CLIENTS!$A$1:$O$649,5,FALSE),AA204)</f>
        <v>7.0000000000000001E-3</v>
      </c>
      <c r="AA204" s="174">
        <v>7.0000000000000001E-3</v>
      </c>
      <c r="AB204" s="173" t="str">
        <f>IF(W204="via USD",IF(K204="EUR",K204&amp;"USD","USD"&amp;K204),IFERROR(VLOOKUP(K204&amp;S204,'FX RATES'!$H$2:$H$20,1,FALSE),S204&amp;K204))</f>
        <v>USDAED</v>
      </c>
      <c r="AC204" s="175">
        <f>IF(LEFT(AB204,3)=RIGHT(AB204,3),0,IFERROR(INDEX(CLIENTS!$A$1:$O$649,MATCH(H204,CLIENTS!$A$1:$A$649,0),MATCH(AB204,CLIENTS!$A$1:$O$1,0)),0))+0.0075</f>
        <v>0</v>
      </c>
      <c r="AD204" s="176">
        <v>3.67</v>
      </c>
      <c r="AE204" s="177">
        <f t="shared" ref="AE204" si="185">IF(W204="CLIENT","",IF(AD204="",AH204+AC204,AD204+AC204))</f>
        <v>3.67</v>
      </c>
      <c r="AF204" s="177" t="str">
        <f t="shared" ref="AF204" si="186">E204&amp;AB204</f>
        <v>46045USDAED</v>
      </c>
      <c r="AG204" s="176"/>
      <c r="AH204" s="178">
        <f>IF(LEFT(AB204,3)=RIGHT(AB204,3),1,VLOOKUP(AB204,'FX RATES'!$H$1:$I$20,2,FALSE))</f>
        <v>3.6724999999999999</v>
      </c>
      <c r="AI204" s="178">
        <f t="shared" si="181"/>
        <v>3.6724999999999999</v>
      </c>
      <c r="AJ204" s="173" t="str">
        <f>IF(W204="via USD",IF(S204="EUR",S204&amp;"USD","USD"&amp;S204),IFERROR(VLOOKUP(K204&amp;S204,'FX RATES'!$H$2:$H$20,1,FALSE),S204&amp;K204))</f>
        <v>USDRUB</v>
      </c>
      <c r="AK204" s="175">
        <f>IF(LEFT(AJ204,3)=RIGHT(AJ204,3),0,IFERROR(INDEX(CLIENTS!$A$1:$O$649,MATCH(P204,CLIENTS!$A$1:$A$649,0),MATCH(AJ204,CLIENTS!$A$1:$O$1,0)),0))-0.15</f>
        <v>0</v>
      </c>
      <c r="AL204" s="176">
        <v>76.12</v>
      </c>
      <c r="AM204" s="177">
        <f t="shared" ref="AM204" si="187">IF(W204="VENDOR","",IF(AL204="",AP204+AK204,AL204+AK204))</f>
        <v>76.12</v>
      </c>
      <c r="AN204" s="177" t="str">
        <f t="shared" ref="AN204" si="188">E204&amp;AJ204</f>
        <v>46045USDRUB</v>
      </c>
      <c r="AO204" s="176">
        <v>75.900000000000006</v>
      </c>
      <c r="AP204" s="178">
        <f ca="1">IF(LEFT(AJ204,3)=RIGHT(AJ204,3),1,VLOOKUP(AJ204,'FX RATES'!$H$1:$I$20,2,FALSE))</f>
        <v>76.720500000000001</v>
      </c>
      <c r="AQ204" s="178">
        <f t="shared" si="182"/>
        <v>75.900000000000006</v>
      </c>
      <c r="AR204" s="179">
        <f>-Q204*(1-Z204)/(1+X204)*IF(W204="CLIENT",IF(S204=RIGHT(AJ204,3),1/AM204,AM204),IF(W204="VENDOR",IF(S204=RIGHT(AJ204,3),1/AE204,AE204),AE204^(VLOOKUP(AB204,'FX RATES'!$H$1:$J$26,3,FALSE))/AM204^(VLOOKUP(AJ204,'FX RATES'!$H$1:$J$26,3,FALSE))))</f>
        <v>-1795053.1014848922</v>
      </c>
      <c r="AS204" s="179">
        <f>-I204*(1+X204)/(1-Z204)*IF(W204="VENDOR",IF(K204=RIGHT(AB204,3),1/AE204,AE204),IF(W204="CLIENT",IF(K204=RIGHT(AB204,3),1/AM204,AM204),AM204^(VLOOKUP(AJ204,'FX RATES'!$H$1:$J$26,3,FALSE))/AE204^(VLOOKUP(AB204,'FX RATES'!$H$1:$J$26,3,FALSE))))</f>
        <v>37493910.880248941</v>
      </c>
      <c r="AT204" s="170">
        <f>IF(AB204&lt;&gt;AJ204,J204/IF(K204=RIGHT(AB204,3),AE204,1/AE204),IF(S204="USD",J204/IF(K204=RIGHT(AB204,3),IF(W204="CLIENT",AM204,AE204),1/IF(W204="CLIENT",AM204,AE204)),J204*VLOOKUP(K204,'FX RATES'!$E$1:$F$10,2,FALSE)))</f>
        <v>-489115.25885558582</v>
      </c>
      <c r="AU204" s="170">
        <f>IF(AB204&lt;&gt;AJ204,R204/IF(S204=RIGHT(AJ204,3),AM204,1/AM204),IF(K204="USD",R204/IF(S204=RIGHT(AJ204,3),IF(W204="CLIENT",AM204,AE204),1/IF(W204="CLIENT",AM204,AE204)),R204*VLOOKUP(S204,'FX RATES'!$E$1:$F$10,2,FALSE)))</f>
        <v>492563.22911192849</v>
      </c>
      <c r="AV204" s="170">
        <f t="shared" ref="AV204" si="189">AT204+AU204</f>
        <v>3447.970256342669</v>
      </c>
      <c r="AW204" s="169"/>
      <c r="AX204" s="170">
        <f t="shared" ref="AX204" si="190">IF(AND(ISERROR(SEARCH("INVOICE",T204)),ISERROR(SEARCH("SWITCH",T204)),ISERROR(SEARCH("FOREX",T204)),ISERROR(SEARCH("REFUND",A204)),ISERROR(SEARCH("CANCELLED",A204))),IF(AW204="",-AT204*X204+AU204*Z204,AW204),0)</f>
        <v>3447.9426037834996</v>
      </c>
      <c r="AY204" s="170">
        <f t="shared" ref="AY204" si="191">IF(AZ204="USD",AT204,IF(AZ204=K204,J204,-R204))</f>
        <v>-489115.25885558582</v>
      </c>
      <c r="AZ204" s="170" t="str">
        <f t="shared" ref="AZ204" si="192">LEFT(AB204,3)</f>
        <v>USD</v>
      </c>
      <c r="BA204" s="542">
        <f>IF(OR(A204="REFUND",A204="CANCELLED"),0,IFERROR((IF(OR(AB204="USDAED",LEFT(AB204,3)=RIGHT(AB204,3)),AI204,AG204)-AE204)*-AY204*VLOOKUP(AB204,'FX RATES'!$H$1:$J$26,3,FALSE),0))</f>
        <v>1222.7881471389385</v>
      </c>
      <c r="BB204" s="170" t="str">
        <f t="shared" ref="BB204" si="193">RIGHT(AB204,3)</f>
        <v>AED</v>
      </c>
      <c r="BC204" s="542">
        <f t="shared" ref="BC204" si="194">IF(BA204=0,0,IFERROR(BA204/IF(BB204&lt;&gt;"USD",AI204,1),"???"))</f>
        <v>332.95797063007177</v>
      </c>
      <c r="BD204" s="170">
        <f t="shared" ref="BD204" si="195">IFERROR(-AC204/(IF(OR(AB204="USDAED",LEFT(AB204,3)=RIGHT(AB204,3)),AH204,AG204)-AE204)*BC204,0)</f>
        <v>0</v>
      </c>
      <c r="BE204" s="542">
        <f t="shared" ref="BE204" si="196">BC204-BD204</f>
        <v>332.95797063007177</v>
      </c>
      <c r="BF204" s="170">
        <f t="shared" ref="BF204" si="197">IF(BG204="USD",AU204,IF(BG204=S204,R204,-J204))</f>
        <v>492563.22911192849</v>
      </c>
      <c r="BG204" s="170" t="str">
        <f t="shared" ref="BG204" si="198">LEFT(AJ204,3)</f>
        <v>USD</v>
      </c>
      <c r="BH204" s="542">
        <f>IF(OR(A204="REFUND",A204="CANCELLED"),0,IFERROR((IF(OR(AJ204="USDAED",LEFT(AJ204,3)=RIGHT(AJ204,3)),AQ204,AO204)-AM204)*-BF204*VLOOKUP(AJ204,'FX RATES'!$H$1:$J$26,3,FALSE),0))</f>
        <v>108363.9104046237</v>
      </c>
      <c r="BI204" s="170" t="str">
        <f t="shared" ref="BI204" si="199">RIGHT(AJ204,3)</f>
        <v>RUB</v>
      </c>
      <c r="BJ204" s="542">
        <f t="shared" ref="BJ204" si="200">IF(BH204=0,0,IFERROR(BH204/IF(BI204&lt;&gt;"USD",AQ204,1),"???"))</f>
        <v>1427.7195046722491</v>
      </c>
      <c r="BK204" s="170">
        <f t="shared" ref="BK204" si="201">IFERROR(-AK204/(IF(OR(AJ204="USDAED",LEFT(AJ204,3)=RIGHT(AJ204,3)),AP204,AO204)-AM204)*BJ204,0)</f>
        <v>0</v>
      </c>
      <c r="BL204" s="542">
        <f t="shared" ref="BL204" si="202">BJ204-BK204</f>
        <v>1427.7195046722491</v>
      </c>
      <c r="BM204" s="170">
        <f t="shared" ref="BM204" si="203">IF(AND(ISERROR(SEARCH("REFUND",A204)),ISERROR(SEARCH("CANCELLED",A204))),BD204+BK204,0)</f>
        <v>0</v>
      </c>
      <c r="BN204" s="542">
        <f t="shared" ref="BN204" si="204">IF(AND(ISERROR(SEARCH("REFUND",A204)),ISERROR(SEARCH("CANCELLED",A204))),BE204+BL204,0)</f>
        <v>1760.6774753023208</v>
      </c>
    </row>
    <row r="205" spans="1:66" ht="19.5" customHeight="1">
      <c r="A205" s="167" t="s">
        <v>366</v>
      </c>
      <c r="B205" s="168" t="s">
        <v>39</v>
      </c>
      <c r="C205" s="168" t="s">
        <v>381</v>
      </c>
      <c r="D205" s="168" t="s">
        <v>128</v>
      </c>
      <c r="E205" s="171">
        <v>46045</v>
      </c>
      <c r="F205" s="171"/>
      <c r="G205" s="168" t="s">
        <v>39</v>
      </c>
      <c r="H205" s="168" t="s">
        <v>39</v>
      </c>
      <c r="I205" s="169">
        <f>-R235</f>
        <v>-69549241.5</v>
      </c>
      <c r="J205" s="170">
        <f t="shared" ref="J205:J214" si="205">IF(I205="",AR205,I205)</f>
        <v>-69549241.5</v>
      </c>
      <c r="K205" s="168" t="s">
        <v>9</v>
      </c>
      <c r="L205" s="168" t="s">
        <v>391</v>
      </c>
      <c r="M205" s="168" t="s">
        <v>391</v>
      </c>
      <c r="N205" s="167" t="s">
        <v>371</v>
      </c>
      <c r="O205" s="168" t="s">
        <v>55</v>
      </c>
      <c r="P205" s="168" t="s">
        <v>55</v>
      </c>
      <c r="Q205" s="169"/>
      <c r="R205" s="170">
        <f t="shared" ref="R205:R214" si="206">IF(Q205="",AS205,Q205)</f>
        <v>69549241.5</v>
      </c>
      <c r="S205" s="168" t="s">
        <v>9</v>
      </c>
      <c r="T205" s="168" t="s">
        <v>391</v>
      </c>
      <c r="U205" s="168" t="s">
        <v>391</v>
      </c>
      <c r="V205" s="167" t="s">
        <v>371</v>
      </c>
      <c r="W205" s="172" t="s">
        <v>382</v>
      </c>
      <c r="X205" s="173">
        <f>IF(Y205="",VLOOKUP(H205,CLIENTS!$A$1:$O$649,5,FALSE),Y205)</f>
        <v>0</v>
      </c>
      <c r="Y205" s="174">
        <v>0</v>
      </c>
      <c r="Z205" s="173">
        <f>IF(AA205="",VLOOKUP(P205,CLIENTS!$A$1:$O$649,5,FALSE),AA205)</f>
        <v>0</v>
      </c>
      <c r="AA205" s="174">
        <v>0</v>
      </c>
      <c r="AB205" s="173" t="str">
        <f>IF(W205="via USD",IF(K205="EUR",K205&amp;"USD","USD"&amp;K205),IFERROR(VLOOKUP(K205&amp;S205,'FX RATES'!$H$2:$H$20,1,FALSE),S205&amp;K205))</f>
        <v>RUBRUB</v>
      </c>
      <c r="AC205" s="175">
        <f>IF(LEFT(AB205,3)=RIGHT(AB205,3),0,IFERROR(INDEX(CLIENTS!$A$1:$O$649,MATCH(H205,CLIENTS!$A$1:$A$649,0),MATCH(AB205,CLIENTS!$A$1:$O$1,0)),0))</f>
        <v>0</v>
      </c>
      <c r="AD205" s="176"/>
      <c r="AE205" s="177">
        <f t="shared" ref="AE205:AE214" si="207">IF(W205="CLIENT","",IF(AD205="",AH205+AC205,AD205+AC205))</f>
        <v>1</v>
      </c>
      <c r="AF205" s="177" t="str">
        <f t="shared" ref="AF205:AF214" si="208">E205&amp;AB205</f>
        <v>46045RUBRUB</v>
      </c>
      <c r="AG205" s="176"/>
      <c r="AH205" s="178">
        <f>IF(LEFT(AB205,3)=RIGHT(AB205,3),1,VLOOKUP(AB205,'FX RATES'!$H$1:$I$20,2,FALSE))</f>
        <v>1</v>
      </c>
      <c r="AI205" s="178">
        <f t="shared" si="181"/>
        <v>1</v>
      </c>
      <c r="AJ205" s="173" t="str">
        <f>IF(W205="via USD",IF(S205="EUR",S205&amp;"USD","USD"&amp;S205),IFERROR(VLOOKUP(K205&amp;S205,'FX RATES'!$H$2:$H$20,1,FALSE),S205&amp;K205))</f>
        <v>RUBRUB</v>
      </c>
      <c r="AK205" s="175">
        <f>IF(LEFT(AJ205,3)=RIGHT(AJ205,3),0,IFERROR(INDEX(CLIENTS!$A$1:$O$649,MATCH(P205,CLIENTS!$A$1:$A$649,0),MATCH(AJ205,CLIENTS!$A$1:$O$1,0)),0))</f>
        <v>0</v>
      </c>
      <c r="AL205" s="176"/>
      <c r="AM205" s="177" t="str">
        <f t="shared" ref="AM205:AM214" si="209">IF(W205="VENDOR","",IF(AL205="",AP205+AK205,AL205+AK205))</f>
        <v/>
      </c>
      <c r="AN205" s="177" t="str">
        <f t="shared" ref="AN205:AN214" si="210">E205&amp;AJ205</f>
        <v>46045RUBRUB</v>
      </c>
      <c r="AO205" s="176"/>
      <c r="AP205" s="178">
        <f>IF(LEFT(AJ205,3)=RIGHT(AJ205,3),1,VLOOKUP(AJ205,'FX RATES'!$H$1:$I$20,2,FALSE))</f>
        <v>1</v>
      </c>
      <c r="AQ205" s="178">
        <f t="shared" si="182"/>
        <v>1</v>
      </c>
      <c r="AR205" s="179">
        <f>-Q205*(1-Z205)/(1+X205)*IF(W205="CLIENT",IF(S205=RIGHT(AJ205,3),1/AM205,AM205),IF(W205="VENDOR",IF(S205=RIGHT(AJ205,3),1/AE205,AE205),AE205^(VLOOKUP(AB205,'FX RATES'!$H$1:$J$26,3,FALSE))/AM205^(VLOOKUP(AJ205,'FX RATES'!$H$1:$J$26,3,FALSE))))</f>
        <v>0</v>
      </c>
      <c r="AS205" s="179">
        <f>-I205*(1+X205)/(1-Z205)*IF(W205="VENDOR",IF(K205=RIGHT(AB205,3),1/AE205,AE205),IF(W205="CLIENT",IF(K205=RIGHT(AB205,3),1/AM205,AM205),AM205^(VLOOKUP(AJ205,'FX RATES'!$H$1:$J$26,3,FALSE))/AE205^(VLOOKUP(AB205,'FX RATES'!$H$1:$J$26,3,FALSE))))</f>
        <v>69549241.5</v>
      </c>
      <c r="AT205" s="170">
        <f ca="1">IF(AB205&lt;&gt;AJ205,J205/IF(K205=RIGHT(AB205,3),AE205,1/AE205),IF(S205="USD",J205/IF(K205=RIGHT(AB205,3),IF(W205="CLIENT",AM205,AE205),1/IF(W205="CLIENT",AM205,AE205)),J205*VLOOKUP(K205,'FX RATES'!$E$1:$F$10,2,FALSE)))</f>
        <v>-906527.47961757286</v>
      </c>
      <c r="AU205" s="170">
        <f ca="1">IF(AB205&lt;&gt;AJ205,R205/IF(S205=RIGHT(AJ205,3),AM205,1/AM205),IF(K205="USD",R205/IF(S205=RIGHT(AJ205,3),IF(W205="CLIENT",AM205,AE205),1/IF(W205="CLIENT",AM205,AE205)),R205*VLOOKUP(S205,'FX RATES'!$E$1:$F$10,2,FALSE)))</f>
        <v>906527.47961757286</v>
      </c>
      <c r="AV205" s="170">
        <f t="shared" ref="AV205:AV214" ca="1" si="211">AT205+AU205</f>
        <v>0</v>
      </c>
      <c r="AW205" s="169"/>
      <c r="AX205" s="170">
        <f t="shared" ref="AX205:AX214" ca="1" si="212">IF(AND(ISERROR(SEARCH("INVOICE",T205)),ISERROR(SEARCH("SWITCH",T205)),ISERROR(SEARCH("FOREX",T205)),ISERROR(SEARCH("REFUND",A205)),ISERROR(SEARCH("CANCELLED",A205))),IF(AW205="",-AT205*X205+AU205*Z205,AW205),0)</f>
        <v>0</v>
      </c>
      <c r="AY205" s="170">
        <f t="shared" ref="AY205:AY214" si="213">IF(AZ205="USD",AT205,IF(AZ205=K205,J205,-R205))</f>
        <v>-69549241.5</v>
      </c>
      <c r="AZ205" s="170" t="str">
        <f t="shared" ref="AZ205:AZ214" si="214">LEFT(AB205,3)</f>
        <v>RUB</v>
      </c>
      <c r="BA205" s="542">
        <f>IF(OR(A205="REFUND",A205="CANCELLED"),0,IFERROR((IF(OR(AB205="USDAED",LEFT(AB205,3)=RIGHT(AB205,3)),AI205,AG205)-AE205)*-AY205*VLOOKUP(AB205,'FX RATES'!$H$1:$J$26,3,FALSE),0))</f>
        <v>0</v>
      </c>
      <c r="BB205" s="170" t="str">
        <f t="shared" ref="BB205:BB214" si="215">RIGHT(AB205,3)</f>
        <v>RUB</v>
      </c>
      <c r="BC205" s="542">
        <f t="shared" ref="BC205:BC214" si="216">IF(BA205=0,0,IFERROR(BA205/IF(BB205&lt;&gt;"USD",AI205,1),"???"))</f>
        <v>0</v>
      </c>
      <c r="BD205" s="170">
        <f t="shared" ref="BD205:BD214" si="217">IFERROR(-AC205/(IF(OR(AB205="USDAED",LEFT(AB205,3)=RIGHT(AB205,3)),AH205,AG205)-AE205)*BC205,0)</f>
        <v>0</v>
      </c>
      <c r="BE205" s="542">
        <f t="shared" ref="BE205:BE214" si="218">BC205-BD205</f>
        <v>0</v>
      </c>
      <c r="BF205" s="170">
        <f t="shared" ref="BF205:BF214" si="219">IF(BG205="USD",AU205,IF(BG205=S205,R205,-J205))</f>
        <v>69549241.5</v>
      </c>
      <c r="BG205" s="170" t="str">
        <f t="shared" ref="BG205:BG214" si="220">LEFT(AJ205,3)</f>
        <v>RUB</v>
      </c>
      <c r="BH205" s="542">
        <f>IF(OR(A205="REFUND",A205="CANCELLED"),0,IFERROR((IF(OR(AJ205="USDAED",LEFT(AJ205,3)=RIGHT(AJ205,3)),AQ205,AO205)-AM205)*-BF205*VLOOKUP(AJ205,'FX RATES'!$H$1:$J$26,3,FALSE),0))</f>
        <v>0</v>
      </c>
      <c r="BI205" s="170" t="str">
        <f t="shared" ref="BI205:BI214" si="221">RIGHT(AJ205,3)</f>
        <v>RUB</v>
      </c>
      <c r="BJ205" s="542">
        <f t="shared" ref="BJ205:BJ214" si="222">IF(BH205=0,0,IFERROR(BH205/IF(BI205&lt;&gt;"USD",AQ205,1),"???"))</f>
        <v>0</v>
      </c>
      <c r="BK205" s="170">
        <f t="shared" ref="BK205:BK214" si="223">IFERROR(-AK205/(IF(OR(AJ205="USDAED",LEFT(AJ205,3)=RIGHT(AJ205,3)),AP205,AO205)-AM205)*BJ205,0)</f>
        <v>0</v>
      </c>
      <c r="BL205" s="542">
        <f t="shared" ref="BL205:BL214" si="224">BJ205-BK205</f>
        <v>0</v>
      </c>
      <c r="BM205" s="170">
        <f t="shared" ref="BM205:BM214" si="225">IF(AND(ISERROR(SEARCH("REFUND",A205)),ISERROR(SEARCH("CANCELLED",A205))),BD205+BK205,0)</f>
        <v>0</v>
      </c>
      <c r="BN205" s="542">
        <f t="shared" ref="BN205:BN214" si="226">IF(AND(ISERROR(SEARCH("REFUND",A205)),ISERROR(SEARCH("CANCELLED",A205))),BE205+BL205,0)</f>
        <v>0</v>
      </c>
    </row>
    <row r="206" spans="1:66" ht="19.5" customHeight="1">
      <c r="A206" s="167" t="s">
        <v>366</v>
      </c>
      <c r="B206" s="168" t="s">
        <v>39</v>
      </c>
      <c r="C206" s="168" t="s">
        <v>381</v>
      </c>
      <c r="D206" s="168" t="s">
        <v>128</v>
      </c>
      <c r="E206" s="171">
        <v>46045</v>
      </c>
      <c r="F206" s="171"/>
      <c r="G206" s="168" t="s">
        <v>39</v>
      </c>
      <c r="H206" s="168" t="s">
        <v>39</v>
      </c>
      <c r="I206" s="169"/>
      <c r="J206" s="170">
        <f t="shared" si="205"/>
        <v>-69549241.5</v>
      </c>
      <c r="K206" s="168" t="s">
        <v>9</v>
      </c>
      <c r="L206" s="168" t="s">
        <v>391</v>
      </c>
      <c r="M206" s="168" t="s">
        <v>391</v>
      </c>
      <c r="N206" s="167" t="s">
        <v>371</v>
      </c>
      <c r="O206" s="168" t="s">
        <v>55</v>
      </c>
      <c r="P206" s="168" t="s">
        <v>55</v>
      </c>
      <c r="Q206" s="169">
        <f>R235</f>
        <v>69549241.5</v>
      </c>
      <c r="R206" s="170">
        <f t="shared" si="206"/>
        <v>69549241.5</v>
      </c>
      <c r="S206" s="168" t="s">
        <v>9</v>
      </c>
      <c r="T206" s="168" t="s">
        <v>391</v>
      </c>
      <c r="U206" s="168" t="s">
        <v>391</v>
      </c>
      <c r="V206" s="167" t="s">
        <v>371</v>
      </c>
      <c r="W206" s="172" t="s">
        <v>382</v>
      </c>
      <c r="X206" s="173">
        <f>IF(Y206="",VLOOKUP(H206,CLIENTS!$A$1:$O$649,5,FALSE),Y206)</f>
        <v>0</v>
      </c>
      <c r="Y206" s="174">
        <v>0</v>
      </c>
      <c r="Z206" s="173">
        <f>IF(AA206="",VLOOKUP(P206,CLIENTS!$A$1:$O$649,5,FALSE),AA206)</f>
        <v>0</v>
      </c>
      <c r="AA206" s="174">
        <v>0</v>
      </c>
      <c r="AB206" s="173" t="str">
        <f>IF(W206="via USD",IF(K206="EUR",K206&amp;"USD","USD"&amp;K206),IFERROR(VLOOKUP(K206&amp;S206,'FX RATES'!$H$2:$H$20,1,FALSE),S206&amp;K206))</f>
        <v>RUBRUB</v>
      </c>
      <c r="AC206" s="175">
        <f>IF(LEFT(AB206,3)=RIGHT(AB206,3),0,IFERROR(INDEX(CLIENTS!$A$1:$O$649,MATCH(H206,CLIENTS!$A$1:$A$649,0),MATCH(AB206,CLIENTS!$A$1:$O$1,0)),0))</f>
        <v>0</v>
      </c>
      <c r="AD206" s="176"/>
      <c r="AE206" s="177">
        <f t="shared" si="207"/>
        <v>1</v>
      </c>
      <c r="AF206" s="177" t="str">
        <f t="shared" si="208"/>
        <v>46045RUBRUB</v>
      </c>
      <c r="AG206" s="176"/>
      <c r="AH206" s="178">
        <f>IF(LEFT(AB206,3)=RIGHT(AB206,3),1,VLOOKUP(AB206,'FX RATES'!$H$1:$I$20,2,FALSE))</f>
        <v>1</v>
      </c>
      <c r="AI206" s="178">
        <f t="shared" si="181"/>
        <v>1</v>
      </c>
      <c r="AJ206" s="173" t="str">
        <f>IF(W206="via USD",IF(S206="EUR",S206&amp;"USD","USD"&amp;S206),IFERROR(VLOOKUP(K206&amp;S206,'FX RATES'!$H$2:$H$20,1,FALSE),S206&amp;K206))</f>
        <v>RUBRUB</v>
      </c>
      <c r="AK206" s="175">
        <f>IF(LEFT(AJ206,3)=RIGHT(AJ206,3),0,IFERROR(INDEX(CLIENTS!$A$1:$O$649,MATCH(P206,CLIENTS!$A$1:$A$649,0),MATCH(AJ206,CLIENTS!$A$1:$O$1,0)),0))</f>
        <v>0</v>
      </c>
      <c r="AL206" s="176"/>
      <c r="AM206" s="177" t="str">
        <f t="shared" si="209"/>
        <v/>
      </c>
      <c r="AN206" s="177" t="str">
        <f t="shared" si="210"/>
        <v>46045RUBRUB</v>
      </c>
      <c r="AO206" s="176"/>
      <c r="AP206" s="178">
        <f>IF(LEFT(AJ206,3)=RIGHT(AJ206,3),1,VLOOKUP(AJ206,'FX RATES'!$H$1:$I$20,2,FALSE))</f>
        <v>1</v>
      </c>
      <c r="AQ206" s="178">
        <f t="shared" si="182"/>
        <v>1</v>
      </c>
      <c r="AR206" s="179">
        <f>-Q206*(1-Z206)/(1+X206)*IF(W206="CLIENT",IF(S206=RIGHT(AJ206,3),1/AM206,AM206),IF(W206="VENDOR",IF(S206=RIGHT(AJ206,3),1/AE206,AE206),AE206^(VLOOKUP(AB206,'FX RATES'!$H$1:$J$26,3,FALSE))/AM206^(VLOOKUP(AJ206,'FX RATES'!$H$1:$J$26,3,FALSE))))</f>
        <v>-69549241.5</v>
      </c>
      <c r="AS206" s="179">
        <f>-I206*(1+X206)/(1-Z206)*IF(W206="VENDOR",IF(K206=RIGHT(AB206,3),1/AE206,AE206),IF(W206="CLIENT",IF(K206=RIGHT(AB206,3),1/AM206,AM206),AM206^(VLOOKUP(AJ206,'FX RATES'!$H$1:$J$26,3,FALSE))/AE206^(VLOOKUP(AB206,'FX RATES'!$H$1:$J$26,3,FALSE))))</f>
        <v>0</v>
      </c>
      <c r="AT206" s="170">
        <f ca="1">IF(AB206&lt;&gt;AJ206,J206/IF(K206=RIGHT(AB206,3),AE206,1/AE206),IF(S206="USD",J206/IF(K206=RIGHT(AB206,3),IF(W206="CLIENT",AM206,AE206),1/IF(W206="CLIENT",AM206,AE206)),J206*VLOOKUP(K206,'FX RATES'!$E$1:$F$10,2,FALSE)))</f>
        <v>-906527.47961757286</v>
      </c>
      <c r="AU206" s="170">
        <f ca="1">IF(AB206&lt;&gt;AJ206,R206/IF(S206=RIGHT(AJ206,3),AM206,1/AM206),IF(K206="USD",R206/IF(S206=RIGHT(AJ206,3),IF(W206="CLIENT",AM206,AE206),1/IF(W206="CLIENT",AM206,AE206)),R206*VLOOKUP(S206,'FX RATES'!$E$1:$F$10,2,FALSE)))</f>
        <v>906527.47961757286</v>
      </c>
      <c r="AV206" s="170">
        <f t="shared" ca="1" si="211"/>
        <v>0</v>
      </c>
      <c r="AW206" s="169"/>
      <c r="AX206" s="170">
        <f t="shared" ca="1" si="212"/>
        <v>0</v>
      </c>
      <c r="AY206" s="170">
        <f t="shared" si="213"/>
        <v>-69549241.5</v>
      </c>
      <c r="AZ206" s="170" t="str">
        <f t="shared" si="214"/>
        <v>RUB</v>
      </c>
      <c r="BA206" s="542">
        <f>IF(OR(A206="REFUND",A206="CANCELLED"),0,IFERROR((IF(OR(AB206="USDAED",LEFT(AB206,3)=RIGHT(AB206,3)),AI206,AG206)-AE206)*-AY206*VLOOKUP(AB206,'FX RATES'!$H$1:$J$26,3,FALSE),0))</f>
        <v>0</v>
      </c>
      <c r="BB206" s="170" t="str">
        <f t="shared" si="215"/>
        <v>RUB</v>
      </c>
      <c r="BC206" s="542">
        <f t="shared" si="216"/>
        <v>0</v>
      </c>
      <c r="BD206" s="170">
        <f t="shared" si="217"/>
        <v>0</v>
      </c>
      <c r="BE206" s="542">
        <f t="shared" si="218"/>
        <v>0</v>
      </c>
      <c r="BF206" s="170">
        <f t="shared" si="219"/>
        <v>69549241.5</v>
      </c>
      <c r="BG206" s="170" t="str">
        <f t="shared" si="220"/>
        <v>RUB</v>
      </c>
      <c r="BH206" s="542">
        <f>IF(OR(A206="REFUND",A206="CANCELLED"),0,IFERROR((IF(OR(AJ206="USDAED",LEFT(AJ206,3)=RIGHT(AJ206,3)),AQ206,AO206)-AM206)*-BF206*VLOOKUP(AJ206,'FX RATES'!$H$1:$J$26,3,FALSE),0))</f>
        <v>0</v>
      </c>
      <c r="BI206" s="170" t="str">
        <f t="shared" si="221"/>
        <v>RUB</v>
      </c>
      <c r="BJ206" s="542">
        <f t="shared" si="222"/>
        <v>0</v>
      </c>
      <c r="BK206" s="170">
        <f t="shared" si="223"/>
        <v>0</v>
      </c>
      <c r="BL206" s="542">
        <f t="shared" si="224"/>
        <v>0</v>
      </c>
      <c r="BM206" s="170">
        <f t="shared" si="225"/>
        <v>0</v>
      </c>
      <c r="BN206" s="542">
        <f t="shared" si="226"/>
        <v>0</v>
      </c>
    </row>
    <row r="207" spans="1:66" ht="19.5" customHeight="1">
      <c r="A207" s="167" t="s">
        <v>366</v>
      </c>
      <c r="B207" s="168" t="s">
        <v>52</v>
      </c>
      <c r="C207" s="168" t="s">
        <v>381</v>
      </c>
      <c r="D207" s="168" t="s">
        <v>128</v>
      </c>
      <c r="E207" s="171">
        <v>46045</v>
      </c>
      <c r="F207" s="171"/>
      <c r="G207" s="168" t="s">
        <v>52</v>
      </c>
      <c r="H207" s="168" t="s">
        <v>52</v>
      </c>
      <c r="I207" s="169"/>
      <c r="J207" s="170">
        <f t="shared" si="205"/>
        <v>-6460858.5</v>
      </c>
      <c r="K207" s="168" t="s">
        <v>9</v>
      </c>
      <c r="L207" s="168" t="s">
        <v>25</v>
      </c>
      <c r="M207" s="168" t="s">
        <v>25</v>
      </c>
      <c r="N207" s="167" t="s">
        <v>371</v>
      </c>
      <c r="O207" s="168" t="s">
        <v>52</v>
      </c>
      <c r="P207" s="168" t="s">
        <v>52</v>
      </c>
      <c r="Q207" s="169">
        <v>6460858.5</v>
      </c>
      <c r="R207" s="170">
        <f t="shared" si="206"/>
        <v>6460858.5</v>
      </c>
      <c r="S207" s="168" t="s">
        <v>9</v>
      </c>
      <c r="T207" s="168" t="s">
        <v>25</v>
      </c>
      <c r="U207" s="168" t="s">
        <v>25</v>
      </c>
      <c r="V207" s="167" t="s">
        <v>371</v>
      </c>
      <c r="W207" s="172" t="s">
        <v>382</v>
      </c>
      <c r="X207" s="173">
        <f>IF(Y207="",VLOOKUP(H207,CLIENTS!$A$1:$O$649,5,FALSE),Y207)</f>
        <v>0</v>
      </c>
      <c r="Y207" s="174"/>
      <c r="Z207" s="173">
        <f>IF(AA207="",VLOOKUP(P207,CLIENTS!$A$1:$O$649,5,FALSE),AA207)</f>
        <v>0</v>
      </c>
      <c r="AA207" s="174"/>
      <c r="AB207" s="173" t="str">
        <f>IF(W207="via USD",IF(K207="EUR",K207&amp;"USD","USD"&amp;K207),IFERROR(VLOOKUP(K207&amp;S207,'FX RATES'!$H$2:$H$20,1,FALSE),S207&amp;K207))</f>
        <v>RUBRUB</v>
      </c>
      <c r="AC207" s="175">
        <f>IF(LEFT(AB207,3)=RIGHT(AB207,3),0,IFERROR(INDEX(CLIENTS!$A$1:$O$649,MATCH(H207,CLIENTS!$A$1:$A$649,0),MATCH(AB207,CLIENTS!$A$1:$O$1,0)),0))</f>
        <v>0</v>
      </c>
      <c r="AD207" s="176"/>
      <c r="AE207" s="177">
        <f t="shared" si="207"/>
        <v>1</v>
      </c>
      <c r="AF207" s="177" t="str">
        <f t="shared" si="208"/>
        <v>46045RUBRUB</v>
      </c>
      <c r="AG207" s="176"/>
      <c r="AH207" s="178">
        <f>IF(LEFT(AB207,3)=RIGHT(AB207,3),1,VLOOKUP(AB207,'FX RATES'!$H$1:$I$20,2,FALSE))</f>
        <v>1</v>
      </c>
      <c r="AI207" s="178">
        <f t="shared" si="181"/>
        <v>1</v>
      </c>
      <c r="AJ207" s="173" t="str">
        <f>IF(W207="via USD",IF(S207="EUR",S207&amp;"USD","USD"&amp;S207),IFERROR(VLOOKUP(K207&amp;S207,'FX RATES'!$H$2:$H$20,1,FALSE),S207&amp;K207))</f>
        <v>RUBRUB</v>
      </c>
      <c r="AK207" s="175">
        <f>IF(LEFT(AJ207,3)=RIGHT(AJ207,3),0,IFERROR(INDEX(CLIENTS!$A$1:$O$649,MATCH(P207,CLIENTS!$A$1:$A$649,0),MATCH(AJ207,CLIENTS!$A$1:$O$1,0)),0))</f>
        <v>0</v>
      </c>
      <c r="AL207" s="176"/>
      <c r="AM207" s="177" t="str">
        <f t="shared" si="209"/>
        <v/>
      </c>
      <c r="AN207" s="177" t="str">
        <f t="shared" si="210"/>
        <v>46045RUBRUB</v>
      </c>
      <c r="AO207" s="176"/>
      <c r="AP207" s="178">
        <f>IF(LEFT(AJ207,3)=RIGHT(AJ207,3),1,VLOOKUP(AJ207,'FX RATES'!$H$1:$I$20,2,FALSE))</f>
        <v>1</v>
      </c>
      <c r="AQ207" s="178">
        <f t="shared" si="182"/>
        <v>1</v>
      </c>
      <c r="AR207" s="179">
        <f>-Q207*(1-Z207)/(1+X207)*IF(W207="CLIENT",IF(S207=RIGHT(AJ207,3),1/AM207,AM207),IF(W207="VENDOR",IF(S207=RIGHT(AJ207,3),1/AE207,AE207),AE207^(VLOOKUP(AB207,'FX RATES'!$H$1:$J$26,3,FALSE))/AM207^(VLOOKUP(AJ207,'FX RATES'!$H$1:$J$26,3,FALSE))))</f>
        <v>-6460858.5</v>
      </c>
      <c r="AS207" s="179">
        <f>-I207*(1+X207)/(1-Z207)*IF(W207="VENDOR",IF(K207=RIGHT(AB207,3),1/AE207,AE207),IF(W207="CLIENT",IF(K207=RIGHT(AB207,3),1/AM207,AM207),AM207^(VLOOKUP(AJ207,'FX RATES'!$H$1:$J$26,3,FALSE))/AE207^(VLOOKUP(AB207,'FX RATES'!$H$1:$J$26,3,FALSE))))</f>
        <v>0</v>
      </c>
      <c r="AT207" s="170">
        <f ca="1">IF(AB207&lt;&gt;AJ207,J207/IF(K207=RIGHT(AB207,3),AE207,1/AE207),IF(S207="USD",J207/IF(K207=RIGHT(AB207,3),IF(W207="CLIENT",AM207,AE207),1/IF(W207="CLIENT",AM207,AE207)),J207*VLOOKUP(K207,'FX RATES'!$E$1:$F$10,2,FALSE)))</f>
        <v>-84212.935265020424</v>
      </c>
      <c r="AU207" s="170">
        <f ca="1">IF(AB207&lt;&gt;AJ207,R207/IF(S207=RIGHT(AJ207,3),AM207,1/AM207),IF(K207="USD",R207/IF(S207=RIGHT(AJ207,3),IF(W207="CLIENT",AM207,AE207),1/IF(W207="CLIENT",AM207,AE207)),R207*VLOOKUP(S207,'FX RATES'!$E$1:$F$10,2,FALSE)))</f>
        <v>84212.935265020424</v>
      </c>
      <c r="AV207" s="170">
        <f t="shared" ca="1" si="211"/>
        <v>0</v>
      </c>
      <c r="AW207" s="169"/>
      <c r="AX207" s="170">
        <f t="shared" ca="1" si="212"/>
        <v>0</v>
      </c>
      <c r="AY207" s="170">
        <f t="shared" si="213"/>
        <v>-6460858.5</v>
      </c>
      <c r="AZ207" s="170" t="str">
        <f t="shared" si="214"/>
        <v>RUB</v>
      </c>
      <c r="BA207" s="542">
        <f>IF(OR(A207="REFUND",A207="CANCELLED"),0,IFERROR((IF(OR(AB207="USDAED",LEFT(AB207,3)=RIGHT(AB207,3)),AI207,AG207)-AE207)*-AY207*VLOOKUP(AB207,'FX RATES'!$H$1:$J$26,3,FALSE),0))</f>
        <v>0</v>
      </c>
      <c r="BB207" s="170" t="str">
        <f t="shared" si="215"/>
        <v>RUB</v>
      </c>
      <c r="BC207" s="542">
        <f t="shared" si="216"/>
        <v>0</v>
      </c>
      <c r="BD207" s="170">
        <f t="shared" si="217"/>
        <v>0</v>
      </c>
      <c r="BE207" s="542">
        <f t="shared" si="218"/>
        <v>0</v>
      </c>
      <c r="BF207" s="170">
        <f t="shared" si="219"/>
        <v>6460858.5</v>
      </c>
      <c r="BG207" s="170" t="str">
        <f t="shared" si="220"/>
        <v>RUB</v>
      </c>
      <c r="BH207" s="542">
        <f>IF(OR(A207="REFUND",A207="CANCELLED"),0,IFERROR((IF(OR(AJ207="USDAED",LEFT(AJ207,3)=RIGHT(AJ207,3)),AQ207,AO207)-AM207)*-BF207*VLOOKUP(AJ207,'FX RATES'!$H$1:$J$26,3,FALSE),0))</f>
        <v>0</v>
      </c>
      <c r="BI207" s="170" t="str">
        <f t="shared" si="221"/>
        <v>RUB</v>
      </c>
      <c r="BJ207" s="542">
        <f t="shared" si="222"/>
        <v>0</v>
      </c>
      <c r="BK207" s="170">
        <f t="shared" si="223"/>
        <v>0</v>
      </c>
      <c r="BL207" s="542">
        <f t="shared" si="224"/>
        <v>0</v>
      </c>
      <c r="BM207" s="170">
        <f t="shared" si="225"/>
        <v>0</v>
      </c>
      <c r="BN207" s="542">
        <f t="shared" si="226"/>
        <v>0</v>
      </c>
    </row>
    <row r="208" spans="1:66" ht="19.5" customHeight="1">
      <c r="A208" s="167" t="s">
        <v>366</v>
      </c>
      <c r="B208" s="168" t="s">
        <v>52</v>
      </c>
      <c r="C208" s="168" t="s">
        <v>383</v>
      </c>
      <c r="D208" s="168" t="s">
        <v>465</v>
      </c>
      <c r="E208" s="171">
        <v>46045</v>
      </c>
      <c r="F208" s="171"/>
      <c r="G208" s="168" t="s">
        <v>52</v>
      </c>
      <c r="H208" s="168" t="s">
        <v>523</v>
      </c>
      <c r="I208" s="169"/>
      <c r="J208" s="170">
        <f t="shared" si="205"/>
        <v>-15207640.000000002</v>
      </c>
      <c r="K208" s="168" t="s">
        <v>9</v>
      </c>
      <c r="L208" s="171" t="s">
        <v>411</v>
      </c>
      <c r="M208" s="168" t="s">
        <v>25</v>
      </c>
      <c r="N208" s="167" t="s">
        <v>371</v>
      </c>
      <c r="O208" s="168" t="s">
        <v>39</v>
      </c>
      <c r="P208" s="349" t="s">
        <v>466</v>
      </c>
      <c r="Q208" s="169">
        <v>734500</v>
      </c>
      <c r="R208" s="170">
        <f t="shared" si="206"/>
        <v>734500</v>
      </c>
      <c r="S208" s="168" t="s">
        <v>8</v>
      </c>
      <c r="T208" s="171" t="s">
        <v>40</v>
      </c>
      <c r="U208" s="168" t="s">
        <v>15</v>
      </c>
      <c r="V208" s="167" t="s">
        <v>371</v>
      </c>
      <c r="W208" s="172" t="s">
        <v>375</v>
      </c>
      <c r="X208" s="173">
        <f>IF(Y208="",VLOOKUP(H208,CLIENTS!$A$1:$O$649,5,FALSE),Y208)</f>
        <v>0</v>
      </c>
      <c r="Y208" s="174">
        <v>0</v>
      </c>
      <c r="Z208" s="173">
        <f>IF(AA208="",VLOOKUP(P208,CLIENTS!$A$1:$O$649,5,FALSE),AA208)</f>
        <v>0</v>
      </c>
      <c r="AA208" s="174">
        <v>0</v>
      </c>
      <c r="AB208" s="173" t="str">
        <f>IF(W208="via USD",IF(K208="EUR",K208&amp;"USD","USD"&amp;K208),IFERROR(VLOOKUP(K208&amp;S208,'FX RATES'!$H$2:$H$20,1,FALSE),S208&amp;K208))</f>
        <v>USDRUB</v>
      </c>
      <c r="AC208" s="175">
        <f>IF(LEFT(AB208,3)=RIGHT(AB208,3),0,IFERROR(INDEX(CLIENTS!$A$1:$O$649,MATCH(H208,CLIENTS!$A$1:$A$649,0),MATCH(AB208,CLIENTS!$A$1:$O$1,0)),0))</f>
        <v>0</v>
      </c>
      <c r="AD208" s="176">
        <v>76.038200000000003</v>
      </c>
      <c r="AE208" s="177">
        <f t="shared" si="207"/>
        <v>76.038200000000003</v>
      </c>
      <c r="AF208" s="177" t="str">
        <f t="shared" si="208"/>
        <v>46045USDRUB</v>
      </c>
      <c r="AG208" s="176">
        <v>75.900000000000006</v>
      </c>
      <c r="AH208" s="178">
        <f ca="1">IF(LEFT(AB208,3)=RIGHT(AB208,3),1,VLOOKUP(AB208,'FX RATES'!$H$1:$I$20,2,FALSE))</f>
        <v>76.720500000000001</v>
      </c>
      <c r="AI208" s="178">
        <f t="shared" si="181"/>
        <v>75.900000000000006</v>
      </c>
      <c r="AJ208" s="173" t="str">
        <f>IF(W208="via USD",IF(S208="EUR",S208&amp;"USD","USD"&amp;S208),IFERROR(VLOOKUP(K208&amp;S208,'FX RATES'!$H$2:$H$20,1,FALSE),S208&amp;K208))</f>
        <v>USDAED</v>
      </c>
      <c r="AK208" s="175">
        <f>IF(LEFT(AJ208,3)=RIGHT(AJ208,3),0,IFERROR(INDEX(CLIENTS!$A$1:$O$649,MATCH(P208,CLIENTS!$A$1:$A$649,0),MATCH(AJ208,CLIENTS!$A$1:$O$1,0)),0))</f>
        <v>0</v>
      </c>
      <c r="AL208" s="176">
        <v>3.6724999999999999</v>
      </c>
      <c r="AM208" s="177">
        <f t="shared" si="209"/>
        <v>3.6724999999999999</v>
      </c>
      <c r="AN208" s="177" t="str">
        <f t="shared" si="210"/>
        <v>46045USDAED</v>
      </c>
      <c r="AO208" s="176">
        <v>3.6724999999999999</v>
      </c>
      <c r="AP208" s="178">
        <f>IF(LEFT(AJ208,3)=RIGHT(AJ208,3),1,VLOOKUP(AJ208,'FX RATES'!$H$1:$I$20,2,FALSE))</f>
        <v>3.6724999999999999</v>
      </c>
      <c r="AQ208" s="178">
        <f t="shared" si="182"/>
        <v>3.6724999999999999</v>
      </c>
      <c r="AR208" s="179">
        <f>-Q208*(1-Z208)/(1+X208)*IF(W208="CLIENT",IF(S208=RIGHT(AJ208,3),1/AM208,AM208),IF(W208="VENDOR",IF(S208=RIGHT(AJ208,3),1/AE208,AE208),AE208^(VLOOKUP(AB208,'FX RATES'!$H$1:$J$26,3,FALSE))/AM208^(VLOOKUP(AJ208,'FX RATES'!$H$1:$J$26,3,FALSE))))</f>
        <v>-15207640.000000002</v>
      </c>
      <c r="AS208" s="179">
        <f>-I208*(1+X208)/(1-Z208)*IF(W208="VENDOR",IF(K208=RIGHT(AB208,3),1/AE208,AE208),IF(W208="CLIENT",IF(K208=RIGHT(AB208,3),1/AM208,AM208),AM208^(VLOOKUP(AJ208,'FX RATES'!$H$1:$J$26,3,FALSE))/AE208^(VLOOKUP(AB208,'FX RATES'!$H$1:$J$26,3,FALSE))))</f>
        <v>0</v>
      </c>
      <c r="AT208" s="170">
        <f>IF(AB208&lt;&gt;AJ208,J208/IF(K208=RIGHT(AB208,3),AE208,1/AE208),IF(S208="USD",J208/IF(K208=RIGHT(AB208,3),IF(W208="CLIENT",AM208,AE208),1/IF(W208="CLIENT",AM208,AE208)),J208*VLOOKUP(K208,'FX RATES'!$E$1:$F$10,2,FALSE)))</f>
        <v>-200000.00000000003</v>
      </c>
      <c r="AU208" s="170">
        <f>IF(AB208&lt;&gt;AJ208,R208/IF(S208=RIGHT(AJ208,3),AM208,1/AM208),IF(K208="USD",R208/IF(S208=RIGHT(AJ208,3),IF(W208="CLIENT",AM208,AE208),1/IF(W208="CLIENT",AM208,AE208)),R208*VLOOKUP(S208,'FX RATES'!$E$1:$F$10,2,FALSE)))</f>
        <v>200000</v>
      </c>
      <c r="AV208" s="170">
        <f t="shared" si="211"/>
        <v>0</v>
      </c>
      <c r="AW208" s="169"/>
      <c r="AX208" s="170">
        <f t="shared" si="212"/>
        <v>0</v>
      </c>
      <c r="AY208" s="170">
        <f t="shared" si="213"/>
        <v>-200000.00000000003</v>
      </c>
      <c r="AZ208" s="170" t="str">
        <f t="shared" si="214"/>
        <v>USD</v>
      </c>
      <c r="BA208" s="542">
        <f>IF(OR(A208="REFUND",A208="CANCELLED"),0,IFERROR((IF(OR(AB208="USDAED",LEFT(AB208,3)=RIGHT(AB208,3)),AI208,AG208)-AE208)*-AY208*VLOOKUP(AB208,'FX RATES'!$H$1:$J$26,3,FALSE),0))</f>
        <v>-27639.999999999534</v>
      </c>
      <c r="BB208" s="170" t="str">
        <f t="shared" si="215"/>
        <v>RUB</v>
      </c>
      <c r="BC208" s="542">
        <f t="shared" si="216"/>
        <v>-364.16337285901886</v>
      </c>
      <c r="BD208" s="170">
        <f t="shared" si="217"/>
        <v>0</v>
      </c>
      <c r="BE208" s="542">
        <f t="shared" si="218"/>
        <v>-364.16337285901886</v>
      </c>
      <c r="BF208" s="170">
        <f t="shared" si="219"/>
        <v>200000</v>
      </c>
      <c r="BG208" s="170" t="str">
        <f t="shared" si="220"/>
        <v>USD</v>
      </c>
      <c r="BH208" s="542">
        <f>IF(OR(A208="REFUND",A208="CANCELLED"),0,IFERROR((IF(OR(AJ208="USDAED",LEFT(AJ208,3)=RIGHT(AJ208,3)),AQ208,AO208)-AM208)*-BF208*VLOOKUP(AJ208,'FX RATES'!$H$1:$J$26,3,FALSE),0))</f>
        <v>0</v>
      </c>
      <c r="BI208" s="170" t="str">
        <f t="shared" si="221"/>
        <v>AED</v>
      </c>
      <c r="BJ208" s="542">
        <f t="shared" si="222"/>
        <v>0</v>
      </c>
      <c r="BK208" s="170">
        <f t="shared" si="223"/>
        <v>0</v>
      </c>
      <c r="BL208" s="542">
        <f t="shared" si="224"/>
        <v>0</v>
      </c>
      <c r="BM208" s="170">
        <f t="shared" si="225"/>
        <v>0</v>
      </c>
      <c r="BN208" s="542">
        <f t="shared" si="226"/>
        <v>-364.16337285901886</v>
      </c>
    </row>
    <row r="209" spans="1:66" ht="19.5" customHeight="1">
      <c r="A209" s="167" t="s">
        <v>366</v>
      </c>
      <c r="B209" s="168" t="s">
        <v>0</v>
      </c>
      <c r="C209" s="168" t="s">
        <v>383</v>
      </c>
      <c r="D209" s="168" t="s">
        <v>121</v>
      </c>
      <c r="E209" s="171">
        <v>46045</v>
      </c>
      <c r="F209" s="171"/>
      <c r="G209" s="168" t="s">
        <v>52</v>
      </c>
      <c r="H209" s="181" t="s">
        <v>476</v>
      </c>
      <c r="I209" s="169">
        <f>-(R199+R201+R202+J208)</f>
        <v>-792899.91249904968</v>
      </c>
      <c r="J209" s="170">
        <f t="shared" si="205"/>
        <v>-792899.91249904968</v>
      </c>
      <c r="K209" s="168" t="s">
        <v>9</v>
      </c>
      <c r="L209" s="171" t="s">
        <v>25</v>
      </c>
      <c r="M209" s="168" t="s">
        <v>25</v>
      </c>
      <c r="N209" s="167" t="s">
        <v>371</v>
      </c>
      <c r="O209" s="168" t="s">
        <v>0</v>
      </c>
      <c r="P209" s="168" t="s">
        <v>0</v>
      </c>
      <c r="Q209" s="169"/>
      <c r="R209" s="170">
        <f t="shared" si="206"/>
        <v>10525.713761340792</v>
      </c>
      <c r="S209" s="168" t="s">
        <v>5</v>
      </c>
      <c r="T209" s="171" t="s">
        <v>477</v>
      </c>
      <c r="U209" s="168" t="s">
        <v>25</v>
      </c>
      <c r="V209" s="167" t="s">
        <v>371</v>
      </c>
      <c r="W209" s="172" t="s">
        <v>382</v>
      </c>
      <c r="X209" s="173">
        <f>IF(Y209="",VLOOKUP(H209,CLIENTS!$A$1:$O$649,5,FALSE),Y209)</f>
        <v>0</v>
      </c>
      <c r="Y209" s="174"/>
      <c r="Z209" s="173">
        <f>IF(AA209="",VLOOKUP(P209,CLIENTS!$A$1:$O$649,5,FALSE),AA209)</f>
        <v>0</v>
      </c>
      <c r="AA209" s="174"/>
      <c r="AB209" s="173" t="str">
        <f>IF(W209="via USD",IF(K209="EUR",K209&amp;"USD","USD"&amp;K209),IFERROR(VLOOKUP(K209&amp;S209,'FX RATES'!$H$2:$H$20,1,FALSE),S209&amp;K209))</f>
        <v>USDRUB</v>
      </c>
      <c r="AC209" s="175">
        <f>IF(LEFT(AB209,3)=RIGHT(AB209,3),0,IFERROR(INDEX(CLIENTS!$A$1:$O$649,MATCH(H209,CLIENTS!$A$1:$A$649,0),MATCH(AB209,CLIENTS!$A$1:$O$1,0)),0))+0.07</f>
        <v>0</v>
      </c>
      <c r="AD209" s="176">
        <v>75.329800000000006</v>
      </c>
      <c r="AE209" s="177">
        <f t="shared" si="207"/>
        <v>75.329800000000006</v>
      </c>
      <c r="AF209" s="177" t="str">
        <f t="shared" si="208"/>
        <v>46045USDRUB</v>
      </c>
      <c r="AG209" s="176">
        <v>75.900000000000006</v>
      </c>
      <c r="AH209" s="178">
        <f ca="1">IF(LEFT(AB209,3)=RIGHT(AB209,3),1,VLOOKUP(AB209,'FX RATES'!$H$1:$I$20,2,FALSE))</f>
        <v>76.720500000000001</v>
      </c>
      <c r="AI209" s="178">
        <f t="shared" si="181"/>
        <v>75.900000000000006</v>
      </c>
      <c r="AJ209" s="173" t="str">
        <f>IF(W209="via USD",IF(S209="EUR",S209&amp;"USD","USD"&amp;S209),IFERROR(VLOOKUP(K209&amp;S209,'FX RATES'!$H$2:$H$20,1,FALSE),S209&amp;K209))</f>
        <v>USDRUB</v>
      </c>
      <c r="AK209" s="175">
        <f>IF(LEFT(AJ209,3)=RIGHT(AJ209,3),0,IFERROR(INDEX(CLIENTS!$A$1:$O$649,MATCH(P209,CLIENTS!$A$1:$A$649,0),MATCH(AJ209,CLIENTS!$A$1:$O$1,0)),0))</f>
        <v>0</v>
      </c>
      <c r="AL209" s="176"/>
      <c r="AM209" s="177" t="str">
        <f t="shared" si="209"/>
        <v/>
      </c>
      <c r="AN209" s="177" t="str">
        <f t="shared" si="210"/>
        <v>46045USDRUB</v>
      </c>
      <c r="AO209" s="176"/>
      <c r="AP209" s="178">
        <f ca="1">IF(LEFT(AJ209,3)=RIGHT(AJ209,3),1,VLOOKUP(AJ209,'FX RATES'!$H$1:$I$20,2,FALSE))</f>
        <v>76.720500000000001</v>
      </c>
      <c r="AQ209" s="178">
        <f t="shared" si="182"/>
        <v>75.900000000000006</v>
      </c>
      <c r="AR209" s="179">
        <f>-Q209*(1-Z209)/(1+X209)*IF(W209="CLIENT",IF(S209=RIGHT(AJ209,3),1/AM209,AM209),IF(W209="VENDOR",IF(S209=RIGHT(AJ209,3),1/AE209,AE209),AE209^(VLOOKUP(AB209,'FX RATES'!$H$1:$J$26,3,FALSE))/AM209^(VLOOKUP(AJ209,'FX RATES'!$H$1:$J$26,3,FALSE))))</f>
        <v>0</v>
      </c>
      <c r="AS209" s="179">
        <f>-I209*(1+X209)/(1-Z209)*IF(W209="VENDOR",IF(K209=RIGHT(AB209,3),1/AE209,AE209),IF(W209="CLIENT",IF(K209=RIGHT(AB209,3),1/AM209,AM209),AM209^(VLOOKUP(AJ209,'FX RATES'!$H$1:$J$26,3,FALSE))/AE209^(VLOOKUP(AB209,'FX RATES'!$H$1:$J$26,3,FALSE))))</f>
        <v>10525.713761340792</v>
      </c>
      <c r="AT209" s="170">
        <f>IF(AB209&lt;&gt;AJ209,J209/IF(K209=RIGHT(AB209,3),AE209,1/AE209),IF(S209="USD",J209/IF(K209=RIGHT(AB209,3),IF(W209="CLIENT",AM209,AE209),1/IF(W209="CLIENT",AM209,AE209)),J209*VLOOKUP(K209,'FX RATES'!$E$1:$F$10,2,FALSE)))</f>
        <v>-10525.713761340792</v>
      </c>
      <c r="AU209" s="170">
        <f>IF(AB209&lt;&gt;AJ209,R209/IF(S209=RIGHT(AJ209,3),AM209,1/AM209),IF(K209="USD",R209/IF(S209=RIGHT(AJ209,3),IF(W209="CLIENT",AM209,AE209),1/IF(W209="CLIENT",AM209,AE209)),R209*VLOOKUP(S209,'FX RATES'!$E$1:$F$10,2,FALSE)))</f>
        <v>10525.713761340792</v>
      </c>
      <c r="AV209" s="170">
        <f t="shared" si="211"/>
        <v>0</v>
      </c>
      <c r="AW209" s="169"/>
      <c r="AX209" s="170">
        <f t="shared" si="212"/>
        <v>0</v>
      </c>
      <c r="AY209" s="170">
        <f t="shared" si="213"/>
        <v>-10525.713761340792</v>
      </c>
      <c r="AZ209" s="170" t="str">
        <f t="shared" si="214"/>
        <v>USD</v>
      </c>
      <c r="BA209" s="542">
        <f>IF(OR(A209="REFUND",A209="CANCELLED"),0,IFERROR((IF(OR(AB209="USDAED",LEFT(AB209,3)=RIGHT(AB209,3)),AI209,AG209)-AE209)*-AY209*VLOOKUP(AB209,'FX RATES'!$H$1:$J$26,3,FALSE),0))</f>
        <v>6001.7619867165176</v>
      </c>
      <c r="BB209" s="170" t="str">
        <f t="shared" si="215"/>
        <v>RUB</v>
      </c>
      <c r="BC209" s="542">
        <f t="shared" si="216"/>
        <v>79.074597980454769</v>
      </c>
      <c r="BD209" s="170">
        <f t="shared" si="217"/>
        <v>0</v>
      </c>
      <c r="BE209" s="542">
        <f t="shared" si="218"/>
        <v>79.074597980454769</v>
      </c>
      <c r="BF209" s="170">
        <f t="shared" si="219"/>
        <v>10525.713761340792</v>
      </c>
      <c r="BG209" s="170" t="str">
        <f t="shared" si="220"/>
        <v>USD</v>
      </c>
      <c r="BH209" s="542">
        <f>IF(OR(A209="REFUND",A209="CANCELLED"),0,IFERROR((IF(OR(AJ209="USDAED",LEFT(AJ209,3)=RIGHT(AJ209,3)),AQ209,AO209)-AM209)*-BF209*VLOOKUP(AJ209,'FX RATES'!$H$1:$J$26,3,FALSE),0))</f>
        <v>0</v>
      </c>
      <c r="BI209" s="170" t="str">
        <f t="shared" si="221"/>
        <v>RUB</v>
      </c>
      <c r="BJ209" s="542">
        <f t="shared" si="222"/>
        <v>0</v>
      </c>
      <c r="BK209" s="170">
        <f t="shared" si="223"/>
        <v>0</v>
      </c>
      <c r="BL209" s="542">
        <f t="shared" si="224"/>
        <v>0</v>
      </c>
      <c r="BM209" s="170">
        <f t="shared" si="225"/>
        <v>0</v>
      </c>
      <c r="BN209" s="542">
        <f t="shared" si="226"/>
        <v>79.074597980454769</v>
      </c>
    </row>
    <row r="210" spans="1:66" ht="19.5" customHeight="1">
      <c r="A210" s="167" t="s">
        <v>366</v>
      </c>
      <c r="B210" s="168" t="s">
        <v>99</v>
      </c>
      <c r="C210" s="168" t="s">
        <v>383</v>
      </c>
      <c r="D210" s="168" t="s">
        <v>121</v>
      </c>
      <c r="E210" s="171">
        <v>46045</v>
      </c>
      <c r="F210" s="171"/>
      <c r="G210" s="168" t="s">
        <v>99</v>
      </c>
      <c r="H210" s="181" t="s">
        <v>476</v>
      </c>
      <c r="I210" s="169">
        <f>-(R197)</f>
        <v>-13608000.000000086</v>
      </c>
      <c r="J210" s="170">
        <f t="shared" si="205"/>
        <v>-13608000.000000086</v>
      </c>
      <c r="K210" s="168" t="s">
        <v>9</v>
      </c>
      <c r="L210" s="171" t="s">
        <v>25</v>
      </c>
      <c r="M210" s="168" t="s">
        <v>391</v>
      </c>
      <c r="N210" s="167" t="s">
        <v>371</v>
      </c>
      <c r="O210" s="168" t="s">
        <v>0</v>
      </c>
      <c r="P210" s="168" t="s">
        <v>0</v>
      </c>
      <c r="Q210" s="169"/>
      <c r="R210" s="170">
        <f t="shared" si="206"/>
        <v>180645.64090174253</v>
      </c>
      <c r="S210" s="168" t="s">
        <v>5</v>
      </c>
      <c r="T210" s="171" t="s">
        <v>477</v>
      </c>
      <c r="U210" s="168" t="s">
        <v>25</v>
      </c>
      <c r="V210" s="167" t="s">
        <v>371</v>
      </c>
      <c r="W210" s="172" t="s">
        <v>382</v>
      </c>
      <c r="X210" s="173">
        <f>IF(Y210="",VLOOKUP(H210,CLIENTS!$A$1:$O$649,5,FALSE),Y210)</f>
        <v>0</v>
      </c>
      <c r="Y210" s="174"/>
      <c r="Z210" s="173">
        <f>IF(AA210="",VLOOKUP(P210,CLIENTS!$A$1:$O$649,5,FALSE),AA210)</f>
        <v>0</v>
      </c>
      <c r="AA210" s="174"/>
      <c r="AB210" s="173" t="str">
        <f>IF(W210="via USD",IF(K210="EUR",K210&amp;"USD","USD"&amp;K210),IFERROR(VLOOKUP(K210&amp;S210,'FX RATES'!$H$2:$H$20,1,FALSE),S210&amp;K210))</f>
        <v>USDRUB</v>
      </c>
      <c r="AC210" s="175">
        <f>IF(LEFT(AB210,3)=RIGHT(AB210,3),0,IFERROR(INDEX(CLIENTS!$A$1:$O$649,MATCH(H210,CLIENTS!$A$1:$A$649,0),MATCH(AB210,CLIENTS!$A$1:$O$1,0)),0))+0.07</f>
        <v>0</v>
      </c>
      <c r="AD210" s="176">
        <v>75.329800000000006</v>
      </c>
      <c r="AE210" s="177">
        <f t="shared" si="207"/>
        <v>75.329800000000006</v>
      </c>
      <c r="AF210" s="177" t="str">
        <f t="shared" si="208"/>
        <v>46045USDRUB</v>
      </c>
      <c r="AG210" s="176">
        <v>75.900000000000006</v>
      </c>
      <c r="AH210" s="178">
        <f ca="1">IF(LEFT(AB210,3)=RIGHT(AB210,3),1,VLOOKUP(AB210,'FX RATES'!$H$1:$I$20,2,FALSE))</f>
        <v>76.720500000000001</v>
      </c>
      <c r="AI210" s="178">
        <f t="shared" si="181"/>
        <v>75.900000000000006</v>
      </c>
      <c r="AJ210" s="173" t="str">
        <f>IF(W210="via USD",IF(S210="EUR",S210&amp;"USD","USD"&amp;S210),IFERROR(VLOOKUP(K210&amp;S210,'FX RATES'!$H$2:$H$20,1,FALSE),S210&amp;K210))</f>
        <v>USDRUB</v>
      </c>
      <c r="AK210" s="175">
        <f>IF(LEFT(AJ210,3)=RIGHT(AJ210,3),0,IFERROR(INDEX(CLIENTS!$A$1:$O$649,MATCH(P210,CLIENTS!$A$1:$A$649,0),MATCH(AJ210,CLIENTS!$A$1:$O$1,0)),0))</f>
        <v>0</v>
      </c>
      <c r="AL210" s="176"/>
      <c r="AM210" s="177" t="str">
        <f t="shared" si="209"/>
        <v/>
      </c>
      <c r="AN210" s="177" t="str">
        <f t="shared" si="210"/>
        <v>46045USDRUB</v>
      </c>
      <c r="AO210" s="176"/>
      <c r="AP210" s="178">
        <f ca="1">IF(LEFT(AJ210,3)=RIGHT(AJ210,3),1,VLOOKUP(AJ210,'FX RATES'!$H$1:$I$20,2,FALSE))</f>
        <v>76.720500000000001</v>
      </c>
      <c r="AQ210" s="178">
        <f t="shared" si="182"/>
        <v>75.900000000000006</v>
      </c>
      <c r="AR210" s="179">
        <f>-Q210*(1-Z210)/(1+X210)*IF(W210="CLIENT",IF(S210=RIGHT(AJ210,3),1/AM210,AM210),IF(W210="VENDOR",IF(S210=RIGHT(AJ210,3),1/AE210,AE210),AE210^(VLOOKUP(AB210,'FX RATES'!$H$1:$J$26,3,FALSE))/AM210^(VLOOKUP(AJ210,'FX RATES'!$H$1:$J$26,3,FALSE))))</f>
        <v>0</v>
      </c>
      <c r="AS210" s="179">
        <f>-I210*(1+X210)/(1-Z210)*IF(W210="VENDOR",IF(K210=RIGHT(AB210,3),1/AE210,AE210),IF(W210="CLIENT",IF(K210=RIGHT(AB210,3),1/AM210,AM210),AM210^(VLOOKUP(AJ210,'FX RATES'!$H$1:$J$26,3,FALSE))/AE210^(VLOOKUP(AB210,'FX RATES'!$H$1:$J$26,3,FALSE))))</f>
        <v>180645.64090174253</v>
      </c>
      <c r="AT210" s="170">
        <f>IF(AB210&lt;&gt;AJ210,J210/IF(K210=RIGHT(AB210,3),AE210,1/AE210),IF(S210="USD",J210/IF(K210=RIGHT(AB210,3),IF(W210="CLIENT",AM210,AE210),1/IF(W210="CLIENT",AM210,AE210)),J210*VLOOKUP(K210,'FX RATES'!$E$1:$F$10,2,FALSE)))</f>
        <v>-180645.64090174253</v>
      </c>
      <c r="AU210" s="170">
        <f>IF(AB210&lt;&gt;AJ210,R210/IF(S210=RIGHT(AJ210,3),AM210,1/AM210),IF(K210="USD",R210/IF(S210=RIGHT(AJ210,3),IF(W210="CLIENT",AM210,AE210),1/IF(W210="CLIENT",AM210,AE210)),R210*VLOOKUP(S210,'FX RATES'!$E$1:$F$10,2,FALSE)))</f>
        <v>180645.64090174253</v>
      </c>
      <c r="AV210" s="170">
        <f t="shared" si="211"/>
        <v>0</v>
      </c>
      <c r="AW210" s="169"/>
      <c r="AX210" s="170">
        <f t="shared" si="212"/>
        <v>0</v>
      </c>
      <c r="AY210" s="170">
        <f t="shared" si="213"/>
        <v>-180645.64090174253</v>
      </c>
      <c r="AZ210" s="170" t="str">
        <f t="shared" si="214"/>
        <v>USD</v>
      </c>
      <c r="BA210" s="542">
        <f>IF(OR(A210="REFUND",A210="CANCELLED"),0,IFERROR((IF(OR(AB210="USDAED",LEFT(AB210,3)=RIGHT(AB210,3)),AI210,AG210)-AE210)*-AY210*VLOOKUP(AB210,'FX RATES'!$H$1:$J$26,3,FALSE),0))</f>
        <v>103004.14444217357</v>
      </c>
      <c r="BB210" s="170" t="str">
        <f t="shared" si="215"/>
        <v>RUB</v>
      </c>
      <c r="BC210" s="542">
        <f t="shared" si="216"/>
        <v>1357.1033523343024</v>
      </c>
      <c r="BD210" s="170">
        <f t="shared" si="217"/>
        <v>0</v>
      </c>
      <c r="BE210" s="542">
        <f t="shared" si="218"/>
        <v>1357.1033523343024</v>
      </c>
      <c r="BF210" s="170">
        <f t="shared" si="219"/>
        <v>180645.64090174253</v>
      </c>
      <c r="BG210" s="170" t="str">
        <f t="shared" si="220"/>
        <v>USD</v>
      </c>
      <c r="BH210" s="542">
        <f>IF(OR(A210="REFUND",A210="CANCELLED"),0,IFERROR((IF(OR(AJ210="USDAED",LEFT(AJ210,3)=RIGHT(AJ210,3)),AQ210,AO210)-AM210)*-BF210*VLOOKUP(AJ210,'FX RATES'!$H$1:$J$26,3,FALSE),0))</f>
        <v>0</v>
      </c>
      <c r="BI210" s="170" t="str">
        <f t="shared" si="221"/>
        <v>RUB</v>
      </c>
      <c r="BJ210" s="542">
        <f t="shared" si="222"/>
        <v>0</v>
      </c>
      <c r="BK210" s="170">
        <f t="shared" si="223"/>
        <v>0</v>
      </c>
      <c r="BL210" s="542">
        <f t="shared" si="224"/>
        <v>0</v>
      </c>
      <c r="BM210" s="170">
        <f t="shared" si="225"/>
        <v>0</v>
      </c>
      <c r="BN210" s="542">
        <f t="shared" si="226"/>
        <v>1357.1033523343024</v>
      </c>
    </row>
    <row r="211" spans="1:66" ht="19.5" customHeight="1">
      <c r="A211" s="167" t="s">
        <v>366</v>
      </c>
      <c r="B211" s="168" t="s">
        <v>0</v>
      </c>
      <c r="C211" s="168" t="s">
        <v>383</v>
      </c>
      <c r="D211" s="168" t="s">
        <v>121</v>
      </c>
      <c r="E211" s="171">
        <v>46045</v>
      </c>
      <c r="F211" s="171"/>
      <c r="G211" s="168" t="s">
        <v>55</v>
      </c>
      <c r="H211" s="181" t="s">
        <v>476</v>
      </c>
      <c r="I211" s="169">
        <v>-65953722.502685897</v>
      </c>
      <c r="J211" s="170">
        <f t="shared" si="205"/>
        <v>-65953722.502685897</v>
      </c>
      <c r="K211" s="168" t="s">
        <v>9</v>
      </c>
      <c r="L211" s="171" t="s">
        <v>25</v>
      </c>
      <c r="M211" s="168" t="s">
        <v>25</v>
      </c>
      <c r="N211" s="167" t="s">
        <v>371</v>
      </c>
      <c r="O211" s="168" t="s">
        <v>0</v>
      </c>
      <c r="P211" s="168" t="s">
        <v>0</v>
      </c>
      <c r="Q211" s="169"/>
      <c r="R211" s="170">
        <f t="shared" si="206"/>
        <v>875532.95644865499</v>
      </c>
      <c r="S211" s="168" t="s">
        <v>5</v>
      </c>
      <c r="T211" s="171" t="s">
        <v>477</v>
      </c>
      <c r="U211" s="168" t="s">
        <v>25</v>
      </c>
      <c r="V211" s="167" t="s">
        <v>371</v>
      </c>
      <c r="W211" s="172" t="s">
        <v>382</v>
      </c>
      <c r="X211" s="173">
        <f>IF(Y211="",VLOOKUP(H211,CLIENTS!$A$1:$O$649,5,FALSE),Y211)</f>
        <v>0</v>
      </c>
      <c r="Y211" s="174"/>
      <c r="Z211" s="173">
        <f>IF(AA211="",VLOOKUP(P211,CLIENTS!$A$1:$O$649,5,FALSE),AA211)</f>
        <v>0</v>
      </c>
      <c r="AA211" s="174"/>
      <c r="AB211" s="173" t="str">
        <f>IF(W211="via USD",IF(K211="EUR",K211&amp;"USD","USD"&amp;K211),IFERROR(VLOOKUP(K211&amp;S211,'FX RATES'!$H$2:$H$20,1,FALSE),S211&amp;K211))</f>
        <v>USDRUB</v>
      </c>
      <c r="AC211" s="175">
        <f>IF(LEFT(AB211,3)=RIGHT(AB211,3),0,IFERROR(INDEX(CLIENTS!$A$1:$O$649,MATCH(H211,CLIENTS!$A$1:$A$649,0),MATCH(AB211,CLIENTS!$A$1:$O$1,0)),0))+0.07</f>
        <v>0</v>
      </c>
      <c r="AD211" s="176">
        <v>75.329800000000006</v>
      </c>
      <c r="AE211" s="177">
        <f t="shared" si="207"/>
        <v>75.329800000000006</v>
      </c>
      <c r="AF211" s="177" t="str">
        <f t="shared" si="208"/>
        <v>46045USDRUB</v>
      </c>
      <c r="AG211" s="176">
        <v>75.900000000000006</v>
      </c>
      <c r="AH211" s="178">
        <f ca="1">IF(LEFT(AB211,3)=RIGHT(AB211,3),1,VLOOKUP(AB211,'FX RATES'!$H$1:$I$20,2,FALSE))</f>
        <v>76.720500000000001</v>
      </c>
      <c r="AI211" s="178">
        <f t="shared" si="181"/>
        <v>75.900000000000006</v>
      </c>
      <c r="AJ211" s="173" t="str">
        <f>IF(W211="via USD",IF(S211="EUR",S211&amp;"USD","USD"&amp;S211),IFERROR(VLOOKUP(K211&amp;S211,'FX RATES'!$H$2:$H$20,1,FALSE),S211&amp;K211))</f>
        <v>USDRUB</v>
      </c>
      <c r="AK211" s="175">
        <f>IF(LEFT(AJ211,3)=RIGHT(AJ211,3),0,IFERROR(INDEX(CLIENTS!$A$1:$O$649,MATCH(P211,CLIENTS!$A$1:$A$649,0),MATCH(AJ211,CLIENTS!$A$1:$O$1,0)),0))</f>
        <v>0</v>
      </c>
      <c r="AL211" s="176"/>
      <c r="AM211" s="177" t="str">
        <f t="shared" si="209"/>
        <v/>
      </c>
      <c r="AN211" s="177" t="str">
        <f t="shared" si="210"/>
        <v>46045USDRUB</v>
      </c>
      <c r="AO211" s="176"/>
      <c r="AP211" s="178">
        <f ca="1">IF(LEFT(AJ211,3)=RIGHT(AJ211,3),1,VLOOKUP(AJ211,'FX RATES'!$H$1:$I$20,2,FALSE))</f>
        <v>76.720500000000001</v>
      </c>
      <c r="AQ211" s="178">
        <f t="shared" si="182"/>
        <v>75.900000000000006</v>
      </c>
      <c r="AR211" s="179">
        <f>-Q211*(1-Z211)/(1+X211)*IF(W211="CLIENT",IF(S211=RIGHT(AJ211,3),1/AM211,AM211),IF(W211="VENDOR",IF(S211=RIGHT(AJ211,3),1/AE211,AE211),AE211^(VLOOKUP(AB211,'FX RATES'!$H$1:$J$26,3,FALSE))/AM211^(VLOOKUP(AJ211,'FX RATES'!$H$1:$J$26,3,FALSE))))</f>
        <v>0</v>
      </c>
      <c r="AS211" s="179">
        <f>-I211*(1+X211)/(1-Z211)*IF(W211="VENDOR",IF(K211=RIGHT(AB211,3),1/AE211,AE211),IF(W211="CLIENT",IF(K211=RIGHT(AB211,3),1/AM211,AM211),AM211^(VLOOKUP(AJ211,'FX RATES'!$H$1:$J$26,3,FALSE))/AE211^(VLOOKUP(AB211,'FX RATES'!$H$1:$J$26,3,FALSE))))</f>
        <v>875532.95644865499</v>
      </c>
      <c r="AT211" s="170">
        <f>IF(AB211&lt;&gt;AJ211,J211/IF(K211=RIGHT(AB211,3),AE211,1/AE211),IF(S211="USD",J211/IF(K211=RIGHT(AB211,3),IF(W211="CLIENT",AM211,AE211),1/IF(W211="CLIENT",AM211,AE211)),J211*VLOOKUP(K211,'FX RATES'!$E$1:$F$10,2,FALSE)))</f>
        <v>-875532.95644865499</v>
      </c>
      <c r="AU211" s="170">
        <f>IF(AB211&lt;&gt;AJ211,R211/IF(S211=RIGHT(AJ211,3),AM211,1/AM211),IF(K211="USD",R211/IF(S211=RIGHT(AJ211,3),IF(W211="CLIENT",AM211,AE211),1/IF(W211="CLIENT",AM211,AE211)),R211*VLOOKUP(S211,'FX RATES'!$E$1:$F$10,2,FALSE)))</f>
        <v>875532.95644865499</v>
      </c>
      <c r="AV211" s="170">
        <f t="shared" si="211"/>
        <v>0</v>
      </c>
      <c r="AW211" s="169"/>
      <c r="AX211" s="170">
        <f t="shared" si="212"/>
        <v>0</v>
      </c>
      <c r="AY211" s="170">
        <f t="shared" si="213"/>
        <v>-875532.95644865499</v>
      </c>
      <c r="AZ211" s="170" t="str">
        <f t="shared" si="214"/>
        <v>USD</v>
      </c>
      <c r="BA211" s="542">
        <f>IF(OR(A211="REFUND",A211="CANCELLED"),0,IFERROR((IF(OR(AB211="USDAED",LEFT(AB211,3)=RIGHT(AB211,3)),AI211,AG211)-AE211)*-AY211*VLOOKUP(AB211,'FX RATES'!$H$1:$J$26,3,FALSE),0))</f>
        <v>499228.8917670229</v>
      </c>
      <c r="BB211" s="170" t="str">
        <f t="shared" si="215"/>
        <v>RUB</v>
      </c>
      <c r="BC211" s="542">
        <f t="shared" si="216"/>
        <v>6577.4557545062298</v>
      </c>
      <c r="BD211" s="170">
        <f t="shared" si="217"/>
        <v>0</v>
      </c>
      <c r="BE211" s="542">
        <f t="shared" si="218"/>
        <v>6577.4557545062298</v>
      </c>
      <c r="BF211" s="170">
        <f t="shared" si="219"/>
        <v>875532.95644865499</v>
      </c>
      <c r="BG211" s="170" t="str">
        <f t="shared" si="220"/>
        <v>USD</v>
      </c>
      <c r="BH211" s="542">
        <f>IF(OR(A211="REFUND",A211="CANCELLED"),0,IFERROR((IF(OR(AJ211="USDAED",LEFT(AJ211,3)=RIGHT(AJ211,3)),AQ211,AO211)-AM211)*-BF211*VLOOKUP(AJ211,'FX RATES'!$H$1:$J$26,3,FALSE),0))</f>
        <v>0</v>
      </c>
      <c r="BI211" s="170" t="str">
        <f t="shared" si="221"/>
        <v>RUB</v>
      </c>
      <c r="BJ211" s="542">
        <f t="shared" si="222"/>
        <v>0</v>
      </c>
      <c r="BK211" s="170">
        <f t="shared" si="223"/>
        <v>0</v>
      </c>
      <c r="BL211" s="542">
        <f t="shared" si="224"/>
        <v>0</v>
      </c>
      <c r="BM211" s="170">
        <f t="shared" si="225"/>
        <v>0</v>
      </c>
      <c r="BN211" s="542">
        <f t="shared" si="226"/>
        <v>6577.4557545062298</v>
      </c>
    </row>
    <row r="212" spans="1:66" ht="19.5" customHeight="1">
      <c r="A212" s="167" t="s">
        <v>366</v>
      </c>
      <c r="B212" s="168" t="s">
        <v>0</v>
      </c>
      <c r="C212" s="168" t="s">
        <v>383</v>
      </c>
      <c r="D212" s="168" t="s">
        <v>121</v>
      </c>
      <c r="E212" s="171">
        <v>46045</v>
      </c>
      <c r="F212" s="171"/>
      <c r="G212" s="168" t="s">
        <v>55</v>
      </c>
      <c r="H212" s="181" t="s">
        <v>476</v>
      </c>
      <c r="I212" s="169">
        <f>-R206-J211</f>
        <v>-3595518.9973141029</v>
      </c>
      <c r="J212" s="170">
        <f t="shared" si="205"/>
        <v>-3595518.9973141029</v>
      </c>
      <c r="K212" s="168" t="s">
        <v>9</v>
      </c>
      <c r="L212" s="171" t="s">
        <v>25</v>
      </c>
      <c r="M212" s="168" t="s">
        <v>25</v>
      </c>
      <c r="N212" s="167" t="s">
        <v>371</v>
      </c>
      <c r="O212" s="168" t="s">
        <v>0</v>
      </c>
      <c r="P212" s="168" t="s">
        <v>0</v>
      </c>
      <c r="Q212" s="169"/>
      <c r="R212" s="170">
        <f t="shared" si="206"/>
        <v>175289.41723166077</v>
      </c>
      <c r="S212" s="168" t="s">
        <v>8</v>
      </c>
      <c r="T212" s="171" t="s">
        <v>477</v>
      </c>
      <c r="U212" s="168" t="s">
        <v>25</v>
      </c>
      <c r="V212" s="167" t="s">
        <v>371</v>
      </c>
      <c r="W212" s="172" t="s">
        <v>382</v>
      </c>
      <c r="X212" s="173">
        <f>IF(Y212="",VLOOKUP(H212,CLIENTS!$A$1:$O$649,5,FALSE),Y212)</f>
        <v>0</v>
      </c>
      <c r="Y212" s="174"/>
      <c r="Z212" s="173">
        <f>IF(AA212="",VLOOKUP(P212,CLIENTS!$A$1:$O$649,5,FALSE),AA212)</f>
        <v>0</v>
      </c>
      <c r="AA212" s="174"/>
      <c r="AB212" s="173" t="str">
        <f>IF(W212="via USD",IF(K212="EUR",K212&amp;"USD","USD"&amp;K212),IFERROR(VLOOKUP(K212&amp;S212,'FX RATES'!$H$2:$H$20,1,FALSE),S212&amp;K212))</f>
        <v>AEDRUB</v>
      </c>
      <c r="AC212" s="175">
        <f>IF(LEFT(AB212,3)=RIGHT(AB212,3),0,IFERROR(INDEX(CLIENTS!$A$1:$O$649,MATCH(H212,CLIENTS!$A$1:$A$649,0),MATCH(AB212,CLIENTS!$A$1:$O$1,0)),0))</f>
        <v>0</v>
      </c>
      <c r="AD212" s="176">
        <v>20.511900000000001</v>
      </c>
      <c r="AE212" s="177">
        <f t="shared" si="207"/>
        <v>20.511900000000001</v>
      </c>
      <c r="AF212" s="177" t="str">
        <f t="shared" si="208"/>
        <v>46045AEDRUB</v>
      </c>
      <c r="AG212" s="176">
        <v>20.667100000000001</v>
      </c>
      <c r="AH212" s="178">
        <f ca="1">IF(LEFT(AB212,3)=RIGHT(AB212,3),1,VLOOKUP(AB212,'FX RATES'!$H$1:$I$20,2,FALSE))</f>
        <v>20.8843</v>
      </c>
      <c r="AI212" s="178">
        <f t="shared" si="181"/>
        <v>75.900000000000006</v>
      </c>
      <c r="AJ212" s="173" t="str">
        <f>IF(W212="via USD",IF(S212="EUR",S212&amp;"USD","USD"&amp;S212),IFERROR(VLOOKUP(K212&amp;S212,'FX RATES'!$H$2:$H$20,1,FALSE),S212&amp;K212))</f>
        <v>AEDRUB</v>
      </c>
      <c r="AK212" s="175">
        <f>IF(LEFT(AJ212,3)=RIGHT(AJ212,3),0,IFERROR(INDEX(CLIENTS!$A$1:$O$649,MATCH(P212,CLIENTS!$A$1:$A$649,0),MATCH(AJ212,CLIENTS!$A$1:$O$1,0)),0))</f>
        <v>0</v>
      </c>
      <c r="AL212" s="176"/>
      <c r="AM212" s="177" t="str">
        <f t="shared" si="209"/>
        <v/>
      </c>
      <c r="AN212" s="177" t="str">
        <f t="shared" si="210"/>
        <v>46045AEDRUB</v>
      </c>
      <c r="AO212" s="176"/>
      <c r="AP212" s="178">
        <f ca="1">IF(LEFT(AJ212,3)=RIGHT(AJ212,3),1,VLOOKUP(AJ212,'FX RATES'!$H$1:$I$20,2,FALSE))</f>
        <v>20.8843</v>
      </c>
      <c r="AQ212" s="178">
        <f t="shared" si="182"/>
        <v>75.900000000000006</v>
      </c>
      <c r="AR212" s="179">
        <f>-Q212*(1-Z212)/(1+X212)*IF(W212="CLIENT",IF(S212=RIGHT(AJ212,3),1/AM212,AM212),IF(W212="VENDOR",IF(S212=RIGHT(AJ212,3),1/AE212,AE212),AE212^(VLOOKUP(AB212,'FX RATES'!$H$1:$J$26,3,FALSE))/AM212^(VLOOKUP(AJ212,'FX RATES'!$H$1:$J$26,3,FALSE))))</f>
        <v>0</v>
      </c>
      <c r="AS212" s="179">
        <f>-I212*(1+X212)/(1-Z212)*IF(W212="VENDOR",IF(K212=RIGHT(AB212,3),1/AE212,AE212),IF(W212="CLIENT",IF(K212=RIGHT(AB212,3),1/AM212,AM212),AM212^(VLOOKUP(AJ212,'FX RATES'!$H$1:$J$26,3,FALSE))/AE212^(VLOOKUP(AB212,'FX RATES'!$H$1:$J$26,3,FALSE))))</f>
        <v>175289.41723166077</v>
      </c>
      <c r="AT212" s="170">
        <f ca="1">IF(AB212&lt;&gt;AJ212,J212/IF(K212=RIGHT(AB212,3),AE212,1/AE212),IF(S212="USD",J212/IF(K212=RIGHT(AB212,3),IF(W212="CLIENT",AM212,AE212),1/IF(W212="CLIENT",AM212,AE212)),J212*VLOOKUP(K212,'FX RATES'!$E$1:$F$10,2,FALSE)))</f>
        <v>-46865.166380747032</v>
      </c>
      <c r="AU212" s="170">
        <f ca="1">IF(AB212&lt;&gt;AJ212,R212/IF(S212=RIGHT(AJ212,3),AM212,1/AM212),IF(K212="USD",R212/IF(S212=RIGHT(AJ212,3),IF(W212="CLIENT",AM212,AE212),1/IF(W212="CLIENT",AM212,AE212)),R212*VLOOKUP(S212,'FX RATES'!$E$1:$F$10,2,FALSE)))</f>
        <v>47728.970547203826</v>
      </c>
      <c r="AV212" s="170">
        <f t="shared" ca="1" si="211"/>
        <v>863.80416645679361</v>
      </c>
      <c r="AW212" s="169"/>
      <c r="AX212" s="170">
        <f t="shared" si="212"/>
        <v>0</v>
      </c>
      <c r="AY212" s="170">
        <f t="shared" si="213"/>
        <v>-175289.41723166077</v>
      </c>
      <c r="AZ212" s="170" t="str">
        <f t="shared" si="214"/>
        <v>AED</v>
      </c>
      <c r="BA212" s="542">
        <f>IF(OR(A212="REFUND",A212="CANCELLED"),0,IFERROR((IF(OR(AB212="USDAED",LEFT(AB212,3)=RIGHT(AB212,3)),AI212,AG212)-AE212)*-AY212*VLOOKUP(AB212,'FX RATES'!$H$1:$J$26,3,FALSE),0))</f>
        <v>27204.917554353869</v>
      </c>
      <c r="BB212" s="170" t="str">
        <f t="shared" si="215"/>
        <v>RUB</v>
      </c>
      <c r="BC212" s="542">
        <f t="shared" si="216"/>
        <v>358.43106132218531</v>
      </c>
      <c r="BD212" s="170">
        <f t="shared" si="217"/>
        <v>0</v>
      </c>
      <c r="BE212" s="542">
        <f t="shared" si="218"/>
        <v>358.43106132218531</v>
      </c>
      <c r="BF212" s="170">
        <f t="shared" si="219"/>
        <v>175289.41723166077</v>
      </c>
      <c r="BG212" s="170" t="str">
        <f t="shared" si="220"/>
        <v>AED</v>
      </c>
      <c r="BH212" s="542">
        <f>IF(OR(A212="REFUND",A212="CANCELLED"),0,IFERROR((IF(OR(AJ212="USDAED",LEFT(AJ212,3)=RIGHT(AJ212,3)),AQ212,AO212)-AM212)*-BF212*VLOOKUP(AJ212,'FX RATES'!$H$1:$J$26,3,FALSE),0))</f>
        <v>0</v>
      </c>
      <c r="BI212" s="170" t="str">
        <f t="shared" si="221"/>
        <v>RUB</v>
      </c>
      <c r="BJ212" s="542">
        <f t="shared" si="222"/>
        <v>0</v>
      </c>
      <c r="BK212" s="170">
        <f t="shared" si="223"/>
        <v>0</v>
      </c>
      <c r="BL212" s="542">
        <f t="shared" si="224"/>
        <v>0</v>
      </c>
      <c r="BM212" s="170">
        <f t="shared" si="225"/>
        <v>0</v>
      </c>
      <c r="BN212" s="542">
        <f t="shared" si="226"/>
        <v>358.43106132218531</v>
      </c>
    </row>
    <row r="213" spans="1:66" ht="19.5" customHeight="1">
      <c r="A213" s="167" t="s">
        <v>366</v>
      </c>
      <c r="B213" s="168" t="s">
        <v>0</v>
      </c>
      <c r="C213" s="168" t="s">
        <v>383</v>
      </c>
      <c r="D213" s="168" t="s">
        <v>121</v>
      </c>
      <c r="E213" s="171">
        <v>46045</v>
      </c>
      <c r="F213" s="171"/>
      <c r="G213" s="168" t="s">
        <v>52</v>
      </c>
      <c r="H213" s="181" t="s">
        <v>476</v>
      </c>
      <c r="I213" s="169">
        <f>-R207</f>
        <v>-6460858.5</v>
      </c>
      <c r="J213" s="170">
        <f t="shared" si="205"/>
        <v>-6460858.5</v>
      </c>
      <c r="K213" s="168" t="s">
        <v>9</v>
      </c>
      <c r="L213" s="171" t="s">
        <v>25</v>
      </c>
      <c r="M213" s="168" t="s">
        <v>25</v>
      </c>
      <c r="N213" s="167" t="s">
        <v>371</v>
      </c>
      <c r="O213" s="168" t="s">
        <v>0</v>
      </c>
      <c r="P213" s="168" t="s">
        <v>0</v>
      </c>
      <c r="Q213" s="169"/>
      <c r="R213" s="170">
        <f t="shared" si="206"/>
        <v>314980.98664677574</v>
      </c>
      <c r="S213" s="168" t="s">
        <v>8</v>
      </c>
      <c r="T213" s="171" t="s">
        <v>477</v>
      </c>
      <c r="U213" s="168" t="s">
        <v>25</v>
      </c>
      <c r="V213" s="167" t="s">
        <v>371</v>
      </c>
      <c r="W213" s="172" t="s">
        <v>382</v>
      </c>
      <c r="X213" s="173">
        <f>IF(Y213="",VLOOKUP(H213,CLIENTS!$A$1:$O$649,5,FALSE),Y213)</f>
        <v>0</v>
      </c>
      <c r="Y213" s="174"/>
      <c r="Z213" s="173">
        <f>IF(AA213="",VLOOKUP(P213,CLIENTS!$A$1:$O$649,5,FALSE),AA213)</f>
        <v>0</v>
      </c>
      <c r="AA213" s="174"/>
      <c r="AB213" s="173" t="str">
        <f>IF(W213="via USD",IF(K213="EUR",K213&amp;"USD","USD"&amp;K213),IFERROR(VLOOKUP(K213&amp;S213,'FX RATES'!$H$2:$H$20,1,FALSE),S213&amp;K213))</f>
        <v>AEDRUB</v>
      </c>
      <c r="AC213" s="175">
        <f>IF(LEFT(AB213,3)=RIGHT(AB213,3),0,IFERROR(INDEX(CLIENTS!$A$1:$O$649,MATCH(H213,CLIENTS!$A$1:$A$649,0),MATCH(AB213,CLIENTS!$A$1:$O$1,0)),0))</f>
        <v>0</v>
      </c>
      <c r="AD213" s="176">
        <v>20.511900000000001</v>
      </c>
      <c r="AE213" s="177">
        <f t="shared" si="207"/>
        <v>20.511900000000001</v>
      </c>
      <c r="AF213" s="177" t="str">
        <f t="shared" si="208"/>
        <v>46045AEDRUB</v>
      </c>
      <c r="AG213" s="176">
        <v>20.667100000000001</v>
      </c>
      <c r="AH213" s="178">
        <f ca="1">IF(LEFT(AB213,3)=RIGHT(AB213,3),1,VLOOKUP(AB213,'FX RATES'!$H$1:$I$20,2,FALSE))</f>
        <v>20.8843</v>
      </c>
      <c r="AI213" s="178">
        <f t="shared" si="181"/>
        <v>75.900000000000006</v>
      </c>
      <c r="AJ213" s="173" t="str">
        <f>IF(W213="via USD",IF(S213="EUR",S213&amp;"USD","USD"&amp;S213),IFERROR(VLOOKUP(K213&amp;S213,'FX RATES'!$H$2:$H$20,1,FALSE),S213&amp;K213))</f>
        <v>AEDRUB</v>
      </c>
      <c r="AK213" s="175">
        <f>IF(LEFT(AJ213,3)=RIGHT(AJ213,3),0,IFERROR(INDEX(CLIENTS!$A$1:$O$649,MATCH(P213,CLIENTS!$A$1:$A$649,0),MATCH(AJ213,CLIENTS!$A$1:$O$1,0)),0))</f>
        <v>0</v>
      </c>
      <c r="AL213" s="176"/>
      <c r="AM213" s="177" t="str">
        <f t="shared" si="209"/>
        <v/>
      </c>
      <c r="AN213" s="177" t="str">
        <f t="shared" si="210"/>
        <v>46045AEDRUB</v>
      </c>
      <c r="AO213" s="176"/>
      <c r="AP213" s="178">
        <f ca="1">IF(LEFT(AJ213,3)=RIGHT(AJ213,3),1,VLOOKUP(AJ213,'FX RATES'!$H$1:$I$20,2,FALSE))</f>
        <v>20.8843</v>
      </c>
      <c r="AQ213" s="178">
        <f t="shared" si="182"/>
        <v>75.900000000000006</v>
      </c>
      <c r="AR213" s="179">
        <f>-Q213*(1-Z213)/(1+X213)*IF(W213="CLIENT",IF(S213=RIGHT(AJ213,3),1/AM213,AM213),IF(W213="VENDOR",IF(S213=RIGHT(AJ213,3),1/AE213,AE213),AE213^(VLOOKUP(AB213,'FX RATES'!$H$1:$J$26,3,FALSE))/AM213^(VLOOKUP(AJ213,'FX RATES'!$H$1:$J$26,3,FALSE))))</f>
        <v>0</v>
      </c>
      <c r="AS213" s="179">
        <f>-I213*(1+X213)/(1-Z213)*IF(W213="VENDOR",IF(K213=RIGHT(AB213,3),1/AE213,AE213),IF(W213="CLIENT",IF(K213=RIGHT(AB213,3),1/AM213,AM213),AM213^(VLOOKUP(AJ213,'FX RATES'!$H$1:$J$26,3,FALSE))/AE213^(VLOOKUP(AB213,'FX RATES'!$H$1:$J$26,3,FALSE))))</f>
        <v>314980.98664677574</v>
      </c>
      <c r="AT213" s="170">
        <f ca="1">IF(AB213&lt;&gt;AJ213,J213/IF(K213=RIGHT(AB213,3),AE213,1/AE213),IF(S213="USD",J213/IF(K213=RIGHT(AB213,3),IF(W213="CLIENT",AM213,AE213),1/IF(W213="CLIENT",AM213,AE213)),J213*VLOOKUP(K213,'FX RATES'!$E$1:$F$10,2,FALSE)))</f>
        <v>-84212.935265020424</v>
      </c>
      <c r="AU213" s="170">
        <f ca="1">IF(AB213&lt;&gt;AJ213,R213/IF(S213=RIGHT(AJ213,3),AM213,1/AM213),IF(K213="USD",R213/IF(S213=RIGHT(AJ213,3),IF(W213="CLIENT",AM213,AE213),1/IF(W213="CLIENT",AM213,AE213)),R213*VLOOKUP(S213,'FX RATES'!$E$1:$F$10,2,FALSE)))</f>
        <v>85765.12188824694</v>
      </c>
      <c r="AV213" s="170">
        <f t="shared" ca="1" si="211"/>
        <v>1552.1866232265165</v>
      </c>
      <c r="AW213" s="169"/>
      <c r="AX213" s="170">
        <f t="shared" si="212"/>
        <v>0</v>
      </c>
      <c r="AY213" s="170">
        <f t="shared" si="213"/>
        <v>-314980.98664677574</v>
      </c>
      <c r="AZ213" s="170" t="str">
        <f t="shared" si="214"/>
        <v>AED</v>
      </c>
      <c r="BA213" s="542">
        <f>IF(OR(A213="REFUND",A213="CANCELLED"),0,IFERROR((IF(OR(AB213="USDAED",LEFT(AB213,3)=RIGHT(AB213,3)),AI213,AG213)-AE213)*-AY213*VLOOKUP(AB213,'FX RATES'!$H$1:$J$26,3,FALSE),0))</f>
        <v>48885.049127579805</v>
      </c>
      <c r="BB213" s="170" t="str">
        <f t="shared" si="215"/>
        <v>RUB</v>
      </c>
      <c r="BC213" s="542">
        <f t="shared" si="216"/>
        <v>644.07179351225034</v>
      </c>
      <c r="BD213" s="170">
        <f t="shared" si="217"/>
        <v>0</v>
      </c>
      <c r="BE213" s="542">
        <f t="shared" si="218"/>
        <v>644.07179351225034</v>
      </c>
      <c r="BF213" s="170">
        <f t="shared" si="219"/>
        <v>314980.98664677574</v>
      </c>
      <c r="BG213" s="170" t="str">
        <f t="shared" si="220"/>
        <v>AED</v>
      </c>
      <c r="BH213" s="542">
        <f>IF(OR(A213="REFUND",A213="CANCELLED"),0,IFERROR((IF(OR(AJ213="USDAED",LEFT(AJ213,3)=RIGHT(AJ213,3)),AQ213,AO213)-AM213)*-BF213*VLOOKUP(AJ213,'FX RATES'!$H$1:$J$26,3,FALSE),0))</f>
        <v>0</v>
      </c>
      <c r="BI213" s="170" t="str">
        <f t="shared" si="221"/>
        <v>RUB</v>
      </c>
      <c r="BJ213" s="542">
        <f t="shared" si="222"/>
        <v>0</v>
      </c>
      <c r="BK213" s="170">
        <f t="shared" si="223"/>
        <v>0</v>
      </c>
      <c r="BL213" s="542">
        <f t="shared" si="224"/>
        <v>0</v>
      </c>
      <c r="BM213" s="170">
        <f t="shared" si="225"/>
        <v>0</v>
      </c>
      <c r="BN213" s="542">
        <f t="shared" si="226"/>
        <v>644.07179351225034</v>
      </c>
    </row>
    <row r="214" spans="1:66" ht="19.5" customHeight="1">
      <c r="A214" s="167" t="s">
        <v>366</v>
      </c>
      <c r="B214" s="168" t="s">
        <v>0</v>
      </c>
      <c r="C214" s="168" t="s">
        <v>383</v>
      </c>
      <c r="D214" s="168" t="s">
        <v>121</v>
      </c>
      <c r="E214" s="171">
        <v>46045</v>
      </c>
      <c r="F214" s="171"/>
      <c r="G214" s="168" t="s">
        <v>39</v>
      </c>
      <c r="H214" s="181" t="s">
        <v>476</v>
      </c>
      <c r="I214" s="169">
        <f>-7808104.42160688-J213</f>
        <v>-1347245.9216068797</v>
      </c>
      <c r="J214" s="170">
        <f t="shared" si="205"/>
        <v>-1347245.9216068797</v>
      </c>
      <c r="K214" s="168" t="s">
        <v>9</v>
      </c>
      <c r="L214" s="171" t="s">
        <v>25</v>
      </c>
      <c r="M214" s="168" t="s">
        <v>25</v>
      </c>
      <c r="N214" s="167" t="s">
        <v>371</v>
      </c>
      <c r="O214" s="168" t="s">
        <v>0</v>
      </c>
      <c r="P214" s="168" t="s">
        <v>0</v>
      </c>
      <c r="Q214" s="169"/>
      <c r="R214" s="170">
        <f t="shared" si="206"/>
        <v>65681.186121562583</v>
      </c>
      <c r="S214" s="168" t="s">
        <v>8</v>
      </c>
      <c r="T214" s="171" t="s">
        <v>477</v>
      </c>
      <c r="U214" s="168" t="s">
        <v>25</v>
      </c>
      <c r="V214" s="167" t="s">
        <v>371</v>
      </c>
      <c r="W214" s="172" t="s">
        <v>382</v>
      </c>
      <c r="X214" s="173">
        <f>IF(Y214="",VLOOKUP(H214,CLIENTS!$A$1:$O$649,5,FALSE),Y214)</f>
        <v>0</v>
      </c>
      <c r="Y214" s="174"/>
      <c r="Z214" s="173">
        <f>IF(AA214="",VLOOKUP(P214,CLIENTS!$A$1:$O$649,5,FALSE),AA214)</f>
        <v>0</v>
      </c>
      <c r="AA214" s="174"/>
      <c r="AB214" s="173" t="str">
        <f>IF(W214="via USD",IF(K214="EUR",K214&amp;"USD","USD"&amp;K214),IFERROR(VLOOKUP(K214&amp;S214,'FX RATES'!$H$2:$H$20,1,FALSE),S214&amp;K214))</f>
        <v>AEDRUB</v>
      </c>
      <c r="AC214" s="175">
        <f>IF(LEFT(AB214,3)=RIGHT(AB214,3),0,IFERROR(INDEX(CLIENTS!$A$1:$O$649,MATCH(H214,CLIENTS!$A$1:$A$649,0),MATCH(AB214,CLIENTS!$A$1:$O$1,0)),0))</f>
        <v>0</v>
      </c>
      <c r="AD214" s="176">
        <v>20.511900000000001</v>
      </c>
      <c r="AE214" s="177">
        <f t="shared" si="207"/>
        <v>20.511900000000001</v>
      </c>
      <c r="AF214" s="177" t="str">
        <f t="shared" si="208"/>
        <v>46045AEDRUB</v>
      </c>
      <c r="AG214" s="176">
        <v>20.667100000000001</v>
      </c>
      <c r="AH214" s="178">
        <f ca="1">IF(LEFT(AB214,3)=RIGHT(AB214,3),1,VLOOKUP(AB214,'FX RATES'!$H$1:$I$20,2,FALSE))</f>
        <v>20.8843</v>
      </c>
      <c r="AI214" s="178">
        <f t="shared" si="181"/>
        <v>75.900000000000006</v>
      </c>
      <c r="AJ214" s="173" t="str">
        <f>IF(W214="via USD",IF(S214="EUR",S214&amp;"USD","USD"&amp;S214),IFERROR(VLOOKUP(K214&amp;S214,'FX RATES'!$H$2:$H$20,1,FALSE),S214&amp;K214))</f>
        <v>AEDRUB</v>
      </c>
      <c r="AK214" s="175">
        <f>IF(LEFT(AJ214,3)=RIGHT(AJ214,3),0,IFERROR(INDEX(CLIENTS!$A$1:$O$649,MATCH(P214,CLIENTS!$A$1:$A$649,0),MATCH(AJ214,CLIENTS!$A$1:$O$1,0)),0))</f>
        <v>0</v>
      </c>
      <c r="AL214" s="176"/>
      <c r="AM214" s="177" t="str">
        <f t="shared" si="209"/>
        <v/>
      </c>
      <c r="AN214" s="177" t="str">
        <f t="shared" si="210"/>
        <v>46045AEDRUB</v>
      </c>
      <c r="AO214" s="176"/>
      <c r="AP214" s="178">
        <f ca="1">IF(LEFT(AJ214,3)=RIGHT(AJ214,3),1,VLOOKUP(AJ214,'FX RATES'!$H$1:$I$20,2,FALSE))</f>
        <v>20.8843</v>
      </c>
      <c r="AQ214" s="178">
        <f t="shared" si="182"/>
        <v>75.900000000000006</v>
      </c>
      <c r="AR214" s="179">
        <f>-Q214*(1-Z214)/(1+X214)*IF(W214="CLIENT",IF(S214=RIGHT(AJ214,3),1/AM214,AM214),IF(W214="VENDOR",IF(S214=RIGHT(AJ214,3),1/AE214,AE214),AE214^(VLOOKUP(AB214,'FX RATES'!$H$1:$J$26,3,FALSE))/AM214^(VLOOKUP(AJ214,'FX RATES'!$H$1:$J$26,3,FALSE))))</f>
        <v>0</v>
      </c>
      <c r="AS214" s="179">
        <f>-I214*(1+X214)/(1-Z214)*IF(W214="VENDOR",IF(K214=RIGHT(AB214,3),1/AE214,AE214),IF(W214="CLIENT",IF(K214=RIGHT(AB214,3),1/AM214,AM214),AM214^(VLOOKUP(AJ214,'FX RATES'!$H$1:$J$26,3,FALSE))/AE214^(VLOOKUP(AB214,'FX RATES'!$H$1:$J$26,3,FALSE))))</f>
        <v>65681.186121562583</v>
      </c>
      <c r="AT214" s="170">
        <f ca="1">IF(AB214&lt;&gt;AJ214,J214/IF(K214=RIGHT(AB214,3),AE214,1/AE214),IF(S214="USD",J214/IF(K214=RIGHT(AB214,3),IF(W214="CLIENT",AM214,AE214),1/IF(W214="CLIENT",AM214,AE214)),J214*VLOOKUP(K214,'FX RATES'!$E$1:$F$10,2,FALSE)))</f>
        <v>-17560.442405965547</v>
      </c>
      <c r="AU214" s="170">
        <f ca="1">IF(AB214&lt;&gt;AJ214,R214/IF(S214=RIGHT(AJ214,3),AM214,1/AM214),IF(K214="USD",R214/IF(S214=RIGHT(AJ214,3),IF(W214="CLIENT",AM214,AE214),1/IF(W214="CLIENT",AM214,AE214)),R214*VLOOKUP(S214,'FX RATES'!$E$1:$F$10,2,FALSE)))</f>
        <v>17884.11101714387</v>
      </c>
      <c r="AV214" s="170">
        <f t="shared" ca="1" si="211"/>
        <v>323.66861117832377</v>
      </c>
      <c r="AW214" s="169"/>
      <c r="AX214" s="170">
        <f t="shared" si="212"/>
        <v>0</v>
      </c>
      <c r="AY214" s="170">
        <f t="shared" si="213"/>
        <v>-65681.186121562583</v>
      </c>
      <c r="AZ214" s="170" t="str">
        <f t="shared" si="214"/>
        <v>AED</v>
      </c>
      <c r="BA214" s="542">
        <f>IF(OR(A214="REFUND",A214="CANCELLED"),0,IFERROR((IF(OR(AB214="USDAED",LEFT(AB214,3)=RIGHT(AB214,3)),AI214,AG214)-AE214)*-AY214*VLOOKUP(AB214,'FX RATES'!$H$1:$J$26,3,FALSE),0))</f>
        <v>10193.720086066556</v>
      </c>
      <c r="BB214" s="170" t="str">
        <f t="shared" si="215"/>
        <v>RUB</v>
      </c>
      <c r="BC214" s="542">
        <f t="shared" si="216"/>
        <v>134.304612464645</v>
      </c>
      <c r="BD214" s="170">
        <f t="shared" si="217"/>
        <v>0</v>
      </c>
      <c r="BE214" s="542">
        <f t="shared" si="218"/>
        <v>134.304612464645</v>
      </c>
      <c r="BF214" s="170">
        <f t="shared" si="219"/>
        <v>65681.186121562583</v>
      </c>
      <c r="BG214" s="170" t="str">
        <f t="shared" si="220"/>
        <v>AED</v>
      </c>
      <c r="BH214" s="542">
        <f>IF(OR(A214="REFUND",A214="CANCELLED"),0,IFERROR((IF(OR(AJ214="USDAED",LEFT(AJ214,3)=RIGHT(AJ214,3)),AQ214,AO214)-AM214)*-BF214*VLOOKUP(AJ214,'FX RATES'!$H$1:$J$26,3,FALSE),0))</f>
        <v>0</v>
      </c>
      <c r="BI214" s="170" t="str">
        <f t="shared" si="221"/>
        <v>RUB</v>
      </c>
      <c r="BJ214" s="542">
        <f t="shared" si="222"/>
        <v>0</v>
      </c>
      <c r="BK214" s="170">
        <f t="shared" si="223"/>
        <v>0</v>
      </c>
      <c r="BL214" s="542">
        <f t="shared" si="224"/>
        <v>0</v>
      </c>
      <c r="BM214" s="170">
        <f t="shared" si="225"/>
        <v>0</v>
      </c>
      <c r="BN214" s="542">
        <f t="shared" si="226"/>
        <v>134.304612464645</v>
      </c>
    </row>
    <row r="215" spans="1:66" ht="19.5" customHeight="1">
      <c r="A215" s="180"/>
      <c r="E215" s="180"/>
      <c r="F215" s="182"/>
      <c r="L215" s="180"/>
      <c r="M215" s="180"/>
      <c r="N215" s="180"/>
      <c r="O215" s="180"/>
      <c r="P215" s="180"/>
      <c r="V215" s="180"/>
      <c r="W215" s="180"/>
    </row>
    <row r="216" spans="1:66" ht="19.5" customHeight="1">
      <c r="A216" s="167" t="s">
        <v>366</v>
      </c>
      <c r="B216" s="168" t="s">
        <v>39</v>
      </c>
      <c r="C216" s="168" t="s">
        <v>367</v>
      </c>
      <c r="D216" s="181" t="s">
        <v>368</v>
      </c>
      <c r="E216" s="171">
        <v>46048</v>
      </c>
      <c r="F216" s="171"/>
      <c r="G216" s="168" t="s">
        <v>39</v>
      </c>
      <c r="H216" s="181" t="s">
        <v>483</v>
      </c>
      <c r="I216" s="169">
        <v>-1629500</v>
      </c>
      <c r="J216" s="170">
        <f>IF(I216="",AR216,I216)</f>
        <v>-1629500</v>
      </c>
      <c r="K216" s="168" t="s">
        <v>5</v>
      </c>
      <c r="L216" s="168" t="s">
        <v>510</v>
      </c>
      <c r="M216" s="168" t="s">
        <v>20</v>
      </c>
      <c r="N216" s="167" t="s">
        <v>371</v>
      </c>
      <c r="O216" s="168" t="s">
        <v>52</v>
      </c>
      <c r="P216" s="168" t="s">
        <v>379</v>
      </c>
      <c r="Q216" s="169"/>
      <c r="R216" s="170">
        <f>IF(Q216="",AS216,Q216)</f>
        <v>124340839.89949748</v>
      </c>
      <c r="S216" s="168" t="s">
        <v>9</v>
      </c>
      <c r="T216" s="171" t="s">
        <v>380</v>
      </c>
      <c r="U216" s="171" t="s">
        <v>25</v>
      </c>
      <c r="V216" s="167" t="s">
        <v>371</v>
      </c>
      <c r="W216" s="172" t="s">
        <v>375</v>
      </c>
      <c r="X216" s="173">
        <f>IF(Y216="",VLOOKUP(H216,CLIENTS!$A$1:$O$649,5,FALSE),Y216)</f>
        <v>0</v>
      </c>
      <c r="Y216" s="174">
        <v>0</v>
      </c>
      <c r="Z216" s="173">
        <f>IF(AA216="",VLOOKUP(P216,CLIENTS!$A$1:$O$649,5,FALSE),AA216)</f>
        <v>5.0000000000000001E-3</v>
      </c>
      <c r="AA216" s="174">
        <v>5.0000000000000001E-3</v>
      </c>
      <c r="AB216" s="173" t="str">
        <f>IF(W216="via USD",IF(K216="EUR",K216&amp;"USD","USD"&amp;K216),IFERROR(VLOOKUP(K216&amp;S216,'FX RATES'!$H$2:$H$20,1,FALSE),S216&amp;K216))</f>
        <v>USDUSD</v>
      </c>
      <c r="AC216" s="175">
        <f>IF(LEFT(AB216,3)=RIGHT(AB216,3),0,IFERROR(INDEX(CLIENTS!$A$1:$O$649,MATCH(H216,CLIENTS!$A$1:$A$649,0),MATCH(AB216,CLIENTS!$A$1:$O$1,0)),0))</f>
        <v>0</v>
      </c>
      <c r="AD216" s="176"/>
      <c r="AE216" s="177">
        <f>IF(W216="CLIENT","",IF(AD216="",AH216+AC216,AD216+AC216))</f>
        <v>1</v>
      </c>
      <c r="AF216" s="177" t="str">
        <f>E216&amp;AB216</f>
        <v>46048USDUSD</v>
      </c>
      <c r="AG216" s="176"/>
      <c r="AH216" s="178">
        <f>IF(LEFT(AB216,3)=RIGHT(AB216,3),1,VLOOKUP(AB216,'FX RATES'!$H$1:$I$20,2,FALSE))</f>
        <v>1</v>
      </c>
      <c r="AI216" s="178">
        <f>IF(OR(AB216="USDAED",LEFT(AB216,3)=RIGHT(AB216,3)),AH216,IF(LEFT(AB216)="USD",AG216,IF(RIGHT(AB216,3)="USD",1,IFERROR(VLOOKUP(E216&amp;"USD"&amp;RIGHT(AB216,3),$AF:$AG,2,FALSE),VLOOKUP(E216&amp;"USD"&amp;RIGHT(AJ216,3),$AN:$AO,2,FALSE)))))</f>
        <v>1</v>
      </c>
      <c r="AJ216" s="173" t="str">
        <f>IF(W216="via USD",IF(S216="EUR",S216&amp;"USD","USD"&amp;S216),IFERROR(VLOOKUP(K216&amp;S216,'FX RATES'!$H$2:$H$20,1,FALSE),S216&amp;K216))</f>
        <v>USDRUB</v>
      </c>
      <c r="AK216" s="175">
        <f>IF(LEFT(AJ216,3)=RIGHT(AJ216,3),0,IFERROR(INDEX(CLIENTS!$A$1:$O$649,MATCH(P216,CLIENTS!$A$1:$A$649,0),MATCH(AJ216,CLIENTS!$A$1:$O$1,0)),0))</f>
        <v>0</v>
      </c>
      <c r="AL216" s="176">
        <v>75.924599999999998</v>
      </c>
      <c r="AM216" s="177">
        <f>IF(W216="VENDOR","",IF(AL216="",AP216+AK216,AL216+AK216))</f>
        <v>75.924599999999998</v>
      </c>
      <c r="AN216" s="177" t="str">
        <f>E216&amp;AJ216</f>
        <v>46048USDRUB</v>
      </c>
      <c r="AO216" s="176">
        <v>75.900000000000006</v>
      </c>
      <c r="AP216" s="178">
        <f ca="1">IF(LEFT(AJ216,3)=RIGHT(AJ216,3),1,VLOOKUP(AJ216,'FX RATES'!$H$1:$I$20,2,FALSE))</f>
        <v>76.720500000000001</v>
      </c>
      <c r="AQ216" s="178">
        <f>IF(OR(AJ216="USDAED",LEFT(AJ216,3)=RIGHT(AJ216,3)),AP216,IF(LEFT(AJ216)="USD",AO216,IF(RIGHT(AJ216,3)="USD",1,IFERROR(VLOOKUP(E216&amp;"USD"&amp;RIGHT(AJ216,3),$AN:$AO,2,FALSE),VLOOKUP(E216&amp;"USD"&amp;RIGHT(AB216,3),$AF:$AG,2,FALSE)))))</f>
        <v>75.900000000000006</v>
      </c>
      <c r="AR216" s="179">
        <f>-Q216*(1-Z216)/(1+X216)*IF(W216="CLIENT",IF(S216=RIGHT(AJ216,3),1/AM216,AM216),IF(W216="VENDOR",IF(S216=RIGHT(AJ216,3),1/AE216,AE216),AE216^(VLOOKUP(AB216,'FX RATES'!$H$1:$J$26,3,FALSE))/AM216^(VLOOKUP(AJ216,'FX RATES'!$H$1:$J$26,3,FALSE))))</f>
        <v>0</v>
      </c>
      <c r="AS216" s="179">
        <f>-I216*(1+X216)/(1-Z216)*IF(W216="VENDOR",IF(K216=RIGHT(AB216,3),1/AE216,AE216),IF(W216="CLIENT",IF(K216=RIGHT(AB216,3),1/AM216,AM216),AM216^(VLOOKUP(AJ216,'FX RATES'!$H$1:$J$26,3,FALSE))/AE216^(VLOOKUP(AB216,'FX RATES'!$H$1:$J$26,3,FALSE))))</f>
        <v>124340839.89949748</v>
      </c>
      <c r="AT216" s="170">
        <f>IF(AB216&lt;&gt;AJ216,J216/IF(K216=RIGHT(AB216,3),AE216,1/AE216),IF(S216="USD",J216/IF(K216=RIGHT(AB216,3),IF(W216="CLIENT",AM216,AE216),1/IF(W216="CLIENT",AM216,AE216)),J216*VLOOKUP(K216,'FX RATES'!$E$1:$F$10,2,FALSE)))</f>
        <v>-1629500</v>
      </c>
      <c r="AU216" s="170">
        <f>IF(AB216&lt;&gt;AJ216,R216/IF(S216=RIGHT(AJ216,3),AM216,1/AM216),IF(K216="USD",R216/IF(S216=RIGHT(AJ216,3),IF(W216="CLIENT",AM216,AE216),1/IF(W216="CLIENT",AM216,AE216)),R216*VLOOKUP(S216,'FX RATES'!$E$1:$F$10,2,FALSE)))</f>
        <v>1637688.4422110552</v>
      </c>
      <c r="AV216" s="170">
        <f>AT216+AU216</f>
        <v>8188.4422110551968</v>
      </c>
      <c r="AW216" s="169"/>
      <c r="AX216" s="170">
        <f>IF(AND(ISERROR(SEARCH("INVOICE",T216)),ISERROR(SEARCH("SWITCH",T216)),ISERROR(SEARCH("FOREX",T216)),ISERROR(SEARCH("REFUND",A216)),ISERROR(SEARCH("CANCELLED",A216))),IF(AW216="",-AT216*X216+AU216*Z216,AW216),0)</f>
        <v>8188.4422110552759</v>
      </c>
      <c r="AY216" s="170">
        <f>IF(AZ216="USD",AT216,IF(AZ216=K216,J216,-R216))</f>
        <v>-1629500</v>
      </c>
      <c r="AZ216" s="170" t="str">
        <f>LEFT(AB216,3)</f>
        <v>USD</v>
      </c>
      <c r="BA216" s="542">
        <f>IF(OR(A216="REFUND",A216="CANCELLED"),0,IFERROR((IF(OR(AB216="USDAED",LEFT(AB216,3)=RIGHT(AB216,3)),AI216,AG216)-AE216)*-AY216*VLOOKUP(AB216,'FX RATES'!$H$1:$J$26,3,FALSE),0))</f>
        <v>0</v>
      </c>
      <c r="BB216" s="170" t="str">
        <f>RIGHT(AB216,3)</f>
        <v>USD</v>
      </c>
      <c r="BC216" s="542">
        <f>IF(BA216=0,0,IFERROR(BA216/IF(BB216&lt;&gt;"USD",AI216,1),"???"))</f>
        <v>0</v>
      </c>
      <c r="BD216" s="170">
        <f>IFERROR(-AC216/(IF(OR(AB216="USDAED",LEFT(AB216,3)=RIGHT(AB216,3)),AH216,AG216)-AE216)*BC216,0)</f>
        <v>0</v>
      </c>
      <c r="BE216" s="542">
        <f>BC216-BD216</f>
        <v>0</v>
      </c>
      <c r="BF216" s="170">
        <f>IF(BG216="USD",AU216,IF(BG216=S216,R216,-J216))</f>
        <v>1637688.4422110552</v>
      </c>
      <c r="BG216" s="170" t="str">
        <f>LEFT(AJ216,3)</f>
        <v>USD</v>
      </c>
      <c r="BH216" s="542">
        <f>IF(OR(A216="REFUND",A216="CANCELLED"),0,IFERROR((IF(OR(AJ216="USDAED",LEFT(AJ216,3)=RIGHT(AJ216,3)),AQ216,AO216)-AM216)*-BF216*VLOOKUP(AJ216,'FX RATES'!$H$1:$J$26,3,FALSE),0))</f>
        <v>40287.13567837952</v>
      </c>
      <c r="BI216" s="170" t="str">
        <f>RIGHT(AJ216,3)</f>
        <v>RUB</v>
      </c>
      <c r="BJ216" s="542">
        <f>IF(BH216=0,0,IFERROR(BH216/IF(BI216&lt;&gt;"USD",AQ216,1),"???"))</f>
        <v>530.79230142792517</v>
      </c>
      <c r="BK216" s="170">
        <f>IFERROR(-AK216/(IF(OR(AJ216="USDAED",LEFT(AJ216,3)=RIGHT(AJ216,3)),AP216,AO216)-AM216)*BJ216,0)</f>
        <v>0</v>
      </c>
      <c r="BL216" s="542">
        <f>BJ216-BK216</f>
        <v>530.79230142792517</v>
      </c>
      <c r="BM216" s="170">
        <f>IF(AND(ISERROR(SEARCH("REFUND",A216)),ISERROR(SEARCH("CANCELLED",A216))),BD216+BK216,0)</f>
        <v>0</v>
      </c>
      <c r="BN216" s="542">
        <f>IF(AND(ISERROR(SEARCH("REFUND",A216)),ISERROR(SEARCH("CANCELLED",A216))),BE216+BL216,0)</f>
        <v>530.79230142792517</v>
      </c>
    </row>
    <row r="217" spans="1:66" ht="19.5" customHeight="1">
      <c r="A217" s="167" t="s">
        <v>488</v>
      </c>
      <c r="B217" s="168" t="s">
        <v>52</v>
      </c>
      <c r="C217" s="168" t="s">
        <v>489</v>
      </c>
      <c r="D217" s="168" t="s">
        <v>128</v>
      </c>
      <c r="E217" s="171">
        <v>46048</v>
      </c>
      <c r="F217" s="171"/>
      <c r="G217" s="168" t="s">
        <v>52</v>
      </c>
      <c r="H217" s="181" t="s">
        <v>52</v>
      </c>
      <c r="I217" s="169">
        <f>-(R216+J218)</f>
        <v>-173883.43932050467</v>
      </c>
      <c r="J217" s="170">
        <f>IF(I217="",AR217,I217)</f>
        <v>-173883.43932050467</v>
      </c>
      <c r="K217" s="168" t="s">
        <v>9</v>
      </c>
      <c r="L217" s="171"/>
      <c r="M217" s="168"/>
      <c r="N217" s="167" t="s">
        <v>371</v>
      </c>
      <c r="O217" s="168" t="s">
        <v>52</v>
      </c>
      <c r="P217" s="168" t="s">
        <v>52</v>
      </c>
      <c r="Q217" s="169"/>
      <c r="R217" s="170">
        <f>IF(Q217="",AS217,Q217)</f>
        <v>2290.954404749732</v>
      </c>
      <c r="S217" s="168" t="s">
        <v>5</v>
      </c>
      <c r="T217" s="171"/>
      <c r="U217" s="168"/>
      <c r="V217" s="167" t="s">
        <v>371</v>
      </c>
      <c r="W217" s="172" t="s">
        <v>382</v>
      </c>
      <c r="X217" s="173">
        <f>IF(Y217="",VLOOKUP(H217,CLIENTS!$A$1:$O$649,5,FALSE),Y217)</f>
        <v>0</v>
      </c>
      <c r="Y217" s="174"/>
      <c r="Z217" s="173">
        <f>IF(AA217="",VLOOKUP(P217,CLIENTS!$A$1:$O$649,5,FALSE),AA217)</f>
        <v>0</v>
      </c>
      <c r="AA217" s="174"/>
      <c r="AB217" s="173" t="str">
        <f>IF(W217="via USD",IF(K217="EUR",K217&amp;"USD","USD"&amp;K217),IFERROR(VLOOKUP(K217&amp;S217,'FX RATES'!$H$2:$H$20,1,FALSE),S217&amp;K217))</f>
        <v>USDRUB</v>
      </c>
      <c r="AC217" s="175">
        <f>IF(LEFT(AB217,3)=RIGHT(AB217,3),0,IFERROR(INDEX(CLIENTS!$A$1:$O$649,MATCH(H217,CLIENTS!$A$1:$A$649,0),MATCH(AB217,CLIENTS!$A$1:$O$1,0)),0))</f>
        <v>0</v>
      </c>
      <c r="AD217" s="176">
        <v>75.900000000000006</v>
      </c>
      <c r="AE217" s="177">
        <f>IF(W217="CLIENT","",IF(AD217="",AH217+AC217,AD217+AC217))</f>
        <v>75.900000000000006</v>
      </c>
      <c r="AF217" s="177" t="str">
        <f>E217&amp;AB217</f>
        <v>46048USDRUB</v>
      </c>
      <c r="AG217" s="176">
        <v>75.900000000000006</v>
      </c>
      <c r="AH217" s="178">
        <f ca="1">IF(LEFT(AB217,3)=RIGHT(AB217,3),1,VLOOKUP(AB217,'FX RATES'!$H$1:$I$20,2,FALSE))</f>
        <v>76.720500000000001</v>
      </c>
      <c r="AI217" s="178">
        <f>IF(OR(AB217="USDAED",LEFT(AB217,3)=RIGHT(AB217,3),AB217="USDUSDT",AB217="USDTUSD"),AH217,IF(LEFT(AB217)="USD",AG217,IF(RIGHT(AB217,3)="USD",1,IFERROR(VLOOKUP(E217&amp;"USD"&amp;RIGHT(AB217,3),$AF:$AG,2,FALSE),VLOOKUP(E217&amp;"USD"&amp;RIGHT(AJ217,3),$AN:$AO,2,FALSE)))))</f>
        <v>75.900000000000006</v>
      </c>
      <c r="AJ217" s="173" t="str">
        <f>IF(W217="via USD",IF(S217="EUR",S217&amp;"USD","USD"&amp;S217),IFERROR(VLOOKUP(K217&amp;S217,'FX RATES'!$H$2:$H$20,1,FALSE),S217&amp;K217))</f>
        <v>USDRUB</v>
      </c>
      <c r="AK217" s="175">
        <f>IF(LEFT(AJ217,3)=RIGHT(AJ217,3),0,IFERROR(INDEX(CLIENTS!$A$1:$O$649,MATCH(P217,CLIENTS!$A$1:$A$649,0),MATCH(AJ217,CLIENTS!$A$1:$O$1,0)),0))</f>
        <v>0</v>
      </c>
      <c r="AL217" s="176"/>
      <c r="AM217" s="177" t="str">
        <f>IF(W217="VENDOR","",IF(AL217="",AP217+AK217,AL217+AK217))</f>
        <v/>
      </c>
      <c r="AN217" s="177" t="str">
        <f>E217&amp;AJ217</f>
        <v>46048USDRUB</v>
      </c>
      <c r="AO217" s="176">
        <v>75.900000000000006</v>
      </c>
      <c r="AP217" s="178">
        <f ca="1">IF(LEFT(AJ217,3)=RIGHT(AJ217,3),1,VLOOKUP(AJ217,'FX RATES'!$H$1:$I$20,2,FALSE))</f>
        <v>76.720500000000001</v>
      </c>
      <c r="AQ217" s="178">
        <f>IF(OR(AJ217="USDAED",LEFT(AJ217,3)=RIGHT(AJ217,3)),AP217,IF(LEFT(AJ217)="USD",AO217,IF(RIGHT(AJ217,3)="USD",1,IFERROR(VLOOKUP(E217&amp;"USD"&amp;RIGHT(AJ217,3),$AN:$AO,2,FALSE),VLOOKUP(E217&amp;"USD"&amp;RIGHT(AB217,3),$AF:$AG,2,FALSE)))))</f>
        <v>75.900000000000006</v>
      </c>
      <c r="AR217" s="179">
        <f>-Q217*(1-Z217)/(1+X217)*IF(W217="CLIENT",IF(S217=RIGHT(AJ217,3),1/AM217,AM217),IF(W217="VENDOR",IF(S217=RIGHT(AJ217,3),1/AE217,AE217),AE217^(VLOOKUP(AB217,'FX RATES'!$H$1:$J$26,3,FALSE))/AM217^(VLOOKUP(AJ217,'FX RATES'!$H$1:$J$26,3,FALSE))))</f>
        <v>0</v>
      </c>
      <c r="AS217" s="179">
        <f>-I217*(1+X217)/(1-Z217)*IF(W217="VENDOR",IF(K217=RIGHT(AB217,3),1/AE217,AE217),IF(W217="CLIENT",IF(K217=RIGHT(AB217,3),1/AM217,AM217),AM217^(VLOOKUP(AJ217,'FX RATES'!$H$1:$J$26,3,FALSE))/AE217^(VLOOKUP(AB217,'FX RATES'!$H$1:$J$26,3,FALSE))))</f>
        <v>2290.954404749732</v>
      </c>
      <c r="AT217" s="170">
        <f>IF(AB217&lt;&gt;AJ217,J217/IF(K217=RIGHT(AB217,3),AE217,1/AE217),IF(S217="USD",J217/IF(K217=RIGHT(AB217,3),IF(W217="CLIENT",AM217,AE217),1/IF(W217="CLIENT",AM217,AE217)),J217*VLOOKUP(K217,'FX RATES'!$E$1:$F$10,2,FALSE)))</f>
        <v>-2290.954404749732</v>
      </c>
      <c r="AU217" s="170">
        <f>IF(AB217&lt;&gt;AJ217,R217/IF(S217=RIGHT(AJ217,3),AM217,1/AM217),IF(K217="USD",R217/IF(S217=RIGHT(AJ217,3),IF(W217="CLIENT",AM217,AE217),1/IF(W217="CLIENT",AM217,AE217)),R217*VLOOKUP(S217,'FX RATES'!$E$1:$F$10,2,FALSE)))</f>
        <v>2290.954404749732</v>
      </c>
      <c r="AV217" s="170">
        <f>AT217+AU217</f>
        <v>0</v>
      </c>
      <c r="AW217" s="169"/>
      <c r="AX217" s="170">
        <f>IF(AND(ISERROR(SEARCH("INVOICE",T217)),ISERROR(SEARCH("SWITCH",T217)),ISERROR(SEARCH("FOREX",T217)),ISERROR(SEARCH("REFUND",A217)),ISERROR(SEARCH("CANCELLED",A217))),IF(AW217="",-AT217*X217+AU217*Z217,AW217),0)</f>
        <v>0</v>
      </c>
      <c r="AY217" s="170">
        <f>IF(AZ217="USD",AT217,IF(AZ217=K217,J217,-R217))</f>
        <v>-2290.954404749732</v>
      </c>
      <c r="AZ217" s="170" t="str">
        <f>LEFT(AB217,3)</f>
        <v>USD</v>
      </c>
      <c r="BA217" s="542">
        <f>IF(OR(A217="REFUND",A217="CANCELLED"),0,IFERROR((IF(OR(AB217="USDAED",LEFT(AB217,3)=RIGHT(AB217,3)),AI217,AG217)-AE217)*-AY217*VLOOKUP(AB217,'FX RATES'!$H$1:$J$26,3,FALSE),0))</f>
        <v>0</v>
      </c>
      <c r="BB217" s="170" t="str">
        <f>RIGHT(AB217,3)</f>
        <v>RUB</v>
      </c>
      <c r="BC217" s="542">
        <f>IF(BA217=0,0,IFERROR(BA217/IF(BB217&lt;&gt;"USD",AI217,1),"???"))</f>
        <v>0</v>
      </c>
      <c r="BD217" s="170">
        <f>IFERROR(-AC217/(IF(OR(AB217="USDAED",LEFT(AB217,3)=RIGHT(AB217,3)),AH217,AG217)-AE217)*BC217,0)</f>
        <v>0</v>
      </c>
      <c r="BE217" s="542">
        <f>BC217-BD217</f>
        <v>0</v>
      </c>
      <c r="BF217" s="170">
        <f>IF(BG217="USD",AU217,IF(BG217=S217,R217,-J217))</f>
        <v>2290.954404749732</v>
      </c>
      <c r="BG217" s="170" t="str">
        <f>LEFT(AJ217,3)</f>
        <v>USD</v>
      </c>
      <c r="BH217" s="542">
        <f>IF(OR(A217="REFUND",A217="CANCELLED"),0,IFERROR((IF(OR(AJ217="USDAED",LEFT(AJ217,3)=RIGHT(AJ217,3)),AQ217,AO217)-AM217)*-BF217*VLOOKUP(AJ217,'FX RATES'!$H$1:$J$26,3,FALSE),0))</f>
        <v>0</v>
      </c>
      <c r="BI217" s="170" t="str">
        <f>RIGHT(AJ217,3)</f>
        <v>RUB</v>
      </c>
      <c r="BJ217" s="542">
        <f>IF(BH217=0,0,IFERROR(BH217/IF(BI217&lt;&gt;"USD",AQ217,1),"???"))</f>
        <v>0</v>
      </c>
      <c r="BK217" s="170">
        <f>IFERROR(-AK217/(IF(OR(AJ217="USDAED",LEFT(AJ217,3)=RIGHT(AJ217,3)),AP217,AO217)-AM217)*BJ217,0)</f>
        <v>0</v>
      </c>
      <c r="BL217" s="542">
        <f>BJ217-BK217</f>
        <v>0</v>
      </c>
      <c r="BM217" s="170">
        <f>IF(AND(ISERROR(SEARCH("REFUND",A217)),ISERROR(SEARCH("CANCELLED",A217))),BD217+BK217,0)</f>
        <v>0</v>
      </c>
      <c r="BN217" s="542">
        <f>IF(AND(ISERROR(SEARCH("REFUND",A217)),ISERROR(SEARCH("CANCELLED",A217))),BE217+BL217,0)</f>
        <v>0</v>
      </c>
    </row>
    <row r="218" spans="1:66" ht="19.5" customHeight="1">
      <c r="A218" s="167" t="s">
        <v>366</v>
      </c>
      <c r="B218" s="168" t="s">
        <v>52</v>
      </c>
      <c r="C218" s="168" t="s">
        <v>383</v>
      </c>
      <c r="D218" s="168" t="s">
        <v>465</v>
      </c>
      <c r="E218" s="171">
        <v>46048</v>
      </c>
      <c r="F218" s="171"/>
      <c r="G218" s="168" t="s">
        <v>52</v>
      </c>
      <c r="H218" s="168" t="s">
        <v>524</v>
      </c>
      <c r="I218" s="169"/>
      <c r="J218" s="170">
        <f>IF(I218="",AR218,I218)</f>
        <v>-124166956.46017697</v>
      </c>
      <c r="K218" s="168" t="s">
        <v>9</v>
      </c>
      <c r="L218" s="171" t="s">
        <v>525</v>
      </c>
      <c r="M218" s="168" t="s">
        <v>25</v>
      </c>
      <c r="N218" s="167" t="s">
        <v>371</v>
      </c>
      <c r="O218" s="168" t="s">
        <v>34</v>
      </c>
      <c r="P218" s="349" t="s">
        <v>526</v>
      </c>
      <c r="Q218" s="169">
        <v>6000000</v>
      </c>
      <c r="R218" s="170">
        <f>IF(Q218="",AS218,Q218)</f>
        <v>6000000</v>
      </c>
      <c r="S218" s="168" t="s">
        <v>8</v>
      </c>
      <c r="T218" s="171" t="s">
        <v>15</v>
      </c>
      <c r="U218" s="168" t="s">
        <v>15</v>
      </c>
      <c r="V218" s="167" t="s">
        <v>371</v>
      </c>
      <c r="W218" s="172" t="s">
        <v>375</v>
      </c>
      <c r="X218" s="173">
        <f>IF(Y218="",VLOOKUP(H218,CLIENTS!$A$1:$O$649,5,FALSE),Y218)</f>
        <v>0</v>
      </c>
      <c r="Y218" s="174">
        <v>0</v>
      </c>
      <c r="Z218" s="173">
        <f>IF(AA218="",VLOOKUP(P218,CLIENTS!$A$1:$O$649,5,FALSE),AA218)</f>
        <v>-1E-3</v>
      </c>
      <c r="AA218" s="174">
        <v>-1E-3</v>
      </c>
      <c r="AB218" s="173" t="str">
        <f>IF(W218="via USD",IF(K218="EUR",K218&amp;"USD","USD"&amp;K218),IFERROR(VLOOKUP(K218&amp;S218,'FX RATES'!$H$2:$H$20,1,FALSE),S218&amp;K218))</f>
        <v>USDRUB</v>
      </c>
      <c r="AC218" s="175">
        <f>IF(LEFT(AB218,3)=RIGHT(AB218,3),0,IFERROR(INDEX(CLIENTS!$A$1:$O$649,MATCH(H218,CLIENTS!$A$1:$A$649,0),MATCH(AB218,CLIENTS!$A$1:$O$1,0)),0))</f>
        <v>0</v>
      </c>
      <c r="AD218" s="176">
        <v>75.924599999999998</v>
      </c>
      <c r="AE218" s="177">
        <f>IF(W218="CLIENT","",IF(AD218="",AH218+AC218,AD218+AC218))</f>
        <v>75.924599999999998</v>
      </c>
      <c r="AF218" s="177" t="str">
        <f>E218&amp;AB218</f>
        <v>46048USDRUB</v>
      </c>
      <c r="AG218" s="176">
        <v>75.900000000000006</v>
      </c>
      <c r="AH218" s="178">
        <f ca="1">IF(LEFT(AB218,3)=RIGHT(AB218,3),1,VLOOKUP(AB218,'FX RATES'!$H$1:$I$20,2,FALSE))</f>
        <v>76.720500000000001</v>
      </c>
      <c r="AI218" s="178">
        <f>IF(OR(AB218="USDAED",LEFT(AB218,3)=RIGHT(AB218,3)),AH218,IF(LEFT(AB218)="USD",AG218,IF(RIGHT(AB218,3)="USD",1,IFERROR(VLOOKUP(E218&amp;"USD"&amp;RIGHT(AB218,3),$AF:$AG,2,FALSE),VLOOKUP(E218&amp;"USD"&amp;RIGHT(AJ218,3),$AN:$AO,2,FALSE)))))</f>
        <v>75.900000000000006</v>
      </c>
      <c r="AJ218" s="173" t="str">
        <f>IF(W218="via USD",IF(S218="EUR",S218&amp;"USD","USD"&amp;S218),IFERROR(VLOOKUP(K218&amp;S218,'FX RATES'!$H$2:$H$20,1,FALSE),S218&amp;K218))</f>
        <v>USDAED</v>
      </c>
      <c r="AK218" s="175">
        <f>IF(LEFT(AJ218,3)=RIGHT(AJ218,3),0,IFERROR(INDEX(CLIENTS!$A$1:$O$649,MATCH(P218,CLIENTS!$A$1:$A$649,0),MATCH(AJ218,CLIENTS!$A$1:$O$1,0)),0))</f>
        <v>0</v>
      </c>
      <c r="AL218" s="176">
        <v>3.6724999999999999</v>
      </c>
      <c r="AM218" s="177">
        <f>IF(W218="VENDOR","",IF(AL218="",AP218+AK218,AL218+AK218))</f>
        <v>3.6724999999999999</v>
      </c>
      <c r="AN218" s="177" t="str">
        <f>E218&amp;AJ218</f>
        <v>46048USDAED</v>
      </c>
      <c r="AO218" s="176">
        <v>3.6724999999999999</v>
      </c>
      <c r="AP218" s="178">
        <f>IF(LEFT(AJ218,3)=RIGHT(AJ218,3),1,VLOOKUP(AJ218,'FX RATES'!$H$1:$I$20,2,FALSE))</f>
        <v>3.6724999999999999</v>
      </c>
      <c r="AQ218" s="178">
        <f>IF(OR(AJ218="USDAED",LEFT(AJ218,3)=RIGHT(AJ218,3)),AP218,IF(LEFT(AJ218)="USD",AO218,IF(RIGHT(AJ218,3)="USD",1,IFERROR(VLOOKUP(E218&amp;"USD"&amp;RIGHT(AJ218,3),$AN:$AO,2,FALSE),VLOOKUP(E218&amp;"USD"&amp;RIGHT(AB218,3),$AF:$AG,2,FALSE)))))</f>
        <v>3.6724999999999999</v>
      </c>
      <c r="AR218" s="179">
        <f>-Q218*(1-Z218)/(1+X218)*IF(W218="CLIENT",IF(S218=RIGHT(AJ218,3),1/AM218,AM218),IF(W218="VENDOR",IF(S218=RIGHT(AJ218,3),1/AE218,AE218),AE218^(VLOOKUP(AB218,'FX RATES'!$H$1:$J$26,3,FALSE))/AM218^(VLOOKUP(AJ218,'FX RATES'!$H$1:$J$26,3,FALSE))))</f>
        <v>-124166956.46017697</v>
      </c>
      <c r="AS218" s="179">
        <f>-I218*(1+X218)/(1-Z218)*IF(W218="VENDOR",IF(K218=RIGHT(AB218,3),1/AE218,AE218),IF(W218="CLIENT",IF(K218=RIGHT(AB218,3),1/AM218,AM218),AM218^(VLOOKUP(AJ218,'FX RATES'!$H$1:$J$26,3,FALSE))/AE218^(VLOOKUP(AB218,'FX RATES'!$H$1:$J$26,3,FALSE))))</f>
        <v>0</v>
      </c>
      <c r="AT218" s="170">
        <f>IF(AB218&lt;&gt;AJ218,J218/IF(K218=RIGHT(AB218,3),AE218,1/AE218),IF(S218="USD",J218/IF(K218=RIGHT(AB218,3),IF(W218="CLIENT",AM218,AE218),1/IF(W218="CLIENT",AM218,AE218)),J218*VLOOKUP(K218,'FX RATES'!$E$1:$F$10,2,FALSE)))</f>
        <v>-1635398.2300884954</v>
      </c>
      <c r="AU218" s="170">
        <f>IF(AB218&lt;&gt;AJ218,R218/IF(S218=RIGHT(AJ218,3),AM218,1/AM218),IF(K218="USD",R218/IF(S218=RIGHT(AJ218,3),IF(W218="CLIENT",AM218,AE218),1/IF(W218="CLIENT",AM218,AE218)),R218*VLOOKUP(S218,'FX RATES'!$E$1:$F$10,2,FALSE)))</f>
        <v>1633764.4656228728</v>
      </c>
      <c r="AV218" s="170">
        <f>AT218+AU218</f>
        <v>-1633.7644656226039</v>
      </c>
      <c r="AW218" s="169"/>
      <c r="AX218" s="170">
        <f>IF(AND(ISERROR(SEARCH("INVOICE",T218)),ISERROR(SEARCH("SWITCH",T218)),ISERROR(SEARCH("FOREX",T218)),ISERROR(SEARCH("REFUND",A218)),ISERROR(SEARCH("CANCELLED",A218))),IF(AW218="",-AT218*X218+AU218*Z218,AW218),0)</f>
        <v>-1633.7644656228729</v>
      </c>
      <c r="AY218" s="170">
        <f>IF(AZ218="USD",AT218,IF(AZ218=K218,J218,-R218))</f>
        <v>-1635398.2300884954</v>
      </c>
      <c r="AZ218" s="170" t="str">
        <f>LEFT(AB218,3)</f>
        <v>USD</v>
      </c>
      <c r="BA218" s="542">
        <f>IF(OR(A218="REFUND",A218="CANCELLED"),0,IFERROR((IF(OR(AB218="USDAED",LEFT(AB218,3)=RIGHT(AB218,3)),AI218,AG218)-AE218)*-AY218*VLOOKUP(AB218,'FX RATES'!$H$1:$J$26,3,FALSE),0))</f>
        <v>-40230.796460164565</v>
      </c>
      <c r="BB218" s="170" t="str">
        <f>RIGHT(AB218,3)</f>
        <v>RUB</v>
      </c>
      <c r="BC218" s="542">
        <f>IF(BA218=0,0,IFERROR(BA218/IF(BB218&lt;&gt;"USD",AI218,1),"???"))</f>
        <v>-530.05001923800478</v>
      </c>
      <c r="BD218" s="170">
        <f>IFERROR(-AC218/(IF(OR(AB218="USDAED",LEFT(AB218,3)=RIGHT(AB218,3)),AH218,AG218)-AE218)*BC218,0)</f>
        <v>0</v>
      </c>
      <c r="BE218" s="542">
        <f>BC218-BD218</f>
        <v>-530.05001923800478</v>
      </c>
      <c r="BF218" s="170">
        <f>IF(BG218="USD",AU218,IF(BG218=S218,R218,-J218))</f>
        <v>1633764.4656228728</v>
      </c>
      <c r="BG218" s="170" t="str">
        <f>LEFT(AJ218,3)</f>
        <v>USD</v>
      </c>
      <c r="BH218" s="542">
        <f>IF(OR(A218="REFUND",A218="CANCELLED"),0,IFERROR((IF(OR(AJ218="USDAED",LEFT(AJ218,3)=RIGHT(AJ218,3)),AQ218,AO218)-AM218)*-BF218*VLOOKUP(AJ218,'FX RATES'!$H$1:$J$26,3,FALSE),0))</f>
        <v>0</v>
      </c>
      <c r="BI218" s="170" t="str">
        <f>RIGHT(AJ218,3)</f>
        <v>AED</v>
      </c>
      <c r="BJ218" s="542">
        <f>IF(BH218=0,0,IFERROR(BH218/IF(BI218&lt;&gt;"USD",AQ218,1),"???"))</f>
        <v>0</v>
      </c>
      <c r="BK218" s="170">
        <f>IFERROR(-AK218/(IF(OR(AJ218="USDAED",LEFT(AJ218,3)=RIGHT(AJ218,3)),AP218,AO218)-AM218)*BJ218,0)</f>
        <v>0</v>
      </c>
      <c r="BL218" s="542">
        <f>BJ218-BK218</f>
        <v>0</v>
      </c>
      <c r="BM218" s="170">
        <f>IF(AND(ISERROR(SEARCH("REFUND",A218)),ISERROR(SEARCH("CANCELLED",A218))),BD218+BK218,0)</f>
        <v>0</v>
      </c>
      <c r="BN218" s="542">
        <f>IF(AND(ISERROR(SEARCH("REFUND",A218)),ISERROR(SEARCH("CANCELLED",A218))),BE218+BL218,0)</f>
        <v>-530.05001923800478</v>
      </c>
    </row>
    <row r="220" spans="1:66" ht="19.5" customHeight="1">
      <c r="A220" s="167" t="s">
        <v>366</v>
      </c>
      <c r="B220" s="225" t="s">
        <v>42</v>
      </c>
      <c r="C220" s="225" t="s">
        <v>367</v>
      </c>
      <c r="D220" s="225" t="s">
        <v>368</v>
      </c>
      <c r="E220" s="226">
        <v>46048</v>
      </c>
      <c r="F220" s="226"/>
      <c r="G220" s="225" t="s">
        <v>42</v>
      </c>
      <c r="H220" s="225" t="s">
        <v>527</v>
      </c>
      <c r="I220" s="227">
        <v>-21000000</v>
      </c>
      <c r="J220" s="170">
        <f>IF(I220="",AR220,I220)</f>
        <v>-21000000</v>
      </c>
      <c r="K220" s="225" t="s">
        <v>7</v>
      </c>
      <c r="L220" s="226" t="s">
        <v>22</v>
      </c>
      <c r="M220" s="225" t="s">
        <v>22</v>
      </c>
      <c r="N220" s="167" t="s">
        <v>371</v>
      </c>
      <c r="O220" s="225" t="s">
        <v>52</v>
      </c>
      <c r="P220" s="225" t="s">
        <v>416</v>
      </c>
      <c r="Q220" s="227"/>
      <c r="R220" s="170">
        <f>IF(Q220="",AS220,Q220)</f>
        <v>231273821.46439317</v>
      </c>
      <c r="S220" s="225" t="s">
        <v>9</v>
      </c>
      <c r="T220" s="226" t="s">
        <v>414</v>
      </c>
      <c r="U220" s="225" t="s">
        <v>25</v>
      </c>
      <c r="V220" s="167" t="s">
        <v>371</v>
      </c>
      <c r="W220" s="230" t="s">
        <v>389</v>
      </c>
      <c r="X220" s="173">
        <f>IF(Y220="",VLOOKUP(H220,CLIENTS!$A$1:$O$649,5,FALSE),Y220)</f>
        <v>0</v>
      </c>
      <c r="Y220" s="234">
        <v>0</v>
      </c>
      <c r="Z220" s="173">
        <f>IF(AA220="",VLOOKUP(P220,CLIENTS!$A$1:$O$649,5,FALSE),AA220)</f>
        <v>3.0000000000000001E-3</v>
      </c>
      <c r="AA220" s="234">
        <v>3.0000000000000001E-3</v>
      </c>
      <c r="AB220" s="173" t="str">
        <f>IF(W220="via USD",IF(K220="EUR",K220&amp;"USD","USD"&amp;K220),IFERROR(VLOOKUP(K220&amp;S220,'FX RATES'!$H$2:$H$20,1,FALSE),S220&amp;K220))</f>
        <v>CNYRUB</v>
      </c>
      <c r="AC220" s="175">
        <f>IF(LEFT(AB220,3)=RIGHT(AB220,3),0,IFERROR(INDEX(CLIENTS!$A$1:$O$649,MATCH(H220,CLIENTS!$A$1:$A$649,0),MATCH(AB220,CLIENTS!$A$1:$O$1,0)),0))</f>
        <v>0</v>
      </c>
      <c r="AD220" s="176"/>
      <c r="AE220" s="177" t="str">
        <f>IF(W220="CLIENT","",IF(AD220="",AH220+AC220,AD220+AC220))</f>
        <v/>
      </c>
      <c r="AF220" s="177" t="str">
        <f>E220&amp;AB220</f>
        <v>46048CNYRUB</v>
      </c>
      <c r="AG220" s="176"/>
      <c r="AH220" s="178">
        <f ca="1">IF(LEFT(AB220,3)=RIGHT(AB220,3),1,VLOOKUP(AB220,'FX RATES'!$H$1:$I$20,2,FALSE))</f>
        <v>11.103899999999999</v>
      </c>
      <c r="AI220" s="178">
        <f>IF(OR(AB220="USDAED",LEFT(AB220,3)=RIGHT(AB220,3)),AH220,IF(LEFT(AB220)="USD",AG220,IF(RIGHT(AB220,3)="USD",1,IFERROR(VLOOKUP(E220&amp;"USD"&amp;RIGHT(AB220,3),$AF:$AG,2,FALSE),VLOOKUP(E220&amp;"USD"&amp;RIGHT(AJ220,3),$AN:$AO,2,FALSE)))))</f>
        <v>75.900000000000006</v>
      </c>
      <c r="AJ220" s="173" t="str">
        <f>IF(W220="via USD",IF(S220="EUR",S220&amp;"USD","USD"&amp;S220),IFERROR(VLOOKUP(K220&amp;S220,'FX RATES'!$H$2:$H$20,1,FALSE),S220&amp;K220))</f>
        <v>CNYRUB</v>
      </c>
      <c r="AK220" s="175">
        <f>IF(LEFT(AJ220,3)=RIGHT(AJ220,3),0,IFERROR(INDEX(CLIENTS!$A$1:$O$649,MATCH(P220,CLIENTS!$A$1:$A$649,0),MATCH(AJ220,CLIENTS!$A$1:$O$1,0)),0))</f>
        <v>0</v>
      </c>
      <c r="AL220" s="176">
        <v>10.98</v>
      </c>
      <c r="AM220" s="177">
        <f>IF(W220="VENDOR","",IF(AL220="",AP220+AK220,AL220+AK220))</f>
        <v>10.98</v>
      </c>
      <c r="AN220" s="177" t="str">
        <f>E220&amp;AJ220</f>
        <v>46048CNYRUB</v>
      </c>
      <c r="AO220" s="176">
        <v>10.91</v>
      </c>
      <c r="AP220" s="178">
        <f ca="1">IF(LEFT(AJ220,3)=RIGHT(AJ220,3),1,VLOOKUP(AJ220,'FX RATES'!$H$1:$I$20,2,FALSE))</f>
        <v>11.103899999999999</v>
      </c>
      <c r="AQ220" s="178">
        <f>IF(OR(AJ220="USDAED",LEFT(AJ220,3)=RIGHT(AJ220,3)),AP220,IF(LEFT(AJ220)="USD",AO220,IF(RIGHT(AJ220,3)="USD",1,IFERROR(VLOOKUP(E220&amp;"USD"&amp;RIGHT(AJ220,3),$AN:$AO,2,FALSE),VLOOKUP(E220&amp;"USD"&amp;RIGHT(AB220,3),$AF:$AG,2,FALSE)))))</f>
        <v>75.900000000000006</v>
      </c>
      <c r="AR220" s="179">
        <f>-Q220*(1-Z220)/(1+X220)*IF(W220="CLIENT",IF(S220=RIGHT(AJ220,3),1/AM220,AM220),IF(W220="VENDOR",IF(S220=RIGHT(AJ220,3),1/AE220,AE220),AE220^(VLOOKUP(AB220,'FX RATES'!$H$1:$J$26,3,FALSE))/AM220^(VLOOKUP(AJ220,'FX RATES'!$H$1:$J$26,3,FALSE))))</f>
        <v>0</v>
      </c>
      <c r="AS220" s="179">
        <f>-I220*(1+X220)/(1-Z220)*IF(W220="VENDOR",IF(K220=RIGHT(AB220,3),1/AE220,AE220),IF(W220="CLIENT",IF(K220=RIGHT(AB220,3),1/AM220,AM220),AM220^(VLOOKUP(AJ220,'FX RATES'!$H$1:$J$26,3,FALSE))/AE220^(VLOOKUP(AB220,'FX RATES'!$H$1:$J$26,3,FALSE))))</f>
        <v>231273821.46439317</v>
      </c>
      <c r="AT220" s="170">
        <f ca="1">IF(AB220&lt;&gt;AJ220,J220/IF(K220=RIGHT(AB220,3),AE220,1/AE220),IF(S220="USD",J220/IF(K220=RIGHT(AB220,3),IF(W220="CLIENT",AM220,AE220),1/IF(W220="CLIENT",AM220,AE220)),J220*VLOOKUP(K220,'FX RATES'!$E$1:$F$10,2,FALSE)))</f>
        <v>-3039953.6768963519</v>
      </c>
      <c r="AU220" s="170">
        <f ca="1">IF(AB220&lt;&gt;AJ220,R220/IF(S220=RIGHT(AJ220,3),AM220,1/AM220),IF(K220="USD",R220/IF(S220=RIGHT(AJ220,3),IF(W220="CLIENT",AM220,AE220),1/IF(W220="CLIENT",AM220,AE220)),R220*VLOOKUP(S220,'FX RATES'!$E$1:$F$10,2,FALSE)))</f>
        <v>3014498.3604694074</v>
      </c>
      <c r="AV220" s="170">
        <f ca="1">AT220+AU220</f>
        <v>-25455.316426944453</v>
      </c>
      <c r="AW220" s="227"/>
      <c r="AX220" s="170">
        <f ca="1">IF(AND(ISERROR(SEARCH("INVOICE",T220)),ISERROR(SEARCH("SWITCH",T220)),ISERROR(SEARCH("FOREX",T220)),ISERROR(SEARCH("REFUND",A220)),ISERROR(SEARCH("CANCELLED",A220))),IF(AW220="",-AT220*X220+AU220*Z220,AW220),0)</f>
        <v>9043.4950814082222</v>
      </c>
      <c r="AY220" s="170">
        <f>IF(AZ220="USD",AT220,IF(AZ220=K220,J220,-R220))</f>
        <v>-21000000</v>
      </c>
      <c r="AZ220" s="170" t="str">
        <f>LEFT(AB220,3)</f>
        <v>CNY</v>
      </c>
      <c r="BA220" s="542">
        <f>IF(OR(A220="REFUND",A220="CANCELLED"),0,IFERROR((IF(OR(AB220="USDAED",LEFT(AB220,3)=RIGHT(AB220,3)),AI220,AG220)-AE220)*-AY220*VLOOKUP(AB220,'FX RATES'!$H$1:$J$26,3,FALSE),0))</f>
        <v>0</v>
      </c>
      <c r="BB220" s="170" t="str">
        <f>RIGHT(AB220,3)</f>
        <v>RUB</v>
      </c>
      <c r="BC220" s="542">
        <f>IF(BA220=0,0,IFERROR(BA220/IF(BB220&lt;&gt;"USD",AI220,1),"???"))</f>
        <v>0</v>
      </c>
      <c r="BD220" s="170">
        <f>IFERROR(-AC220/(IF(OR(AB220="USDAED",LEFT(AB220,3)=RIGHT(AB220,3)),AH220,AG220)-AE220)*BC220,0)</f>
        <v>0</v>
      </c>
      <c r="BE220" s="542">
        <f>BC220-BD220</f>
        <v>0</v>
      </c>
      <c r="BF220" s="170">
        <f>IF(BG220="USD",AU220,IF(BG220=S220,R220,-J220))</f>
        <v>21000000</v>
      </c>
      <c r="BG220" s="170" t="str">
        <f>LEFT(AJ220,3)</f>
        <v>CNY</v>
      </c>
      <c r="BH220" s="542">
        <f>IF(OR(A220="REFUND",A220="CANCELLED"),0,IFERROR((IF(OR(AJ220="USDAED",LEFT(AJ220,3)=RIGHT(AJ220,3)),AQ220,AO220)-AM220)*-BF220*VLOOKUP(AJ220,'FX RATES'!$H$1:$J$26,3,FALSE),0))</f>
        <v>1470000.0000000061</v>
      </c>
      <c r="BI220" s="170" t="str">
        <f>RIGHT(AJ220,3)</f>
        <v>RUB</v>
      </c>
      <c r="BJ220" s="542">
        <f>IF(BH220=0,0,IFERROR(BH220/IF(BI220&lt;&gt;"USD",AQ220,1),"???"))</f>
        <v>19367.588932806404</v>
      </c>
      <c r="BK220" s="170">
        <f>IFERROR(-AK220/(IF(OR(AJ220="USDAED",LEFT(AJ220,3)=RIGHT(AJ220,3)),AP220,AO220)-AM220)*BJ220,0)</f>
        <v>0</v>
      </c>
      <c r="BL220" s="542">
        <f>BJ220-BK220</f>
        <v>19367.588932806404</v>
      </c>
      <c r="BM220" s="170">
        <f>IF(AND(ISERROR(SEARCH("REFUND",A220)),ISERROR(SEARCH("CANCELLED",A220))),BD220+BK220,0)</f>
        <v>0</v>
      </c>
      <c r="BN220" s="542">
        <f>IF(AND(ISERROR(SEARCH("REFUND",A220)),ISERROR(SEARCH("CANCELLED",A220))),BE220+BL220,0)</f>
        <v>19367.588932806404</v>
      </c>
    </row>
    <row r="221" spans="1:66" ht="19.5" customHeight="1">
      <c r="A221" s="167" t="s">
        <v>488</v>
      </c>
      <c r="B221" s="168" t="s">
        <v>52</v>
      </c>
      <c r="C221" s="168" t="s">
        <v>489</v>
      </c>
      <c r="D221" s="168" t="s">
        <v>128</v>
      </c>
      <c r="E221" s="171">
        <v>46048</v>
      </c>
      <c r="F221" s="171"/>
      <c r="G221" s="168" t="s">
        <v>52</v>
      </c>
      <c r="H221" s="181" t="s">
        <v>52</v>
      </c>
      <c r="I221" s="169">
        <f>-(R220+J222)</f>
        <v>-1113821.4643931389</v>
      </c>
      <c r="J221" s="170">
        <f>IF(I221="",AR221,I221)</f>
        <v>-1113821.4643931389</v>
      </c>
      <c r="K221" s="168" t="s">
        <v>9</v>
      </c>
      <c r="L221" s="171"/>
      <c r="M221" s="168"/>
      <c r="N221" s="167" t="s">
        <v>371</v>
      </c>
      <c r="O221" s="168" t="s">
        <v>52</v>
      </c>
      <c r="P221" s="168" t="s">
        <v>52</v>
      </c>
      <c r="Q221" s="169"/>
      <c r="R221" s="170">
        <f>IF(Q221="",AS221,Q221)</f>
        <v>14674.854603335163</v>
      </c>
      <c r="S221" s="168" t="s">
        <v>5</v>
      </c>
      <c r="T221" s="171"/>
      <c r="U221" s="168"/>
      <c r="V221" s="167" t="s">
        <v>371</v>
      </c>
      <c r="W221" s="172" t="s">
        <v>382</v>
      </c>
      <c r="X221" s="173">
        <f>IF(Y221="",VLOOKUP(H221,CLIENTS!$A$1:$O$649,5,FALSE),Y221)</f>
        <v>0</v>
      </c>
      <c r="Y221" s="174"/>
      <c r="Z221" s="173">
        <f>IF(AA221="",VLOOKUP(P221,CLIENTS!$A$1:$O$649,5,FALSE),AA221)</f>
        <v>0</v>
      </c>
      <c r="AA221" s="174"/>
      <c r="AB221" s="173" t="str">
        <f>IF(W221="via USD",IF(K221="EUR",K221&amp;"USD","USD"&amp;K221),IFERROR(VLOOKUP(K221&amp;S221,'FX RATES'!$H$2:$H$20,1,FALSE),S221&amp;K221))</f>
        <v>USDRUB</v>
      </c>
      <c r="AC221" s="175">
        <f>IF(LEFT(AB221,3)=RIGHT(AB221,3),0,IFERROR(INDEX(CLIENTS!$A$1:$O$649,MATCH(H221,CLIENTS!$A$1:$A$649,0),MATCH(AB221,CLIENTS!$A$1:$O$1,0)),0))</f>
        <v>0</v>
      </c>
      <c r="AD221" s="176">
        <v>75.900000000000006</v>
      </c>
      <c r="AE221" s="177">
        <f>IF(W221="CLIENT","",IF(AD221="",AH221+AC221,AD221+AC221))</f>
        <v>75.900000000000006</v>
      </c>
      <c r="AF221" s="177" t="str">
        <f>E221&amp;AB221</f>
        <v>46048USDRUB</v>
      </c>
      <c r="AG221" s="176">
        <v>75.900000000000006</v>
      </c>
      <c r="AH221" s="178">
        <f ca="1">IF(LEFT(AB221,3)=RIGHT(AB221,3),1,VLOOKUP(AB221,'FX RATES'!$H$1:$I$20,2,FALSE))</f>
        <v>76.720500000000001</v>
      </c>
      <c r="AI221" s="178">
        <f>IF(OR(AB221="USDAED",LEFT(AB221,3)=RIGHT(AB221,3),AB221="USDUSDT",AB221="USDTUSD"),AH221,IF(LEFT(AB221)="USD",AG221,IF(RIGHT(AB221,3)="USD",1,IFERROR(VLOOKUP(E221&amp;"USD"&amp;RIGHT(AB221,3),$AF:$AG,2,FALSE),VLOOKUP(E221&amp;"USD"&amp;RIGHT(AJ221,3),$AN:$AO,2,FALSE)))))</f>
        <v>75.900000000000006</v>
      </c>
      <c r="AJ221" s="173" t="str">
        <f>IF(W221="via USD",IF(S221="EUR",S221&amp;"USD","USD"&amp;S221),IFERROR(VLOOKUP(K221&amp;S221,'FX RATES'!$H$2:$H$20,1,FALSE),S221&amp;K221))</f>
        <v>USDRUB</v>
      </c>
      <c r="AK221" s="175">
        <f>IF(LEFT(AJ221,3)=RIGHT(AJ221,3),0,IFERROR(INDEX(CLIENTS!$A$1:$O$649,MATCH(P221,CLIENTS!$A$1:$A$649,0),MATCH(AJ221,CLIENTS!$A$1:$O$1,0)),0))</f>
        <v>0</v>
      </c>
      <c r="AL221" s="176"/>
      <c r="AM221" s="177" t="str">
        <f>IF(W221="VENDOR","",IF(AL221="",AP221+AK221,AL221+AK221))</f>
        <v/>
      </c>
      <c r="AN221" s="177" t="str">
        <f>E221&amp;AJ221</f>
        <v>46048USDRUB</v>
      </c>
      <c r="AO221" s="176">
        <v>75.900000000000006</v>
      </c>
      <c r="AP221" s="178">
        <f ca="1">IF(LEFT(AJ221,3)=RIGHT(AJ221,3),1,VLOOKUP(AJ221,'FX RATES'!$H$1:$I$20,2,FALSE))</f>
        <v>76.720500000000001</v>
      </c>
      <c r="AQ221" s="178">
        <f>IF(OR(AJ221="USDAED",LEFT(AJ221,3)=RIGHT(AJ221,3)),AP221,IF(LEFT(AJ221)="USD",AO221,IF(RIGHT(AJ221,3)="USD",1,IFERROR(VLOOKUP(E221&amp;"USD"&amp;RIGHT(AJ221,3),$AN:$AO,2,FALSE),VLOOKUP(E221&amp;"USD"&amp;RIGHT(AB221,3),$AF:$AG,2,FALSE)))))</f>
        <v>75.900000000000006</v>
      </c>
      <c r="AR221" s="179">
        <f>-Q221*(1-Z221)/(1+X221)*IF(W221="CLIENT",IF(S221=RIGHT(AJ221,3),1/AM221,AM221),IF(W221="VENDOR",IF(S221=RIGHT(AJ221,3),1/AE221,AE221),AE221^(VLOOKUP(AB221,'FX RATES'!$H$1:$J$26,3,FALSE))/AM221^(VLOOKUP(AJ221,'FX RATES'!$H$1:$J$26,3,FALSE))))</f>
        <v>0</v>
      </c>
      <c r="AS221" s="179">
        <f>-I221*(1+X221)/(1-Z221)*IF(W221="VENDOR",IF(K221=RIGHT(AB221,3),1/AE221,AE221),IF(W221="CLIENT",IF(K221=RIGHT(AB221,3),1/AM221,AM221),AM221^(VLOOKUP(AJ221,'FX RATES'!$H$1:$J$26,3,FALSE))/AE221^(VLOOKUP(AB221,'FX RATES'!$H$1:$J$26,3,FALSE))))</f>
        <v>14674.854603335163</v>
      </c>
      <c r="AT221" s="170">
        <f>IF(AB221&lt;&gt;AJ221,J221/IF(K221=RIGHT(AB221,3),AE221,1/AE221),IF(S221="USD",J221/IF(K221=RIGHT(AB221,3),IF(W221="CLIENT",AM221,AE221),1/IF(W221="CLIENT",AM221,AE221)),J221*VLOOKUP(K221,'FX RATES'!$E$1:$F$10,2,FALSE)))</f>
        <v>-14674.854603335161</v>
      </c>
      <c r="AU221" s="170">
        <f>IF(AB221&lt;&gt;AJ221,R221/IF(S221=RIGHT(AJ221,3),AM221,1/AM221),IF(K221="USD",R221/IF(S221=RIGHT(AJ221,3),IF(W221="CLIENT",AM221,AE221),1/IF(W221="CLIENT",AM221,AE221)),R221*VLOOKUP(S221,'FX RATES'!$E$1:$F$10,2,FALSE)))</f>
        <v>14674.854603335163</v>
      </c>
      <c r="AV221" s="170">
        <f>AT221+AU221</f>
        <v>0</v>
      </c>
      <c r="AW221" s="169"/>
      <c r="AX221" s="170">
        <f>IF(AND(ISERROR(SEARCH("INVOICE",T221)),ISERROR(SEARCH("SWITCH",T221)),ISERROR(SEARCH("FOREX",T221)),ISERROR(SEARCH("REFUND",A221)),ISERROR(SEARCH("CANCELLED",A221))),IF(AW221="",-AT221*X221+AU221*Z221,AW221),0)</f>
        <v>0</v>
      </c>
      <c r="AY221" s="170">
        <f>IF(AZ221="USD",AT221,IF(AZ221=K221,J221,-R221))</f>
        <v>-14674.854603335161</v>
      </c>
      <c r="AZ221" s="170" t="str">
        <f>LEFT(AB221,3)</f>
        <v>USD</v>
      </c>
      <c r="BA221" s="542">
        <f>IF(OR(A221="REFUND",A221="CANCELLED"),0,IFERROR((IF(OR(AB221="USDAED",LEFT(AB221,3)=RIGHT(AB221,3)),AI221,AG221)-AE221)*-AY221*VLOOKUP(AB221,'FX RATES'!$H$1:$J$26,3,FALSE),0))</f>
        <v>0</v>
      </c>
      <c r="BB221" s="170" t="str">
        <f>RIGHT(AB221,3)</f>
        <v>RUB</v>
      </c>
      <c r="BC221" s="542">
        <f>IF(BA221=0,0,IFERROR(BA221/IF(BB221&lt;&gt;"USD",AI221,1),"???"))</f>
        <v>0</v>
      </c>
      <c r="BD221" s="170">
        <f>IFERROR(-AC221/(IF(OR(AB221="USDAED",LEFT(AB221,3)=RIGHT(AB221,3)),AH221,AG221)-AE221)*BC221,0)</f>
        <v>0</v>
      </c>
      <c r="BE221" s="542">
        <f>BC221-BD221</f>
        <v>0</v>
      </c>
      <c r="BF221" s="170">
        <f>IF(BG221="USD",AU221,IF(BG221=S221,R221,-J221))</f>
        <v>14674.854603335163</v>
      </c>
      <c r="BG221" s="170" t="str">
        <f>LEFT(AJ221,3)</f>
        <v>USD</v>
      </c>
      <c r="BH221" s="542">
        <f>IF(OR(A221="REFUND",A221="CANCELLED"),0,IFERROR((IF(OR(AJ221="USDAED",LEFT(AJ221,3)=RIGHT(AJ221,3)),AQ221,AO221)-AM221)*-BF221*VLOOKUP(AJ221,'FX RATES'!$H$1:$J$26,3,FALSE),0))</f>
        <v>0</v>
      </c>
      <c r="BI221" s="170" t="str">
        <f>RIGHT(AJ221,3)</f>
        <v>RUB</v>
      </c>
      <c r="BJ221" s="542">
        <f>IF(BH221=0,0,IFERROR(BH221/IF(BI221&lt;&gt;"USD",AQ221,1),"???"))</f>
        <v>0</v>
      </c>
      <c r="BK221" s="170">
        <f>IFERROR(-AK221/(IF(OR(AJ221="USDAED",LEFT(AJ221,3)=RIGHT(AJ221,3)),AP221,AO221)-AM221)*BJ221,0)</f>
        <v>0</v>
      </c>
      <c r="BL221" s="542">
        <f>BJ221-BK221</f>
        <v>0</v>
      </c>
      <c r="BM221" s="170">
        <f>IF(AND(ISERROR(SEARCH("REFUND",A221)),ISERROR(SEARCH("CANCELLED",A221))),BD221+BK221,0)</f>
        <v>0</v>
      </c>
      <c r="BN221" s="542">
        <f>IF(AND(ISERROR(SEARCH("REFUND",A221)),ISERROR(SEARCH("CANCELLED",A221))),BE221+BL221,0)</f>
        <v>0</v>
      </c>
    </row>
    <row r="222" spans="1:66" ht="19.5" customHeight="1">
      <c r="A222" s="167" t="s">
        <v>366</v>
      </c>
      <c r="B222" s="225" t="s">
        <v>39</v>
      </c>
      <c r="C222" s="225" t="s">
        <v>383</v>
      </c>
      <c r="D222" s="225" t="s">
        <v>368</v>
      </c>
      <c r="E222" s="226">
        <v>46048</v>
      </c>
      <c r="F222" s="226"/>
      <c r="G222" s="225" t="s">
        <v>52</v>
      </c>
      <c r="H222" s="228" t="s">
        <v>390</v>
      </c>
      <c r="I222" s="227"/>
      <c r="J222" s="170">
        <f t="shared" ref="J222" si="227">IF(I222="",AR222,I222)</f>
        <v>-230160000.00000003</v>
      </c>
      <c r="K222" s="225" t="s">
        <v>9</v>
      </c>
      <c r="L222" s="226" t="s">
        <v>391</v>
      </c>
      <c r="M222" s="225" t="s">
        <v>25</v>
      </c>
      <c r="N222" s="167" t="s">
        <v>371</v>
      </c>
      <c r="O222" s="225" t="s">
        <v>34</v>
      </c>
      <c r="P222" s="225" t="s">
        <v>392</v>
      </c>
      <c r="Q222" s="227">
        <v>21000000</v>
      </c>
      <c r="R222" s="170">
        <f t="shared" ref="R222" si="228">IF(Q222="",AS222,Q222)</f>
        <v>21000000</v>
      </c>
      <c r="S222" s="225" t="s">
        <v>7</v>
      </c>
      <c r="T222" s="226" t="s">
        <v>22</v>
      </c>
      <c r="U222" s="225" t="s">
        <v>22</v>
      </c>
      <c r="V222" s="167" t="s">
        <v>371</v>
      </c>
      <c r="W222" s="230" t="s">
        <v>382</v>
      </c>
      <c r="X222" s="173">
        <f>IF(Y222="",VLOOKUP(H222,CLIENTS!$A$1:$O$649,5,FALSE),Y222)</f>
        <v>0</v>
      </c>
      <c r="Y222" s="234"/>
      <c r="Z222" s="173">
        <f>IF(AA222="",VLOOKUP(P222,CLIENTS!$A$1:$O$649,5,FALSE),AA222)</f>
        <v>0</v>
      </c>
      <c r="AA222" s="234"/>
      <c r="AB222" s="173" t="str">
        <f>IF(W222="via USD",IF(K222="EUR",K222&amp;"USD","USD"&amp;K222),IFERROR(VLOOKUP(K222&amp;S222,'FX RATES'!$H$2:$H$20,1,FALSE),S222&amp;K222))</f>
        <v>CNYRUB</v>
      </c>
      <c r="AC222" s="175">
        <f>IF(LEFT(AB222,3)=RIGHT(AB222,3),0,IFERROR(INDEX(CLIENTS!$A$1:$O$649,MATCH(H222,CLIENTS!$A$1:$A$649,0),MATCH(AB222,CLIENTS!$A$1:$O$1,0)),0))</f>
        <v>0</v>
      </c>
      <c r="AD222" s="176">
        <v>10.96</v>
      </c>
      <c r="AE222" s="177">
        <f t="shared" ref="AE222" si="229">IF(W222="CLIENT","",IF(AD222="",AH222+AC222,AD222+AC222))</f>
        <v>10.96</v>
      </c>
      <c r="AF222" s="177" t="str">
        <f t="shared" ref="AF222" si="230">E222&amp;AB222</f>
        <v>46048CNYRUB</v>
      </c>
      <c r="AG222" s="176">
        <v>10.91</v>
      </c>
      <c r="AH222" s="178">
        <f ca="1">IF(LEFT(AB222,3)=RIGHT(AB222,3),1,VLOOKUP(AB222,'FX RATES'!$H$1:$I$20,2,FALSE))</f>
        <v>11.103899999999999</v>
      </c>
      <c r="AI222" s="178">
        <f>IF(OR(AB222="USDAED",LEFT(AB222,3)=RIGHT(AB222,3)),AH222,IF(LEFT(AB222)="USD",AG222,IF(RIGHT(AB222,3)="USD",1,IFERROR(VLOOKUP(E222&amp;"USD"&amp;RIGHT(AB222,3),$AF:$AG,2,FALSE),VLOOKUP(E222&amp;"USD"&amp;RIGHT(AJ222,3),$AN:$AO,2,FALSE)))))</f>
        <v>75.900000000000006</v>
      </c>
      <c r="AJ222" s="173" t="str">
        <f>IF(W222="via USD",IF(S222="EUR",S222&amp;"USD","USD"&amp;S222),IFERROR(VLOOKUP(K222&amp;S222,'FX RATES'!$H$2:$H$20,1,FALSE),S222&amp;K222))</f>
        <v>CNYRUB</v>
      </c>
      <c r="AK222" s="175">
        <f>IF(LEFT(AJ222,3)=RIGHT(AJ222,3),0,IFERROR(INDEX(CLIENTS!$A$1:$O$649,MATCH(P222,CLIENTS!$A$1:$A$649,0),MATCH(AJ222,CLIENTS!$A$1:$O$1,0)),0))</f>
        <v>0</v>
      </c>
      <c r="AL222" s="176"/>
      <c r="AM222" s="177" t="str">
        <f t="shared" ref="AM222" si="231">IF(W222="VENDOR","",IF(AL222="",AP222+AK222,AL222+AK222))</f>
        <v/>
      </c>
      <c r="AN222" s="177" t="str">
        <f t="shared" ref="AN222" si="232">E222&amp;AJ222</f>
        <v>46048CNYRUB</v>
      </c>
      <c r="AO222" s="176"/>
      <c r="AP222" s="178">
        <f ca="1">IF(LEFT(AJ222,3)=RIGHT(AJ222,3),1,VLOOKUP(AJ222,'FX RATES'!$H$1:$I$20,2,FALSE))</f>
        <v>11.103899999999999</v>
      </c>
      <c r="AQ222" s="178">
        <f>IF(OR(AJ222="USDAED",LEFT(AJ222,3)=RIGHT(AJ222,3)),AP222,IF(LEFT(AJ222)="USD",AO222,IF(RIGHT(AJ222,3)="USD",1,IFERROR(VLOOKUP(E222&amp;"USD"&amp;RIGHT(AJ222,3),$AN:$AO,2,FALSE),VLOOKUP(E222&amp;"USD"&amp;RIGHT(AB222,3),$AF:$AG,2,FALSE)))))</f>
        <v>75.900000000000006</v>
      </c>
      <c r="AR222" s="179">
        <f>-Q222*(1-Z222)/(1+X222)*IF(W222="CLIENT",IF(S222=RIGHT(AJ222,3),1/AM222,AM222),IF(W222="VENDOR",IF(S222=RIGHT(AJ222,3),1/AE222,AE222),AE222^(VLOOKUP(AB222,'FX RATES'!$H$1:$J$26,3,FALSE))/AM222^(VLOOKUP(AJ222,'FX RATES'!$H$1:$J$26,3,FALSE))))</f>
        <v>-230160000.00000003</v>
      </c>
      <c r="AS222" s="179">
        <f>-I222*(1+X222)/(1-Z222)*IF(W222="VENDOR",IF(K222=RIGHT(AB222,3),1/AE222,AE222),IF(W222="CLIENT",IF(K222=RIGHT(AB222,3),1/AM222,AM222),AM222^(VLOOKUP(AJ222,'FX RATES'!$H$1:$J$26,3,FALSE))/AE222^(VLOOKUP(AB222,'FX RATES'!$H$1:$J$26,3,FALSE))))</f>
        <v>0</v>
      </c>
      <c r="AT222" s="170">
        <f ca="1">IF(AB222&lt;&gt;AJ222,J222/IF(K222=RIGHT(AB222,3),AE222,1/AE222),IF(S222="USD",J222/IF(K222=RIGHT(AB222,3),IF(W222="CLIENT",AM222,AE222),1/IF(W222="CLIENT",AM222,AE222)),J222*VLOOKUP(K222,'FX RATES'!$E$1:$F$10,2,FALSE)))</f>
        <v>-2999980.4485111544</v>
      </c>
      <c r="AU222" s="170">
        <f ca="1">IF(AB222&lt;&gt;AJ222,R222/IF(S222=RIGHT(AJ222,3),AM222,1/AM222),IF(K222="USD",R222/IF(S222=RIGHT(AJ222,3),IF(W222="CLIENT",AM222,AE222),1/IF(W222="CLIENT",AM222,AE222)),R222*VLOOKUP(S222,'FX RATES'!$E$1:$F$10,2,FALSE)))</f>
        <v>3039953.6768963519</v>
      </c>
      <c r="AV222" s="170">
        <f t="shared" ref="AV222" ca="1" si="233">AT222+AU222</f>
        <v>39973.228385197464</v>
      </c>
      <c r="AW222" s="227"/>
      <c r="AX222" s="170">
        <f t="shared" ref="AX222" ca="1" si="234">IF(AND(ISERROR(SEARCH("INVOICE",T222)),ISERROR(SEARCH("SWITCH",T222)),ISERROR(SEARCH("FOREX",T222)),ISERROR(SEARCH("REFUND",A222)),ISERROR(SEARCH("CANCELLED",A222))),IF(AW222="",-AT222*X222+AU222*Z222,AW222),0)</f>
        <v>0</v>
      </c>
      <c r="AY222" s="170">
        <f t="shared" ref="AY222" si="235">IF(AZ222="USD",AT222,IF(AZ222=K222,J222,-R222))</f>
        <v>-21000000</v>
      </c>
      <c r="AZ222" s="170" t="str">
        <f t="shared" ref="AZ222" si="236">LEFT(AB222,3)</f>
        <v>CNY</v>
      </c>
      <c r="BA222" s="542">
        <f>IF(OR(A222="REFUND",A222="CANCELLED"),0,IFERROR((IF(OR(AB222="USDAED",LEFT(AB222,3)=RIGHT(AB222,3)),AI222,AG222)-AE222)*-AY222*VLOOKUP(AB222,'FX RATES'!$H$1:$J$26,3,FALSE),0))</f>
        <v>-1050000.0000000149</v>
      </c>
      <c r="BB222" s="170" t="str">
        <f>RIGHT(AB222,3)</f>
        <v>RUB</v>
      </c>
      <c r="BC222" s="542">
        <f t="shared" ref="BC222" si="237">IF(BA222=0,0,IFERROR(BA222/IF(BB222&lt;&gt;"USD",AI222,1),"???"))</f>
        <v>-13833.992094861855</v>
      </c>
      <c r="BD222" s="170">
        <f t="shared" ref="BD222" si="238">IFERROR(-AC222/(IF(OR(AB222="USDAED",LEFT(AB222,3)=RIGHT(AB222,3)),AH222,AG222)-AE222)*BC222,0)</f>
        <v>0</v>
      </c>
      <c r="BE222" s="542">
        <f t="shared" ref="BE222" si="239">BC222-BD222</f>
        <v>-13833.992094861855</v>
      </c>
      <c r="BF222" s="170">
        <f t="shared" ref="BF222" si="240">IF(BG222="USD",AU222,IF(BG222=S222,R222,-J222))</f>
        <v>21000000</v>
      </c>
      <c r="BG222" s="170" t="str">
        <f t="shared" ref="BG222" si="241">LEFT(AJ222,3)</f>
        <v>CNY</v>
      </c>
      <c r="BH222" s="542">
        <f>IF(OR(A222="REFUND",A222="CANCELLED"),0,IFERROR((IF(OR(AJ222="USDAED",LEFT(AJ222,3)=RIGHT(AJ222,3)),AQ222,AO222)-AM222)*-BF222*VLOOKUP(AJ222,'FX RATES'!$H$1:$J$26,3,FALSE),0))</f>
        <v>0</v>
      </c>
      <c r="BI222" s="170" t="str">
        <f t="shared" ref="BI222" si="242">RIGHT(AJ222,3)</f>
        <v>RUB</v>
      </c>
      <c r="BJ222" s="542">
        <f t="shared" ref="BJ222" si="243">IF(BH222=0,0,IFERROR(BH222/IF(BI222&lt;&gt;"USD",AQ222,1),"???"))</f>
        <v>0</v>
      </c>
      <c r="BK222" s="170">
        <f t="shared" ref="BK222" si="244">IFERROR(-AK222/(IF(OR(AJ222="USDAED",LEFT(AJ222,3)=RIGHT(AJ222,3)),AP222,AO222)-AM222)*BJ222,0)</f>
        <v>0</v>
      </c>
      <c r="BL222" s="542">
        <f t="shared" ref="BL222" si="245">BJ222-BK222</f>
        <v>0</v>
      </c>
      <c r="BM222" s="170">
        <f t="shared" ref="BM222" si="246">IF(AND(ISERROR(SEARCH("REFUND",A222)),ISERROR(SEARCH("CANCELLED",A222))),BD222+BK222,0)</f>
        <v>0</v>
      </c>
      <c r="BN222" s="542">
        <f t="shared" ref="BN222" si="247">IF(AND(ISERROR(SEARCH("REFUND",A222)),ISERROR(SEARCH("CANCELLED",A222))),BE222+BL222,0)</f>
        <v>-13833.992094861855</v>
      </c>
    </row>
    <row r="224" spans="1:66" ht="19.5" customHeight="1">
      <c r="A224" s="167" t="s">
        <v>366</v>
      </c>
      <c r="B224" s="168" t="s">
        <v>39</v>
      </c>
      <c r="C224" s="168" t="s">
        <v>367</v>
      </c>
      <c r="D224" s="168" t="s">
        <v>368</v>
      </c>
      <c r="E224" s="171">
        <v>46048</v>
      </c>
      <c r="F224" s="171"/>
      <c r="G224" s="168" t="s">
        <v>39</v>
      </c>
      <c r="H224" s="168" t="s">
        <v>528</v>
      </c>
      <c r="I224" s="169"/>
      <c r="J224" s="170">
        <f t="shared" ref="J224:J233" si="248">IF(I224="",AR224,I224)</f>
        <v>-1780636.8265358</v>
      </c>
      <c r="K224" s="168" t="s">
        <v>8</v>
      </c>
      <c r="L224" s="171" t="s">
        <v>529</v>
      </c>
      <c r="M224" s="168" t="s">
        <v>15</v>
      </c>
      <c r="N224" s="167" t="s">
        <v>371</v>
      </c>
      <c r="O224" s="168" t="s">
        <v>52</v>
      </c>
      <c r="P224" s="168" t="s">
        <v>413</v>
      </c>
      <c r="Q224" s="169">
        <v>37060000</v>
      </c>
      <c r="R224" s="170">
        <f t="shared" ref="R224:R233" si="249">IF(Q224="",AS224,Q224)</f>
        <v>37060000</v>
      </c>
      <c r="S224" s="168" t="s">
        <v>9</v>
      </c>
      <c r="T224" s="171" t="s">
        <v>414</v>
      </c>
      <c r="U224" s="168" t="s">
        <v>25</v>
      </c>
      <c r="V224" s="167" t="s">
        <v>371</v>
      </c>
      <c r="W224" s="172" t="s">
        <v>375</v>
      </c>
      <c r="X224" s="173">
        <f>IF(Y224="",VLOOKUP(H224,CLIENTS!$A$1:$O$649,5,FALSE),Y224)</f>
        <v>0</v>
      </c>
      <c r="Y224" s="174">
        <v>0</v>
      </c>
      <c r="Z224" s="173">
        <f>IF(AA224="",VLOOKUP(P224,CLIENTS!$A$1:$O$649,5,FALSE),AA224)</f>
        <v>6.0000000000000001E-3</v>
      </c>
      <c r="AA224" s="174">
        <v>6.0000000000000001E-3</v>
      </c>
      <c r="AB224" s="173" t="str">
        <f>IF(W224="via USD",IF(K224="EUR",K224&amp;"USD","USD"&amp;K224),IFERROR(VLOOKUP(K224&amp;S224,'FX RATES'!$H$2:$H$20,1,FALSE),S224&amp;K224))</f>
        <v>USDAED</v>
      </c>
      <c r="AC224" s="175">
        <f>IF(LEFT(AB224,3)=RIGHT(AB224,3),0,IFERROR(INDEX(CLIENTS!$A$1:$O$649,MATCH(H224,CLIENTS!$A$1:$A$649,0),MATCH(AB224,CLIENTS!$A$1:$O$1,0)),0))</f>
        <v>0</v>
      </c>
      <c r="AD224" s="176">
        <v>3.67</v>
      </c>
      <c r="AE224" s="177">
        <f t="shared" ref="AE224:AE233" si="250">IF(W224="CLIENT","",IF(AD224="",AH224+AC224,AD224+AC224))</f>
        <v>3.67</v>
      </c>
      <c r="AF224" s="177" t="str">
        <f t="shared" ref="AF224:AF233" si="251">E224&amp;AB224</f>
        <v>46048USDAED</v>
      </c>
      <c r="AG224" s="176"/>
      <c r="AH224" s="178">
        <f>IF(LEFT(AB224,3)=RIGHT(AB224,3),1,VLOOKUP(AB224,'FX RATES'!$H$1:$I$20,2,FALSE))</f>
        <v>3.6724999999999999</v>
      </c>
      <c r="AI224" s="178">
        <f t="shared" ref="AI224:AI230" si="252">IF(OR(AB224="USDAED",LEFT(AB224,3)=RIGHT(AB224,3)),AH224,IF(LEFT(AB224)="USD",AG224,IF(RIGHT(AB224,3)="USD",1,IFERROR(VLOOKUP(E224&amp;"USD"&amp;RIGHT(AB224,3),$AF:$AG,2,FALSE),VLOOKUP(E224&amp;"USD"&amp;RIGHT(AJ224,3),$AN:$AO,2,FALSE)))))</f>
        <v>3.6724999999999999</v>
      </c>
      <c r="AJ224" s="173" t="str">
        <f>IF(W224="via USD",IF(S224="EUR",S224&amp;"USD","USD"&amp;S224),IFERROR(VLOOKUP(K224&amp;S224,'FX RATES'!$H$2:$H$20,1,FALSE),S224&amp;K224))</f>
        <v>USDRUB</v>
      </c>
      <c r="AK224" s="175">
        <f>IF(LEFT(AJ224,3)=RIGHT(AJ224,3),0,IFERROR(INDEX(CLIENTS!$A$1:$O$649,MATCH(P224,CLIENTS!$A$1:$A$649,0),MATCH(AJ224,CLIENTS!$A$1:$O$1,0)),0))</f>
        <v>0</v>
      </c>
      <c r="AL224" s="176">
        <v>75.924599999999998</v>
      </c>
      <c r="AM224" s="177">
        <f t="shared" ref="AM224:AM233" si="253">IF(W224="VENDOR","",IF(AL224="",AP224+AK224,AL224+AK224))</f>
        <v>75.924599999999998</v>
      </c>
      <c r="AN224" s="177" t="str">
        <f t="shared" ref="AN224:AN233" si="254">E224&amp;AJ224</f>
        <v>46048USDRUB</v>
      </c>
      <c r="AO224" s="176">
        <v>75.900000000000006</v>
      </c>
      <c r="AP224" s="178">
        <f ca="1">IF(LEFT(AJ224,3)=RIGHT(AJ224,3),1,VLOOKUP(AJ224,'FX RATES'!$H$1:$I$20,2,FALSE))</f>
        <v>76.720500000000001</v>
      </c>
      <c r="AQ224" s="178">
        <f t="shared" ref="AQ224:AQ233" si="255">IF(OR(AJ224="USDAED",LEFT(AJ224,3)=RIGHT(AJ224,3)),AP224,IF(LEFT(AJ224)="USD",AO224,IF(RIGHT(AJ224,3)="USD",1,IFERROR(VLOOKUP(E224&amp;"USD"&amp;RIGHT(AJ224,3),$AN:$AO,2,FALSE),VLOOKUP(E224&amp;"USD"&amp;RIGHT(AB224,3),$AF:$AG,2,FALSE)))))</f>
        <v>75.900000000000006</v>
      </c>
      <c r="AR224" s="179">
        <f>-Q224*(1-Z224)/(1+X224)*IF(W224="CLIENT",IF(S224=RIGHT(AJ224,3),1/AM224,AM224),IF(W224="VENDOR",IF(S224=RIGHT(AJ224,3),1/AE224,AE224),AE224^(VLOOKUP(AB224,'FX RATES'!$H$1:$J$26,3,FALSE))/AM224^(VLOOKUP(AJ224,'FX RATES'!$H$1:$J$26,3,FALSE))))</f>
        <v>-1780636.8265358</v>
      </c>
      <c r="AS224" s="179">
        <f>-I224*(1+X224)/(1-Z224)*IF(W224="VENDOR",IF(K224=RIGHT(AB224,3),1/AE224,AE224),IF(W224="CLIENT",IF(K224=RIGHT(AB224,3),1/AM224,AM224),AM224^(VLOOKUP(AJ224,'FX RATES'!$H$1:$J$26,3,FALSE))/AE224^(VLOOKUP(AB224,'FX RATES'!$H$1:$J$26,3,FALSE))))</f>
        <v>0</v>
      </c>
      <c r="AT224" s="170">
        <f>IF(AB224&lt;&gt;AJ224,J224/IF(K224=RIGHT(AB224,3),AE224,1/AE224),IF(S224="USD",J224/IF(K224=RIGHT(AB224,3),IF(W224="CLIENT",AM224,AE224),1/IF(W224="CLIENT",AM224,AE224)),J224*VLOOKUP(K224,'FX RATES'!$E$1:$F$10,2,FALSE)))</f>
        <v>-485187.1461950409</v>
      </c>
      <c r="AU224" s="170">
        <f>IF(AB224&lt;&gt;AJ224,R224/IF(S224=RIGHT(AJ224,3),AM224,1/AM224),IF(K224="USD",R224/IF(S224=RIGHT(AJ224,3),IF(W224="CLIENT",AM224,AE224),1/IF(W224="CLIENT",AM224,AE224)),R224*VLOOKUP(S224,'FX RATES'!$E$1:$F$10,2,FALSE)))</f>
        <v>488115.84124249587</v>
      </c>
      <c r="AV224" s="170">
        <f t="shared" ref="AV224:AV233" si="256">AT224+AU224</f>
        <v>2928.6950474549667</v>
      </c>
      <c r="AW224" s="169"/>
      <c r="AX224" s="170">
        <f t="shared" ref="AX224:AX233" si="257">IF(AND(ISERROR(SEARCH("INVOICE",T224)),ISERROR(SEARCH("SWITCH",T224)),ISERROR(SEARCH("FOREX",T224)),ISERROR(SEARCH("REFUND",A224)),ISERROR(SEARCH("CANCELLED",A224))),IF(AW224="",-AT224*X224+AU224*Z224,AW224),0)</f>
        <v>2928.6950474549753</v>
      </c>
      <c r="AY224" s="170">
        <f t="shared" ref="AY224:AY233" si="258">IF(AZ224="USD",AT224,IF(AZ224=K224,J224,-R224))</f>
        <v>-485187.1461950409</v>
      </c>
      <c r="AZ224" s="170" t="str">
        <f t="shared" ref="AZ224:AZ233" si="259">LEFT(AB224,3)</f>
        <v>USD</v>
      </c>
      <c r="BA224" s="542">
        <f>IF(OR(A224="REFUND",A224="CANCELLED"),0,IFERROR((IF(OR(AB224="USDAED",LEFT(AB224,3)=RIGHT(AB224,3)),AI224,AG224)-AE224)*-AY224*VLOOKUP(AB224,'FX RATES'!$H$1:$J$26,3,FALSE),0))</f>
        <v>1212.9678654875763</v>
      </c>
      <c r="BB224" s="170" t="str">
        <f t="shared" ref="BB224:BB233" si="260">RIGHT(AB224,3)</f>
        <v>AED</v>
      </c>
      <c r="BC224" s="542">
        <f t="shared" ref="BC224:BC233" si="261">IF(BA224=0,0,IFERROR(BA224/IF(BB224&lt;&gt;"USD",AI224,1),"???"))</f>
        <v>330.28396609600446</v>
      </c>
      <c r="BD224" s="170">
        <f t="shared" ref="BD224:BD233" si="262">IFERROR(-AC224/(IF(OR(AB224="USDAED",LEFT(AB224,3)=RIGHT(AB224,3)),AH224,AG224)-AE224)*BC224,0)</f>
        <v>0</v>
      </c>
      <c r="BE224" s="542">
        <f t="shared" ref="BE224:BE233" si="263">BC224-BD224</f>
        <v>330.28396609600446</v>
      </c>
      <c r="BF224" s="170">
        <f t="shared" ref="BF224:BF233" si="264">IF(BG224="USD",AU224,IF(BG224=S224,R224,-J224))</f>
        <v>488115.84124249587</v>
      </c>
      <c r="BG224" s="170" t="str">
        <f t="shared" ref="BG224:BG233" si="265">LEFT(AJ224,3)</f>
        <v>USD</v>
      </c>
      <c r="BH224" s="542">
        <f>IF(OR(A224="REFUND",A224="CANCELLED"),0,IFERROR((IF(OR(AJ224="USDAED",LEFT(AJ224,3)=RIGHT(AJ224,3)),AQ224,AO224)-AM224)*-BF224*VLOOKUP(AJ224,'FX RATES'!$H$1:$J$26,3,FALSE),0))</f>
        <v>12007.649694561691</v>
      </c>
      <c r="BI224" s="170" t="str">
        <f t="shared" ref="BI224:BI233" si="266">RIGHT(AJ224,3)</f>
        <v>RUB</v>
      </c>
      <c r="BJ224" s="542">
        <f t="shared" ref="BJ224:BJ233" si="267">IF(BH224=0,0,IFERROR(BH224/IF(BI224&lt;&gt;"USD",AQ224,1),"???"))</f>
        <v>158.20355328803279</v>
      </c>
      <c r="BK224" s="170">
        <f t="shared" ref="BK224:BK233" si="268">IFERROR(-AK224/(IF(OR(AJ224="USDAED",LEFT(AJ224,3)=RIGHT(AJ224,3)),AP224,AO224)-AM224)*BJ224,0)</f>
        <v>0</v>
      </c>
      <c r="BL224" s="542">
        <f t="shared" ref="BL224:BL233" si="269">BJ224-BK224</f>
        <v>158.20355328803279</v>
      </c>
      <c r="BM224" s="170">
        <f t="shared" ref="BM224:BM233" si="270">IF(AND(ISERROR(SEARCH("REFUND",A224)),ISERROR(SEARCH("CANCELLED",A224))),BD224+BK224,0)</f>
        <v>0</v>
      </c>
      <c r="BN224" s="542">
        <f t="shared" ref="BN224:BN233" si="271">IF(AND(ISERROR(SEARCH("REFUND",A224)),ISERROR(SEARCH("CANCELLED",A224))),BE224+BL224,0)</f>
        <v>488.48751938403723</v>
      </c>
    </row>
    <row r="225" spans="1:66" ht="19.5" customHeight="1">
      <c r="A225" s="167" t="s">
        <v>366</v>
      </c>
      <c r="B225" s="168" t="s">
        <v>27</v>
      </c>
      <c r="C225" s="168" t="s">
        <v>367</v>
      </c>
      <c r="D225" s="168" t="s">
        <v>368</v>
      </c>
      <c r="E225" s="171">
        <v>46048</v>
      </c>
      <c r="F225" s="171"/>
      <c r="G225" s="168" t="s">
        <v>27</v>
      </c>
      <c r="H225" s="168" t="s">
        <v>478</v>
      </c>
      <c r="I225" s="169">
        <v>-65597.67</v>
      </c>
      <c r="J225" s="170">
        <f t="shared" si="248"/>
        <v>-65597.67</v>
      </c>
      <c r="K225" s="168" t="s">
        <v>5</v>
      </c>
      <c r="L225" s="171" t="s">
        <v>479</v>
      </c>
      <c r="M225" s="168" t="s">
        <v>28</v>
      </c>
      <c r="N225" s="167" t="s">
        <v>371</v>
      </c>
      <c r="O225" s="168" t="s">
        <v>52</v>
      </c>
      <c r="P225" s="168" t="s">
        <v>394</v>
      </c>
      <c r="Q225" s="169">
        <f>10582786.3308451-R226</f>
        <v>4856231.4268471124</v>
      </c>
      <c r="R225" s="170">
        <f t="shared" si="249"/>
        <v>4856231.4268471124</v>
      </c>
      <c r="S225" s="168" t="s">
        <v>9</v>
      </c>
      <c r="T225" s="171" t="s">
        <v>25</v>
      </c>
      <c r="U225" s="168" t="s">
        <v>25</v>
      </c>
      <c r="V225" s="167" t="s">
        <v>371</v>
      </c>
      <c r="W225" s="172" t="s">
        <v>389</v>
      </c>
      <c r="X225" s="173">
        <f>IF(Y225="",VLOOKUP(H225,CLIENTS!$A$1:$O$649,5,FALSE),Y225)</f>
        <v>0</v>
      </c>
      <c r="Y225" s="174">
        <v>0</v>
      </c>
      <c r="Z225" s="173">
        <f>IF(AA225="",VLOOKUP(P225,CLIENTS!$A$1:$O$649,5,FALSE),AA225)</f>
        <v>6.0000000000000001E-3</v>
      </c>
      <c r="AA225" s="174">
        <v>6.0000000000000001E-3</v>
      </c>
      <c r="AB225" s="173" t="str">
        <f>IF(W225="via USD",IF(K225="EUR",K225&amp;"USD","USD"&amp;K225),IFERROR(VLOOKUP(K225&amp;S225,'FX RATES'!$H$2:$H$20,1,FALSE),S225&amp;K225))</f>
        <v>USDRUB</v>
      </c>
      <c r="AC225" s="175">
        <f>IF(LEFT(AB225,3)=RIGHT(AB225,3),0,IFERROR(INDEX(CLIENTS!$A$1:$O$649,MATCH(H225,CLIENTS!$A$1:$A$649,0),MATCH(AB225,CLIENTS!$A$1:$O$1,0)),0))</f>
        <v>0</v>
      </c>
      <c r="AD225" s="176"/>
      <c r="AE225" s="177" t="str">
        <f t="shared" si="250"/>
        <v/>
      </c>
      <c r="AF225" s="177" t="str">
        <f t="shared" si="251"/>
        <v>46048USDRUB</v>
      </c>
      <c r="AG225" s="176">
        <v>75.900000000000006</v>
      </c>
      <c r="AH225" s="178">
        <f ca="1">IF(LEFT(AB225,3)=RIGHT(AB225,3),1,VLOOKUP(AB225,'FX RATES'!$H$1:$I$20,2,FALSE))</f>
        <v>76.720500000000001</v>
      </c>
      <c r="AI225" s="178">
        <f t="shared" si="252"/>
        <v>75.900000000000006</v>
      </c>
      <c r="AJ225" s="173" t="str">
        <f>IF(W225="via USD",IF(S225="EUR",S225&amp;"USD","USD"&amp;S225),IFERROR(VLOOKUP(K225&amp;S225,'FX RATES'!$H$2:$H$20,1,FALSE),S225&amp;K225))</f>
        <v>USDRUB</v>
      </c>
      <c r="AK225" s="175">
        <f>IF(LEFT(AJ225,3)=RIGHT(AJ225,3),0,IFERROR(INDEX(CLIENTS!$A$1:$O$649,MATCH(P225,CLIENTS!$A$1:$A$649,0),MATCH(AJ225,CLIENTS!$A$1:$O$1,0)),0))</f>
        <v>0</v>
      </c>
      <c r="AL225" s="176">
        <v>75.924599999999998</v>
      </c>
      <c r="AM225" s="177">
        <f t="shared" si="253"/>
        <v>75.924599999999998</v>
      </c>
      <c r="AN225" s="177" t="str">
        <f t="shared" si="254"/>
        <v>46048USDRUB</v>
      </c>
      <c r="AO225" s="176">
        <v>75.900000000000006</v>
      </c>
      <c r="AP225" s="178">
        <f ca="1">IF(LEFT(AJ225,3)=RIGHT(AJ225,3),1,VLOOKUP(AJ225,'FX RATES'!$H$1:$I$20,2,FALSE))</f>
        <v>76.720500000000001</v>
      </c>
      <c r="AQ225" s="178">
        <f t="shared" si="255"/>
        <v>75.900000000000006</v>
      </c>
      <c r="AR225" s="179">
        <f>-Q225*(1-Z225)/(1+X225)*IF(W225="CLIENT",IF(S225=RIGHT(AJ225,3),1/AM225,AM225),IF(W225="VENDOR",IF(S225=RIGHT(AJ225,3),1/AE225,AE225),AE225^(VLOOKUP(AB225,'FX RATES'!$H$1:$J$26,3,FALSE))/AM225^(VLOOKUP(AJ225,'FX RATES'!$H$1:$J$26,3,FALSE))))</f>
        <v>-63577.470783988712</v>
      </c>
      <c r="AS225" s="179">
        <f>-I225*(1+X225)/(1-Z225)*IF(W225="VENDOR",IF(K225=RIGHT(AB225,3),1/AE225,AE225),IF(W225="CLIENT",IF(K225=RIGHT(AB225,3),1/AM225,AM225),AM225^(VLOOKUP(AJ225,'FX RATES'!$H$1:$J$26,3,FALSE))/AE225^(VLOOKUP(AB225,'FX RATES'!$H$1:$J$26,3,FALSE))))</f>
        <v>5010540.0962595567</v>
      </c>
      <c r="AT225" s="170">
        <f>IF(AB225&lt;&gt;AJ225,J225/IF(K225=RIGHT(AB225,3),AE225,1/AE225),IF(S225="USD",J225/IF(K225=RIGHT(AB225,3),IF(W225="CLIENT",AM225,AE225),1/IF(W225="CLIENT",AM225,AE225)),J225*VLOOKUP(K225,'FX RATES'!$E$1:$F$10,2,FALSE)))</f>
        <v>-65597.67</v>
      </c>
      <c r="AU225" s="170">
        <f>IF(AB225&lt;&gt;AJ225,R225/IF(S225=RIGHT(AJ225,3),AM225,1/AM225),IF(K225="USD",R225/IF(S225=RIGHT(AJ225,3),IF(W225="CLIENT",AM225,AE225),1/IF(W225="CLIENT",AM225,AE225)),R225*VLOOKUP(S225,'FX RATES'!$E$1:$F$10,2,FALSE)))</f>
        <v>63961.238213268327</v>
      </c>
      <c r="AV225" s="170">
        <f t="shared" si="256"/>
        <v>-1636.4317867316713</v>
      </c>
      <c r="AW225" s="169"/>
      <c r="AX225" s="170">
        <f t="shared" si="257"/>
        <v>383.76742927960998</v>
      </c>
      <c r="AY225" s="170">
        <f t="shared" si="258"/>
        <v>-65597.67</v>
      </c>
      <c r="AZ225" s="170" t="str">
        <f t="shared" si="259"/>
        <v>USD</v>
      </c>
      <c r="BA225" s="542">
        <f>IF(OR(A225="REFUND",A225="CANCELLED"),0,IFERROR((IF(OR(AB225="USDAED",LEFT(AB225,3)=RIGHT(AB225,3)),AI225,AG225)-AE225)*-AY225*VLOOKUP(AB225,'FX RATES'!$H$1:$J$26,3,FALSE),0))</f>
        <v>0</v>
      </c>
      <c r="BB225" s="170" t="str">
        <f t="shared" si="260"/>
        <v>RUB</v>
      </c>
      <c r="BC225" s="542">
        <f t="shared" si="261"/>
        <v>0</v>
      </c>
      <c r="BD225" s="170">
        <f t="shared" si="262"/>
        <v>0</v>
      </c>
      <c r="BE225" s="542">
        <f t="shared" si="263"/>
        <v>0</v>
      </c>
      <c r="BF225" s="170">
        <f t="shared" si="264"/>
        <v>63961.238213268327</v>
      </c>
      <c r="BG225" s="170" t="str">
        <f t="shared" si="265"/>
        <v>USD</v>
      </c>
      <c r="BH225" s="542">
        <f>IF(OR(A225="REFUND",A225="CANCELLED"),0,IFERROR((IF(OR(AJ225="USDAED",LEFT(AJ225,3)=RIGHT(AJ225,3)),AQ225,AO225)-AM225)*-BF225*VLOOKUP(AJ225,'FX RATES'!$H$1:$J$26,3,FALSE),0))</f>
        <v>1573.446460045915</v>
      </c>
      <c r="BI225" s="170" t="str">
        <f t="shared" si="266"/>
        <v>RUB</v>
      </c>
      <c r="BJ225" s="542">
        <f t="shared" si="267"/>
        <v>20.730519895203095</v>
      </c>
      <c r="BK225" s="170">
        <f t="shared" si="268"/>
        <v>0</v>
      </c>
      <c r="BL225" s="542">
        <f t="shared" si="269"/>
        <v>20.730519895203095</v>
      </c>
      <c r="BM225" s="170">
        <f t="shared" si="270"/>
        <v>0</v>
      </c>
      <c r="BN225" s="542">
        <f t="shared" si="271"/>
        <v>20.730519895203095</v>
      </c>
    </row>
    <row r="226" spans="1:66" ht="19.5" customHeight="1">
      <c r="A226" s="167" t="s">
        <v>366</v>
      </c>
      <c r="B226" s="168" t="s">
        <v>27</v>
      </c>
      <c r="C226" s="168" t="s">
        <v>367</v>
      </c>
      <c r="D226" s="168" t="s">
        <v>368</v>
      </c>
      <c r="E226" s="171">
        <v>46048</v>
      </c>
      <c r="F226" s="171"/>
      <c r="G226" s="168" t="s">
        <v>27</v>
      </c>
      <c r="H226" s="168" t="s">
        <v>393</v>
      </c>
      <c r="I226" s="169">
        <v>-74971.69</v>
      </c>
      <c r="J226" s="170">
        <f t="shared" si="248"/>
        <v>-74971.69</v>
      </c>
      <c r="K226" s="168" t="s">
        <v>5</v>
      </c>
      <c r="L226" s="171" t="s">
        <v>378</v>
      </c>
      <c r="M226" s="168" t="s">
        <v>28</v>
      </c>
      <c r="N226" s="167" t="s">
        <v>371</v>
      </c>
      <c r="O226" s="168" t="s">
        <v>52</v>
      </c>
      <c r="P226" s="168" t="s">
        <v>394</v>
      </c>
      <c r="Q226" s="169"/>
      <c r="R226" s="170">
        <f t="shared" si="249"/>
        <v>5726554.9039979884</v>
      </c>
      <c r="S226" s="168" t="s">
        <v>9</v>
      </c>
      <c r="T226" s="171" t="s">
        <v>25</v>
      </c>
      <c r="U226" s="168" t="s">
        <v>25</v>
      </c>
      <c r="V226" s="167" t="s">
        <v>371</v>
      </c>
      <c r="W226" s="172" t="s">
        <v>389</v>
      </c>
      <c r="X226" s="173">
        <f>IF(Y226="",VLOOKUP(H226,CLIENTS!$A$1:$O$649,5,FALSE),Y226)</f>
        <v>0</v>
      </c>
      <c r="Y226" s="174">
        <v>0</v>
      </c>
      <c r="Z226" s="173">
        <f>IF(AA226="",VLOOKUP(P226,CLIENTS!$A$1:$O$649,5,FALSE),AA226)</f>
        <v>6.0000000000000001E-3</v>
      </c>
      <c r="AA226" s="174">
        <v>6.0000000000000001E-3</v>
      </c>
      <c r="AB226" s="173" t="str">
        <f>IF(W226="via USD",IF(K226="EUR",K226&amp;"USD","USD"&amp;K226),IFERROR(VLOOKUP(K226&amp;S226,'FX RATES'!$H$2:$H$20,1,FALSE),S226&amp;K226))</f>
        <v>USDRUB</v>
      </c>
      <c r="AC226" s="175">
        <f>IF(LEFT(AB226,3)=RIGHT(AB226,3),0,IFERROR(INDEX(CLIENTS!$A$1:$O$649,MATCH(H226,CLIENTS!$A$1:$A$649,0),MATCH(AB226,CLIENTS!$A$1:$O$1,0)),0))</f>
        <v>0</v>
      </c>
      <c r="AD226" s="176"/>
      <c r="AE226" s="177" t="str">
        <f t="shared" si="250"/>
        <v/>
      </c>
      <c r="AF226" s="177" t="str">
        <f t="shared" si="251"/>
        <v>46048USDRUB</v>
      </c>
      <c r="AG226" s="176">
        <v>75.900000000000006</v>
      </c>
      <c r="AH226" s="178">
        <f ca="1">IF(LEFT(AB226,3)=RIGHT(AB226,3),1,VLOOKUP(AB226,'FX RATES'!$H$1:$I$20,2,FALSE))</f>
        <v>76.720500000000001</v>
      </c>
      <c r="AI226" s="178">
        <f t="shared" si="252"/>
        <v>75.900000000000006</v>
      </c>
      <c r="AJ226" s="173" t="str">
        <f>IF(W226="via USD",IF(S226="EUR",S226&amp;"USD","USD"&amp;S226),IFERROR(VLOOKUP(K226&amp;S226,'FX RATES'!$H$2:$H$20,1,FALSE),S226&amp;K226))</f>
        <v>USDRUB</v>
      </c>
      <c r="AK226" s="175">
        <f>IF(LEFT(AJ226,3)=RIGHT(AJ226,3),0,IFERROR(INDEX(CLIENTS!$A$1:$O$649,MATCH(P226,CLIENTS!$A$1:$A$649,0),MATCH(AJ226,CLIENTS!$A$1:$O$1,0)),0))</f>
        <v>0</v>
      </c>
      <c r="AL226" s="176">
        <v>75.924599999999998</v>
      </c>
      <c r="AM226" s="177">
        <f t="shared" si="253"/>
        <v>75.924599999999998</v>
      </c>
      <c r="AN226" s="177" t="str">
        <f t="shared" si="254"/>
        <v>46048USDRUB</v>
      </c>
      <c r="AO226" s="176">
        <v>75.900000000000006</v>
      </c>
      <c r="AP226" s="178">
        <f ca="1">IF(LEFT(AJ226,3)=RIGHT(AJ226,3),1,VLOOKUP(AJ226,'FX RATES'!$H$1:$I$20,2,FALSE))</f>
        <v>76.720500000000001</v>
      </c>
      <c r="AQ226" s="178">
        <f t="shared" si="255"/>
        <v>75.900000000000006</v>
      </c>
      <c r="AR226" s="179">
        <f>-Q226*(1-Z226)/(1+X226)*IF(W226="CLIENT",IF(S226=RIGHT(AJ226,3),1/AM226,AM226),IF(W226="VENDOR",IF(S226=RIGHT(AJ226,3),1/AE226,AE226),AE226^(VLOOKUP(AB226,'FX RATES'!$H$1:$J$26,3,FALSE))/AM226^(VLOOKUP(AJ226,'FX RATES'!$H$1:$J$26,3,FALSE))))</f>
        <v>0</v>
      </c>
      <c r="AS226" s="179">
        <f>-I226*(1+X226)/(1-Z226)*IF(W226="VENDOR",IF(K226=RIGHT(AB226,3),1/AE226,AE226),IF(W226="CLIENT",IF(K226=RIGHT(AB226,3),1/AM226,AM226),AM226^(VLOOKUP(AJ226,'FX RATES'!$H$1:$J$26,3,FALSE))/AE226^(VLOOKUP(AB226,'FX RATES'!$H$1:$J$26,3,FALSE))))</f>
        <v>5726554.9039979884</v>
      </c>
      <c r="AT226" s="170">
        <f>IF(AB226&lt;&gt;AJ226,J226/IF(K226=RIGHT(AB226,3),AE226,1/AE226),IF(S226="USD",J226/IF(K226=RIGHT(AB226,3),IF(W226="CLIENT",AM226,AE226),1/IF(W226="CLIENT",AM226,AE226)),J226*VLOOKUP(K226,'FX RATES'!$E$1:$F$10,2,FALSE)))</f>
        <v>-74971.69</v>
      </c>
      <c r="AU226" s="170">
        <f>IF(AB226&lt;&gt;AJ226,R226/IF(S226=RIGHT(AJ226,3),AM226,1/AM226),IF(K226="USD",R226/IF(S226=RIGHT(AJ226,3),IF(W226="CLIENT",AM226,AE226),1/IF(W226="CLIENT",AM226,AE226)),R226*VLOOKUP(S226,'FX RATES'!$E$1:$F$10,2,FALSE)))</f>
        <v>75424.235412474853</v>
      </c>
      <c r="AV226" s="170">
        <f t="shared" si="256"/>
        <v>452.54541247485031</v>
      </c>
      <c r="AW226" s="169"/>
      <c r="AX226" s="170">
        <f t="shared" si="257"/>
        <v>452.54541247484912</v>
      </c>
      <c r="AY226" s="170">
        <f t="shared" si="258"/>
        <v>-74971.69</v>
      </c>
      <c r="AZ226" s="170" t="str">
        <f t="shared" si="259"/>
        <v>USD</v>
      </c>
      <c r="BA226" s="542">
        <f>IF(OR(A226="REFUND",A226="CANCELLED"),0,IFERROR((IF(OR(AB226="USDAED",LEFT(AB226,3)=RIGHT(AB226,3)),AI226,AG226)-AE226)*-AY226*VLOOKUP(AB226,'FX RATES'!$H$1:$J$26,3,FALSE),0))</f>
        <v>0</v>
      </c>
      <c r="BB226" s="170" t="str">
        <f t="shared" si="260"/>
        <v>RUB</v>
      </c>
      <c r="BC226" s="542">
        <f t="shared" si="261"/>
        <v>0</v>
      </c>
      <c r="BD226" s="170">
        <f t="shared" si="262"/>
        <v>0</v>
      </c>
      <c r="BE226" s="542">
        <f t="shared" si="263"/>
        <v>0</v>
      </c>
      <c r="BF226" s="170">
        <f t="shared" si="264"/>
        <v>75424.235412474853</v>
      </c>
      <c r="BG226" s="170" t="str">
        <f t="shared" si="265"/>
        <v>USD</v>
      </c>
      <c r="BH226" s="542">
        <f>IF(OR(A226="REFUND",A226="CANCELLED"),0,IFERROR((IF(OR(AJ226="USDAED",LEFT(AJ226,3)=RIGHT(AJ226,3)),AQ226,AO226)-AM226)*-BF226*VLOOKUP(AJ226,'FX RATES'!$H$1:$J$26,3,FALSE),0))</f>
        <v>1855.4361911463086</v>
      </c>
      <c r="BI226" s="170" t="str">
        <f t="shared" si="266"/>
        <v>RUB</v>
      </c>
      <c r="BJ226" s="542">
        <f t="shared" si="267"/>
        <v>24.44579961984596</v>
      </c>
      <c r="BK226" s="170">
        <f t="shared" si="268"/>
        <v>0</v>
      </c>
      <c r="BL226" s="542">
        <f t="shared" si="269"/>
        <v>24.44579961984596</v>
      </c>
      <c r="BM226" s="170">
        <f t="shared" si="270"/>
        <v>0</v>
      </c>
      <c r="BN226" s="542">
        <f t="shared" si="271"/>
        <v>24.44579961984596</v>
      </c>
    </row>
    <row r="227" spans="1:66" ht="19.5" customHeight="1">
      <c r="A227" s="167" t="s">
        <v>366</v>
      </c>
      <c r="B227" s="168" t="s">
        <v>39</v>
      </c>
      <c r="C227" s="168" t="s">
        <v>367</v>
      </c>
      <c r="D227" s="168" t="s">
        <v>368</v>
      </c>
      <c r="E227" s="171">
        <v>46048</v>
      </c>
      <c r="F227" s="171"/>
      <c r="G227" s="168" t="s">
        <v>39</v>
      </c>
      <c r="H227" s="168" t="s">
        <v>530</v>
      </c>
      <c r="I227" s="169">
        <v>-31787</v>
      </c>
      <c r="J227" s="170">
        <f t="shared" si="248"/>
        <v>-31787</v>
      </c>
      <c r="K227" s="168" t="s">
        <v>5</v>
      </c>
      <c r="L227" s="171" t="s">
        <v>531</v>
      </c>
      <c r="M227" s="168" t="s">
        <v>20</v>
      </c>
      <c r="N227" s="167" t="s">
        <v>371</v>
      </c>
      <c r="O227" s="168" t="s">
        <v>52</v>
      </c>
      <c r="P227" s="168" t="s">
        <v>427</v>
      </c>
      <c r="Q227" s="169"/>
      <c r="R227" s="170">
        <f t="shared" si="249"/>
        <v>2427983.1591549297</v>
      </c>
      <c r="S227" s="168" t="s">
        <v>9</v>
      </c>
      <c r="T227" s="171" t="s">
        <v>25</v>
      </c>
      <c r="U227" s="168" t="s">
        <v>25</v>
      </c>
      <c r="V227" s="167" t="s">
        <v>371</v>
      </c>
      <c r="W227" s="172" t="s">
        <v>389</v>
      </c>
      <c r="X227" s="173">
        <f>IF(Y227="",VLOOKUP(H227,CLIENTS!$A$1:$O$649,5,FALSE),Y227)</f>
        <v>0</v>
      </c>
      <c r="Y227" s="174">
        <v>0</v>
      </c>
      <c r="Z227" s="173">
        <f>IF(AA227="",VLOOKUP(P227,CLIENTS!$A$1:$O$649,5,FALSE),AA227)</f>
        <v>6.0000000000000001E-3</v>
      </c>
      <c r="AA227" s="174">
        <v>6.0000000000000001E-3</v>
      </c>
      <c r="AB227" s="173" t="str">
        <f>IF(W227="via USD",IF(K227="EUR",K227&amp;"USD","USD"&amp;K227),IFERROR(VLOOKUP(K227&amp;S227,'FX RATES'!$H$2:$H$20,1,FALSE),S227&amp;K227))</f>
        <v>USDRUB</v>
      </c>
      <c r="AC227" s="175">
        <f>IF(LEFT(AB227,3)=RIGHT(AB227,3),0,IFERROR(INDEX(CLIENTS!$A$1:$O$649,MATCH(H227,CLIENTS!$A$1:$A$649,0),MATCH(AB227,CLIENTS!$A$1:$O$1,0)),0))</f>
        <v>0</v>
      </c>
      <c r="AD227" s="176"/>
      <c r="AE227" s="177" t="str">
        <f t="shared" si="250"/>
        <v/>
      </c>
      <c r="AF227" s="177" t="str">
        <f t="shared" si="251"/>
        <v>46048USDRUB</v>
      </c>
      <c r="AG227" s="176"/>
      <c r="AH227" s="178">
        <f ca="1">IF(LEFT(AB227,3)=RIGHT(AB227,3),1,VLOOKUP(AB227,'FX RATES'!$H$1:$I$20,2,FALSE))</f>
        <v>76.720500000000001</v>
      </c>
      <c r="AI227" s="178">
        <f t="shared" si="252"/>
        <v>75.900000000000006</v>
      </c>
      <c r="AJ227" s="173" t="str">
        <f>IF(W227="via USD",IF(S227="EUR",S227&amp;"USD","USD"&amp;S227),IFERROR(VLOOKUP(K227&amp;S227,'FX RATES'!$H$2:$H$20,1,FALSE),S227&amp;K227))</f>
        <v>USDRUB</v>
      </c>
      <c r="AK227" s="175">
        <f>IF(LEFT(AJ227,3)=RIGHT(AJ227,3),0,IFERROR(INDEX(CLIENTS!$A$1:$O$649,MATCH(P227,CLIENTS!$A$1:$A$649,0),MATCH(AJ227,CLIENTS!$A$1:$O$1,0)),0))</f>
        <v>0</v>
      </c>
      <c r="AL227" s="176">
        <v>75.924599999999998</v>
      </c>
      <c r="AM227" s="177">
        <f t="shared" si="253"/>
        <v>75.924599999999998</v>
      </c>
      <c r="AN227" s="177" t="str">
        <f t="shared" si="254"/>
        <v>46048USDRUB</v>
      </c>
      <c r="AO227" s="176">
        <v>75.900000000000006</v>
      </c>
      <c r="AP227" s="178">
        <f ca="1">IF(LEFT(AJ227,3)=RIGHT(AJ227,3),1,VLOOKUP(AJ227,'FX RATES'!$H$1:$I$20,2,FALSE))</f>
        <v>76.720500000000001</v>
      </c>
      <c r="AQ227" s="178">
        <f t="shared" si="255"/>
        <v>75.900000000000006</v>
      </c>
      <c r="AR227" s="179">
        <f>-Q227*(1-Z227)/(1+X227)*IF(W227="CLIENT",IF(S227=RIGHT(AJ227,3),1/AM227,AM227),IF(W227="VENDOR",IF(S227=RIGHT(AJ227,3),1/AE227,AE227),AE227^(VLOOKUP(AB227,'FX RATES'!$H$1:$J$26,3,FALSE))/AM227^(VLOOKUP(AJ227,'FX RATES'!$H$1:$J$26,3,FALSE))))</f>
        <v>0</v>
      </c>
      <c r="AS227" s="179">
        <f>-I227*(1+X227)/(1-Z227)*IF(W227="VENDOR",IF(K227=RIGHT(AB227,3),1/AE227,AE227),IF(W227="CLIENT",IF(K227=RIGHT(AB227,3),1/AM227,AM227),AM227^(VLOOKUP(AJ227,'FX RATES'!$H$1:$J$26,3,FALSE))/AE227^(VLOOKUP(AB227,'FX RATES'!$H$1:$J$26,3,FALSE))))</f>
        <v>2427983.1591549297</v>
      </c>
      <c r="AT227" s="170">
        <f>IF(AB227&lt;&gt;AJ227,J227/IF(K227=RIGHT(AB227,3),AE227,1/AE227),IF(S227="USD",J227/IF(K227=RIGHT(AB227,3),IF(W227="CLIENT",AM227,AE227),1/IF(W227="CLIENT",AM227,AE227)),J227*VLOOKUP(K227,'FX RATES'!$E$1:$F$10,2,FALSE)))</f>
        <v>-31787</v>
      </c>
      <c r="AU227" s="170">
        <f>IF(AB227&lt;&gt;AJ227,R227/IF(S227=RIGHT(AJ227,3),AM227,1/AM227),IF(K227="USD",R227/IF(S227=RIGHT(AJ227,3),IF(W227="CLIENT",AM227,AE227),1/IF(W227="CLIENT",AM227,AE227)),R227*VLOOKUP(S227,'FX RATES'!$E$1:$F$10,2,FALSE)))</f>
        <v>31978.873239436623</v>
      </c>
      <c r="AV227" s="170">
        <f t="shared" si="256"/>
        <v>191.87323943662341</v>
      </c>
      <c r="AW227" s="169"/>
      <c r="AX227" s="170">
        <f t="shared" si="257"/>
        <v>191.87323943661974</v>
      </c>
      <c r="AY227" s="170">
        <f t="shared" si="258"/>
        <v>-31787</v>
      </c>
      <c r="AZ227" s="170" t="str">
        <f t="shared" si="259"/>
        <v>USD</v>
      </c>
      <c r="BA227" s="542">
        <f>IF(OR(A227="REFUND",A227="CANCELLED"),0,IFERROR((IF(OR(AB227="USDAED",LEFT(AB227,3)=RIGHT(AB227,3)),AI227,AG227)-AE227)*-AY227*VLOOKUP(AB227,'FX RATES'!$H$1:$J$26,3,FALSE),0))</f>
        <v>0</v>
      </c>
      <c r="BB227" s="170" t="str">
        <f t="shared" si="260"/>
        <v>RUB</v>
      </c>
      <c r="BC227" s="542">
        <f t="shared" si="261"/>
        <v>0</v>
      </c>
      <c r="BD227" s="170">
        <f t="shared" si="262"/>
        <v>0</v>
      </c>
      <c r="BE227" s="542">
        <f t="shared" si="263"/>
        <v>0</v>
      </c>
      <c r="BF227" s="170">
        <f t="shared" si="264"/>
        <v>31978.873239436623</v>
      </c>
      <c r="BG227" s="170" t="str">
        <f t="shared" si="265"/>
        <v>USD</v>
      </c>
      <c r="BH227" s="542">
        <f>IF(OR(A227="REFUND",A227="CANCELLED"),0,IFERROR((IF(OR(AJ227="USDAED",LEFT(AJ227,3)=RIGHT(AJ227,3)),AQ227,AO227)-AM227)*-BF227*VLOOKUP(AJ227,'FX RATES'!$H$1:$J$26,3,FALSE),0))</f>
        <v>786.68028168989804</v>
      </c>
      <c r="BI227" s="170" t="str">
        <f t="shared" si="266"/>
        <v>RUB</v>
      </c>
      <c r="BJ227" s="542">
        <f t="shared" si="267"/>
        <v>10.364694093411041</v>
      </c>
      <c r="BK227" s="170">
        <f t="shared" si="268"/>
        <v>0</v>
      </c>
      <c r="BL227" s="542">
        <f t="shared" si="269"/>
        <v>10.364694093411041</v>
      </c>
      <c r="BM227" s="170">
        <f t="shared" si="270"/>
        <v>0</v>
      </c>
      <c r="BN227" s="542">
        <f t="shared" si="271"/>
        <v>10.364694093411041</v>
      </c>
    </row>
    <row r="228" spans="1:66" ht="19.5" customHeight="1">
      <c r="A228" s="167" t="s">
        <v>366</v>
      </c>
      <c r="B228" s="168" t="s">
        <v>39</v>
      </c>
      <c r="C228" s="168" t="s">
        <v>367</v>
      </c>
      <c r="D228" s="168" t="s">
        <v>368</v>
      </c>
      <c r="E228" s="171">
        <v>46048</v>
      </c>
      <c r="F228" s="171"/>
      <c r="G228" s="168" t="s">
        <v>39</v>
      </c>
      <c r="H228" s="168" t="s">
        <v>480</v>
      </c>
      <c r="I228" s="169">
        <v>-500000</v>
      </c>
      <c r="J228" s="170">
        <f t="shared" si="248"/>
        <v>-500000</v>
      </c>
      <c r="K228" s="168" t="s">
        <v>5</v>
      </c>
      <c r="L228" s="171" t="s">
        <v>511</v>
      </c>
      <c r="M228" s="168" t="s">
        <v>20</v>
      </c>
      <c r="N228" s="167" t="s">
        <v>371</v>
      </c>
      <c r="O228" s="168" t="s">
        <v>52</v>
      </c>
      <c r="P228" s="168" t="s">
        <v>482</v>
      </c>
      <c r="Q228" s="169">
        <v>38345757.579999998</v>
      </c>
      <c r="R228" s="170">
        <f t="shared" si="249"/>
        <v>38345757.579999998</v>
      </c>
      <c r="S228" s="168" t="s">
        <v>9</v>
      </c>
      <c r="T228" s="171" t="s">
        <v>25</v>
      </c>
      <c r="U228" s="168" t="s">
        <v>25</v>
      </c>
      <c r="V228" s="167" t="s">
        <v>371</v>
      </c>
      <c r="W228" s="172" t="s">
        <v>389</v>
      </c>
      <c r="X228" s="173">
        <f>IF(Y228="",VLOOKUP(H228,CLIENTS!$A$1:$O$649,5,FALSE),Y228)</f>
        <v>0</v>
      </c>
      <c r="Y228" s="174">
        <v>0</v>
      </c>
      <c r="Z228" s="173">
        <f>IF(AA228="",VLOOKUP(P228,CLIENTS!$A$1:$O$649,5,FALSE),AA228)</f>
        <v>6.0000000000000001E-3</v>
      </c>
      <c r="AA228" s="174">
        <v>6.0000000000000001E-3</v>
      </c>
      <c r="AB228" s="173" t="str">
        <f>IF(W228="via USD",IF(K228="EUR",K228&amp;"USD","USD"&amp;K228),IFERROR(VLOOKUP(K228&amp;S228,'FX RATES'!$H$2:$H$20,1,FALSE),S228&amp;K228))</f>
        <v>USDRUB</v>
      </c>
      <c r="AC228" s="175">
        <f>IF(LEFT(AB228,3)=RIGHT(AB228,3),0,IFERROR(INDEX(CLIENTS!$A$1:$O$649,MATCH(H228,CLIENTS!$A$1:$A$649,0),MATCH(AB228,CLIENTS!$A$1:$O$1,0)),0))</f>
        <v>0</v>
      </c>
      <c r="AD228" s="176"/>
      <c r="AE228" s="177" t="str">
        <f t="shared" si="250"/>
        <v/>
      </c>
      <c r="AF228" s="177" t="str">
        <f t="shared" si="251"/>
        <v>46048USDRUB</v>
      </c>
      <c r="AG228" s="176"/>
      <c r="AH228" s="178">
        <f ca="1">IF(LEFT(AB228,3)=RIGHT(AB228,3),1,VLOOKUP(AB228,'FX RATES'!$H$1:$I$20,2,FALSE))</f>
        <v>76.720500000000001</v>
      </c>
      <c r="AI228" s="178">
        <f t="shared" si="252"/>
        <v>75.900000000000006</v>
      </c>
      <c r="AJ228" s="173" t="str">
        <f>IF(W228="via USD",IF(S228="EUR",S228&amp;"USD","USD"&amp;S228),IFERROR(VLOOKUP(K228&amp;S228,'FX RATES'!$H$2:$H$20,1,FALSE),S228&amp;K228))</f>
        <v>USDRUB</v>
      </c>
      <c r="AK228" s="175">
        <f>IF(LEFT(AJ228,3)=RIGHT(AJ228,3),0,IFERROR(INDEX(CLIENTS!$A$1:$O$649,MATCH(P228,CLIENTS!$A$1:$A$649,0),MATCH(AJ228,CLIENTS!$A$1:$O$1,0)),0))</f>
        <v>0</v>
      </c>
      <c r="AL228" s="176">
        <v>75.924599999999998</v>
      </c>
      <c r="AM228" s="177">
        <f t="shared" si="253"/>
        <v>75.924599999999998</v>
      </c>
      <c r="AN228" s="177" t="str">
        <f t="shared" si="254"/>
        <v>46048USDRUB</v>
      </c>
      <c r="AO228" s="176">
        <v>75.900000000000006</v>
      </c>
      <c r="AP228" s="178">
        <f ca="1">IF(LEFT(AJ228,3)=RIGHT(AJ228,3),1,VLOOKUP(AJ228,'FX RATES'!$H$1:$I$20,2,FALSE))</f>
        <v>76.720500000000001</v>
      </c>
      <c r="AQ228" s="178">
        <f t="shared" si="255"/>
        <v>75.900000000000006</v>
      </c>
      <c r="AR228" s="179">
        <f>-Q228*(1-Z228)/(1+X228)*IF(W228="CLIENT",IF(S228=RIGHT(AJ228,3),1/AM228,AM228),IF(W228="VENDOR",IF(S228=RIGHT(AJ228,3),1/AE228,AE228),AE228^(VLOOKUP(AB228,'FX RATES'!$H$1:$J$26,3,FALSE))/AM228^(VLOOKUP(AJ228,'FX RATES'!$H$1:$J$26,3,FALSE))))</f>
        <v>-502020.20207574358</v>
      </c>
      <c r="AS228" s="179">
        <f>-I228*(1+X228)/(1-Z228)*IF(W228="VENDOR",IF(K228=RIGHT(AB228,3),1/AE228,AE228),IF(W228="CLIENT",IF(K228=RIGHT(AB228,3),1/AM228,AM228),AM228^(VLOOKUP(AJ228,'FX RATES'!$H$1:$J$26,3,FALSE))/AE228^(VLOOKUP(AB228,'FX RATES'!$H$1:$J$26,3,FALSE))))</f>
        <v>38191448.692152917</v>
      </c>
      <c r="AT228" s="170">
        <f>IF(AB228&lt;&gt;AJ228,J228/IF(K228=RIGHT(AB228,3),AE228,1/AE228),IF(S228="USD",J228/IF(K228=RIGHT(AB228,3),IF(W228="CLIENT",AM228,AE228),1/IF(W228="CLIENT",AM228,AE228)),J228*VLOOKUP(K228,'FX RATES'!$E$1:$F$10,2,FALSE)))</f>
        <v>-500000</v>
      </c>
      <c r="AU228" s="170">
        <f>IF(AB228&lt;&gt;AJ228,R228/IF(S228=RIGHT(AJ228,3),AM228,1/AM228),IF(K228="USD",R228/IF(S228=RIGHT(AJ228,3),IF(W228="CLIENT",AM228,AE228),1/IF(W228="CLIENT",AM228,AE228)),R228*VLOOKUP(S228,'FX RATES'!$E$1:$F$10,2,FALSE)))</f>
        <v>505050.50510638184</v>
      </c>
      <c r="AV228" s="170">
        <f t="shared" si="256"/>
        <v>5050.5051063818391</v>
      </c>
      <c r="AW228" s="169"/>
      <c r="AX228" s="170">
        <f t="shared" si="257"/>
        <v>3030.3030306382911</v>
      </c>
      <c r="AY228" s="170">
        <f t="shared" si="258"/>
        <v>-500000</v>
      </c>
      <c r="AZ228" s="170" t="str">
        <f t="shared" si="259"/>
        <v>USD</v>
      </c>
      <c r="BA228" s="542">
        <f>IF(OR(A228="REFUND",A228="CANCELLED"),0,IFERROR((IF(OR(AB228="USDAED",LEFT(AB228,3)=RIGHT(AB228,3)),AI228,AG228)-AE228)*-AY228*VLOOKUP(AB228,'FX RATES'!$H$1:$J$26,3,FALSE),0))</f>
        <v>0</v>
      </c>
      <c r="BB228" s="170" t="str">
        <f t="shared" si="260"/>
        <v>RUB</v>
      </c>
      <c r="BC228" s="542">
        <f t="shared" si="261"/>
        <v>0</v>
      </c>
      <c r="BD228" s="170">
        <f t="shared" si="262"/>
        <v>0</v>
      </c>
      <c r="BE228" s="542">
        <f t="shared" si="263"/>
        <v>0</v>
      </c>
      <c r="BF228" s="170">
        <f t="shared" si="264"/>
        <v>505050.50510638184</v>
      </c>
      <c r="BG228" s="170" t="str">
        <f t="shared" si="265"/>
        <v>USD</v>
      </c>
      <c r="BH228" s="542">
        <f>IF(OR(A228="REFUND",A228="CANCELLED"),0,IFERROR((IF(OR(AJ228="USDAED",LEFT(AJ228,3)=RIGHT(AJ228,3)),AQ228,AO228)-AM228)*-BF228*VLOOKUP(AJ228,'FX RATES'!$H$1:$J$26,3,FALSE),0))</f>
        <v>12424.242425613158</v>
      </c>
      <c r="BI228" s="170" t="str">
        <f t="shared" si="266"/>
        <v>RUB</v>
      </c>
      <c r="BJ228" s="542">
        <f t="shared" si="267"/>
        <v>163.69225857197836</v>
      </c>
      <c r="BK228" s="170">
        <f t="shared" si="268"/>
        <v>0</v>
      </c>
      <c r="BL228" s="542">
        <f t="shared" si="269"/>
        <v>163.69225857197836</v>
      </c>
      <c r="BM228" s="170">
        <f t="shared" si="270"/>
        <v>0</v>
      </c>
      <c r="BN228" s="542">
        <f t="shared" si="271"/>
        <v>163.69225857197836</v>
      </c>
    </row>
    <row r="229" spans="1:66" ht="19.5" customHeight="1">
      <c r="A229" s="167" t="s">
        <v>366</v>
      </c>
      <c r="B229" s="168" t="s">
        <v>45</v>
      </c>
      <c r="C229" s="168" t="s">
        <v>367</v>
      </c>
      <c r="D229" s="181" t="s">
        <v>368</v>
      </c>
      <c r="E229" s="171">
        <v>46048</v>
      </c>
      <c r="F229" s="171"/>
      <c r="G229" s="168" t="s">
        <v>45</v>
      </c>
      <c r="H229" s="181" t="s">
        <v>532</v>
      </c>
      <c r="I229" s="169">
        <v>-67000</v>
      </c>
      <c r="J229" s="170">
        <f t="shared" si="248"/>
        <v>-67000</v>
      </c>
      <c r="K229" s="168" t="s">
        <v>5</v>
      </c>
      <c r="L229" s="168" t="s">
        <v>378</v>
      </c>
      <c r="M229" s="168" t="s">
        <v>51</v>
      </c>
      <c r="N229" s="167" t="s">
        <v>371</v>
      </c>
      <c r="O229" s="168" t="s">
        <v>52</v>
      </c>
      <c r="P229" s="168" t="s">
        <v>379</v>
      </c>
      <c r="Q229" s="169"/>
      <c r="R229" s="170">
        <f t="shared" si="249"/>
        <v>5112510.7537688445</v>
      </c>
      <c r="S229" s="168" t="s">
        <v>9</v>
      </c>
      <c r="T229" s="171" t="s">
        <v>380</v>
      </c>
      <c r="U229" s="171" t="s">
        <v>25</v>
      </c>
      <c r="V229" s="167" t="s">
        <v>371</v>
      </c>
      <c r="W229" s="172" t="s">
        <v>375</v>
      </c>
      <c r="X229" s="173">
        <f>IF(Y229="",VLOOKUP(H229,CLIENTS!$A$1:$O$649,5,FALSE),Y229)</f>
        <v>0</v>
      </c>
      <c r="Y229" s="174">
        <v>0</v>
      </c>
      <c r="Z229" s="173">
        <f>IF(AA229="",VLOOKUP(P229,CLIENTS!$A$1:$O$649,5,FALSE),AA229)</f>
        <v>5.0000000000000001E-3</v>
      </c>
      <c r="AA229" s="174">
        <v>5.0000000000000001E-3</v>
      </c>
      <c r="AB229" s="173" t="str">
        <f>IF(W229="via USD",IF(K229="EUR",K229&amp;"USD","USD"&amp;K229),IFERROR(VLOOKUP(K229&amp;S229,'FX RATES'!$H$2:$H$20,1,FALSE),S229&amp;K229))</f>
        <v>USDUSD</v>
      </c>
      <c r="AC229" s="175">
        <f>IF(LEFT(AB229,3)=RIGHT(AB229,3),0,IFERROR(INDEX(CLIENTS!$A$1:$O$649,MATCH(H229,CLIENTS!$A$1:$A$649,0),MATCH(AB229,CLIENTS!$A$1:$O$1,0)),0))</f>
        <v>0</v>
      </c>
      <c r="AD229" s="176"/>
      <c r="AE229" s="177">
        <f t="shared" si="250"/>
        <v>1</v>
      </c>
      <c r="AF229" s="177" t="str">
        <f t="shared" si="251"/>
        <v>46048USDUSD</v>
      </c>
      <c r="AG229" s="176"/>
      <c r="AH229" s="178">
        <f>IF(LEFT(AB229,3)=RIGHT(AB229,3),1,VLOOKUP(AB229,'FX RATES'!$H$1:$I$20,2,FALSE))</f>
        <v>1</v>
      </c>
      <c r="AI229" s="178">
        <f t="shared" si="252"/>
        <v>1</v>
      </c>
      <c r="AJ229" s="173" t="str">
        <f>IF(W229="via USD",IF(S229="EUR",S229&amp;"USD","USD"&amp;S229),IFERROR(VLOOKUP(K229&amp;S229,'FX RATES'!$H$2:$H$20,1,FALSE),S229&amp;K229))</f>
        <v>USDRUB</v>
      </c>
      <c r="AK229" s="175">
        <f>IF(LEFT(AJ229,3)=RIGHT(AJ229,3),0,IFERROR(INDEX(CLIENTS!$A$1:$O$649,MATCH(P229,CLIENTS!$A$1:$A$649,0),MATCH(AJ229,CLIENTS!$A$1:$O$1,0)),0))</f>
        <v>0</v>
      </c>
      <c r="AL229" s="176">
        <v>75.924599999999998</v>
      </c>
      <c r="AM229" s="177">
        <f t="shared" si="253"/>
        <v>75.924599999999998</v>
      </c>
      <c r="AN229" s="177" t="str">
        <f t="shared" si="254"/>
        <v>46048USDRUB</v>
      </c>
      <c r="AO229" s="176">
        <v>75.900000000000006</v>
      </c>
      <c r="AP229" s="178">
        <f ca="1">IF(LEFT(AJ229,3)=RIGHT(AJ229,3),1,VLOOKUP(AJ229,'FX RATES'!$H$1:$I$20,2,FALSE))</f>
        <v>76.720500000000001</v>
      </c>
      <c r="AQ229" s="178">
        <f t="shared" si="255"/>
        <v>75.900000000000006</v>
      </c>
      <c r="AR229" s="179">
        <f>-Q229*(1-Z229)/(1+X229)*IF(W229="CLIENT",IF(S229=RIGHT(AJ229,3),1/AM229,AM229),IF(W229="VENDOR",IF(S229=RIGHT(AJ229,3),1/AE229,AE229),AE229^(VLOOKUP(AB229,'FX RATES'!$H$1:$J$26,3,FALSE))/AM229^(VLOOKUP(AJ229,'FX RATES'!$H$1:$J$26,3,FALSE))))</f>
        <v>0</v>
      </c>
      <c r="AS229" s="179">
        <f>-I229*(1+X229)/(1-Z229)*IF(W229="VENDOR",IF(K229=RIGHT(AB229,3),1/AE229,AE229),IF(W229="CLIENT",IF(K229=RIGHT(AB229,3),1/AM229,AM229),AM229^(VLOOKUP(AJ229,'FX RATES'!$H$1:$J$26,3,FALSE))/AE229^(VLOOKUP(AB229,'FX RATES'!$H$1:$J$26,3,FALSE))))</f>
        <v>5112510.7537688445</v>
      </c>
      <c r="AT229" s="170">
        <f>IF(AB229&lt;&gt;AJ229,J229/IF(K229=RIGHT(AB229,3),AE229,1/AE229),IF(S229="USD",J229/IF(K229=RIGHT(AB229,3),IF(W229="CLIENT",AM229,AE229),1/IF(W229="CLIENT",AM229,AE229)),J229*VLOOKUP(K229,'FX RATES'!$E$1:$F$10,2,FALSE)))</f>
        <v>-67000</v>
      </c>
      <c r="AU229" s="170">
        <f>IF(AB229&lt;&gt;AJ229,R229/IF(S229=RIGHT(AJ229,3),AM229,1/AM229),IF(K229="USD",R229/IF(S229=RIGHT(AJ229,3),IF(W229="CLIENT",AM229,AE229),1/IF(W229="CLIENT",AM229,AE229)),R229*VLOOKUP(S229,'FX RATES'!$E$1:$F$10,2,FALSE)))</f>
        <v>67336.683417085427</v>
      </c>
      <c r="AV229" s="170">
        <f t="shared" si="256"/>
        <v>336.68341708542721</v>
      </c>
      <c r="AW229" s="169"/>
      <c r="AX229" s="170">
        <f t="shared" si="257"/>
        <v>336.68341708542715</v>
      </c>
      <c r="AY229" s="170">
        <f t="shared" si="258"/>
        <v>-67000</v>
      </c>
      <c r="AZ229" s="170" t="str">
        <f t="shared" si="259"/>
        <v>USD</v>
      </c>
      <c r="BA229" s="542">
        <f>IF(OR(A229="REFUND",A229="CANCELLED"),0,IFERROR((IF(OR(AB229="USDAED",LEFT(AB229,3)=RIGHT(AB229,3)),AI229,AG229)-AE229)*-AY229*VLOOKUP(AB229,'FX RATES'!$H$1:$J$26,3,FALSE),0))</f>
        <v>0</v>
      </c>
      <c r="BB229" s="170" t="str">
        <f t="shared" si="260"/>
        <v>USD</v>
      </c>
      <c r="BC229" s="542">
        <f t="shared" si="261"/>
        <v>0</v>
      </c>
      <c r="BD229" s="170">
        <f t="shared" si="262"/>
        <v>0</v>
      </c>
      <c r="BE229" s="542">
        <f t="shared" si="263"/>
        <v>0</v>
      </c>
      <c r="BF229" s="170">
        <f t="shared" si="264"/>
        <v>67336.683417085427</v>
      </c>
      <c r="BG229" s="170" t="str">
        <f t="shared" si="265"/>
        <v>USD</v>
      </c>
      <c r="BH229" s="542">
        <f>IF(OR(A229="REFUND",A229="CANCELLED"),0,IFERROR((IF(OR(AJ229="USDAED",LEFT(AJ229,3)=RIGHT(AJ229,3)),AQ229,AO229)-AM229)*-BF229*VLOOKUP(AJ229,'FX RATES'!$H$1:$J$26,3,FALSE),0))</f>
        <v>1656.4824120597902</v>
      </c>
      <c r="BI229" s="170" t="str">
        <f t="shared" si="266"/>
        <v>RUB</v>
      </c>
      <c r="BJ229" s="542">
        <f t="shared" si="267"/>
        <v>21.82453770829763</v>
      </c>
      <c r="BK229" s="170">
        <f t="shared" si="268"/>
        <v>0</v>
      </c>
      <c r="BL229" s="542">
        <f t="shared" si="269"/>
        <v>21.82453770829763</v>
      </c>
      <c r="BM229" s="170">
        <f t="shared" si="270"/>
        <v>0</v>
      </c>
      <c r="BN229" s="542">
        <f t="shared" si="271"/>
        <v>21.82453770829763</v>
      </c>
    </row>
    <row r="230" spans="1:66" ht="19.5" customHeight="1">
      <c r="A230" s="167" t="s">
        <v>366</v>
      </c>
      <c r="B230" s="168" t="s">
        <v>39</v>
      </c>
      <c r="C230" s="168" t="s">
        <v>367</v>
      </c>
      <c r="D230" s="168" t="s">
        <v>472</v>
      </c>
      <c r="E230" s="171">
        <v>46048</v>
      </c>
      <c r="F230" s="171"/>
      <c r="G230" s="168" t="s">
        <v>39</v>
      </c>
      <c r="H230" s="181" t="s">
        <v>473</v>
      </c>
      <c r="I230" s="169">
        <v>-200272</v>
      </c>
      <c r="J230" s="170">
        <f t="shared" si="248"/>
        <v>-200272</v>
      </c>
      <c r="K230" s="168" t="s">
        <v>5</v>
      </c>
      <c r="L230" s="168" t="s">
        <v>533</v>
      </c>
      <c r="M230" s="168" t="s">
        <v>20</v>
      </c>
      <c r="N230" s="167" t="s">
        <v>371</v>
      </c>
      <c r="O230" s="168" t="s">
        <v>52</v>
      </c>
      <c r="P230" s="168" t="s">
        <v>474</v>
      </c>
      <c r="Q230" s="169"/>
      <c r="R230" s="170">
        <f t="shared" si="249"/>
        <v>15437128.41746193</v>
      </c>
      <c r="S230" s="168" t="s">
        <v>9</v>
      </c>
      <c r="T230" s="171" t="s">
        <v>475</v>
      </c>
      <c r="U230" s="168" t="s">
        <v>25</v>
      </c>
      <c r="V230" s="167" t="s">
        <v>371</v>
      </c>
      <c r="W230" s="172" t="s">
        <v>375</v>
      </c>
      <c r="X230" s="173">
        <f>IF(Y230="",VLOOKUP(H230,CLIENTS!$A$1:$O$649,5,FALSE),Y230)</f>
        <v>0</v>
      </c>
      <c r="Y230" s="174">
        <v>0</v>
      </c>
      <c r="Z230" s="173">
        <f>IF(AA230="",VLOOKUP(P230,CLIENTS!$A$1:$O$649,5,FALSE),AA230)</f>
        <v>1.4999999999999999E-2</v>
      </c>
      <c r="AA230" s="174">
        <v>1.4999999999999999E-2</v>
      </c>
      <c r="AB230" s="173" t="str">
        <f>IF(W230="via USD",IF(K230="EUR",K230&amp;"USD","USD"&amp;K230),IFERROR(VLOOKUP(K230&amp;S230,'FX RATES'!$H$2:$H$20,1,FALSE),S230&amp;K230))</f>
        <v>USDUSD</v>
      </c>
      <c r="AC230" s="175">
        <f>IF(LEFT(AB230,3)=RIGHT(AB230,3),0,IFERROR(INDEX(CLIENTS!$A$1:$O$649,MATCH(H230,CLIENTS!$A$1:$A$649,0),MATCH(AB230,CLIENTS!$A$1:$O$1,0)),0))</f>
        <v>0</v>
      </c>
      <c r="AD230" s="176"/>
      <c r="AE230" s="177">
        <f t="shared" si="250"/>
        <v>1</v>
      </c>
      <c r="AF230" s="177" t="str">
        <f t="shared" si="251"/>
        <v>46048USDUSD</v>
      </c>
      <c r="AG230" s="176"/>
      <c r="AH230" s="178">
        <f>IF(LEFT(AB230,3)=RIGHT(AB230,3),1,VLOOKUP(AB230,'FX RATES'!$H$1:$I$20,2,FALSE))</f>
        <v>1</v>
      </c>
      <c r="AI230" s="178">
        <f t="shared" si="252"/>
        <v>1</v>
      </c>
      <c r="AJ230" s="173" t="str">
        <f>IF(W230="via USD",IF(S230="EUR",S230&amp;"USD","USD"&amp;S230),IFERROR(VLOOKUP(K230&amp;S230,'FX RATES'!$H$2:$H$20,1,FALSE),S230&amp;K230))</f>
        <v>USDRUB</v>
      </c>
      <c r="AK230" s="175">
        <f>IF(LEFT(AJ230,3)=RIGHT(AJ230,3),0,IFERROR(INDEX(CLIENTS!$A$1:$O$649,MATCH(P230,CLIENTS!$A$1:$A$649,0),MATCH(AJ230,CLIENTS!$A$1:$O$1,0)),0))</f>
        <v>0</v>
      </c>
      <c r="AL230" s="176">
        <v>75.924599999999998</v>
      </c>
      <c r="AM230" s="177">
        <f t="shared" si="253"/>
        <v>75.924599999999998</v>
      </c>
      <c r="AN230" s="177" t="str">
        <f t="shared" si="254"/>
        <v>46048USDRUB</v>
      </c>
      <c r="AO230" s="176">
        <v>75.900000000000006</v>
      </c>
      <c r="AP230" s="178">
        <f ca="1">IF(LEFT(AJ230,3)=RIGHT(AJ230,3),1,VLOOKUP(AJ230,'FX RATES'!$H$1:$I$20,2,FALSE))</f>
        <v>76.720500000000001</v>
      </c>
      <c r="AQ230" s="178">
        <f t="shared" si="255"/>
        <v>75.900000000000006</v>
      </c>
      <c r="AR230" s="179">
        <f>-Q230*(1-Z230)/(1+X230)*IF(W230="CLIENT",IF(S230=RIGHT(AJ230,3),1/AM230,AM230),IF(W230="VENDOR",IF(S230=RIGHT(AJ230,3),1/AE230,AE230),AE230^(VLOOKUP(AB230,'FX RATES'!$H$1:$J$26,3,FALSE))/AM230^(VLOOKUP(AJ230,'FX RATES'!$H$1:$J$26,3,FALSE))))</f>
        <v>0</v>
      </c>
      <c r="AS230" s="179">
        <f>-I230*(1+X230)/(1-Z230)*IF(W230="VENDOR",IF(K230=RIGHT(AB230,3),1/AE230,AE230),IF(W230="CLIENT",IF(K230=RIGHT(AB230,3),1/AM230,AM230),AM230^(VLOOKUP(AJ230,'FX RATES'!$H$1:$J$26,3,FALSE))/AE230^(VLOOKUP(AB230,'FX RATES'!$H$1:$J$26,3,FALSE))))</f>
        <v>15437128.41746193</v>
      </c>
      <c r="AT230" s="170">
        <f>IF(AB230&lt;&gt;AJ230,J230/IF(K230=RIGHT(AB230,3),AE230,1/AE230),IF(S230="USD",J230/IF(K230=RIGHT(AB230,3),IF(W230="CLIENT",AM230,AE230),1/IF(W230="CLIENT",AM230,AE230)),J230*VLOOKUP(K230,'FX RATES'!$E$1:$F$10,2,FALSE)))</f>
        <v>-200272</v>
      </c>
      <c r="AU230" s="170">
        <f>IF(AB230&lt;&gt;AJ230,R230/IF(S230=RIGHT(AJ230,3),AM230,1/AM230),IF(K230="USD",R230/IF(S230=RIGHT(AJ230,3),IF(W230="CLIENT",AM230,AE230),1/IF(W230="CLIENT",AM230,AE230)),R230*VLOOKUP(S230,'FX RATES'!$E$1:$F$10,2,FALSE)))</f>
        <v>203321.82741116753</v>
      </c>
      <c r="AV230" s="170">
        <f t="shared" si="256"/>
        <v>3049.8274111675273</v>
      </c>
      <c r="AW230" s="169"/>
      <c r="AX230" s="170">
        <f t="shared" si="257"/>
        <v>3049.8274111675128</v>
      </c>
      <c r="AY230" s="170">
        <f t="shared" si="258"/>
        <v>-200272</v>
      </c>
      <c r="AZ230" s="170" t="str">
        <f t="shared" si="259"/>
        <v>USD</v>
      </c>
      <c r="BA230" s="542">
        <f>IF(OR(A230="REFUND",A230="CANCELLED"),0,IFERROR((IF(OR(AB230="USDAED",LEFT(AB230,3)=RIGHT(AB230,3)),AI230,AG230)-AE230)*-AY230*VLOOKUP(AB230,'FX RATES'!$H$1:$J$26,3,FALSE),0))</f>
        <v>0</v>
      </c>
      <c r="BB230" s="170" t="str">
        <f t="shared" si="260"/>
        <v>USD</v>
      </c>
      <c r="BC230" s="542">
        <f t="shared" si="261"/>
        <v>0</v>
      </c>
      <c r="BD230" s="170">
        <f t="shared" si="262"/>
        <v>0</v>
      </c>
      <c r="BE230" s="542">
        <f t="shared" si="263"/>
        <v>0</v>
      </c>
      <c r="BF230" s="170">
        <f t="shared" si="264"/>
        <v>203321.82741116753</v>
      </c>
      <c r="BG230" s="170" t="str">
        <f t="shared" si="265"/>
        <v>USD</v>
      </c>
      <c r="BH230" s="542">
        <f>IF(OR(A230="REFUND",A230="CANCELLED"),0,IFERROR((IF(OR(AJ230="USDAED",LEFT(AJ230,3)=RIGHT(AJ230,3)),AQ230,AO230)-AM230)*-BF230*VLOOKUP(AJ230,'FX RATES'!$H$1:$J$26,3,FALSE),0))</f>
        <v>5001.7169543131768</v>
      </c>
      <c r="BI230" s="170" t="str">
        <f t="shared" si="266"/>
        <v>RUB</v>
      </c>
      <c r="BJ230" s="542">
        <f t="shared" si="267"/>
        <v>65.898774101622877</v>
      </c>
      <c r="BK230" s="170">
        <f t="shared" si="268"/>
        <v>0</v>
      </c>
      <c r="BL230" s="542">
        <f t="shared" si="269"/>
        <v>65.898774101622877</v>
      </c>
      <c r="BM230" s="170">
        <f t="shared" si="270"/>
        <v>0</v>
      </c>
      <c r="BN230" s="542">
        <f t="shared" si="271"/>
        <v>65.898774101622877</v>
      </c>
    </row>
    <row r="231" spans="1:66" ht="19.5" customHeight="1">
      <c r="A231" s="167" t="s">
        <v>492</v>
      </c>
      <c r="B231" s="168" t="s">
        <v>52</v>
      </c>
      <c r="C231" s="168" t="s">
        <v>489</v>
      </c>
      <c r="D231" s="168" t="s">
        <v>128</v>
      </c>
      <c r="E231" s="171">
        <v>46048</v>
      </c>
      <c r="F231" s="171"/>
      <c r="G231" s="168" t="s">
        <v>52</v>
      </c>
      <c r="H231" s="181" t="s">
        <v>52</v>
      </c>
      <c r="I231" s="169"/>
      <c r="J231" s="170">
        <f t="shared" si="248"/>
        <v>-16965.809008084896</v>
      </c>
      <c r="K231" s="168" t="s">
        <v>5</v>
      </c>
      <c r="L231" s="171"/>
      <c r="M231" s="168"/>
      <c r="N231" s="167" t="s">
        <v>371</v>
      </c>
      <c r="O231" s="168" t="s">
        <v>52</v>
      </c>
      <c r="P231" s="168" t="s">
        <v>52</v>
      </c>
      <c r="Q231" s="169">
        <f>-(J217+J221)</f>
        <v>1287704.9037136436</v>
      </c>
      <c r="R231" s="170">
        <f t="shared" si="249"/>
        <v>1287704.9037136436</v>
      </c>
      <c r="S231" s="168" t="s">
        <v>9</v>
      </c>
      <c r="T231" s="171"/>
      <c r="U231" s="168"/>
      <c r="V231" s="167" t="s">
        <v>371</v>
      </c>
      <c r="W231" s="172" t="s">
        <v>389</v>
      </c>
      <c r="X231" s="173">
        <f>IF(Y231="",VLOOKUP(H231,CLIENTS!$A$1:$O$649,5,FALSE),Y231)</f>
        <v>0</v>
      </c>
      <c r="Y231" s="174"/>
      <c r="Z231" s="173">
        <f>IF(AA231="",VLOOKUP(P231,CLIENTS!$A$1:$O$649,5,FALSE),AA231)</f>
        <v>0</v>
      </c>
      <c r="AA231" s="174"/>
      <c r="AB231" s="173" t="str">
        <f>IF(W231="via USD",IF(K231="EUR",K231&amp;"USD","USD"&amp;K231),IFERROR(VLOOKUP(K231&amp;S231,'FX RATES'!$H$2:$H$20,1,FALSE),S231&amp;K231))</f>
        <v>USDRUB</v>
      </c>
      <c r="AC231" s="175">
        <f>IF(LEFT(AB231,3)=RIGHT(AB231,3),0,IFERROR(INDEX(CLIENTS!$A$1:$O$649,MATCH(H231,CLIENTS!$A$1:$A$649,0),MATCH(AB231,CLIENTS!$A$1:$O$1,0)),0))</f>
        <v>0</v>
      </c>
      <c r="AD231" s="176"/>
      <c r="AE231" s="177" t="str">
        <f t="shared" si="250"/>
        <v/>
      </c>
      <c r="AF231" s="177" t="str">
        <f t="shared" si="251"/>
        <v>46048USDRUB</v>
      </c>
      <c r="AG231" s="176">
        <v>75.900000000000006</v>
      </c>
      <c r="AH231" s="178">
        <f ca="1">IF(LEFT(AB231,3)=RIGHT(AB231,3),1,VLOOKUP(AB231,'FX RATES'!$H$1:$I$20,2,FALSE))</f>
        <v>76.720500000000001</v>
      </c>
      <c r="AI231" s="178">
        <f>IF(OR(AB231="USDAED",LEFT(AB231,3)=RIGHT(AB231,3),AB231="USDUSDT",AB231="USDTUSD"),AH231,IF(LEFT(AB231)="USD",AG231,IF(RIGHT(AB231,3)="USD",1,IFERROR(VLOOKUP(E231&amp;"USD"&amp;RIGHT(AB231,3),$AF:$AG,2,FALSE),VLOOKUP(E231&amp;"USD"&amp;RIGHT(AJ231,3),$AN:$AO,2,FALSE)))))</f>
        <v>75.900000000000006</v>
      </c>
      <c r="AJ231" s="173" t="str">
        <f>IF(W231="via USD",IF(S231="EUR",S231&amp;"USD","USD"&amp;S231),IFERROR(VLOOKUP(K231&amp;S231,'FX RATES'!$H$2:$H$20,1,FALSE),S231&amp;K231))</f>
        <v>USDRUB</v>
      </c>
      <c r="AK231" s="175">
        <f>IF(LEFT(AJ231,3)=RIGHT(AJ231,3),0,IFERROR(INDEX(CLIENTS!$A$1:$O$649,MATCH(P231,CLIENTS!$A$1:$A$649,0),MATCH(AJ231,CLIENTS!$A$1:$O$1,0)),0))</f>
        <v>0</v>
      </c>
      <c r="AL231" s="176">
        <v>75.900000000000006</v>
      </c>
      <c r="AM231" s="177">
        <f t="shared" si="253"/>
        <v>75.900000000000006</v>
      </c>
      <c r="AN231" s="177" t="str">
        <f t="shared" si="254"/>
        <v>46048USDRUB</v>
      </c>
      <c r="AO231" s="176">
        <v>75.900000000000006</v>
      </c>
      <c r="AP231" s="178">
        <f ca="1">IF(LEFT(AJ231,3)=RIGHT(AJ231,3),1,VLOOKUP(AJ231,'FX RATES'!$H$1:$I$20,2,FALSE))</f>
        <v>76.720500000000001</v>
      </c>
      <c r="AQ231" s="178">
        <f t="shared" si="255"/>
        <v>75.900000000000006</v>
      </c>
      <c r="AR231" s="179">
        <f>-Q231*(1-Z231)/(1+X231)*IF(W231="CLIENT",IF(S231=RIGHT(AJ231,3),1/AM231,AM231),IF(W231="VENDOR",IF(S231=RIGHT(AJ231,3),1/AE231,AE231),AE231^(VLOOKUP(AB231,'FX RATES'!$H$1:$J$26,3,FALSE))/AM231^(VLOOKUP(AJ231,'FX RATES'!$H$1:$J$26,3,FALSE))))</f>
        <v>-16965.809008084896</v>
      </c>
      <c r="AS231" s="179">
        <f>-I231*(1+X231)/(1-Z231)*IF(W231="VENDOR",IF(K231=RIGHT(AB231,3),1/AE231,AE231),IF(W231="CLIENT",IF(K231=RIGHT(AB231,3),1/AM231,AM231),AM231^(VLOOKUP(AJ231,'FX RATES'!$H$1:$J$26,3,FALSE))/AE231^(VLOOKUP(AB231,'FX RATES'!$H$1:$J$26,3,FALSE))))</f>
        <v>0</v>
      </c>
      <c r="AT231" s="170">
        <f>IF(AB231&lt;&gt;AJ231,J231/IF(K231=RIGHT(AB231,3),AE231,1/AE231),IF(S231="USD",J231/IF(K231=RIGHT(AB231,3),IF(W231="CLIENT",AM231,AE231),1/IF(W231="CLIENT",AM231,AE231)),J231*VLOOKUP(K231,'FX RATES'!$E$1:$F$10,2,FALSE)))</f>
        <v>-16965.809008084896</v>
      </c>
      <c r="AU231" s="170">
        <f>IF(AB231&lt;&gt;AJ231,R231/IF(S231=RIGHT(AJ231,3),AM231,1/AM231),IF(K231="USD",R231/IF(S231=RIGHT(AJ231,3),IF(W231="CLIENT",AM231,AE231),1/IF(W231="CLIENT",AM231,AE231)),R231*VLOOKUP(S231,'FX RATES'!$E$1:$F$10,2,FALSE)))</f>
        <v>16965.809008084892</v>
      </c>
      <c r="AV231" s="170">
        <f t="shared" si="256"/>
        <v>0</v>
      </c>
      <c r="AW231" s="169"/>
      <c r="AX231" s="170">
        <f t="shared" si="257"/>
        <v>0</v>
      </c>
      <c r="AY231" s="170">
        <f t="shared" si="258"/>
        <v>-16965.809008084896</v>
      </c>
      <c r="AZ231" s="170" t="str">
        <f t="shared" si="259"/>
        <v>USD</v>
      </c>
      <c r="BA231" s="542">
        <f>IF(OR(A231="REFUND",A231="CANCELLED"),0,IFERROR((IF(OR(AB231="USDAED",LEFT(AB231,3)=RIGHT(AB231,3)),AI231,AG231)-AE231)*-AY231*VLOOKUP(AB231,'FX RATES'!$H$1:$J$26,3,FALSE),0))</f>
        <v>0</v>
      </c>
      <c r="BB231" s="170" t="str">
        <f t="shared" si="260"/>
        <v>RUB</v>
      </c>
      <c r="BC231" s="542">
        <f t="shared" si="261"/>
        <v>0</v>
      </c>
      <c r="BD231" s="170">
        <f t="shared" si="262"/>
        <v>0</v>
      </c>
      <c r="BE231" s="542">
        <f t="shared" si="263"/>
        <v>0</v>
      </c>
      <c r="BF231" s="170">
        <f t="shared" si="264"/>
        <v>16965.809008084892</v>
      </c>
      <c r="BG231" s="170" t="str">
        <f t="shared" si="265"/>
        <v>USD</v>
      </c>
      <c r="BH231" s="542">
        <f>IF(OR(A231="REFUND",A231="CANCELLED"),0,IFERROR((IF(OR(AJ231="USDAED",LEFT(AJ231,3)=RIGHT(AJ231,3)),AQ231,AO231)-AM231)*-BF231*VLOOKUP(AJ231,'FX RATES'!$H$1:$J$26,3,FALSE),0))</f>
        <v>0</v>
      </c>
      <c r="BI231" s="170" t="str">
        <f t="shared" si="266"/>
        <v>RUB</v>
      </c>
      <c r="BJ231" s="542">
        <f t="shared" si="267"/>
        <v>0</v>
      </c>
      <c r="BK231" s="170">
        <f t="shared" si="268"/>
        <v>0</v>
      </c>
      <c r="BL231" s="542">
        <f t="shared" si="269"/>
        <v>0</v>
      </c>
      <c r="BM231" s="170">
        <f t="shared" si="270"/>
        <v>0</v>
      </c>
      <c r="BN231" s="542">
        <f t="shared" si="271"/>
        <v>0</v>
      </c>
    </row>
    <row r="232" spans="1:66" ht="19.5" customHeight="1">
      <c r="A232" s="167" t="s">
        <v>366</v>
      </c>
      <c r="B232" s="168" t="s">
        <v>52</v>
      </c>
      <c r="C232" s="168" t="s">
        <v>383</v>
      </c>
      <c r="D232" s="168" t="s">
        <v>465</v>
      </c>
      <c r="E232" s="171">
        <v>46048</v>
      </c>
      <c r="F232" s="171"/>
      <c r="G232" s="168" t="s">
        <v>52</v>
      </c>
      <c r="H232" s="168" t="s">
        <v>523</v>
      </c>
      <c r="I232" s="169"/>
      <c r="J232" s="170">
        <f t="shared" si="248"/>
        <v>-60739680</v>
      </c>
      <c r="K232" s="168" t="s">
        <v>9</v>
      </c>
      <c r="L232" s="171" t="s">
        <v>411</v>
      </c>
      <c r="M232" s="168" t="s">
        <v>25</v>
      </c>
      <c r="N232" s="167" t="s">
        <v>371</v>
      </c>
      <c r="O232" s="168" t="s">
        <v>39</v>
      </c>
      <c r="P232" s="349" t="s">
        <v>466</v>
      </c>
      <c r="Q232" s="169">
        <v>2938000</v>
      </c>
      <c r="R232" s="170">
        <f t="shared" si="249"/>
        <v>2938000</v>
      </c>
      <c r="S232" s="168" t="s">
        <v>8</v>
      </c>
      <c r="T232" s="171" t="s">
        <v>40</v>
      </c>
      <c r="U232" s="168" t="s">
        <v>15</v>
      </c>
      <c r="V232" s="167" t="s">
        <v>371</v>
      </c>
      <c r="W232" s="172" t="s">
        <v>375</v>
      </c>
      <c r="X232" s="173">
        <f>IF(Y232="",VLOOKUP(H232,CLIENTS!$A$1:$O$649,5,FALSE),Y232)</f>
        <v>0</v>
      </c>
      <c r="Y232" s="174">
        <v>0</v>
      </c>
      <c r="Z232" s="173">
        <f>IF(AA232="",VLOOKUP(P232,CLIENTS!$A$1:$O$649,5,FALSE),AA232)</f>
        <v>0</v>
      </c>
      <c r="AA232" s="174">
        <v>0</v>
      </c>
      <c r="AB232" s="173" t="str">
        <f>IF(W232="via USD",IF(K232="EUR",K232&amp;"USD","USD"&amp;K232),IFERROR(VLOOKUP(K232&amp;S232,'FX RATES'!$H$2:$H$20,1,FALSE),S232&amp;K232))</f>
        <v>USDRUB</v>
      </c>
      <c r="AC232" s="175">
        <f>IF(LEFT(AB232,3)=RIGHT(AB232,3),0,IFERROR(INDEX(CLIENTS!$A$1:$O$649,MATCH(H232,CLIENTS!$A$1:$A$649,0),MATCH(AB232,CLIENTS!$A$1:$O$1,0)),0))</f>
        <v>0</v>
      </c>
      <c r="AD232" s="176">
        <v>75.924599999999998</v>
      </c>
      <c r="AE232" s="177">
        <f t="shared" si="250"/>
        <v>75.924599999999998</v>
      </c>
      <c r="AF232" s="177" t="str">
        <f t="shared" si="251"/>
        <v>46048USDRUB</v>
      </c>
      <c r="AG232" s="176">
        <v>75.900000000000006</v>
      </c>
      <c r="AH232" s="178">
        <f ca="1">IF(LEFT(AB232,3)=RIGHT(AB232,3),1,VLOOKUP(AB232,'FX RATES'!$H$1:$I$20,2,FALSE))</f>
        <v>76.720500000000001</v>
      </c>
      <c r="AI232" s="178">
        <f>IF(OR(AB232="USDAED",LEFT(AB232,3)=RIGHT(AB232,3)),AH232,IF(LEFT(AB232)="USD",AG232,IF(RIGHT(AB232,3)="USD",1,IFERROR(VLOOKUP(E232&amp;"USD"&amp;RIGHT(AB232,3),$AF:$AG,2,FALSE),VLOOKUP(E232&amp;"USD"&amp;RIGHT(AJ232,3),$AN:$AO,2,FALSE)))))</f>
        <v>75.900000000000006</v>
      </c>
      <c r="AJ232" s="173" t="str">
        <f>IF(W232="via USD",IF(S232="EUR",S232&amp;"USD","USD"&amp;S232),IFERROR(VLOOKUP(K232&amp;S232,'FX RATES'!$H$2:$H$20,1,FALSE),S232&amp;K232))</f>
        <v>USDAED</v>
      </c>
      <c r="AK232" s="175">
        <f>IF(LEFT(AJ232,3)=RIGHT(AJ232,3),0,IFERROR(INDEX(CLIENTS!$A$1:$O$649,MATCH(P232,CLIENTS!$A$1:$A$649,0),MATCH(AJ232,CLIENTS!$A$1:$O$1,0)),0))</f>
        <v>0</v>
      </c>
      <c r="AL232" s="176">
        <v>3.6724999999999999</v>
      </c>
      <c r="AM232" s="177">
        <f t="shared" si="253"/>
        <v>3.6724999999999999</v>
      </c>
      <c r="AN232" s="177" t="str">
        <f t="shared" si="254"/>
        <v>46048USDAED</v>
      </c>
      <c r="AO232" s="176">
        <v>3.6724999999999999</v>
      </c>
      <c r="AP232" s="178">
        <f>IF(LEFT(AJ232,3)=RIGHT(AJ232,3),1,VLOOKUP(AJ232,'FX RATES'!$H$1:$I$20,2,FALSE))</f>
        <v>3.6724999999999999</v>
      </c>
      <c r="AQ232" s="178">
        <f t="shared" si="255"/>
        <v>3.6724999999999999</v>
      </c>
      <c r="AR232" s="179">
        <f>-Q232*(1-Z232)/(1+X232)*IF(W232="CLIENT",IF(S232=RIGHT(AJ232,3),1/AM232,AM232),IF(W232="VENDOR",IF(S232=RIGHT(AJ232,3),1/AE232,AE232),AE232^(VLOOKUP(AB232,'FX RATES'!$H$1:$J$26,3,FALSE))/AM232^(VLOOKUP(AJ232,'FX RATES'!$H$1:$J$26,3,FALSE))))</f>
        <v>-60739680</v>
      </c>
      <c r="AS232" s="179">
        <f>-I232*(1+X232)/(1-Z232)*IF(W232="VENDOR",IF(K232=RIGHT(AB232,3),1/AE232,AE232),IF(W232="CLIENT",IF(K232=RIGHT(AB232,3),1/AM232,AM232),AM232^(VLOOKUP(AJ232,'FX RATES'!$H$1:$J$26,3,FALSE))/AE232^(VLOOKUP(AB232,'FX RATES'!$H$1:$J$26,3,FALSE))))</f>
        <v>0</v>
      </c>
      <c r="AT232" s="170">
        <f>IF(AB232&lt;&gt;AJ232,J232/IF(K232=RIGHT(AB232,3),AE232,1/AE232),IF(S232="USD",J232/IF(K232=RIGHT(AB232,3),IF(W232="CLIENT",AM232,AE232),1/IF(W232="CLIENT",AM232,AE232)),J232*VLOOKUP(K232,'FX RATES'!$E$1:$F$10,2,FALSE)))</f>
        <v>-800000</v>
      </c>
      <c r="AU232" s="170">
        <f>IF(AB232&lt;&gt;AJ232,R232/IF(S232=RIGHT(AJ232,3),AM232,1/AM232),IF(K232="USD",R232/IF(S232=RIGHT(AJ232,3),IF(W232="CLIENT",AM232,AE232),1/IF(W232="CLIENT",AM232,AE232)),R232*VLOOKUP(S232,'FX RATES'!$E$1:$F$10,2,FALSE)))</f>
        <v>800000</v>
      </c>
      <c r="AV232" s="170">
        <f t="shared" si="256"/>
        <v>0</v>
      </c>
      <c r="AW232" s="169"/>
      <c r="AX232" s="170">
        <f t="shared" si="257"/>
        <v>0</v>
      </c>
      <c r="AY232" s="170">
        <f t="shared" si="258"/>
        <v>-800000</v>
      </c>
      <c r="AZ232" s="170" t="str">
        <f t="shared" si="259"/>
        <v>USD</v>
      </c>
      <c r="BA232" s="542">
        <f>IF(OR(A232="REFUND",A232="CANCELLED"),0,IFERROR((IF(OR(AB232="USDAED",LEFT(AB232,3)=RIGHT(AB232,3)),AI232,AG232)-AE232)*-AY232*VLOOKUP(AB232,'FX RATES'!$H$1:$J$26,3,FALSE),0))</f>
        <v>-19679.999999993925</v>
      </c>
      <c r="BB232" s="170" t="str">
        <f t="shared" si="260"/>
        <v>RUB</v>
      </c>
      <c r="BC232" s="542">
        <f t="shared" si="261"/>
        <v>-259.28853754932703</v>
      </c>
      <c r="BD232" s="170">
        <f t="shared" si="262"/>
        <v>0</v>
      </c>
      <c r="BE232" s="542">
        <f t="shared" si="263"/>
        <v>-259.28853754932703</v>
      </c>
      <c r="BF232" s="170">
        <f t="shared" si="264"/>
        <v>800000</v>
      </c>
      <c r="BG232" s="170" t="str">
        <f t="shared" si="265"/>
        <v>USD</v>
      </c>
      <c r="BH232" s="542">
        <f>IF(OR(A232="REFUND",A232="CANCELLED"),0,IFERROR((IF(OR(AJ232="USDAED",LEFT(AJ232,3)=RIGHT(AJ232,3)),AQ232,AO232)-AM232)*-BF232*VLOOKUP(AJ232,'FX RATES'!$H$1:$J$26,3,FALSE),0))</f>
        <v>0</v>
      </c>
      <c r="BI232" s="170" t="str">
        <f t="shared" si="266"/>
        <v>AED</v>
      </c>
      <c r="BJ232" s="542">
        <f t="shared" si="267"/>
        <v>0</v>
      </c>
      <c r="BK232" s="170">
        <f t="shared" si="268"/>
        <v>0</v>
      </c>
      <c r="BL232" s="542">
        <f t="shared" si="269"/>
        <v>0</v>
      </c>
      <c r="BM232" s="170">
        <f t="shared" si="270"/>
        <v>0</v>
      </c>
      <c r="BN232" s="542">
        <f t="shared" si="271"/>
        <v>-259.28853754932703</v>
      </c>
    </row>
    <row r="233" spans="1:66" ht="19.5" customHeight="1">
      <c r="A233" s="167" t="s">
        <v>366</v>
      </c>
      <c r="B233" s="168" t="s">
        <v>0</v>
      </c>
      <c r="C233" s="168" t="s">
        <v>383</v>
      </c>
      <c r="D233" s="168" t="s">
        <v>121</v>
      </c>
      <c r="E233" s="171">
        <v>46048</v>
      </c>
      <c r="F233" s="171"/>
      <c r="G233" s="168" t="s">
        <v>52</v>
      </c>
      <c r="H233" s="181" t="s">
        <v>476</v>
      </c>
      <c r="I233" s="169">
        <f>-(R224+R225+R226+R227+R228+R229+R230+R231+J232)</f>
        <v>-49514191.144944444</v>
      </c>
      <c r="J233" s="170">
        <f t="shared" si="248"/>
        <v>-49514191.144944444</v>
      </c>
      <c r="K233" s="168" t="s">
        <v>9</v>
      </c>
      <c r="L233" s="171" t="s">
        <v>25</v>
      </c>
      <c r="M233" s="168" t="s">
        <v>25</v>
      </c>
      <c r="N233" s="167" t="s">
        <v>371</v>
      </c>
      <c r="O233" s="168" t="s">
        <v>0</v>
      </c>
      <c r="P233" s="168" t="s">
        <v>0</v>
      </c>
      <c r="Q233" s="169"/>
      <c r="R233" s="170">
        <f t="shared" si="249"/>
        <v>658134.95668778452</v>
      </c>
      <c r="S233" s="168" t="s">
        <v>5</v>
      </c>
      <c r="T233" s="171" t="s">
        <v>477</v>
      </c>
      <c r="U233" s="168" t="s">
        <v>25</v>
      </c>
      <c r="V233" s="167" t="s">
        <v>371</v>
      </c>
      <c r="W233" s="172" t="s">
        <v>382</v>
      </c>
      <c r="X233" s="173">
        <f>IF(Y233="",VLOOKUP(H233,CLIENTS!$A$1:$O$649,5,FALSE),Y233)</f>
        <v>0</v>
      </c>
      <c r="Y233" s="174"/>
      <c r="Z233" s="173">
        <f>IF(AA233="",VLOOKUP(P233,CLIENTS!$A$1:$O$649,5,FALSE),AA233)</f>
        <v>0</v>
      </c>
      <c r="AA233" s="174"/>
      <c r="AB233" s="173" t="str">
        <f>IF(W233="via USD",IF(K233="EUR",K233&amp;"USD","USD"&amp;K233),IFERROR(VLOOKUP(K233&amp;S233,'FX RATES'!$H$2:$H$20,1,FALSE),S233&amp;K233))</f>
        <v>USDRUB</v>
      </c>
      <c r="AC233" s="175">
        <f>IF(LEFT(AB233,3)=RIGHT(AB233,3),0,IFERROR(INDEX(CLIENTS!$A$1:$O$649,MATCH(H233,CLIENTS!$A$1:$A$649,0),MATCH(AB233,CLIENTS!$A$1:$O$1,0)),0))+0.07</f>
        <v>0</v>
      </c>
      <c r="AD233" s="176">
        <v>75.234099999999998</v>
      </c>
      <c r="AE233" s="177">
        <f t="shared" si="250"/>
        <v>75.234099999999998</v>
      </c>
      <c r="AF233" s="177" t="str">
        <f t="shared" si="251"/>
        <v>46048USDRUB</v>
      </c>
      <c r="AG233" s="176">
        <v>75.900000000000006</v>
      </c>
      <c r="AH233" s="178">
        <f ca="1">IF(LEFT(AB233,3)=RIGHT(AB233,3),1,VLOOKUP(AB233,'FX RATES'!$H$1:$I$20,2,FALSE))</f>
        <v>76.720500000000001</v>
      </c>
      <c r="AI233" s="178">
        <f>IF(OR(AB233="USDAED",LEFT(AB233,3)=RIGHT(AB233,3)),AH233,IF(LEFT(AB233)="USD",AG233,IF(RIGHT(AB233,3)="USD",1,IFERROR(VLOOKUP(E233&amp;"USD"&amp;RIGHT(AB233,3),$AF:$AG,2,FALSE),VLOOKUP(E233&amp;"USD"&amp;RIGHT(AJ233,3),$AN:$AO,2,FALSE)))))</f>
        <v>75.900000000000006</v>
      </c>
      <c r="AJ233" s="173" t="str">
        <f>IF(W233="via USD",IF(S233="EUR",S233&amp;"USD","USD"&amp;S233),IFERROR(VLOOKUP(K233&amp;S233,'FX RATES'!$H$2:$H$20,1,FALSE),S233&amp;K233))</f>
        <v>USDRUB</v>
      </c>
      <c r="AK233" s="175">
        <f>IF(LEFT(AJ233,3)=RIGHT(AJ233,3),0,IFERROR(INDEX(CLIENTS!$A$1:$O$649,MATCH(P233,CLIENTS!$A$1:$A$649,0),MATCH(AJ233,CLIENTS!$A$1:$O$1,0)),0))</f>
        <v>0</v>
      </c>
      <c r="AL233" s="176"/>
      <c r="AM233" s="177" t="str">
        <f t="shared" si="253"/>
        <v/>
      </c>
      <c r="AN233" s="177" t="str">
        <f t="shared" si="254"/>
        <v>46048USDRUB</v>
      </c>
      <c r="AO233" s="176"/>
      <c r="AP233" s="178">
        <f ca="1">IF(LEFT(AJ233,3)=RIGHT(AJ233,3),1,VLOOKUP(AJ233,'FX RATES'!$H$1:$I$20,2,FALSE))</f>
        <v>76.720500000000001</v>
      </c>
      <c r="AQ233" s="178">
        <f t="shared" si="255"/>
        <v>75.900000000000006</v>
      </c>
      <c r="AR233" s="179">
        <f>-Q233*(1-Z233)/(1+X233)*IF(W233="CLIENT",IF(S233=RIGHT(AJ233,3),1/AM233,AM233),IF(W233="VENDOR",IF(S233=RIGHT(AJ233,3),1/AE233,AE233),AE233^(VLOOKUP(AB233,'FX RATES'!$H$1:$J$26,3,FALSE))/AM233^(VLOOKUP(AJ233,'FX RATES'!$H$1:$J$26,3,FALSE))))</f>
        <v>0</v>
      </c>
      <c r="AS233" s="179">
        <f>-I233*(1+X233)/(1-Z233)*IF(W233="VENDOR",IF(K233=RIGHT(AB233,3),1/AE233,AE233),IF(W233="CLIENT",IF(K233=RIGHT(AB233,3),1/AM233,AM233),AM233^(VLOOKUP(AJ233,'FX RATES'!$H$1:$J$26,3,FALSE))/AE233^(VLOOKUP(AB233,'FX RATES'!$H$1:$J$26,3,FALSE))))</f>
        <v>658134.95668778452</v>
      </c>
      <c r="AT233" s="170">
        <f>IF(AB233&lt;&gt;AJ233,J233/IF(K233=RIGHT(AB233,3),AE233,1/AE233),IF(S233="USD",J233/IF(K233=RIGHT(AB233,3),IF(W233="CLIENT",AM233,AE233),1/IF(W233="CLIENT",AM233,AE233)),J233*VLOOKUP(K233,'FX RATES'!$E$1:$F$10,2,FALSE)))</f>
        <v>-658134.95668778452</v>
      </c>
      <c r="AU233" s="170">
        <f>IF(AB233&lt;&gt;AJ233,R233/IF(S233=RIGHT(AJ233,3),AM233,1/AM233),IF(K233="USD",R233/IF(S233=RIGHT(AJ233,3),IF(W233="CLIENT",AM233,AE233),1/IF(W233="CLIENT",AM233,AE233)),R233*VLOOKUP(S233,'FX RATES'!$E$1:$F$10,2,FALSE)))</f>
        <v>658134.95668778452</v>
      </c>
      <c r="AV233" s="170">
        <f t="shared" si="256"/>
        <v>0</v>
      </c>
      <c r="AW233" s="169"/>
      <c r="AX233" s="170">
        <f t="shared" si="257"/>
        <v>0</v>
      </c>
      <c r="AY233" s="170">
        <f t="shared" si="258"/>
        <v>-658134.95668778452</v>
      </c>
      <c r="AZ233" s="170" t="str">
        <f t="shared" si="259"/>
        <v>USD</v>
      </c>
      <c r="BA233" s="542">
        <f>IF(OR(A233="REFUND",A233="CANCELLED"),0,IFERROR((IF(OR(AB233="USDAED",LEFT(AB233,3)=RIGHT(AB233,3)),AI233,AG233)-AE233)*-AY233*VLOOKUP(AB233,'FX RATES'!$H$1:$J$26,3,FALSE),0))</f>
        <v>438252.0676584008</v>
      </c>
      <c r="BB233" s="170" t="str">
        <f t="shared" si="260"/>
        <v>RUB</v>
      </c>
      <c r="BC233" s="542">
        <f t="shared" si="261"/>
        <v>5774.0720376600893</v>
      </c>
      <c r="BD233" s="170">
        <f t="shared" si="262"/>
        <v>0</v>
      </c>
      <c r="BE233" s="542">
        <f t="shared" si="263"/>
        <v>5774.0720376600893</v>
      </c>
      <c r="BF233" s="170">
        <f t="shared" si="264"/>
        <v>658134.95668778452</v>
      </c>
      <c r="BG233" s="170" t="str">
        <f t="shared" si="265"/>
        <v>USD</v>
      </c>
      <c r="BH233" s="542">
        <f>IF(OR(A233="REFUND",A233="CANCELLED"),0,IFERROR((IF(OR(AJ233="USDAED",LEFT(AJ233,3)=RIGHT(AJ233,3)),AQ233,AO233)-AM233)*-BF233*VLOOKUP(AJ233,'FX RATES'!$H$1:$J$26,3,FALSE),0))</f>
        <v>0</v>
      </c>
      <c r="BI233" s="170" t="str">
        <f t="shared" si="266"/>
        <v>RUB</v>
      </c>
      <c r="BJ233" s="542">
        <f t="shared" si="267"/>
        <v>0</v>
      </c>
      <c r="BK233" s="170">
        <f t="shared" si="268"/>
        <v>0</v>
      </c>
      <c r="BL233" s="542">
        <f t="shared" si="269"/>
        <v>0</v>
      </c>
      <c r="BM233" s="170">
        <f t="shared" si="270"/>
        <v>0</v>
      </c>
      <c r="BN233" s="542">
        <f t="shared" si="271"/>
        <v>5774.0720376600893</v>
      </c>
    </row>
    <row r="234" spans="1:66" ht="19.5" customHeight="1">
      <c r="A234" s="180"/>
      <c r="E234" s="180"/>
      <c r="F234" s="182"/>
      <c r="L234" s="180"/>
      <c r="M234" s="180"/>
      <c r="N234" s="180"/>
      <c r="O234" s="180"/>
      <c r="P234" s="180"/>
      <c r="V234" s="180"/>
      <c r="W234" s="180"/>
    </row>
    <row r="235" spans="1:66" ht="19.5" customHeight="1">
      <c r="A235" s="167" t="s">
        <v>366</v>
      </c>
      <c r="B235" s="168" t="s">
        <v>39</v>
      </c>
      <c r="C235" s="168" t="s">
        <v>367</v>
      </c>
      <c r="D235" s="168" t="s">
        <v>368</v>
      </c>
      <c r="E235" s="171">
        <v>46049</v>
      </c>
      <c r="F235" s="171"/>
      <c r="G235" s="168" t="s">
        <v>55</v>
      </c>
      <c r="H235" s="168" t="s">
        <v>55</v>
      </c>
      <c r="I235" s="169"/>
      <c r="J235" s="170">
        <f>IF(I235="",AR235,I235)</f>
        <v>-915000</v>
      </c>
      <c r="K235" s="168" t="s">
        <v>5</v>
      </c>
      <c r="L235" s="168" t="s">
        <v>40</v>
      </c>
      <c r="M235" s="168" t="s">
        <v>17</v>
      </c>
      <c r="N235" s="167" t="s">
        <v>371</v>
      </c>
      <c r="O235" s="168" t="s">
        <v>55</v>
      </c>
      <c r="P235" s="168" t="s">
        <v>55</v>
      </c>
      <c r="Q235" s="169">
        <v>69549241.5</v>
      </c>
      <c r="R235" s="170">
        <f>IF(Q235="",AS235,Q235)</f>
        <v>69549241.5</v>
      </c>
      <c r="S235" s="168" t="s">
        <v>9</v>
      </c>
      <c r="T235" s="171" t="s">
        <v>25</v>
      </c>
      <c r="U235" s="168" t="s">
        <v>25</v>
      </c>
      <c r="V235" s="167" t="s">
        <v>371</v>
      </c>
      <c r="W235" s="172" t="s">
        <v>375</v>
      </c>
      <c r="X235" s="173">
        <f>IF(Y235="",VLOOKUP(H235,CLIENTS!$A$1:$O$649,5,FALSE),Y235)</f>
        <v>0</v>
      </c>
      <c r="Y235" s="174">
        <v>0</v>
      </c>
      <c r="Z235" s="173">
        <f>IF(AA235="",VLOOKUP(P235,CLIENTS!$A$1:$O$649,5,FALSE),AA235)</f>
        <v>0</v>
      </c>
      <c r="AA235" s="174">
        <v>0</v>
      </c>
      <c r="AB235" s="173" t="str">
        <f>IF(W235="via USD",IF(K235="EUR",K235&amp;"USD","USD"&amp;K235),IFERROR(VLOOKUP(K235&amp;S235,'FX RATES'!$H$2:$H$20,1,FALSE),S235&amp;K235))</f>
        <v>USDUSD</v>
      </c>
      <c r="AC235" s="175">
        <f>IF(LEFT(AB235,3)=RIGHT(AB235,3),0,IFERROR(INDEX(CLIENTS!$A$1:$O$649,MATCH(H235,CLIENTS!$A$1:$A$649,0),MATCH(AB235,CLIENTS!$A$1:$O$1,0)),0))</f>
        <v>0</v>
      </c>
      <c r="AD235" s="176"/>
      <c r="AE235" s="177">
        <f>IF(W235="CLIENT","",IF(AD235="",AH235+AC235,AD235+AC235))</f>
        <v>1</v>
      </c>
      <c r="AF235" s="177" t="str">
        <f>E235&amp;AB235</f>
        <v>46049USDUSD</v>
      </c>
      <c r="AG235" s="176"/>
      <c r="AH235" s="178">
        <f>IF(LEFT(AB235,3)=RIGHT(AB235,3),1,VLOOKUP(AB235,'FX RATES'!$H$1:$I$20,2,FALSE))</f>
        <v>1</v>
      </c>
      <c r="AI235" s="178">
        <f>IF(OR(AB235="USDAED",LEFT(AB235,3)=RIGHT(AB235,3)),AH235,IF(LEFT(AB235)="USD",AG235,IF(RIGHT(AB235,3)="USD",1,IFERROR(VLOOKUP(E235&amp;"USD"&amp;RIGHT(AB235,3),$AF:$AG,2,FALSE),VLOOKUP(E235&amp;"USD"&amp;RIGHT(AJ235,3),$AN:$AO,2,FALSE)))))</f>
        <v>1</v>
      </c>
      <c r="AJ235" s="173" t="str">
        <f>IF(W235="via USD",IF(S235="EUR",S235&amp;"USD","USD"&amp;S235),IFERROR(VLOOKUP(K235&amp;S235,'FX RATES'!$H$2:$H$20,1,FALSE),S235&amp;K235))</f>
        <v>USDRUB</v>
      </c>
      <c r="AK235" s="175">
        <f>IF(LEFT(AJ235,3)=RIGHT(AJ235,3),0,IFERROR(INDEX(CLIENTS!$A$1:$O$649,MATCH(P235,CLIENTS!$A$1:$A$649,0),MATCH(AJ235,CLIENTS!$A$1:$O$1,0)),0))</f>
        <v>0</v>
      </c>
      <c r="AL235" s="176">
        <v>76.010099999999994</v>
      </c>
      <c r="AM235" s="177">
        <f>IF(W235="VENDOR","",IF(AL235="",AP235+AK235,AL235+AK235))</f>
        <v>76.010099999999994</v>
      </c>
      <c r="AN235" s="177" t="str">
        <f>E235&amp;AJ235</f>
        <v>46049USDRUB</v>
      </c>
      <c r="AO235" s="176">
        <v>76.75</v>
      </c>
      <c r="AP235" s="178">
        <f ca="1">IF(LEFT(AJ235,3)=RIGHT(AJ235,3),1,VLOOKUP(AJ235,'FX RATES'!$H$1:$I$20,2,FALSE))</f>
        <v>76.720500000000001</v>
      </c>
      <c r="AQ235" s="178">
        <f>IF(OR(AJ235="USDAED",LEFT(AJ235,3)=RIGHT(AJ235,3)),AP235,IF(LEFT(AJ235)="USD",AO235,IF(RIGHT(AJ235,3)="USD",1,IFERROR(VLOOKUP(E235&amp;"USD"&amp;RIGHT(AJ235,3),$AN:$AO,2,FALSE),VLOOKUP(E235&amp;"USD"&amp;RIGHT(AB235,3),$AF:$AG,2,FALSE)))))</f>
        <v>76.75</v>
      </c>
      <c r="AR235" s="179">
        <f>-Q235*(1-Z235)/(1+X235)*IF(W235="CLIENT",IF(S235=RIGHT(AJ235,3),1/AM235,AM235),IF(W235="VENDOR",IF(S235=RIGHT(AJ235,3),1/AE235,AE235),AE235^(VLOOKUP(AB235,'FX RATES'!$H$1:$J$26,3,FALSE))/AM235^(VLOOKUP(AJ235,'FX RATES'!$H$1:$J$26,3,FALSE))))</f>
        <v>-915000</v>
      </c>
      <c r="AS235" s="179">
        <f>-I235*(1+X235)/(1-Z235)*IF(W235="VENDOR",IF(K235=RIGHT(AB235,3),1/AE235,AE235),IF(W235="CLIENT",IF(K235=RIGHT(AB235,3),1/AM235,AM235),AM235^(VLOOKUP(AJ235,'FX RATES'!$H$1:$J$26,3,FALSE))/AE235^(VLOOKUP(AB235,'FX RATES'!$H$1:$J$26,3,FALSE))))</f>
        <v>0</v>
      </c>
      <c r="AT235" s="170">
        <f>IF(AB235&lt;&gt;AJ235,J235/IF(K235=RIGHT(AB235,3),AE235,1/AE235),IF(S235="USD",J235/IF(K235=RIGHT(AB235,3),IF(W235="CLIENT",AM235,AE235),1/IF(W235="CLIENT",AM235,AE235)),J235*VLOOKUP(K235,'FX RATES'!$E$1:$F$10,2,FALSE)))</f>
        <v>-915000</v>
      </c>
      <c r="AU235" s="170">
        <f>IF(AB235&lt;&gt;AJ235,R235/IF(S235=RIGHT(AJ235,3),AM235,1/AM235),IF(K235="USD",R235/IF(S235=RIGHT(AJ235,3),IF(W235="CLIENT",AM235,AE235),1/IF(W235="CLIENT",AM235,AE235)),R235*VLOOKUP(S235,'FX RATES'!$E$1:$F$10,2,FALSE)))</f>
        <v>915000.00000000012</v>
      </c>
      <c r="AV235" s="170">
        <f>AT235+AU235</f>
        <v>0</v>
      </c>
      <c r="AW235" s="169"/>
      <c r="AX235" s="170">
        <f>IF(AND(ISERROR(SEARCH("INVOICE",T235)),ISERROR(SEARCH("SWITCH",T235)),ISERROR(SEARCH("FOREX",T235)),ISERROR(SEARCH("REFUND",A235)),ISERROR(SEARCH("CANCELLED",A235))),IF(AW235="",-AT235*X235+AU235*Z235,AW235),0)</f>
        <v>0</v>
      </c>
      <c r="AY235" s="170">
        <f>IF(AZ235="USD",AT235,IF(AZ235=K235,J235,-R235))</f>
        <v>-915000</v>
      </c>
      <c r="AZ235" s="170" t="str">
        <f>LEFT(AB235,3)</f>
        <v>USD</v>
      </c>
      <c r="BA235" s="542">
        <f>IF(OR(A235="REFUND",A235="CANCELLED"),0,IFERROR((IF(OR(AB235="USDAED",LEFT(AB235,3)=RIGHT(AB235,3)),AI235,AG235)-AE235)*-AY235*VLOOKUP(AB235,'FX RATES'!$H$1:$J$26,3,FALSE),0))</f>
        <v>0</v>
      </c>
      <c r="BB235" s="170" t="str">
        <f>RIGHT(AB235,3)</f>
        <v>USD</v>
      </c>
      <c r="BC235" s="542">
        <f>IF(BA235=0,0,IFERROR(BA235/IF(BB235&lt;&gt;"USD",AI235,1),"???"))</f>
        <v>0</v>
      </c>
      <c r="BD235" s="170">
        <f>IFERROR(-AC235/(IF(OR(AB235="USDAED",LEFT(AB235,3)=RIGHT(AB235,3)),AH235,AG235)-AE235)*BC235,0)</f>
        <v>0</v>
      </c>
      <c r="BE235" s="542">
        <f>BC235-BD235</f>
        <v>0</v>
      </c>
      <c r="BF235" s="170">
        <f>IF(BG235="USD",AU235,IF(BG235=S235,R235,-J235))</f>
        <v>915000.00000000012</v>
      </c>
      <c r="BG235" s="170" t="str">
        <f>LEFT(AJ235,3)</f>
        <v>USD</v>
      </c>
      <c r="BH235" s="542">
        <f>IF(OR(A235="REFUND",A235="CANCELLED"),0,IFERROR((IF(OR(AJ235="USDAED",LEFT(AJ235,3)=RIGHT(AJ235,3)),AQ235,AO235)-AM235)*-BF235*VLOOKUP(AJ235,'FX RATES'!$H$1:$J$26,3,FALSE),0))</f>
        <v>-677008.50000000536</v>
      </c>
      <c r="BI235" s="170" t="str">
        <f>RIGHT(AJ235,3)</f>
        <v>RUB</v>
      </c>
      <c r="BJ235" s="542">
        <f>IF(BH235=0,0,IFERROR(BH235/IF(BI235&lt;&gt;"USD",AQ235,1),"???"))</f>
        <v>-8820.9576547231973</v>
      </c>
      <c r="BK235" s="170">
        <f>IFERROR(-AK235/(IF(OR(AJ235="USDAED",LEFT(AJ235,3)=RIGHT(AJ235,3)),AP235,AO235)-AM235)*BJ235,0)</f>
        <v>0</v>
      </c>
      <c r="BL235" s="542">
        <f>BJ235-BK235</f>
        <v>-8820.9576547231973</v>
      </c>
      <c r="BM235" s="170">
        <f>IF(AND(ISERROR(SEARCH("REFUND",A235)),ISERROR(SEARCH("CANCELLED",A235))),BD235+BK235,0)</f>
        <v>0</v>
      </c>
      <c r="BN235" s="542">
        <f>IF(AND(ISERROR(SEARCH("REFUND",A235)),ISERROR(SEARCH("CANCELLED",A235))),BE235+BL235,0)</f>
        <v>-8820.9576547231973</v>
      </c>
    </row>
    <row r="236" spans="1:66" ht="19.5" customHeight="1">
      <c r="A236" s="167" t="s">
        <v>366</v>
      </c>
      <c r="B236" s="168" t="s">
        <v>55</v>
      </c>
      <c r="C236" s="168" t="s">
        <v>381</v>
      </c>
      <c r="D236" s="168" t="s">
        <v>128</v>
      </c>
      <c r="E236" s="171">
        <v>46049</v>
      </c>
      <c r="F236" s="171"/>
      <c r="G236" s="168" t="s">
        <v>55</v>
      </c>
      <c r="H236" s="168" t="s">
        <v>55</v>
      </c>
      <c r="I236" s="169">
        <f>-R235</f>
        <v>-69549241.5</v>
      </c>
      <c r="J236" s="170">
        <f>IF(I236="",AR236,I236)</f>
        <v>-69549241.5</v>
      </c>
      <c r="K236" s="168" t="s">
        <v>9</v>
      </c>
      <c r="L236" s="168" t="s">
        <v>391</v>
      </c>
      <c r="M236" s="168" t="s">
        <v>391</v>
      </c>
      <c r="N236" s="167" t="s">
        <v>371</v>
      </c>
      <c r="O236" s="168" t="s">
        <v>55</v>
      </c>
      <c r="P236" s="168" t="s">
        <v>55</v>
      </c>
      <c r="Q236" s="169"/>
      <c r="R236" s="170">
        <f>IF(Q236="",AS236,Q236)</f>
        <v>69549241.5</v>
      </c>
      <c r="S236" s="168" t="s">
        <v>9</v>
      </c>
      <c r="T236" s="168" t="s">
        <v>391</v>
      </c>
      <c r="U236" s="168" t="s">
        <v>391</v>
      </c>
      <c r="V236" s="167" t="s">
        <v>371</v>
      </c>
      <c r="W236" s="172" t="s">
        <v>382</v>
      </c>
      <c r="X236" s="173">
        <f>IF(Y236="",VLOOKUP(H236,CLIENTS!$A$1:$O$649,5,FALSE),Y236)</f>
        <v>0</v>
      </c>
      <c r="Y236" s="174">
        <v>0</v>
      </c>
      <c r="Z236" s="173">
        <f>IF(AA236="",VLOOKUP(P236,CLIENTS!$A$1:$O$649,5,FALSE),AA236)</f>
        <v>0</v>
      </c>
      <c r="AA236" s="174">
        <v>0</v>
      </c>
      <c r="AB236" s="173" t="str">
        <f>IF(W236="via USD",IF(K236="EUR",K236&amp;"USD","USD"&amp;K236),IFERROR(VLOOKUP(K236&amp;S236,'FX RATES'!$H$2:$H$20,1,FALSE),S236&amp;K236))</f>
        <v>RUBRUB</v>
      </c>
      <c r="AC236" s="175">
        <f>IF(LEFT(AB236,3)=RIGHT(AB236,3),0,IFERROR(INDEX(CLIENTS!$A$1:$O$649,MATCH(H236,CLIENTS!$A$1:$A$649,0),MATCH(AB236,CLIENTS!$A$1:$O$1,0)),0))</f>
        <v>0</v>
      </c>
      <c r="AD236" s="176"/>
      <c r="AE236" s="177">
        <f>IF(W236="CLIENT","",IF(AD236="",AH236+AC236,AD236+AC236))</f>
        <v>1</v>
      </c>
      <c r="AF236" s="177" t="str">
        <f>E236&amp;AB236</f>
        <v>46049RUBRUB</v>
      </c>
      <c r="AG236" s="176"/>
      <c r="AH236" s="178">
        <f>IF(LEFT(AB236,3)=RIGHT(AB236,3),1,VLOOKUP(AB236,'FX RATES'!$H$1:$I$20,2,FALSE))</f>
        <v>1</v>
      </c>
      <c r="AI236" s="178">
        <f>IF(OR(AB236="USDAED",LEFT(AB236,3)=RIGHT(AB236,3)),AH236,IF(LEFT(AB236)="USD",AG236,IF(RIGHT(AB236,3)="USD",1,IFERROR(VLOOKUP(E236&amp;"USD"&amp;RIGHT(AB236,3),$AF:$AG,2,FALSE),VLOOKUP(E236&amp;"USD"&amp;RIGHT(AJ236,3),$AN:$AO,2,FALSE)))))</f>
        <v>1</v>
      </c>
      <c r="AJ236" s="173" t="str">
        <f>IF(W236="via USD",IF(S236="EUR",S236&amp;"USD","USD"&amp;S236),IFERROR(VLOOKUP(K236&amp;S236,'FX RATES'!$H$2:$H$20,1,FALSE),S236&amp;K236))</f>
        <v>RUBRUB</v>
      </c>
      <c r="AK236" s="175">
        <f>IF(LEFT(AJ236,3)=RIGHT(AJ236,3),0,IFERROR(INDEX(CLIENTS!$A$1:$O$649,MATCH(P236,CLIENTS!$A$1:$A$649,0),MATCH(AJ236,CLIENTS!$A$1:$O$1,0)),0))</f>
        <v>0</v>
      </c>
      <c r="AL236" s="176"/>
      <c r="AM236" s="177" t="str">
        <f>IF(W236="VENDOR","",IF(AL236="",AP236+AK236,AL236+AK236))</f>
        <v/>
      </c>
      <c r="AN236" s="177" t="str">
        <f>E236&amp;AJ236</f>
        <v>46049RUBRUB</v>
      </c>
      <c r="AO236" s="176"/>
      <c r="AP236" s="178">
        <f>IF(LEFT(AJ236,3)=RIGHT(AJ236,3),1,VLOOKUP(AJ236,'FX RATES'!$H$1:$I$20,2,FALSE))</f>
        <v>1</v>
      </c>
      <c r="AQ236" s="178">
        <f>IF(OR(AJ236="USDAED",LEFT(AJ236,3)=RIGHT(AJ236,3)),AP236,IF(LEFT(AJ236)="USD",AO236,IF(RIGHT(AJ236,3)="USD",1,IFERROR(VLOOKUP(E236&amp;"USD"&amp;RIGHT(AJ236,3),$AN:$AO,2,FALSE),VLOOKUP(E236&amp;"USD"&amp;RIGHT(AB236,3),$AF:$AG,2,FALSE)))))</f>
        <v>1</v>
      </c>
      <c r="AR236" s="179">
        <f>-Q236*(1-Z236)/(1+X236)*IF(W236="CLIENT",IF(S236=RIGHT(AJ236,3),1/AM236,AM236),IF(W236="VENDOR",IF(S236=RIGHT(AJ236,3),1/AE236,AE236),AE236^(VLOOKUP(AB236,'FX RATES'!$H$1:$J$26,3,FALSE))/AM236^(VLOOKUP(AJ236,'FX RATES'!$H$1:$J$26,3,FALSE))))</f>
        <v>0</v>
      </c>
      <c r="AS236" s="179">
        <f>-I236*(1+X236)/(1-Z236)*IF(W236="VENDOR",IF(K236=RIGHT(AB236,3),1/AE236,AE236),IF(W236="CLIENT",IF(K236=RIGHT(AB236,3),1/AM236,AM236),AM236^(VLOOKUP(AJ236,'FX RATES'!$H$1:$J$26,3,FALSE))/AE236^(VLOOKUP(AB236,'FX RATES'!$H$1:$J$26,3,FALSE))))</f>
        <v>69549241.5</v>
      </c>
      <c r="AT236" s="170">
        <f ca="1">IF(AB236&lt;&gt;AJ236,J236/IF(K236=RIGHT(AB236,3),AE236,1/AE236),IF(S236="USD",J236/IF(K236=RIGHT(AB236,3),IF(W236="CLIENT",AM236,AE236),1/IF(W236="CLIENT",AM236,AE236)),J236*VLOOKUP(K236,'FX RATES'!$E$1:$F$10,2,FALSE)))</f>
        <v>-906527.47961757286</v>
      </c>
      <c r="AU236" s="170">
        <f ca="1">IF(AB236&lt;&gt;AJ236,R236/IF(S236=RIGHT(AJ236,3),AM236,1/AM236),IF(K236="USD",R236/IF(S236=RIGHT(AJ236,3),IF(W236="CLIENT",AM236,AE236),1/IF(W236="CLIENT",AM236,AE236)),R236*VLOOKUP(S236,'FX RATES'!$E$1:$F$10,2,FALSE)))</f>
        <v>906527.47961757286</v>
      </c>
      <c r="AV236" s="170">
        <f ca="1">AT236+AU236</f>
        <v>0</v>
      </c>
      <c r="AW236" s="169"/>
      <c r="AX236" s="170">
        <f ca="1">IF(AND(ISERROR(SEARCH("INVOICE",T236)),ISERROR(SEARCH("SWITCH",T236)),ISERROR(SEARCH("FOREX",T236)),ISERROR(SEARCH("REFUND",A236)),ISERROR(SEARCH("CANCELLED",A236))),IF(AW236="",-AT236*X236+AU236*Z236,AW236),0)</f>
        <v>0</v>
      </c>
      <c r="AY236" s="170">
        <f>IF(AZ236="USD",AT236,IF(AZ236=K236,J236,-R236))</f>
        <v>-69549241.5</v>
      </c>
      <c r="AZ236" s="170" t="str">
        <f>LEFT(AB236,3)</f>
        <v>RUB</v>
      </c>
      <c r="BA236" s="542">
        <f>IF(OR(A236="REFUND",A236="CANCELLED"),0,IFERROR((IF(OR(AB236="USDAED",LEFT(AB236,3)=RIGHT(AB236,3)),AI236,AG236)-AE236)*-AY236*VLOOKUP(AB236,'FX RATES'!$H$1:$J$26,3,FALSE),0))</f>
        <v>0</v>
      </c>
      <c r="BB236" s="170" t="str">
        <f>RIGHT(AB236,3)</f>
        <v>RUB</v>
      </c>
      <c r="BC236" s="542">
        <f>IF(BA236=0,0,IFERROR(BA236/IF(BB236&lt;&gt;"USD",AI236,1),"???"))</f>
        <v>0</v>
      </c>
      <c r="BD236" s="170">
        <f>IFERROR(-AC236/(IF(OR(AB236="USDAED",LEFT(AB236,3)=RIGHT(AB236,3)),AH236,AG236)-AE236)*BC236,0)</f>
        <v>0</v>
      </c>
      <c r="BE236" s="542">
        <f>BC236-BD236</f>
        <v>0</v>
      </c>
      <c r="BF236" s="170">
        <f>IF(BG236="USD",AU236,IF(BG236=S236,R236,-J236))</f>
        <v>69549241.5</v>
      </c>
      <c r="BG236" s="170" t="str">
        <f>LEFT(AJ236,3)</f>
        <v>RUB</v>
      </c>
      <c r="BH236" s="542">
        <f>IF(OR(A236="REFUND",A236="CANCELLED"),0,IFERROR((IF(OR(AJ236="USDAED",LEFT(AJ236,3)=RIGHT(AJ236,3)),AQ236,AO236)-AM236)*-BF236*VLOOKUP(AJ236,'FX RATES'!$H$1:$J$26,3,FALSE),0))</f>
        <v>0</v>
      </c>
      <c r="BI236" s="170" t="str">
        <f>RIGHT(AJ236,3)</f>
        <v>RUB</v>
      </c>
      <c r="BJ236" s="542">
        <f>IF(BH236=0,0,IFERROR(BH236/IF(BI236&lt;&gt;"USD",AQ236,1),"???"))</f>
        <v>0</v>
      </c>
      <c r="BK236" s="170">
        <f>IFERROR(-AK236/(IF(OR(AJ236="USDAED",LEFT(AJ236,3)=RIGHT(AJ236,3)),AP236,AO236)-AM236)*BJ236,0)</f>
        <v>0</v>
      </c>
      <c r="BL236" s="542">
        <f>BJ236-BK236</f>
        <v>0</v>
      </c>
      <c r="BM236" s="170">
        <f>IF(AND(ISERROR(SEARCH("REFUND",A236)),ISERROR(SEARCH("CANCELLED",A236))),BD236+BK236,0)</f>
        <v>0</v>
      </c>
      <c r="BN236" s="542">
        <f>IF(AND(ISERROR(SEARCH("REFUND",A236)),ISERROR(SEARCH("CANCELLED",A236))),BE236+BL236,0)</f>
        <v>0</v>
      </c>
    </row>
    <row r="237" spans="1:66" ht="19.5" customHeight="1">
      <c r="A237" s="167" t="s">
        <v>366</v>
      </c>
      <c r="B237" s="168" t="s">
        <v>39</v>
      </c>
      <c r="C237" s="168" t="s">
        <v>381</v>
      </c>
      <c r="D237" s="168" t="s">
        <v>128</v>
      </c>
      <c r="E237" s="171">
        <v>46049</v>
      </c>
      <c r="F237" s="171"/>
      <c r="G237" s="168" t="s">
        <v>39</v>
      </c>
      <c r="H237" s="168" t="s">
        <v>39</v>
      </c>
      <c r="I237" s="169"/>
      <c r="J237" s="170">
        <f>IF(I237="",AR237,I237)</f>
        <v>-76010100</v>
      </c>
      <c r="K237" s="168" t="s">
        <v>9</v>
      </c>
      <c r="L237" s="168" t="s">
        <v>391</v>
      </c>
      <c r="M237" s="168" t="s">
        <v>391</v>
      </c>
      <c r="N237" s="167" t="s">
        <v>371</v>
      </c>
      <c r="O237" s="168" t="s">
        <v>39</v>
      </c>
      <c r="P237" s="168" t="s">
        <v>39</v>
      </c>
      <c r="Q237" s="169">
        <v>76010100</v>
      </c>
      <c r="R237" s="170">
        <f>IF(Q237="",AS237,Q237)</f>
        <v>76010100</v>
      </c>
      <c r="S237" s="168" t="s">
        <v>9</v>
      </c>
      <c r="T237" s="168" t="s">
        <v>391</v>
      </c>
      <c r="U237" s="168" t="s">
        <v>391</v>
      </c>
      <c r="V237" s="167" t="s">
        <v>371</v>
      </c>
      <c r="W237" s="172" t="s">
        <v>382</v>
      </c>
      <c r="X237" s="173">
        <f>IF(Y237="",VLOOKUP(H237,CLIENTS!$A$1:$O$649,5,FALSE),Y237)</f>
        <v>0</v>
      </c>
      <c r="Y237" s="174">
        <v>0</v>
      </c>
      <c r="Z237" s="173">
        <f>IF(AA237="",VLOOKUP(P237,CLIENTS!$A$1:$O$649,5,FALSE),AA237)</f>
        <v>0</v>
      </c>
      <c r="AA237" s="174">
        <v>0</v>
      </c>
      <c r="AB237" s="173" t="str">
        <f>IF(W237="via USD",IF(K237="EUR",K237&amp;"USD","USD"&amp;K237),IFERROR(VLOOKUP(K237&amp;S237,'FX RATES'!$H$2:$H$20,1,FALSE),S237&amp;K237))</f>
        <v>RUBRUB</v>
      </c>
      <c r="AC237" s="175">
        <f>IF(LEFT(AB237,3)=RIGHT(AB237,3),0,IFERROR(INDEX(CLIENTS!$A$1:$O$649,MATCH(H237,CLIENTS!$A$1:$A$649,0),MATCH(AB237,CLIENTS!$A$1:$O$1,0)),0))</f>
        <v>0</v>
      </c>
      <c r="AD237" s="176"/>
      <c r="AE237" s="177">
        <f>IF(W237="CLIENT","",IF(AD237="",AH237+AC237,AD237+AC237))</f>
        <v>1</v>
      </c>
      <c r="AF237" s="177" t="str">
        <f>E237&amp;AB237</f>
        <v>46049RUBRUB</v>
      </c>
      <c r="AG237" s="176"/>
      <c r="AH237" s="178">
        <f>IF(LEFT(AB237,3)=RIGHT(AB237,3),1,VLOOKUP(AB237,'FX RATES'!$H$1:$I$20,2,FALSE))</f>
        <v>1</v>
      </c>
      <c r="AI237" s="178">
        <f>IF(OR(AB237="USDAED",LEFT(AB237,3)=RIGHT(AB237,3)),AH237,IF(LEFT(AB237)="USD",AG237,IF(RIGHT(AB237,3)="USD",1,IFERROR(VLOOKUP(E237&amp;"USD"&amp;RIGHT(AB237,3),$AF:$AG,2,FALSE),VLOOKUP(E237&amp;"USD"&amp;RIGHT(AJ237,3),$AN:$AO,2,FALSE)))))</f>
        <v>1</v>
      </c>
      <c r="AJ237" s="173" t="str">
        <f>IF(W237="via USD",IF(S237="EUR",S237&amp;"USD","USD"&amp;S237),IFERROR(VLOOKUP(K237&amp;S237,'FX RATES'!$H$2:$H$20,1,FALSE),S237&amp;K237))</f>
        <v>RUBRUB</v>
      </c>
      <c r="AK237" s="175">
        <f>IF(LEFT(AJ237,3)=RIGHT(AJ237,3),0,IFERROR(INDEX(CLIENTS!$A$1:$O$649,MATCH(P237,CLIENTS!$A$1:$A$649,0),MATCH(AJ237,CLIENTS!$A$1:$O$1,0)),0))</f>
        <v>0</v>
      </c>
      <c r="AL237" s="176"/>
      <c r="AM237" s="177" t="str">
        <f>IF(W237="VENDOR","",IF(AL237="",AP237+AK237,AL237+AK237))</f>
        <v/>
      </c>
      <c r="AN237" s="177" t="str">
        <f>E237&amp;AJ237</f>
        <v>46049RUBRUB</v>
      </c>
      <c r="AO237" s="176"/>
      <c r="AP237" s="178">
        <f>IF(LEFT(AJ237,3)=RIGHT(AJ237,3),1,VLOOKUP(AJ237,'FX RATES'!$H$1:$I$20,2,FALSE))</f>
        <v>1</v>
      </c>
      <c r="AQ237" s="178">
        <f>IF(OR(AJ237="USDAED",LEFT(AJ237,3)=RIGHT(AJ237,3)),AP237,IF(LEFT(AJ237)="USD",AO237,IF(RIGHT(AJ237,3)="USD",1,IFERROR(VLOOKUP(E237&amp;"USD"&amp;RIGHT(AJ237,3),$AN:$AO,2,FALSE),VLOOKUP(E237&amp;"USD"&amp;RIGHT(AB237,3),$AF:$AG,2,FALSE)))))</f>
        <v>1</v>
      </c>
      <c r="AR237" s="179">
        <f>-Q237*(1-Z237)/(1+X237)*IF(W237="CLIENT",IF(S237=RIGHT(AJ237,3),1/AM237,AM237),IF(W237="VENDOR",IF(S237=RIGHT(AJ237,3),1/AE237,AE237),AE237^(VLOOKUP(AB237,'FX RATES'!$H$1:$J$26,3,FALSE))/AM237^(VLOOKUP(AJ237,'FX RATES'!$H$1:$J$26,3,FALSE))))</f>
        <v>-76010100</v>
      </c>
      <c r="AS237" s="179">
        <f>-I237*(1+X237)/(1-Z237)*IF(W237="VENDOR",IF(K237=RIGHT(AB237,3),1/AE237,AE237),IF(W237="CLIENT",IF(K237=RIGHT(AB237,3),1/AM237,AM237),AM237^(VLOOKUP(AJ237,'FX RATES'!$H$1:$J$26,3,FALSE))/AE237^(VLOOKUP(AB237,'FX RATES'!$H$1:$J$26,3,FALSE))))</f>
        <v>0</v>
      </c>
      <c r="AT237" s="170">
        <f ca="1">IF(AB237&lt;&gt;AJ237,J237/IF(K237=RIGHT(AB237,3),AE237,1/AE237),IF(S237="USD",J237/IF(K237=RIGHT(AB237,3),IF(W237="CLIENT",AM237,AE237),1/IF(W237="CLIENT",AM237,AE237)),J237*VLOOKUP(K237,'FX RATES'!$E$1:$F$10,2,FALSE)))</f>
        <v>-990740.41488259332</v>
      </c>
      <c r="AU237" s="170">
        <f ca="1">IF(AB237&lt;&gt;AJ237,R237/IF(S237=RIGHT(AJ237,3),AM237,1/AM237),IF(K237="USD",R237/IF(S237=RIGHT(AJ237,3),IF(W237="CLIENT",AM237,AE237),1/IF(W237="CLIENT",AM237,AE237)),R237*VLOOKUP(S237,'FX RATES'!$E$1:$F$10,2,FALSE)))</f>
        <v>990740.41488259332</v>
      </c>
      <c r="AV237" s="170">
        <f ca="1">AT237+AU237</f>
        <v>0</v>
      </c>
      <c r="AW237" s="169"/>
      <c r="AX237" s="170">
        <f ca="1">IF(AND(ISERROR(SEARCH("INVOICE",T237)),ISERROR(SEARCH("SWITCH",T237)),ISERROR(SEARCH("FOREX",T237)),ISERROR(SEARCH("REFUND",A237)),ISERROR(SEARCH("CANCELLED",A237))),IF(AW237="",-AT237*X237+AU237*Z237,AW237),0)</f>
        <v>0</v>
      </c>
      <c r="AY237" s="170">
        <f>IF(AZ237="USD",AT237,IF(AZ237=K237,J237,-R237))</f>
        <v>-76010100</v>
      </c>
      <c r="AZ237" s="170" t="str">
        <f>LEFT(AB237,3)</f>
        <v>RUB</v>
      </c>
      <c r="BA237" s="542">
        <f>IF(OR(A237="REFUND",A237="CANCELLED"),0,IFERROR((IF(OR(AB237="USDAED",LEFT(AB237,3)=RIGHT(AB237,3)),AI237,AG237)-AE237)*-AY237*VLOOKUP(AB237,'FX RATES'!$H$1:$J$26,3,FALSE),0))</f>
        <v>0</v>
      </c>
      <c r="BB237" s="170" t="str">
        <f>RIGHT(AB237,3)</f>
        <v>RUB</v>
      </c>
      <c r="BC237" s="542">
        <f>IF(BA237=0,0,IFERROR(BA237/IF(BB237&lt;&gt;"USD",AI237,1),"???"))</f>
        <v>0</v>
      </c>
      <c r="BD237" s="170">
        <f>IFERROR(-AC237/(IF(OR(AB237="USDAED",LEFT(AB237,3)=RIGHT(AB237,3)),AH237,AG237)-AE237)*BC237,0)</f>
        <v>0</v>
      </c>
      <c r="BE237" s="542">
        <f>BC237-BD237</f>
        <v>0</v>
      </c>
      <c r="BF237" s="170">
        <f>IF(BG237="USD",AU237,IF(BG237=S237,R237,-J237))</f>
        <v>76010100</v>
      </c>
      <c r="BG237" s="170" t="str">
        <f>LEFT(AJ237,3)</f>
        <v>RUB</v>
      </c>
      <c r="BH237" s="542">
        <f>IF(OR(A237="REFUND",A237="CANCELLED"),0,IFERROR((IF(OR(AJ237="USDAED",LEFT(AJ237,3)=RIGHT(AJ237,3)),AQ237,AO237)-AM237)*-BF237*VLOOKUP(AJ237,'FX RATES'!$H$1:$J$26,3,FALSE),0))</f>
        <v>0</v>
      </c>
      <c r="BI237" s="170" t="str">
        <f>RIGHT(AJ237,3)</f>
        <v>RUB</v>
      </c>
      <c r="BJ237" s="542">
        <f>IF(BH237=0,0,IFERROR(BH237/IF(BI237&lt;&gt;"USD",AQ237,1),"???"))</f>
        <v>0</v>
      </c>
      <c r="BK237" s="170">
        <f>IFERROR(-AK237/(IF(OR(AJ237="USDAED",LEFT(AJ237,3)=RIGHT(AJ237,3)),AP237,AO237)-AM237)*BJ237,0)</f>
        <v>0</v>
      </c>
      <c r="BL237" s="542">
        <f>BJ237-BK237</f>
        <v>0</v>
      </c>
      <c r="BM237" s="170">
        <f>IF(AND(ISERROR(SEARCH("REFUND",A237)),ISERROR(SEARCH("CANCELLED",A237))),BD237+BK237,0)</f>
        <v>0</v>
      </c>
      <c r="BN237" s="542">
        <f>IF(AND(ISERROR(SEARCH("REFUND",A237)),ISERROR(SEARCH("CANCELLED",A237))),BE237+BL237,0)</f>
        <v>0</v>
      </c>
    </row>
    <row r="238" spans="1:66" ht="19.5" customHeight="1">
      <c r="A238" s="167" t="s">
        <v>366</v>
      </c>
      <c r="B238" s="168" t="s">
        <v>52</v>
      </c>
      <c r="C238" s="168" t="s">
        <v>381</v>
      </c>
      <c r="D238" s="168" t="s">
        <v>128</v>
      </c>
      <c r="E238" s="171">
        <v>46049</v>
      </c>
      <c r="F238" s="171"/>
      <c r="G238" s="168" t="s">
        <v>52</v>
      </c>
      <c r="H238" s="168" t="s">
        <v>52</v>
      </c>
      <c r="I238" s="169"/>
      <c r="J238" s="170">
        <f>IF(I238="",AR238,I238)</f>
        <v>-6460858.5</v>
      </c>
      <c r="K238" s="168" t="s">
        <v>9</v>
      </c>
      <c r="L238" s="168" t="s">
        <v>25</v>
      </c>
      <c r="M238" s="168" t="s">
        <v>25</v>
      </c>
      <c r="N238" s="167" t="s">
        <v>371</v>
      </c>
      <c r="O238" s="168" t="s">
        <v>52</v>
      </c>
      <c r="P238" s="168" t="s">
        <v>52</v>
      </c>
      <c r="Q238" s="169">
        <v>6460858.5</v>
      </c>
      <c r="R238" s="170">
        <f>IF(Q238="",AS238,Q238)</f>
        <v>6460858.5</v>
      </c>
      <c r="S238" s="168" t="s">
        <v>9</v>
      </c>
      <c r="T238" s="168" t="s">
        <v>25</v>
      </c>
      <c r="U238" s="168" t="s">
        <v>25</v>
      </c>
      <c r="V238" s="167" t="s">
        <v>371</v>
      </c>
      <c r="W238" s="172" t="s">
        <v>382</v>
      </c>
      <c r="X238" s="173">
        <f>IF(Y238="",VLOOKUP(H238,CLIENTS!$A$1:$O$649,5,FALSE),Y238)</f>
        <v>0</v>
      </c>
      <c r="Y238" s="174"/>
      <c r="Z238" s="173">
        <f>IF(AA238="",VLOOKUP(P238,CLIENTS!$A$1:$O$649,5,FALSE),AA238)</f>
        <v>0</v>
      </c>
      <c r="AA238" s="174"/>
      <c r="AB238" s="173" t="str">
        <f>IF(W238="via USD",IF(K238="EUR",K238&amp;"USD","USD"&amp;K238),IFERROR(VLOOKUP(K238&amp;S238,'FX RATES'!$H$2:$H$20,1,FALSE),S238&amp;K238))</f>
        <v>RUBRUB</v>
      </c>
      <c r="AC238" s="175">
        <f>IF(LEFT(AB238,3)=RIGHT(AB238,3),0,IFERROR(INDEX(CLIENTS!$A$1:$O$649,MATCH(H238,CLIENTS!$A$1:$A$649,0),MATCH(AB238,CLIENTS!$A$1:$O$1,0)),0))</f>
        <v>0</v>
      </c>
      <c r="AD238" s="176"/>
      <c r="AE238" s="177">
        <f>IF(W238="CLIENT","",IF(AD238="",AH238+AC238,AD238+AC238))</f>
        <v>1</v>
      </c>
      <c r="AF238" s="177" t="str">
        <f>E238&amp;AB238</f>
        <v>46049RUBRUB</v>
      </c>
      <c r="AG238" s="176"/>
      <c r="AH238" s="178">
        <f>IF(LEFT(AB238,3)=RIGHT(AB238,3),1,VLOOKUP(AB238,'FX RATES'!$H$1:$I$20,2,FALSE))</f>
        <v>1</v>
      </c>
      <c r="AI238" s="178">
        <f>IF(OR(AB238="USDAED",LEFT(AB238,3)=RIGHT(AB238,3)),AH238,IF(LEFT(AB238)="USD",AG238,IF(RIGHT(AB238,3)="USD",1,IFERROR(VLOOKUP(E238&amp;"USD"&amp;RIGHT(AB238,3),$AF:$AG,2,FALSE),VLOOKUP(E238&amp;"USD"&amp;RIGHT(AJ238,3),$AN:$AO,2,FALSE)))))</f>
        <v>1</v>
      </c>
      <c r="AJ238" s="173" t="str">
        <f>IF(W238="via USD",IF(S238="EUR",S238&amp;"USD","USD"&amp;S238),IFERROR(VLOOKUP(K238&amp;S238,'FX RATES'!$H$2:$H$20,1,FALSE),S238&amp;K238))</f>
        <v>RUBRUB</v>
      </c>
      <c r="AK238" s="175">
        <f>IF(LEFT(AJ238,3)=RIGHT(AJ238,3),0,IFERROR(INDEX(CLIENTS!$A$1:$O$649,MATCH(P238,CLIENTS!$A$1:$A$649,0),MATCH(AJ238,CLIENTS!$A$1:$O$1,0)),0))</f>
        <v>0</v>
      </c>
      <c r="AL238" s="176"/>
      <c r="AM238" s="177" t="str">
        <f>IF(W238="VENDOR","",IF(AL238="",AP238+AK238,AL238+AK238))</f>
        <v/>
      </c>
      <c r="AN238" s="177" t="str">
        <f>E238&amp;AJ238</f>
        <v>46049RUBRUB</v>
      </c>
      <c r="AO238" s="176"/>
      <c r="AP238" s="178">
        <f>IF(LEFT(AJ238,3)=RIGHT(AJ238,3),1,VLOOKUP(AJ238,'FX RATES'!$H$1:$I$20,2,FALSE))</f>
        <v>1</v>
      </c>
      <c r="AQ238" s="178">
        <f>IF(OR(AJ238="USDAED",LEFT(AJ238,3)=RIGHT(AJ238,3)),AP238,IF(LEFT(AJ238)="USD",AO238,IF(RIGHT(AJ238,3)="USD",1,IFERROR(VLOOKUP(E238&amp;"USD"&amp;RIGHT(AJ238,3),$AN:$AO,2,FALSE),VLOOKUP(E238&amp;"USD"&amp;RIGHT(AB238,3),$AF:$AG,2,FALSE)))))</f>
        <v>1</v>
      </c>
      <c r="AR238" s="179">
        <f>-Q238*(1-Z238)/(1+X238)*IF(W238="CLIENT",IF(S238=RIGHT(AJ238,3),1/AM238,AM238),IF(W238="VENDOR",IF(S238=RIGHT(AJ238,3),1/AE238,AE238),AE238^(VLOOKUP(AB238,'FX RATES'!$H$1:$J$26,3,FALSE))/AM238^(VLOOKUP(AJ238,'FX RATES'!$H$1:$J$26,3,FALSE))))</f>
        <v>-6460858.5</v>
      </c>
      <c r="AS238" s="179">
        <f>-I238*(1+X238)/(1-Z238)*IF(W238="VENDOR",IF(K238=RIGHT(AB238,3),1/AE238,AE238),IF(W238="CLIENT",IF(K238=RIGHT(AB238,3),1/AM238,AM238),AM238^(VLOOKUP(AJ238,'FX RATES'!$H$1:$J$26,3,FALSE))/AE238^(VLOOKUP(AB238,'FX RATES'!$H$1:$J$26,3,FALSE))))</f>
        <v>0</v>
      </c>
      <c r="AT238" s="170">
        <f ca="1">IF(AB238&lt;&gt;AJ238,J238/IF(K238=RIGHT(AB238,3),AE238,1/AE238),IF(S238="USD",J238/IF(K238=RIGHT(AB238,3),IF(W238="CLIENT",AM238,AE238),1/IF(W238="CLIENT",AM238,AE238)),J238*VLOOKUP(K238,'FX RATES'!$E$1:$F$10,2,FALSE)))</f>
        <v>-84212.935265020424</v>
      </c>
      <c r="AU238" s="170">
        <f ca="1">IF(AB238&lt;&gt;AJ238,R238/IF(S238=RIGHT(AJ238,3),AM238,1/AM238),IF(K238="USD",R238/IF(S238=RIGHT(AJ238,3),IF(W238="CLIENT",AM238,AE238),1/IF(W238="CLIENT",AM238,AE238)),R238*VLOOKUP(S238,'FX RATES'!$E$1:$F$10,2,FALSE)))</f>
        <v>84212.935265020424</v>
      </c>
      <c r="AV238" s="170">
        <f ca="1">AT238+AU238</f>
        <v>0</v>
      </c>
      <c r="AW238" s="169"/>
      <c r="AX238" s="170">
        <f ca="1">IF(AND(ISERROR(SEARCH("INVOICE",T238)),ISERROR(SEARCH("SWITCH",T238)),ISERROR(SEARCH("FOREX",T238)),ISERROR(SEARCH("REFUND",A238)),ISERROR(SEARCH("CANCELLED",A238))),IF(AW238="",-AT238*X238+AU238*Z238,AW238),0)</f>
        <v>0</v>
      </c>
      <c r="AY238" s="170">
        <f>IF(AZ238="USD",AT238,IF(AZ238=K238,J238,-R238))</f>
        <v>-6460858.5</v>
      </c>
      <c r="AZ238" s="170" t="str">
        <f>LEFT(AB238,3)</f>
        <v>RUB</v>
      </c>
      <c r="BA238" s="542">
        <f>IF(OR(A238="REFUND",A238="CANCELLED"),0,IFERROR((IF(OR(AB238="USDAED",LEFT(AB238,3)=RIGHT(AB238,3)),AI238,AG238)-AE238)*-AY238*VLOOKUP(AB238,'FX RATES'!$H$1:$J$26,3,FALSE),0))</f>
        <v>0</v>
      </c>
      <c r="BB238" s="170" t="str">
        <f>RIGHT(AB238,3)</f>
        <v>RUB</v>
      </c>
      <c r="BC238" s="542">
        <f>IF(BA238=0,0,IFERROR(BA238/IF(BB238&lt;&gt;"USD",AI238,1),"???"))</f>
        <v>0</v>
      </c>
      <c r="BD238" s="170">
        <f>IFERROR(-AC238/(IF(OR(AB238="USDAED",LEFT(AB238,3)=RIGHT(AB238,3)),AH238,AG238)-AE238)*BC238,0)</f>
        <v>0</v>
      </c>
      <c r="BE238" s="542">
        <f>BC238-BD238</f>
        <v>0</v>
      </c>
      <c r="BF238" s="170">
        <f>IF(BG238="USD",AU238,IF(BG238=S238,R238,-J238))</f>
        <v>6460858.5</v>
      </c>
      <c r="BG238" s="170" t="str">
        <f>LEFT(AJ238,3)</f>
        <v>RUB</v>
      </c>
      <c r="BH238" s="542">
        <f>IF(OR(A238="REFUND",A238="CANCELLED"),0,IFERROR((IF(OR(AJ238="USDAED",LEFT(AJ238,3)=RIGHT(AJ238,3)),AQ238,AO238)-AM238)*-BF238*VLOOKUP(AJ238,'FX RATES'!$H$1:$J$26,3,FALSE),0))</f>
        <v>0</v>
      </c>
      <c r="BI238" s="170" t="str">
        <f>RIGHT(AJ238,3)</f>
        <v>RUB</v>
      </c>
      <c r="BJ238" s="542">
        <f>IF(BH238=0,0,IFERROR(BH238/IF(BI238&lt;&gt;"USD",AQ238,1),"???"))</f>
        <v>0</v>
      </c>
      <c r="BK238" s="170">
        <f>IFERROR(-AK238/(IF(OR(AJ238="USDAED",LEFT(AJ238,3)=RIGHT(AJ238,3)),AP238,AO238)-AM238)*BJ238,0)</f>
        <v>0</v>
      </c>
      <c r="BL238" s="542">
        <f>BJ238-BK238</f>
        <v>0</v>
      </c>
      <c r="BM238" s="170">
        <f>IF(AND(ISERROR(SEARCH("REFUND",A238)),ISERROR(SEARCH("CANCELLED",A238))),BD238+BK238,0)</f>
        <v>0</v>
      </c>
      <c r="BN238" s="542">
        <f>IF(AND(ISERROR(SEARCH("REFUND",A238)),ISERROR(SEARCH("CANCELLED",A238))),BE238+BL238,0)</f>
        <v>0</v>
      </c>
    </row>
    <row r="239" spans="1:66" ht="19.5" customHeight="1">
      <c r="A239" s="167" t="s">
        <v>366</v>
      </c>
      <c r="B239" s="168" t="s">
        <v>39</v>
      </c>
      <c r="C239" s="168" t="s">
        <v>383</v>
      </c>
      <c r="D239" s="168" t="s">
        <v>472</v>
      </c>
      <c r="E239" s="171">
        <v>46049</v>
      </c>
      <c r="F239" s="171"/>
      <c r="G239" s="168" t="s">
        <v>39</v>
      </c>
      <c r="H239" s="168" t="s">
        <v>534</v>
      </c>
      <c r="I239" s="169">
        <f>-76010100</f>
        <v>-76010100</v>
      </c>
      <c r="J239" s="170">
        <f>IF(I239="",AR239,I239)</f>
        <v>-76010100</v>
      </c>
      <c r="K239" s="168" t="s">
        <v>9</v>
      </c>
      <c r="L239" s="168" t="s">
        <v>25</v>
      </c>
      <c r="M239" s="168" t="s">
        <v>25</v>
      </c>
      <c r="N239" s="167" t="s">
        <v>371</v>
      </c>
      <c r="O239" s="168" t="s">
        <v>39</v>
      </c>
      <c r="P239" s="349" t="s">
        <v>534</v>
      </c>
      <c r="Q239" s="169"/>
      <c r="R239" s="170">
        <f>IF(Q239="",AS239,Q239)</f>
        <v>3672500</v>
      </c>
      <c r="S239" s="168" t="s">
        <v>8</v>
      </c>
      <c r="T239" s="171" t="s">
        <v>14</v>
      </c>
      <c r="U239" s="168" t="s">
        <v>14</v>
      </c>
      <c r="V239" s="167" t="s">
        <v>371</v>
      </c>
      <c r="W239" s="172" t="s">
        <v>375</v>
      </c>
      <c r="X239" s="173">
        <f>IF(Y239="",VLOOKUP(H239,CLIENTS!$A$1:$O$649,5,FALSE),Y239)</f>
        <v>0</v>
      </c>
      <c r="Y239" s="174">
        <v>0</v>
      </c>
      <c r="Z239" s="173">
        <f>IF(AA239="",VLOOKUP(P239,CLIENTS!$A$1:$O$649,5,FALSE),AA239)</f>
        <v>0</v>
      </c>
      <c r="AA239" s="174">
        <v>0</v>
      </c>
      <c r="AB239" s="173" t="str">
        <f>IF(W239="via USD",IF(K239="EUR",K239&amp;"USD","USD"&amp;K239),IFERROR(VLOOKUP(K239&amp;S239,'FX RATES'!$H$2:$H$20,1,FALSE),S239&amp;K239))</f>
        <v>USDRUB</v>
      </c>
      <c r="AC239" s="175">
        <f>IF(LEFT(AB239,3)=RIGHT(AB239,3),0,IFERROR(INDEX(CLIENTS!$A$1:$O$649,MATCH(H239,CLIENTS!$A$1:$A$649,0),MATCH(AB239,CLIENTS!$A$1:$O$1,0)),0))</f>
        <v>0</v>
      </c>
      <c r="AD239" s="176">
        <v>76.010099999999994</v>
      </c>
      <c r="AE239" s="177">
        <f>IF(W239="CLIENT","",IF(AD239="",AH239+AC239,AD239+AC239))</f>
        <v>76.010099999999994</v>
      </c>
      <c r="AF239" s="177" t="str">
        <f>E239&amp;AB239</f>
        <v>46049USDRUB</v>
      </c>
      <c r="AG239" s="176">
        <v>76.75</v>
      </c>
      <c r="AH239" s="178">
        <f ca="1">IF(LEFT(AB239,3)=RIGHT(AB239,3),1,VLOOKUP(AB239,'FX RATES'!$H$1:$I$20,2,FALSE))</f>
        <v>76.720500000000001</v>
      </c>
      <c r="AI239" s="178">
        <f>IF(OR(AB239="USDAED",LEFT(AB239,3)=RIGHT(AB239,3)),AH239,IF(LEFT(AB239)="USD",AG239,IF(RIGHT(AB239,3)="USD",1,IFERROR(VLOOKUP(E239&amp;"USD"&amp;RIGHT(AB239,3),$AF:$AG,2,FALSE),VLOOKUP(E239&amp;"USD"&amp;RIGHT(AJ239,3),$AN:$AO,2,FALSE)))))</f>
        <v>76.75</v>
      </c>
      <c r="AJ239" s="173" t="str">
        <f>IF(W239="via USD",IF(S239="EUR",S239&amp;"USD","USD"&amp;S239),IFERROR(VLOOKUP(K239&amp;S239,'FX RATES'!$H$2:$H$20,1,FALSE),S239&amp;K239))</f>
        <v>USDAED</v>
      </c>
      <c r="AK239" s="175">
        <f>IF(LEFT(AJ239,3)=RIGHT(AJ239,3),0,IFERROR(INDEX(CLIENTS!$A$1:$O$649,MATCH(P239,CLIENTS!$A$1:$A$649,0),MATCH(AJ239,CLIENTS!$A$1:$O$1,0)),0))</f>
        <v>0</v>
      </c>
      <c r="AL239" s="176">
        <v>3.6724999999999999</v>
      </c>
      <c r="AM239" s="177">
        <f>IF(W239="VENDOR","",IF(AL239="",AP239+AK239,AL239+AK239))</f>
        <v>3.6724999999999999</v>
      </c>
      <c r="AN239" s="177" t="str">
        <f>E239&amp;AJ239</f>
        <v>46049USDAED</v>
      </c>
      <c r="AO239" s="176"/>
      <c r="AP239" s="178">
        <f>IF(LEFT(AJ239,3)=RIGHT(AJ239,3),1,VLOOKUP(AJ239,'FX RATES'!$H$1:$I$20,2,FALSE))</f>
        <v>3.6724999999999999</v>
      </c>
      <c r="AQ239" s="178">
        <f>IF(OR(AJ239="USDAED",LEFT(AJ239,3)=RIGHT(AJ239,3)),AP239,IF(LEFT(AJ239)="USD",AO239,IF(RIGHT(AJ239,3)="USD",1,IFERROR(VLOOKUP(E239&amp;"USD"&amp;RIGHT(AJ239,3),$AN:$AO,2,FALSE),VLOOKUP(E239&amp;"USD"&amp;RIGHT(AB239,3),$AF:$AG,2,FALSE)))))</f>
        <v>3.6724999999999999</v>
      </c>
      <c r="AR239" s="179">
        <f>-Q239*(1-Z239)/(1+X239)*IF(W239="CLIENT",IF(S239=RIGHT(AJ239,3),1/AM239,AM239),IF(W239="VENDOR",IF(S239=RIGHT(AJ239,3),1/AE239,AE239),AE239^(VLOOKUP(AB239,'FX RATES'!$H$1:$J$26,3,FALSE))/AM239^(VLOOKUP(AJ239,'FX RATES'!$H$1:$J$26,3,FALSE))))</f>
        <v>0</v>
      </c>
      <c r="AS239" s="179">
        <f>-I239*(1+X239)/(1-Z239)*IF(W239="VENDOR",IF(K239=RIGHT(AB239,3),1/AE239,AE239),IF(W239="CLIENT",IF(K239=RIGHT(AB239,3),1/AM239,AM239),AM239^(VLOOKUP(AJ239,'FX RATES'!$H$1:$J$26,3,FALSE))/AE239^(VLOOKUP(AB239,'FX RATES'!$H$1:$J$26,3,FALSE))))</f>
        <v>3672500</v>
      </c>
      <c r="AT239" s="170">
        <f>IF(AB239&lt;&gt;AJ239,J239/IF(K239=RIGHT(AB239,3),AE239,1/AE239),IF(S239="USD",J239/IF(K239=RIGHT(AB239,3),IF(W239="CLIENT",AM239,AE239),1/IF(W239="CLIENT",AM239,AE239)),J239*VLOOKUP(K239,'FX RATES'!$E$1:$F$10,2,FALSE)))</f>
        <v>-1000000.0000000001</v>
      </c>
      <c r="AU239" s="170">
        <f>IF(AB239&lt;&gt;AJ239,R239/IF(S239=RIGHT(AJ239,3),AM239,1/AM239),IF(K239="USD",R239/IF(S239=RIGHT(AJ239,3),IF(W239="CLIENT",AM239,AE239),1/IF(W239="CLIENT",AM239,AE239)),R239*VLOOKUP(S239,'FX RATES'!$E$1:$F$10,2,FALSE)))</f>
        <v>1000000</v>
      </c>
      <c r="AV239" s="170">
        <f>AT239+AU239</f>
        <v>0</v>
      </c>
      <c r="AW239" s="169"/>
      <c r="AX239" s="170">
        <f>IF(AND(ISERROR(SEARCH("INVOICE",T239)),ISERROR(SEARCH("SWITCH",T239)),ISERROR(SEARCH("FOREX",T239)),ISERROR(SEARCH("REFUND",A239)),ISERROR(SEARCH("CANCELLED",A239))),IF(AW239="",-AT239*X239+AU239*Z239,AW239),0)</f>
        <v>0</v>
      </c>
      <c r="AY239" s="170">
        <f>IF(AZ239="USD",AT239,IF(AZ239=K239,J239,-R239))</f>
        <v>-1000000.0000000001</v>
      </c>
      <c r="AZ239" s="170" t="str">
        <f>LEFT(AB239,3)</f>
        <v>USD</v>
      </c>
      <c r="BA239" s="542">
        <f>IF(OR(A239="REFUND",A239="CANCELLED"),0,IFERROR((IF(OR(AB239="USDAED",LEFT(AB239,3)=RIGHT(AB239,3)),AI239,AG239)-AE239)*-AY239*VLOOKUP(AB239,'FX RATES'!$H$1:$J$26,3,FALSE),0))</f>
        <v>739900.00000000582</v>
      </c>
      <c r="BB239" s="170" t="str">
        <f>RIGHT(AB239,3)</f>
        <v>RUB</v>
      </c>
      <c r="BC239" s="542">
        <f>IF(BA239=0,0,IFERROR(BA239/IF(BB239&lt;&gt;"USD",AI239,1),"???"))</f>
        <v>9640.390879478904</v>
      </c>
      <c r="BD239" s="170">
        <f>IFERROR(-AC239/(IF(OR(AB239="USDAED",LEFT(AB239,3)=RIGHT(AB239,3)),AH239,AG239)-AE239)*BC239,0)</f>
        <v>0</v>
      </c>
      <c r="BE239" s="542">
        <f>BC239-BD239</f>
        <v>9640.390879478904</v>
      </c>
      <c r="BF239" s="170">
        <f>IF(BG239="USD",AU239,IF(BG239=S239,R239,-J239))</f>
        <v>1000000</v>
      </c>
      <c r="BG239" s="170" t="str">
        <f>LEFT(AJ239,3)</f>
        <v>USD</v>
      </c>
      <c r="BH239" s="542">
        <f>IF(OR(A239="REFUND",A239="CANCELLED"),0,IFERROR((IF(OR(AJ239="USDAED",LEFT(AJ239,3)=RIGHT(AJ239,3)),AQ239,AO239)-AM239)*-BF239*VLOOKUP(AJ239,'FX RATES'!$H$1:$J$26,3,FALSE),0))</f>
        <v>0</v>
      </c>
      <c r="BI239" s="170" t="str">
        <f>RIGHT(AJ239,3)</f>
        <v>AED</v>
      </c>
      <c r="BJ239" s="542">
        <f>IF(BH239=0,0,IFERROR(BH239/IF(BI239&lt;&gt;"USD",AQ239,1),"???"))</f>
        <v>0</v>
      </c>
      <c r="BK239" s="170">
        <f>IFERROR(-AK239/(IF(OR(AJ239="USDAED",LEFT(AJ239,3)=RIGHT(AJ239,3)),AP239,AO239)-AM239)*BJ239,0)</f>
        <v>0</v>
      </c>
      <c r="BL239" s="542">
        <f>BJ239-BK239</f>
        <v>0</v>
      </c>
      <c r="BM239" s="170">
        <f>IF(AND(ISERROR(SEARCH("REFUND",A239)),ISERROR(SEARCH("CANCELLED",A239))),BD239+BK239,0)</f>
        <v>0</v>
      </c>
      <c r="BN239" s="542">
        <f>IF(AND(ISERROR(SEARCH("REFUND",A239)),ISERROR(SEARCH("CANCELLED",A239))),BE239+BL239,0)</f>
        <v>9640.390879478904</v>
      </c>
    </row>
    <row r="240" spans="1:66" ht="19.5" customHeight="1">
      <c r="A240" s="180"/>
      <c r="E240" s="180"/>
      <c r="F240" s="182"/>
      <c r="L240" s="180"/>
      <c r="M240" s="180"/>
      <c r="N240" s="180"/>
      <c r="O240" s="180"/>
      <c r="P240" s="180"/>
      <c r="V240" s="180"/>
      <c r="W240" s="180"/>
    </row>
    <row r="241" spans="1:66" ht="19.5" customHeight="1">
      <c r="A241" s="167" t="s">
        <v>366</v>
      </c>
      <c r="B241" s="181" t="s">
        <v>39</v>
      </c>
      <c r="C241" s="181" t="s">
        <v>367</v>
      </c>
      <c r="D241" s="181" t="s">
        <v>418</v>
      </c>
      <c r="E241" s="171">
        <v>46049</v>
      </c>
      <c r="F241" s="171"/>
      <c r="G241" s="181" t="s">
        <v>39</v>
      </c>
      <c r="H241" s="168" t="s">
        <v>535</v>
      </c>
      <c r="I241" s="169"/>
      <c r="J241" s="170">
        <f>IF(I241="",AR241,I241)</f>
        <v>-499000</v>
      </c>
      <c r="K241" s="168" t="s">
        <v>5</v>
      </c>
      <c r="L241" s="168" t="s">
        <v>378</v>
      </c>
      <c r="M241" s="168" t="s">
        <v>20</v>
      </c>
      <c r="N241" s="167" t="s">
        <v>371</v>
      </c>
      <c r="O241" s="168" t="s">
        <v>52</v>
      </c>
      <c r="P241" s="168" t="s">
        <v>428</v>
      </c>
      <c r="Q241" s="169">
        <v>500000</v>
      </c>
      <c r="R241" s="170">
        <f>IF(Q241="",AS241,Q241)</f>
        <v>500000</v>
      </c>
      <c r="S241" s="168" t="s">
        <v>53</v>
      </c>
      <c r="T241" s="168" t="s">
        <v>420</v>
      </c>
      <c r="U241" s="168" t="s">
        <v>54</v>
      </c>
      <c r="V241" s="167" t="s">
        <v>371</v>
      </c>
      <c r="W241" s="172" t="s">
        <v>375</v>
      </c>
      <c r="X241" s="173">
        <f>IF(Y241="",VLOOKUP(H241,CLIENTS!$A$1:$O$649,5,FALSE),Y241)</f>
        <v>0</v>
      </c>
      <c r="Y241" s="174">
        <v>0</v>
      </c>
      <c r="Z241" s="173">
        <f>IF(AA241="",VLOOKUP(P241,CLIENTS!$A$1:$O$649,5,FALSE),AA241)</f>
        <v>2E-3</v>
      </c>
      <c r="AA241" s="174">
        <v>2E-3</v>
      </c>
      <c r="AB241" s="173" t="str">
        <f>IF(W241="via USD",IF(K241="EUR",K241&amp;"USD","USD"&amp;K241),IFERROR(VLOOKUP(K241&amp;S241,'FX RATES'!$H$2:$H$20,1,FALSE),S241&amp;K241))</f>
        <v>USDUSD</v>
      </c>
      <c r="AC241" s="175">
        <f>IF(LEFT(AB241,3)=RIGHT(AB241,3),0,IFERROR(INDEX(CLIENTS!$A$1:$O$649,MATCH(H241,CLIENTS!$A$1:$A$649,0),MATCH(AB241,CLIENTS!$A$1:$O$1,0)),0))</f>
        <v>0</v>
      </c>
      <c r="AD241" s="176"/>
      <c r="AE241" s="177">
        <f>IF(W241="CLIENT","",IF(AD241="",AH241+AC241,AD241+AC241))</f>
        <v>1</v>
      </c>
      <c r="AF241" s="177" t="str">
        <f>E241&amp;AB241</f>
        <v>46049USDUSD</v>
      </c>
      <c r="AG241" s="176"/>
      <c r="AH241" s="178">
        <f>IF(LEFT(AB241,3)=RIGHT(AB241,3),1,VLOOKUP(AB241,'FX RATES'!$H$1:$I$20,2,FALSE))</f>
        <v>1</v>
      </c>
      <c r="AI241" s="178">
        <f>IF(OR(AB241="USDAED",LEFT(AB241,3)=RIGHT(AB241,3)),AH241,IF(LEFT(AB241)="USD",AG241,IF(RIGHT(AB241,3)="USD",1,IFERROR(VLOOKUP(E241&amp;"USD"&amp;RIGHT(AB241,3),$AF:$AG,2,FALSE),VLOOKUP(E241&amp;"USD"&amp;RIGHT(AJ241,3),$AN:$AO,2,FALSE)))))</f>
        <v>1</v>
      </c>
      <c r="AJ241" s="173" t="str">
        <f>IF(W241="via USD",IF(S241="EUR",S241&amp;"USD","USD"&amp;S241),IFERROR(VLOOKUP(K241&amp;S241,'FX RATES'!$H$2:$H$20,1,FALSE),S241&amp;K241))</f>
        <v>USDUSDT</v>
      </c>
      <c r="AK241" s="175">
        <f>IF(LEFT(AJ241,3)=RIGHT(AJ241,3),0,IFERROR(INDEX(CLIENTS!$A$1:$O$649,MATCH(P241,CLIENTS!$A$1:$A$649,0),MATCH(AJ241,CLIENTS!$A$1:$O$1,0)),0))</f>
        <v>0</v>
      </c>
      <c r="AL241" s="176"/>
      <c r="AM241" s="177">
        <f>IF(W241="VENDOR","",IF(AL241="",AP241+AK241,AL241+AK241))</f>
        <v>1</v>
      </c>
      <c r="AN241" s="177" t="str">
        <f>E241&amp;AJ241</f>
        <v>46049USDUSDT</v>
      </c>
      <c r="AO241" s="176">
        <v>1</v>
      </c>
      <c r="AP241" s="178">
        <f>IF(LEFT(AJ241,3)=RIGHT(AJ241,3),1,VLOOKUP(AJ241,'FX RATES'!$H$1:$I$50,2,FALSE))</f>
        <v>1</v>
      </c>
      <c r="AQ241" s="178">
        <f>IF(OR(AJ241="USDAED",LEFT(AJ241,3)=RIGHT(AJ241,3),AJ241="USDUSDT",AJ241="USDTUSD"),AP241,IF(LEFT(AJ241)="USD",AO241,IF(RIGHT(AJ241,3)="USD",1,IFERROR(VLOOKUP(E241&amp;"USD"&amp;RIGHT(AJ241,3),$AN:$AO,2,FALSE),VLOOKUP(E241&amp;"USD"&amp;RIGHT(AB241,3),$AF:$AG,2,FALSE)))))</f>
        <v>1</v>
      </c>
      <c r="AR241" s="179">
        <f>-Q241*(1-Z241)/(1+X241)*IF(W241="CLIENT",IF(S241=RIGHT(AJ241,3),1/AM241,AM241),IF(W241="VENDOR",IF(S241=RIGHT(AJ241,3),1/AE241,AE241),AE241^(VLOOKUP(AB241,'FX RATES'!$H$1:$J$26,3,FALSE))/AM241^(VLOOKUP(AJ241,'FX RATES'!$H$1:$J$26,3,FALSE))))</f>
        <v>-499000</v>
      </c>
      <c r="AS241" s="179">
        <f>-I241*(1+X241)/(1-Z241)*IF(W241="VENDOR",IF(K241=RIGHT(AB241,3),1/AE241,AE241),IF(W241="CLIENT",IF(K241=RIGHT(AB241,3),1/AM241,AM241),AM241^(VLOOKUP(AJ241,'FX RATES'!$H$1:$J$26,3,FALSE))/AE241^(VLOOKUP(AB241,'FX RATES'!$H$1:$J$26,3,FALSE))))</f>
        <v>0</v>
      </c>
      <c r="AT241" s="170">
        <f>IF(AB241&lt;&gt;AJ241,J241/IF(K241=RIGHT(AB241,3),AE241,1/AE241),IF(S241="USD",J241/IF(K241=RIGHT(AB241,3),IF(W241="CLIENT",AM241,AE241),1/IF(W241="CLIENT",AM241,AE241)),J241*VLOOKUP(K241,'FX RATES'!$E$1:$F$10,2,FALSE)))</f>
        <v>-499000</v>
      </c>
      <c r="AU241" s="170">
        <f>IF(AB241&lt;&gt;AJ241,R241/IF(S241=RIGHT(AJ241,3),AM241,1/AM241),IF(K241="USD",R241/IF(S241=RIGHT(AJ241,3),IF(W241="CLIENT",AM241,AE241),1/IF(W241="CLIENT",AM241,AE241)),R241*VLOOKUP(S241,'FX RATES'!$E$1:$F$10,2,FALSE)))</f>
        <v>500000</v>
      </c>
      <c r="AV241" s="170">
        <f>AT241+AU241</f>
        <v>1000</v>
      </c>
      <c r="AW241" s="169"/>
      <c r="AX241" s="170">
        <f>IF(AND(ISERROR(SEARCH("INVOICE",T241)),ISERROR(SEARCH("SWITCH",T241)),ISERROR(SEARCH("FOREX",T241)),ISERROR(SEARCH("REFUND",A241)),ISERROR(SEARCH("CANCELLED",A241))),IF(AW241="",-AT241*X241+AU241*Z241,AW241),0)</f>
        <v>1000</v>
      </c>
      <c r="AY241" s="170">
        <f>IF(AZ241="USD",AT241,IF(AZ241=K241,J241,-R241))</f>
        <v>-499000</v>
      </c>
      <c r="AZ241" s="170" t="str">
        <f>LEFT(AB241,3)</f>
        <v>USD</v>
      </c>
      <c r="BA241" s="542">
        <f>IF(OR(A241="REFUND",A241="CANCELLED"),0,IFERROR((IF(OR(AB241="USDAED",LEFT(AB241,3)=RIGHT(AB241,3)),AI241,AG241)-AE241)*-AY241*VLOOKUP(AB241,'FX RATES'!$H$1:$J$26,3,FALSE),0))</f>
        <v>0</v>
      </c>
      <c r="BB241" s="170" t="str">
        <f>RIGHT(AB241,3)</f>
        <v>USD</v>
      </c>
      <c r="BC241" s="542">
        <f>IF(BA241=0,0,IFERROR(BA241/IF(BB241&lt;&gt;"USD",AI241,1),"???"))</f>
        <v>0</v>
      </c>
      <c r="BD241" s="170">
        <f>IFERROR(-AC241/(IF(OR(AB241="USDAED",LEFT(AB241,3)=RIGHT(AB241,3)),AH241,AG241)-AE241)*BC241,0)</f>
        <v>0</v>
      </c>
      <c r="BE241" s="542">
        <f>BC241-BD241</f>
        <v>0</v>
      </c>
      <c r="BF241" s="170">
        <f>IF(BG241="USD",AU241,IF(BG241=S241,R241,-J241))</f>
        <v>500000</v>
      </c>
      <c r="BG241" s="170" t="str">
        <f>LEFT(AJ241,3)</f>
        <v>USD</v>
      </c>
      <c r="BH241" s="542">
        <f>IF(OR(A241="REFUND",A241="CANCELLED"),0,IFERROR((IF(OR(AJ241="USDAED",LEFT(AJ241,3)=RIGHT(AJ241,3),AJ241="USDUSDT",AJ241="USDTUSD"),AQ241,AO241)-AM241)*-BF241*VLOOKUP(AJ241,'FX RATES'!$H$1:$J$26,3,FALSE),0))</f>
        <v>0</v>
      </c>
      <c r="BI241" s="170" t="str">
        <f>RIGHT(AJ241,4)</f>
        <v>USDT</v>
      </c>
      <c r="BJ241" s="542">
        <f>IF(BH241=0,0,IFERROR(BH241/IF(BI241&lt;&gt;"USD",AQ241,1),"???"))</f>
        <v>0</v>
      </c>
      <c r="BK241" s="170">
        <f>IFERROR(-AK241/(IF(OR(AJ241="USDAED",LEFT(AJ241,3)=RIGHT(AJ241,3)),AP241,AO241)-AM241)*BJ241,0)</f>
        <v>0</v>
      </c>
      <c r="BL241" s="542">
        <f>BJ241-BK241</f>
        <v>0</v>
      </c>
      <c r="BM241" s="170">
        <f>IF(AND(ISERROR(SEARCH("REFUND",A241)),ISERROR(SEARCH("CANCELLED",A241))),BD241+BK241,0)</f>
        <v>0</v>
      </c>
      <c r="BN241" s="542">
        <f>IF(AND(ISERROR(SEARCH("REFUND",A241)),ISERROR(SEARCH("CANCELLED",A241))),BE241+BL241,0)</f>
        <v>0</v>
      </c>
    </row>
    <row r="242" spans="1:66" ht="19.5" customHeight="1">
      <c r="J242" s="450"/>
    </row>
    <row r="243" spans="1:66" ht="19.5" customHeight="1">
      <c r="A243" s="167" t="s">
        <v>366</v>
      </c>
      <c r="B243" s="168" t="s">
        <v>39</v>
      </c>
      <c r="C243" s="168" t="s">
        <v>383</v>
      </c>
      <c r="D243" s="168" t="s">
        <v>121</v>
      </c>
      <c r="E243" s="171">
        <v>46049</v>
      </c>
      <c r="F243" s="171"/>
      <c r="G243" s="168" t="s">
        <v>39</v>
      </c>
      <c r="H243" s="181" t="s">
        <v>425</v>
      </c>
      <c r="I243" s="169">
        <v>-96374.399999999994</v>
      </c>
      <c r="J243" s="170">
        <f>IF(I243="",AR243,I243)</f>
        <v>-96374.399999999994</v>
      </c>
      <c r="K243" s="168" t="s">
        <v>5</v>
      </c>
      <c r="L243" s="171"/>
      <c r="M243" s="168" t="s">
        <v>14</v>
      </c>
      <c r="N243" s="167" t="s">
        <v>371</v>
      </c>
      <c r="O243" s="168" t="s">
        <v>39</v>
      </c>
      <c r="P243" s="168" t="s">
        <v>536</v>
      </c>
      <c r="Q243" s="169">
        <v>355000.02</v>
      </c>
      <c r="R243" s="170">
        <f>IF(Q243="",AS243,Q243)</f>
        <v>355000.02</v>
      </c>
      <c r="S243" s="168" t="s">
        <v>8</v>
      </c>
      <c r="T243" s="171" t="s">
        <v>537</v>
      </c>
      <c r="U243" s="168" t="s">
        <v>17</v>
      </c>
      <c r="V243" s="167" t="s">
        <v>371</v>
      </c>
      <c r="W243" s="172" t="s">
        <v>382</v>
      </c>
      <c r="X243" s="173">
        <f>IF(Y243="",VLOOKUP(H243,CLIENTS!$A$1:$O$649,5,FALSE),Y243)</f>
        <v>0</v>
      </c>
      <c r="Y243" s="174">
        <v>0</v>
      </c>
      <c r="Z243" s="173">
        <f>IF(AA243="",VLOOKUP(P243,CLIENTS!$A$1:$O$649,5,FALSE),AA243)</f>
        <v>3.0000000000000001E-3</v>
      </c>
      <c r="AA243" s="174">
        <v>3.0000000000000001E-3</v>
      </c>
      <c r="AB243" s="173" t="str">
        <f>IF(W243="via USD",IF(K243="EUR",K243&amp;"USD","USD"&amp;K243),IFERROR(VLOOKUP(K243&amp;S243,'FX RATES'!$H$2:$H$20,1,FALSE),S243&amp;K243))</f>
        <v>USDAED</v>
      </c>
      <c r="AC243" s="175">
        <f>IF(LEFT(AB243,3)=RIGHT(AB243,3),0,IFERROR(INDEX(CLIENTS!$A$1:$O$649,MATCH(H243,CLIENTS!$A$1:$A$649,0),MATCH(AB243,CLIENTS!$A$1:$O$1,0)),0))</f>
        <v>0</v>
      </c>
      <c r="AD243" s="176">
        <v>3.6724999999999999</v>
      </c>
      <c r="AE243" s="177">
        <f>IF(W243="CLIENT","",IF(AD243="",AH243+AC243,AD243+AC243))</f>
        <v>3.6724999999999999</v>
      </c>
      <c r="AF243" s="177" t="str">
        <f>E243&amp;AB243</f>
        <v>46049USDAED</v>
      </c>
      <c r="AG243" s="176"/>
      <c r="AH243" s="178">
        <f>IF(LEFT(AB243,3)=RIGHT(AB243,3),1,VLOOKUP(AB243,'FX RATES'!$H$1:$I$20,2,FALSE))</f>
        <v>3.6724999999999999</v>
      </c>
      <c r="AI243" s="178">
        <f>IF(OR(AB243="USDAED",LEFT(AB243,3)=RIGHT(AB243,3)),AH243,IF(LEFT(AB243)="USD",AG243,IF(RIGHT(AB243,3)="USD",1,IFERROR(VLOOKUP(E243&amp;"USD"&amp;RIGHT(AB243,3),$AF:$AG,2,FALSE),VLOOKUP(E243&amp;"USD"&amp;RIGHT(AJ243,3),$AN:$AO,2,FALSE)))))</f>
        <v>3.6724999999999999</v>
      </c>
      <c r="AJ243" s="173" t="str">
        <f>IF(W243="via USD",IF(S243="EUR",S243&amp;"USD","USD"&amp;S243),IFERROR(VLOOKUP(K243&amp;S243,'FX RATES'!$H$2:$H$20,1,FALSE),S243&amp;K243))</f>
        <v>USDAED</v>
      </c>
      <c r="AK243" s="175">
        <f>IF(LEFT(AJ243,3)=RIGHT(AJ243,3),0,IFERROR(INDEX(CLIENTS!$A$1:$O$649,MATCH(P243,CLIENTS!$A$1:$A$649,0),MATCH(AJ243,CLIENTS!$A$1:$O$1,0)),0))</f>
        <v>0</v>
      </c>
      <c r="AL243" s="176"/>
      <c r="AM243" s="177" t="str">
        <f>IF(W243="VENDOR","",IF(AL243="",AP243+AK243,AL243+AK243))</f>
        <v/>
      </c>
      <c r="AN243" s="177" t="str">
        <f>E243&amp;AJ243</f>
        <v>46049USDAED</v>
      </c>
      <c r="AO243" s="176"/>
      <c r="AP243" s="178">
        <f>IF(LEFT(AJ243,3)=RIGHT(AJ243,3),1,VLOOKUP(AJ243,'FX RATES'!$H$1:$I$20,2,FALSE))</f>
        <v>3.6724999999999999</v>
      </c>
      <c r="AQ243" s="178">
        <f>IF(OR(AJ243="USDAED",LEFT(AJ243,3)=RIGHT(AJ243,3)),AP243,IF(LEFT(AJ243)="USD",AO243,IF(RIGHT(AJ243,3)="USD",1,IFERROR(VLOOKUP(E243&amp;"USD"&amp;RIGHT(AJ243,3),$AN:$AO,2,FALSE),VLOOKUP(E243&amp;"USD"&amp;RIGHT(AB243,3),$AF:$AG,2,FALSE)))))</f>
        <v>3.6724999999999999</v>
      </c>
      <c r="AR243" s="179">
        <f>-Q243*(1-Z243)/(1+X243)*IF(W243="CLIENT",IF(S243=RIGHT(AJ243,3),1/AM243,AM243),IF(W243="VENDOR",IF(S243=RIGHT(AJ243,3),1/AE243,AE243),AE243^(VLOOKUP(AB243,'FX RATES'!$H$1:$J$26,3,FALSE))/AM243^(VLOOKUP(AJ243,'FX RATES'!$H$1:$J$26,3,FALSE))))</f>
        <v>-96374.409786249162</v>
      </c>
      <c r="AS243" s="179">
        <f>-I243*(1+X243)/(1-Z243)*IF(W243="VENDOR",IF(K243=RIGHT(AB243,3),1/AE243,AE243),IF(W243="CLIENT",IF(K243=RIGHT(AB243,3),1/AM243,AM243),AM243^(VLOOKUP(AJ243,'FX RATES'!$H$1:$J$26,3,FALSE))/AE243^(VLOOKUP(AB243,'FX RATES'!$H$1:$J$26,3,FALSE))))</f>
        <v>354999.98395185557</v>
      </c>
      <c r="AT243" s="170">
        <f>IF(AB243&lt;&gt;AJ243,J243/IF(K243=RIGHT(AB243,3),AE243,1/AE243),IF(S243="USD",J243/IF(K243=RIGHT(AB243,3),IF(W243="CLIENT",AM243,AE243),1/IF(W243="CLIENT",AM243,AE243)),J243*VLOOKUP(K243,'FX RATES'!$E$1:$F$10,2,FALSE)))</f>
        <v>-96374.399999999994</v>
      </c>
      <c r="AU243" s="170">
        <f>IF(AB243&lt;&gt;AJ243,R243/IF(S243=RIGHT(AJ243,3),AM243,1/AM243),IF(K243="USD",R243/IF(S243=RIGHT(AJ243,3),IF(W243="CLIENT",AM243,AE243),1/IF(W243="CLIENT",AM243,AE243)),R243*VLOOKUP(S243,'FX RATES'!$E$1:$F$10,2,FALSE)))</f>
        <v>96664.402995234865</v>
      </c>
      <c r="AV243" s="170">
        <f>AT243+AU243</f>
        <v>290.00299523487047</v>
      </c>
      <c r="AW243" s="169"/>
      <c r="AX243" s="170">
        <f>IF(AND(ISERROR(SEARCH("INVOICE",T243)),ISERROR(SEARCH("SWITCH",T243)),ISERROR(SEARCH("FOREX",T243)),ISERROR(SEARCH("REFUND",A243)),ISERROR(SEARCH("CANCELLED",A243))),IF(AW243="",-AT243*X243+AU243*Z243,AW243),0)</f>
        <v>289.9932089857046</v>
      </c>
      <c r="AY243" s="170">
        <f>IF(AZ243="USD",AT243,IF(AZ243=K243,J243,-R243))</f>
        <v>-96374.399999999994</v>
      </c>
      <c r="AZ243" s="170" t="str">
        <f>LEFT(AB243,3)</f>
        <v>USD</v>
      </c>
      <c r="BA243" s="542">
        <f>IF(OR(A243="REFUND",A243="CANCELLED"),0,IFERROR((IF(OR(AB243="USDAED",LEFT(AB243,3)=RIGHT(AB243,3)),AI243,AG243)-AE243)*-AY243*VLOOKUP(AB243,'FX RATES'!$H$1:$J$26,3,FALSE),0))</f>
        <v>0</v>
      </c>
      <c r="BB243" s="170" t="str">
        <f>RIGHT(AB243,3)</f>
        <v>AED</v>
      </c>
      <c r="BC243" s="542">
        <f>IF(BA243=0,0,IFERROR(BA243/IF(BB243&lt;&gt;"USD",AI243,1),"???"))</f>
        <v>0</v>
      </c>
      <c r="BD243" s="170">
        <f>IFERROR(-AC243/(IF(OR(AB243="USDAED",LEFT(AB243,3)=RIGHT(AB243,3)),AH243,AG243)-AE243)*BC243,0)</f>
        <v>0</v>
      </c>
      <c r="BE243" s="542">
        <f>BC243-BD243</f>
        <v>0</v>
      </c>
      <c r="BF243" s="170">
        <f>IF(BG243="USD",AU243,IF(BG243=S243,R243,-J243))</f>
        <v>96664.402995234865</v>
      </c>
      <c r="BG243" s="170" t="str">
        <f>LEFT(AJ243,3)</f>
        <v>USD</v>
      </c>
      <c r="BH243" s="542">
        <f>IF(OR(A243="REFUND",A243="CANCELLED"),0,IFERROR((IF(OR(AJ243="USDAED",LEFT(AJ243,3)=RIGHT(AJ243,3)),AQ243,AO243)-AM243)*-BF243*VLOOKUP(AJ243,'FX RATES'!$H$1:$J$26,3,FALSE),0))</f>
        <v>0</v>
      </c>
      <c r="BI243" s="170" t="str">
        <f>RIGHT(AJ243,3)</f>
        <v>AED</v>
      </c>
      <c r="BJ243" s="542">
        <f>IF(BH243=0,0,IFERROR(BH243/IF(BI243&lt;&gt;"USD",AQ243,1),"???"))</f>
        <v>0</v>
      </c>
      <c r="BK243" s="170">
        <f>IFERROR(-AK243/(IF(OR(AJ243="USDAED",LEFT(AJ243,3)=RIGHT(AJ243,3)),AP243,AO243)-AM243)*BJ243,0)</f>
        <v>0</v>
      </c>
      <c r="BL243" s="542">
        <f>BJ243-BK243</f>
        <v>0</v>
      </c>
      <c r="BM243" s="170">
        <f>IF(AND(ISERROR(SEARCH("REFUND",A243)),ISERROR(SEARCH("CANCELLED",A243))),BD243+BK243,0)</f>
        <v>0</v>
      </c>
      <c r="BN243" s="542">
        <f>IF(AND(ISERROR(SEARCH("REFUND",A243)),ISERROR(SEARCH("CANCELLED",A243))),BE243+BL243,0)</f>
        <v>0</v>
      </c>
    </row>
    <row r="244" spans="1:66" ht="19.5" customHeight="1">
      <c r="J244" s="450"/>
    </row>
    <row r="245" spans="1:66" ht="19.5" customHeight="1">
      <c r="A245" s="167" t="s">
        <v>366</v>
      </c>
      <c r="B245" s="168" t="s">
        <v>39</v>
      </c>
      <c r="C245" s="168" t="s">
        <v>367</v>
      </c>
      <c r="D245" s="181" t="s">
        <v>368</v>
      </c>
      <c r="E245" s="171">
        <v>46049</v>
      </c>
      <c r="F245" s="171"/>
      <c r="G245" s="168" t="s">
        <v>39</v>
      </c>
      <c r="H245" s="181" t="s">
        <v>538</v>
      </c>
      <c r="I245" s="169">
        <v>-204674.88</v>
      </c>
      <c r="J245" s="170">
        <f t="shared" ref="J245:J250" si="272">IF(I245="",AR245,I245)</f>
        <v>-204674.88</v>
      </c>
      <c r="K245" s="168" t="s">
        <v>5</v>
      </c>
      <c r="L245" s="168" t="s">
        <v>426</v>
      </c>
      <c r="M245" s="168" t="s">
        <v>14</v>
      </c>
      <c r="N245" s="167" t="s">
        <v>371</v>
      </c>
      <c r="O245" s="168" t="s">
        <v>39</v>
      </c>
      <c r="P245" s="349" t="s">
        <v>379</v>
      </c>
      <c r="Q245" s="169"/>
      <c r="R245" s="170">
        <f t="shared" ref="R245:R250" si="273">IF(Q245="",AS245,Q245)</f>
        <v>15746985.875650251</v>
      </c>
      <c r="S245" s="168" t="s">
        <v>9</v>
      </c>
      <c r="T245" s="171" t="s">
        <v>380</v>
      </c>
      <c r="U245" s="171" t="s">
        <v>25</v>
      </c>
      <c r="V245" s="167" t="s">
        <v>371</v>
      </c>
      <c r="W245" s="172" t="s">
        <v>375</v>
      </c>
      <c r="X245" s="173">
        <f>IF(Y245="",VLOOKUP(H245,CLIENTS!$A$1:$O$649,5,FALSE),Y245)</f>
        <v>0</v>
      </c>
      <c r="Y245" s="174">
        <v>0</v>
      </c>
      <c r="Z245" s="173">
        <f>IF(AA245="",VLOOKUP(P245,CLIENTS!$A$1:$O$649,5,FALSE),AA245)</f>
        <v>3.7249238751748681E-3</v>
      </c>
      <c r="AA245" s="174">
        <v>3.7249238751748681E-3</v>
      </c>
      <c r="AB245" s="173" t="str">
        <f>IF(W245="via USD",IF(K245="EUR",K245&amp;"USD","USD"&amp;K245),IFERROR(VLOOKUP(K245&amp;S245,'FX RATES'!$H$2:$H$20,1,FALSE),S245&amp;K245))</f>
        <v>USDUSD</v>
      </c>
      <c r="AC245" s="175">
        <f>IF(LEFT(AB245,3)=RIGHT(AB245,3),0,IFERROR(INDEX(CLIENTS!$A$1:$O$649,MATCH(H245,CLIENTS!$A$1:$A$649,0),MATCH(AB245,CLIENTS!$A$1:$O$1,0)),0))</f>
        <v>0</v>
      </c>
      <c r="AD245" s="176"/>
      <c r="AE245" s="177">
        <f t="shared" ref="AE245:AE250" si="274">IF(W245="CLIENT","",IF(AD245="",AH245+AC245,AD245+AC245))</f>
        <v>1</v>
      </c>
      <c r="AF245" s="177" t="str">
        <f t="shared" ref="AF245:AF250" si="275">E245&amp;AB245</f>
        <v>46049USDUSD</v>
      </c>
      <c r="AG245" s="176"/>
      <c r="AH245" s="178">
        <f>IF(LEFT(AB245,3)=RIGHT(AB245,3),1,VLOOKUP(AB245,'FX RATES'!$H$1:$I$20,2,FALSE))</f>
        <v>1</v>
      </c>
      <c r="AI245" s="178">
        <f t="shared" ref="AI245:AI250" si="276">IF(OR(AB245="USDAED",LEFT(AB245,3)=RIGHT(AB245,3)),AH245,IF(LEFT(AB245)="USD",AG245,IF(RIGHT(AB245,3)="USD",1,IFERROR(VLOOKUP(E245&amp;"USD"&amp;RIGHT(AB245,3),$AF:$AG,2,FALSE),VLOOKUP(E245&amp;"USD"&amp;RIGHT(AJ245,3),$AN:$AO,2,FALSE)))))</f>
        <v>1</v>
      </c>
      <c r="AJ245" s="173" t="str">
        <f>IF(W245="via USD",IF(S245="EUR",S245&amp;"USD","USD"&amp;S245),IFERROR(VLOOKUP(K245&amp;S245,'FX RATES'!$H$2:$H$20,1,FALSE),S245&amp;K245))</f>
        <v>USDRUB</v>
      </c>
      <c r="AK245" s="175">
        <f>IF(LEFT(AJ245,3)=RIGHT(AJ245,3),0,IFERROR(INDEX(CLIENTS!$A$1:$O$649,MATCH(P245,CLIENTS!$A$1:$A$649,0),MATCH(AJ245,CLIENTS!$A$1:$O$1,0)),0))</f>
        <v>0</v>
      </c>
      <c r="AL245" s="176">
        <v>76.650000000000006</v>
      </c>
      <c r="AM245" s="177">
        <f t="shared" ref="AM245:AM250" si="277">IF(W245="VENDOR","",IF(AL245="",AP245+AK245,AL245+AK245))</f>
        <v>76.650000000000006</v>
      </c>
      <c r="AN245" s="177" t="str">
        <f t="shared" ref="AN245:AN250" si="278">E245&amp;AJ245</f>
        <v>46049USDRUB</v>
      </c>
      <c r="AO245" s="176">
        <v>76.75</v>
      </c>
      <c r="AP245" s="178">
        <f ca="1">IF(LEFT(AJ245,3)=RIGHT(AJ245,3),1,VLOOKUP(AJ245,'FX RATES'!$H$1:$I$20,2,FALSE))</f>
        <v>76.720500000000001</v>
      </c>
      <c r="AQ245" s="178">
        <f t="shared" ref="AQ245:AQ250" si="279">IF(OR(AJ245="USDAED",LEFT(AJ245,3)=RIGHT(AJ245,3)),AP245,IF(LEFT(AJ245)="USD",AO245,IF(RIGHT(AJ245,3)="USD",1,IFERROR(VLOOKUP(E245&amp;"USD"&amp;RIGHT(AJ245,3),$AN:$AO,2,FALSE),VLOOKUP(E245&amp;"USD"&amp;RIGHT(AB245,3),$AF:$AG,2,FALSE)))))</f>
        <v>76.75</v>
      </c>
      <c r="AR245" s="179">
        <f>-Q245*(1-Z245)/(1+X245)*IF(W245="CLIENT",IF(S245=RIGHT(AJ245,3),1/AM245,AM245),IF(W245="VENDOR",IF(S245=RIGHT(AJ245,3),1/AE245,AE245),AE245^(VLOOKUP(AB245,'FX RATES'!$H$1:$J$26,3,FALSE))/AM245^(VLOOKUP(AJ245,'FX RATES'!$H$1:$J$26,3,FALSE))))</f>
        <v>0</v>
      </c>
      <c r="AS245" s="179">
        <f>-I245*(1+X245)/(1-Z245)*IF(W245="VENDOR",IF(K245=RIGHT(AB245,3),1/AE245,AE245),IF(W245="CLIENT",IF(K245=RIGHT(AB245,3),1/AM245,AM245),AM245^(VLOOKUP(AJ245,'FX RATES'!$H$1:$J$26,3,FALSE))/AE245^(VLOOKUP(AB245,'FX RATES'!$H$1:$J$26,3,FALSE))))</f>
        <v>15746985.875650251</v>
      </c>
      <c r="AT245" s="170">
        <f>IF(AB245&lt;&gt;AJ245,J245/IF(K245=RIGHT(AB245,3),AE245,1/AE245),IF(S245="USD",J245/IF(K245=RIGHT(AB245,3),IF(W245="CLIENT",AM245,AE245),1/IF(W245="CLIENT",AM245,AE245)),J245*VLOOKUP(K245,'FX RATES'!$E$1:$F$10,2,FALSE)))</f>
        <v>-204674.88</v>
      </c>
      <c r="AU245" s="170">
        <f>IF(AB245&lt;&gt;AJ245,R245/IF(S245=RIGHT(AJ245,3),AM245,1/AM245),IF(K245="USD",R245/IF(S245=RIGHT(AJ245,3),IF(W245="CLIENT",AM245,AE245),1/IF(W245="CLIENT",AM245,AE245)),R245*VLOOKUP(S245,'FX RATES'!$E$1:$F$10,2,FALSE)))</f>
        <v>205440.12884083824</v>
      </c>
      <c r="AV245" s="170">
        <f t="shared" ref="AV245:AV250" si="280">AT245+AU245</f>
        <v>765.24884083823417</v>
      </c>
      <c r="AW245" s="169"/>
      <c r="AX245" s="170">
        <f t="shared" ref="AX245:AX250" si="281">IF(AND(ISERROR(SEARCH("INVOICE",T245)),ISERROR(SEARCH("SWITCH",T245)),ISERROR(SEARCH("FOREX",T245)),ISERROR(SEARCH("REFUND",A245)),ISERROR(SEARCH("CANCELLED",A245))),IF(AW245="",-AT245*X245+AU245*Z245,AW245),0)</f>
        <v>765.2488408382394</v>
      </c>
      <c r="AY245" s="170">
        <f t="shared" ref="AY245:AY250" si="282">IF(AZ245="USD",AT245,IF(AZ245=K245,J245,-R245))</f>
        <v>-204674.88</v>
      </c>
      <c r="AZ245" s="170" t="str">
        <f t="shared" ref="AZ245:AZ250" si="283">LEFT(AB245,3)</f>
        <v>USD</v>
      </c>
      <c r="BA245" s="542">
        <f>IF(OR(A245="REFUND",A245="CANCELLED"),0,IFERROR((IF(OR(AB245="USDAED",LEFT(AB245,3)=RIGHT(AB245,3)),AI245,AG245)-AE245)*-AY245*VLOOKUP(AB245,'FX RATES'!$H$1:$J$26,3,FALSE),0))</f>
        <v>0</v>
      </c>
      <c r="BB245" s="170" t="str">
        <f t="shared" ref="BB245:BB250" si="284">RIGHT(AB245,3)</f>
        <v>USD</v>
      </c>
      <c r="BC245" s="542">
        <f t="shared" ref="BC245:BC250" si="285">IF(BA245=0,0,IFERROR(BA245/IF(BB245&lt;&gt;"USD",AI245,1),"???"))</f>
        <v>0</v>
      </c>
      <c r="BD245" s="170">
        <f t="shared" ref="BD245:BD250" si="286">IFERROR(-AC245/(IF(OR(AB245="USDAED",LEFT(AB245,3)=RIGHT(AB245,3)),AH245,AG245)-AE245)*BC245,0)</f>
        <v>0</v>
      </c>
      <c r="BE245" s="542">
        <f t="shared" ref="BE245:BE250" si="287">BC245-BD245</f>
        <v>0</v>
      </c>
      <c r="BF245" s="170">
        <f t="shared" ref="BF245:BF250" si="288">IF(BG245="USD",AU245,IF(BG245=S245,R245,-J245))</f>
        <v>205440.12884083824</v>
      </c>
      <c r="BG245" s="170" t="str">
        <f t="shared" ref="BG245:BG250" si="289">LEFT(AJ245,3)</f>
        <v>USD</v>
      </c>
      <c r="BH245" s="542">
        <f>IF(OR(A245="REFUND",A245="CANCELLED"),0,IFERROR((IF(OR(AJ245="USDAED",LEFT(AJ245,3)=RIGHT(AJ245,3)),AQ245,AO245)-AM245)*-BF245*VLOOKUP(AJ245,'FX RATES'!$H$1:$J$26,3,FALSE),0))</f>
        <v>-20544.012884082655</v>
      </c>
      <c r="BI245" s="170" t="str">
        <f t="shared" ref="BI245:BI250" si="290">RIGHT(AJ245,3)</f>
        <v>RUB</v>
      </c>
      <c r="BJ245" s="542">
        <f t="shared" ref="BJ245:BJ250" si="291">IF(BH245=0,0,IFERROR(BH245/IF(BI245&lt;&gt;"USD",AQ245,1),"???"))</f>
        <v>-267.67443497176095</v>
      </c>
      <c r="BK245" s="170">
        <f t="shared" ref="BK245:BK250" si="292">IFERROR(-AK245/(IF(OR(AJ245="USDAED",LEFT(AJ245,3)=RIGHT(AJ245,3)),AP245,AO245)-AM245)*BJ245,0)</f>
        <v>0</v>
      </c>
      <c r="BL245" s="542">
        <f t="shared" ref="BL245:BL250" si="293">BJ245-BK245</f>
        <v>-267.67443497176095</v>
      </c>
      <c r="BM245" s="170">
        <f t="shared" ref="BM245:BM250" si="294">IF(AND(ISERROR(SEARCH("REFUND",A245)),ISERROR(SEARCH("CANCELLED",A245))),BD245+BK245,0)</f>
        <v>0</v>
      </c>
      <c r="BN245" s="542">
        <f t="shared" ref="BN245:BN250" si="295">IF(AND(ISERROR(SEARCH("REFUND",A245)),ISERROR(SEARCH("CANCELLED",A245))),BE245+BL245,0)</f>
        <v>-267.67443497176095</v>
      </c>
    </row>
    <row r="246" spans="1:66" ht="19.5" customHeight="1">
      <c r="A246" s="167" t="s">
        <v>366</v>
      </c>
      <c r="B246" s="168" t="s">
        <v>39</v>
      </c>
      <c r="C246" s="168" t="s">
        <v>367</v>
      </c>
      <c r="D246" s="181" t="s">
        <v>368</v>
      </c>
      <c r="E246" s="171">
        <v>46049</v>
      </c>
      <c r="F246" s="171"/>
      <c r="G246" s="168" t="s">
        <v>39</v>
      </c>
      <c r="H246" s="181" t="s">
        <v>425</v>
      </c>
      <c r="I246" s="169">
        <f>-662623.46-J243</f>
        <v>-566249.05999999994</v>
      </c>
      <c r="J246" s="170">
        <f t="shared" si="272"/>
        <v>-566249.05999999994</v>
      </c>
      <c r="K246" s="168" t="s">
        <v>5</v>
      </c>
      <c r="L246" s="168" t="s">
        <v>426</v>
      </c>
      <c r="M246" s="168" t="s">
        <v>14</v>
      </c>
      <c r="N246" s="167" t="s">
        <v>371</v>
      </c>
      <c r="O246" s="168" t="s">
        <v>39</v>
      </c>
      <c r="P246" s="349" t="s">
        <v>379</v>
      </c>
      <c r="Q246" s="169"/>
      <c r="R246" s="170">
        <f t="shared" si="273"/>
        <v>43565267.754988939</v>
      </c>
      <c r="S246" s="168" t="s">
        <v>9</v>
      </c>
      <c r="T246" s="171" t="s">
        <v>380</v>
      </c>
      <c r="U246" s="171" t="s">
        <v>25</v>
      </c>
      <c r="V246" s="167" t="s">
        <v>371</v>
      </c>
      <c r="W246" s="172" t="s">
        <v>375</v>
      </c>
      <c r="X246" s="173">
        <f>IF(Y246="",VLOOKUP(H246,CLIENTS!$A$1:$O$649,5,FALSE),Y246)</f>
        <v>0</v>
      </c>
      <c r="Y246" s="174">
        <v>0</v>
      </c>
      <c r="Z246" s="173">
        <f>IF(AA246="",VLOOKUP(P246,CLIENTS!$A$1:$O$649,5,FALSE),AA246)</f>
        <v>3.7249238751747571E-3</v>
      </c>
      <c r="AA246" s="174">
        <v>3.7249238751747571E-3</v>
      </c>
      <c r="AB246" s="173" t="str">
        <f>IF(W246="via USD",IF(K246="EUR",K246&amp;"USD","USD"&amp;K246),IFERROR(VLOOKUP(K246&amp;S246,'FX RATES'!$H$2:$H$20,1,FALSE),S246&amp;K246))</f>
        <v>USDUSD</v>
      </c>
      <c r="AC246" s="175">
        <f>IF(LEFT(AB246,3)=RIGHT(AB246,3),0,IFERROR(INDEX(CLIENTS!$A$1:$O$649,MATCH(H246,CLIENTS!$A$1:$A$649,0),MATCH(AB246,CLIENTS!$A$1:$O$1,0)),0))</f>
        <v>0</v>
      </c>
      <c r="AD246" s="176"/>
      <c r="AE246" s="177">
        <f t="shared" si="274"/>
        <v>1</v>
      </c>
      <c r="AF246" s="177" t="str">
        <f t="shared" si="275"/>
        <v>46049USDUSD</v>
      </c>
      <c r="AG246" s="176"/>
      <c r="AH246" s="178">
        <f>IF(LEFT(AB246,3)=RIGHT(AB246,3),1,VLOOKUP(AB246,'FX RATES'!$H$1:$I$20,2,FALSE))</f>
        <v>1</v>
      </c>
      <c r="AI246" s="178">
        <f t="shared" si="276"/>
        <v>1</v>
      </c>
      <c r="AJ246" s="173" t="str">
        <f>IF(W246="via USD",IF(S246="EUR",S246&amp;"USD","USD"&amp;S246),IFERROR(VLOOKUP(K246&amp;S246,'FX RATES'!$H$2:$H$20,1,FALSE),S246&amp;K246))</f>
        <v>USDRUB</v>
      </c>
      <c r="AK246" s="175">
        <f>IF(LEFT(AJ246,3)=RIGHT(AJ246,3),0,IFERROR(INDEX(CLIENTS!$A$1:$O$649,MATCH(P246,CLIENTS!$A$1:$A$649,0),MATCH(AJ246,CLIENTS!$A$1:$O$1,0)),0))</f>
        <v>0</v>
      </c>
      <c r="AL246" s="176">
        <v>76.650000000000006</v>
      </c>
      <c r="AM246" s="177">
        <f t="shared" si="277"/>
        <v>76.650000000000006</v>
      </c>
      <c r="AN246" s="177" t="str">
        <f t="shared" si="278"/>
        <v>46049USDRUB</v>
      </c>
      <c r="AO246" s="176">
        <v>76.75</v>
      </c>
      <c r="AP246" s="178">
        <f ca="1">IF(LEFT(AJ246,3)=RIGHT(AJ246,3),1,VLOOKUP(AJ246,'FX RATES'!$H$1:$I$20,2,FALSE))</f>
        <v>76.720500000000001</v>
      </c>
      <c r="AQ246" s="178">
        <f t="shared" si="279"/>
        <v>76.75</v>
      </c>
      <c r="AR246" s="179">
        <f>-Q246*(1-Z246)/(1+X246)*IF(W246="CLIENT",IF(S246=RIGHT(AJ246,3),1/AM246,AM246),IF(W246="VENDOR",IF(S246=RIGHT(AJ246,3),1/AE246,AE246),AE246^(VLOOKUP(AB246,'FX RATES'!$H$1:$J$26,3,FALSE))/AM246^(VLOOKUP(AJ246,'FX RATES'!$H$1:$J$26,3,FALSE))))</f>
        <v>0</v>
      </c>
      <c r="AS246" s="179">
        <f>-I246*(1+X246)/(1-Z246)*IF(W246="VENDOR",IF(K246=RIGHT(AB246,3),1/AE246,AE246),IF(W246="CLIENT",IF(K246=RIGHT(AB246,3),1/AM246,AM246),AM246^(VLOOKUP(AJ246,'FX RATES'!$H$1:$J$26,3,FALSE))/AE246^(VLOOKUP(AB246,'FX RATES'!$H$1:$J$26,3,FALSE))))</f>
        <v>43565267.754988939</v>
      </c>
      <c r="AT246" s="170">
        <f>IF(AB246&lt;&gt;AJ246,J246/IF(K246=RIGHT(AB246,3),AE246,1/AE246),IF(S246="USD",J246/IF(K246=RIGHT(AB246,3),IF(W246="CLIENT",AM246,AE246),1/IF(W246="CLIENT",AM246,AE246)),J246*VLOOKUP(K246,'FX RATES'!$E$1:$F$10,2,FALSE)))</f>
        <v>-566249.05999999994</v>
      </c>
      <c r="AU246" s="170">
        <f>IF(AB246&lt;&gt;AJ246,R246/IF(S246=RIGHT(AJ246,3),AM246,1/AM246),IF(K246="USD",R246/IF(S246=RIGHT(AJ246,3),IF(W246="CLIENT",AM246,AE246),1/IF(W246="CLIENT",AM246,AE246)),R246*VLOOKUP(S246,'FX RATES'!$E$1:$F$10,2,FALSE)))</f>
        <v>568366.1807565419</v>
      </c>
      <c r="AV246" s="170">
        <f t="shared" si="280"/>
        <v>2117.1207565419609</v>
      </c>
      <c r="AW246" s="169"/>
      <c r="AX246" s="170">
        <f t="shared" si="281"/>
        <v>2117.1207565419345</v>
      </c>
      <c r="AY246" s="170">
        <f t="shared" si="282"/>
        <v>-566249.05999999994</v>
      </c>
      <c r="AZ246" s="170" t="str">
        <f t="shared" si="283"/>
        <v>USD</v>
      </c>
      <c r="BA246" s="542">
        <f>IF(OR(A246="REFUND",A246="CANCELLED"),0,IFERROR((IF(OR(AB246="USDAED",LEFT(AB246,3)=RIGHT(AB246,3)),AI246,AG246)-AE246)*-AY246*VLOOKUP(AB246,'FX RATES'!$H$1:$J$26,3,FALSE),0))</f>
        <v>0</v>
      </c>
      <c r="BB246" s="170" t="str">
        <f t="shared" si="284"/>
        <v>USD</v>
      </c>
      <c r="BC246" s="542">
        <f t="shared" si="285"/>
        <v>0</v>
      </c>
      <c r="BD246" s="170">
        <f t="shared" si="286"/>
        <v>0</v>
      </c>
      <c r="BE246" s="542">
        <f t="shared" si="287"/>
        <v>0</v>
      </c>
      <c r="BF246" s="170">
        <f t="shared" si="288"/>
        <v>568366.1807565419</v>
      </c>
      <c r="BG246" s="170" t="str">
        <f t="shared" si="289"/>
        <v>USD</v>
      </c>
      <c r="BH246" s="542">
        <f>IF(OR(A246="REFUND",A246="CANCELLED"),0,IFERROR((IF(OR(AJ246="USDAED",LEFT(AJ246,3)=RIGHT(AJ246,3)),AQ246,AO246)-AM246)*-BF246*VLOOKUP(AJ246,'FX RATES'!$H$1:$J$26,3,FALSE),0))</f>
        <v>-56836.618075650957</v>
      </c>
      <c r="BI246" s="170" t="str">
        <f t="shared" si="290"/>
        <v>RUB</v>
      </c>
      <c r="BJ246" s="542">
        <f t="shared" si="291"/>
        <v>-740.54225505734144</v>
      </c>
      <c r="BK246" s="170">
        <f t="shared" si="292"/>
        <v>0</v>
      </c>
      <c r="BL246" s="542">
        <f t="shared" si="293"/>
        <v>-740.54225505734144</v>
      </c>
      <c r="BM246" s="170">
        <f t="shared" si="294"/>
        <v>0</v>
      </c>
      <c r="BN246" s="542">
        <f t="shared" si="295"/>
        <v>-740.54225505734144</v>
      </c>
    </row>
    <row r="247" spans="1:66" ht="19.5" customHeight="1">
      <c r="A247" s="167" t="s">
        <v>366</v>
      </c>
      <c r="B247" s="168" t="s">
        <v>39</v>
      </c>
      <c r="C247" s="168" t="s">
        <v>367</v>
      </c>
      <c r="D247" s="168" t="s">
        <v>368</v>
      </c>
      <c r="E247" s="171">
        <v>46049</v>
      </c>
      <c r="F247" s="171"/>
      <c r="G247" s="168" t="s">
        <v>39</v>
      </c>
      <c r="H247" s="168" t="s">
        <v>539</v>
      </c>
      <c r="I247" s="169">
        <v>-40543</v>
      </c>
      <c r="J247" s="170">
        <f t="shared" si="272"/>
        <v>-40543</v>
      </c>
      <c r="K247" s="168" t="s">
        <v>5</v>
      </c>
      <c r="L247" s="171" t="s">
        <v>540</v>
      </c>
      <c r="M247" s="168" t="s">
        <v>20</v>
      </c>
      <c r="N247" s="167" t="s">
        <v>371</v>
      </c>
      <c r="O247" s="168" t="s">
        <v>39</v>
      </c>
      <c r="P247" s="168" t="s">
        <v>394</v>
      </c>
      <c r="Q247" s="169">
        <v>3125522.33</v>
      </c>
      <c r="R247" s="170">
        <f t="shared" si="273"/>
        <v>3125522.33</v>
      </c>
      <c r="S247" s="168" t="s">
        <v>9</v>
      </c>
      <c r="T247" s="171" t="s">
        <v>25</v>
      </c>
      <c r="U247" s="168" t="s">
        <v>25</v>
      </c>
      <c r="V247" s="167" t="s">
        <v>371</v>
      </c>
      <c r="W247" s="172" t="s">
        <v>389</v>
      </c>
      <c r="X247" s="173">
        <f>IF(Y247="",VLOOKUP(H247,CLIENTS!$A$1:$O$649,5,FALSE),Y247)</f>
        <v>0</v>
      </c>
      <c r="Y247" s="174">
        <v>0</v>
      </c>
      <c r="Z247" s="173">
        <f>IF(AA247="",VLOOKUP(P247,CLIENTS!$A$1:$O$649,5,FALSE),AA247)</f>
        <v>5.7274868422593217E-3</v>
      </c>
      <c r="AA247" s="174">
        <v>5.7274868422593217E-3</v>
      </c>
      <c r="AB247" s="173" t="str">
        <f>IF(W247="via USD",IF(K247="EUR",K247&amp;"USD","USD"&amp;K247),IFERROR(VLOOKUP(K247&amp;S247,'FX RATES'!$H$2:$H$20,1,FALSE),S247&amp;K247))</f>
        <v>USDRUB</v>
      </c>
      <c r="AC247" s="175">
        <f>IF(LEFT(AB247,3)=RIGHT(AB247,3),0,IFERROR(INDEX(CLIENTS!$A$1:$O$649,MATCH(H247,CLIENTS!$A$1:$A$649,0),MATCH(AB247,CLIENTS!$A$1:$O$1,0)),0))</f>
        <v>0</v>
      </c>
      <c r="AD247" s="176"/>
      <c r="AE247" s="177" t="str">
        <f t="shared" si="274"/>
        <v/>
      </c>
      <c r="AF247" s="177" t="str">
        <f t="shared" si="275"/>
        <v>46049USDRUB</v>
      </c>
      <c r="AG247" s="176">
        <v>76.75</v>
      </c>
      <c r="AH247" s="178">
        <f ca="1">IF(LEFT(AB247,3)=RIGHT(AB247,3),1,VLOOKUP(AB247,'FX RATES'!$H$1:$I$20,2,FALSE))</f>
        <v>76.720500000000001</v>
      </c>
      <c r="AI247" s="178">
        <f t="shared" si="276"/>
        <v>76.75</v>
      </c>
      <c r="AJ247" s="173" t="str">
        <f>IF(W247="via USD",IF(S247="EUR",S247&amp;"USD","USD"&amp;S247),IFERROR(VLOOKUP(K247&amp;S247,'FX RATES'!$H$2:$H$20,1,FALSE),S247&amp;K247))</f>
        <v>USDRUB</v>
      </c>
      <c r="AK247" s="175">
        <f>IF(LEFT(AJ247,3)=RIGHT(AJ247,3),0,IFERROR(INDEX(CLIENTS!$A$1:$O$649,MATCH(P247,CLIENTS!$A$1:$A$649,0),MATCH(AJ247,CLIENTS!$A$1:$O$1,0)),0))</f>
        <v>0</v>
      </c>
      <c r="AL247" s="176">
        <v>76.650000000000006</v>
      </c>
      <c r="AM247" s="177">
        <f t="shared" si="277"/>
        <v>76.650000000000006</v>
      </c>
      <c r="AN247" s="177" t="str">
        <f t="shared" si="278"/>
        <v>46049USDRUB</v>
      </c>
      <c r="AO247" s="176">
        <v>76.75</v>
      </c>
      <c r="AP247" s="178">
        <f ca="1">IF(LEFT(AJ247,3)=RIGHT(AJ247,3),1,VLOOKUP(AJ247,'FX RATES'!$H$1:$I$20,2,FALSE))</f>
        <v>76.720500000000001</v>
      </c>
      <c r="AQ247" s="178">
        <f t="shared" si="279"/>
        <v>76.75</v>
      </c>
      <c r="AR247" s="179">
        <f>-Q247*(1-Z247)/(1+X247)*IF(W247="CLIENT",IF(S247=RIGHT(AJ247,3),1/AM247,AM247),IF(W247="VENDOR",IF(S247=RIGHT(AJ247,3),1/AE247,AE247),AE247^(VLOOKUP(AB247,'FX RATES'!$H$1:$J$26,3,FALSE))/AM247^(VLOOKUP(AJ247,'FX RATES'!$H$1:$J$26,3,FALSE))))</f>
        <v>-40542.99989536513</v>
      </c>
      <c r="AS247" s="179">
        <f>-I247*(1+X247)/(1-Z247)*IF(W247="VENDOR",IF(K247=RIGHT(AB247,3),1/AE247,AE247),IF(W247="CLIENT",IF(K247=RIGHT(AB247,3),1/AM247,AM247),AM247^(VLOOKUP(AJ247,'FX RATES'!$H$1:$J$26,3,FALSE))/AE247^(VLOOKUP(AB247,'FX RATES'!$H$1:$J$26,3,FALSE))))</f>
        <v>3125522.3380664634</v>
      </c>
      <c r="AT247" s="170">
        <f>IF(AB247&lt;&gt;AJ247,J247/IF(K247=RIGHT(AB247,3),AE247,1/AE247),IF(S247="USD",J247/IF(K247=RIGHT(AB247,3),IF(W247="CLIENT",AM247,AE247),1/IF(W247="CLIENT",AM247,AE247)),J247*VLOOKUP(K247,'FX RATES'!$E$1:$F$10,2,FALSE)))</f>
        <v>-40543</v>
      </c>
      <c r="AU247" s="170">
        <f>IF(AB247&lt;&gt;AJ247,R247/IF(S247=RIGHT(AJ247,3),AM247,1/AM247),IF(K247="USD",R247/IF(S247=RIGHT(AJ247,3),IF(W247="CLIENT",AM247,AE247),1/IF(W247="CLIENT",AM247,AE247)),R247*VLOOKUP(S247,'FX RATES'!$E$1:$F$10,2,FALSE)))</f>
        <v>40776.54703196347</v>
      </c>
      <c r="AV247" s="170">
        <f t="shared" si="280"/>
        <v>233.54703196346964</v>
      </c>
      <c r="AW247" s="169"/>
      <c r="AX247" s="170">
        <f t="shared" si="281"/>
        <v>233.54713659833916</v>
      </c>
      <c r="AY247" s="170">
        <f t="shared" si="282"/>
        <v>-40543</v>
      </c>
      <c r="AZ247" s="170" t="str">
        <f t="shared" si="283"/>
        <v>USD</v>
      </c>
      <c r="BA247" s="542">
        <f>IF(OR(A247="REFUND",A247="CANCELLED"),0,IFERROR((IF(OR(AB247="USDAED",LEFT(AB247,3)=RIGHT(AB247,3)),AI247,AG247)-AE247)*-AY247*VLOOKUP(AB247,'FX RATES'!$H$1:$J$26,3,FALSE),0))</f>
        <v>0</v>
      </c>
      <c r="BB247" s="170" t="str">
        <f t="shared" si="284"/>
        <v>RUB</v>
      </c>
      <c r="BC247" s="542">
        <f t="shared" si="285"/>
        <v>0</v>
      </c>
      <c r="BD247" s="170">
        <f t="shared" si="286"/>
        <v>0</v>
      </c>
      <c r="BE247" s="542">
        <f t="shared" si="287"/>
        <v>0</v>
      </c>
      <c r="BF247" s="170">
        <f t="shared" si="288"/>
        <v>40776.54703196347</v>
      </c>
      <c r="BG247" s="170" t="str">
        <f t="shared" si="289"/>
        <v>USD</v>
      </c>
      <c r="BH247" s="542">
        <f>IF(OR(A247="REFUND",A247="CANCELLED"),0,IFERROR((IF(OR(AJ247="USDAED",LEFT(AJ247,3)=RIGHT(AJ247,3)),AQ247,AO247)-AM247)*-BF247*VLOOKUP(AJ247,'FX RATES'!$H$1:$J$26,3,FALSE),0))</f>
        <v>-4077.654703196115</v>
      </c>
      <c r="BI247" s="170" t="str">
        <f t="shared" si="290"/>
        <v>RUB</v>
      </c>
      <c r="BJ247" s="542">
        <f t="shared" si="291"/>
        <v>-53.12905150744124</v>
      </c>
      <c r="BK247" s="170">
        <f t="shared" si="292"/>
        <v>0</v>
      </c>
      <c r="BL247" s="542">
        <f t="shared" si="293"/>
        <v>-53.12905150744124</v>
      </c>
      <c r="BM247" s="170">
        <f t="shared" si="294"/>
        <v>0</v>
      </c>
      <c r="BN247" s="542">
        <f t="shared" si="295"/>
        <v>-53.12905150744124</v>
      </c>
    </row>
    <row r="248" spans="1:66" ht="19.5" customHeight="1">
      <c r="A248" s="167" t="s">
        <v>366</v>
      </c>
      <c r="B248" s="168" t="s">
        <v>39</v>
      </c>
      <c r="C248" s="168" t="s">
        <v>367</v>
      </c>
      <c r="D248" s="168" t="s">
        <v>368</v>
      </c>
      <c r="E248" s="171">
        <v>46049</v>
      </c>
      <c r="F248" s="171"/>
      <c r="G248" s="168" t="s">
        <v>39</v>
      </c>
      <c r="H248" s="168" t="s">
        <v>393</v>
      </c>
      <c r="I248" s="169">
        <v>-23142.3</v>
      </c>
      <c r="J248" s="170">
        <f t="shared" si="272"/>
        <v>-23142.3</v>
      </c>
      <c r="K248" s="168" t="s">
        <v>5</v>
      </c>
      <c r="L248" s="171" t="s">
        <v>378</v>
      </c>
      <c r="M248" s="168" t="s">
        <v>20</v>
      </c>
      <c r="N248" s="167" t="s">
        <v>371</v>
      </c>
      <c r="O248" s="168" t="s">
        <v>39</v>
      </c>
      <c r="P248" s="168" t="s">
        <v>394</v>
      </c>
      <c r="Q248" s="169">
        <v>1784075.5643202406</v>
      </c>
      <c r="R248" s="170">
        <f t="shared" si="273"/>
        <v>1784075.5643202406</v>
      </c>
      <c r="S248" s="168" t="s">
        <v>9</v>
      </c>
      <c r="T248" s="171" t="s">
        <v>25</v>
      </c>
      <c r="U248" s="168" t="s">
        <v>25</v>
      </c>
      <c r="V248" s="167" t="s">
        <v>371</v>
      </c>
      <c r="W248" s="172" t="s">
        <v>389</v>
      </c>
      <c r="X248" s="173">
        <f>IF(Y248="",VLOOKUP(H248,CLIENTS!$A$1:$O$649,5,FALSE),Y248)</f>
        <v>0</v>
      </c>
      <c r="Y248" s="174">
        <v>0</v>
      </c>
      <c r="Z248" s="173">
        <f>IF(AA248="",VLOOKUP(P248,CLIENTS!$A$1:$O$649,5,FALSE),AA248)</f>
        <v>5.7274868422593217E-3</v>
      </c>
      <c r="AA248" s="174">
        <v>5.7274868422593217E-3</v>
      </c>
      <c r="AB248" s="173" t="str">
        <f>IF(W248="via USD",IF(K248="EUR",K248&amp;"USD","USD"&amp;K248),IFERROR(VLOOKUP(K248&amp;S248,'FX RATES'!$H$2:$H$20,1,FALSE),S248&amp;K248))</f>
        <v>USDRUB</v>
      </c>
      <c r="AC248" s="175">
        <f>IF(LEFT(AB248,3)=RIGHT(AB248,3),0,IFERROR(INDEX(CLIENTS!$A$1:$O$649,MATCH(H248,CLIENTS!$A$1:$A$649,0),MATCH(AB248,CLIENTS!$A$1:$O$1,0)),0))</f>
        <v>0</v>
      </c>
      <c r="AD248" s="176"/>
      <c r="AE248" s="177" t="str">
        <f t="shared" si="274"/>
        <v/>
      </c>
      <c r="AF248" s="177" t="str">
        <f t="shared" si="275"/>
        <v>46049USDRUB</v>
      </c>
      <c r="AG248" s="176">
        <v>76.75</v>
      </c>
      <c r="AH248" s="178">
        <f ca="1">IF(LEFT(AB248,3)=RIGHT(AB248,3),1,VLOOKUP(AB248,'FX RATES'!$H$1:$I$20,2,FALSE))</f>
        <v>76.720500000000001</v>
      </c>
      <c r="AI248" s="178">
        <f t="shared" si="276"/>
        <v>76.75</v>
      </c>
      <c r="AJ248" s="173" t="str">
        <f>IF(W248="via USD",IF(S248="EUR",S248&amp;"USD","USD"&amp;S248),IFERROR(VLOOKUP(K248&amp;S248,'FX RATES'!$H$2:$H$20,1,FALSE),S248&amp;K248))</f>
        <v>USDRUB</v>
      </c>
      <c r="AK248" s="175">
        <f>IF(LEFT(AJ248,3)=RIGHT(AJ248,3),0,IFERROR(INDEX(CLIENTS!$A$1:$O$649,MATCH(P248,CLIENTS!$A$1:$A$649,0),MATCH(AJ248,CLIENTS!$A$1:$O$1,0)),0))</f>
        <v>0</v>
      </c>
      <c r="AL248" s="176">
        <v>76.650000000000006</v>
      </c>
      <c r="AM248" s="177">
        <f t="shared" si="277"/>
        <v>76.650000000000006</v>
      </c>
      <c r="AN248" s="177" t="str">
        <f t="shared" si="278"/>
        <v>46049USDRUB</v>
      </c>
      <c r="AO248" s="176">
        <v>76.75</v>
      </c>
      <c r="AP248" s="178">
        <f ca="1">IF(LEFT(AJ248,3)=RIGHT(AJ248,3),1,VLOOKUP(AJ248,'FX RATES'!$H$1:$I$20,2,FALSE))</f>
        <v>76.720500000000001</v>
      </c>
      <c r="AQ248" s="178">
        <f t="shared" si="279"/>
        <v>76.75</v>
      </c>
      <c r="AR248" s="179">
        <f>-Q248*(1-Z248)/(1+X248)*IF(W248="CLIENT",IF(S248=RIGHT(AJ248,3),1/AM248,AM248),IF(W248="VENDOR",IF(S248=RIGHT(AJ248,3),1/AE248,AE248),AE248^(VLOOKUP(AB248,'FX RATES'!$H$1:$J$26,3,FALSE))/AM248^(VLOOKUP(AJ248,'FX RATES'!$H$1:$J$26,3,FALSE))))</f>
        <v>-23142.3</v>
      </c>
      <c r="AS248" s="179">
        <f>-I248*(1+X248)/(1-Z248)*IF(W248="VENDOR",IF(K248=RIGHT(AB248,3),1/AE248,AE248),IF(W248="CLIENT",IF(K248=RIGHT(AB248,3),1/AM248,AM248),AM248^(VLOOKUP(AJ248,'FX RATES'!$H$1:$J$26,3,FALSE))/AE248^(VLOOKUP(AB248,'FX RATES'!$H$1:$J$26,3,FALSE))))</f>
        <v>1784075.5643202406</v>
      </c>
      <c r="AT248" s="170">
        <f>IF(AB248&lt;&gt;AJ248,J248/IF(K248=RIGHT(AB248,3),AE248,1/AE248),IF(S248="USD",J248/IF(K248=RIGHT(AB248,3),IF(W248="CLIENT",AM248,AE248),1/IF(W248="CLIENT",AM248,AE248)),J248*VLOOKUP(K248,'FX RATES'!$E$1:$F$10,2,FALSE)))</f>
        <v>-23142.3</v>
      </c>
      <c r="AU248" s="170">
        <f>IF(AB248&lt;&gt;AJ248,R248/IF(S248=RIGHT(AJ248,3),AM248,1/AM248),IF(K248="USD",R248/IF(S248=RIGHT(AJ248,3),IF(W248="CLIENT",AM248,AE248),1/IF(W248="CLIENT",AM248,AE248)),R248*VLOOKUP(S248,'FX RATES'!$E$1:$F$10,2,FALSE)))</f>
        <v>23275.610754341036</v>
      </c>
      <c r="AV248" s="170">
        <f t="shared" si="280"/>
        <v>133.31075434103695</v>
      </c>
      <c r="AW248" s="169"/>
      <c r="AX248" s="170">
        <f t="shared" si="281"/>
        <v>133.31075434103786</v>
      </c>
      <c r="AY248" s="170">
        <f t="shared" si="282"/>
        <v>-23142.3</v>
      </c>
      <c r="AZ248" s="170" t="str">
        <f t="shared" si="283"/>
        <v>USD</v>
      </c>
      <c r="BA248" s="542">
        <f>IF(OR(A248="REFUND",A248="CANCELLED"),0,IFERROR((IF(OR(AB248="USDAED",LEFT(AB248,3)=RIGHT(AB248,3)),AI248,AG248)-AE248)*-AY248*VLOOKUP(AB248,'FX RATES'!$H$1:$J$26,3,FALSE),0))</f>
        <v>0</v>
      </c>
      <c r="BB248" s="170" t="str">
        <f t="shared" si="284"/>
        <v>RUB</v>
      </c>
      <c r="BC248" s="542">
        <f t="shared" si="285"/>
        <v>0</v>
      </c>
      <c r="BD248" s="170">
        <f t="shared" si="286"/>
        <v>0</v>
      </c>
      <c r="BE248" s="542">
        <f t="shared" si="287"/>
        <v>0</v>
      </c>
      <c r="BF248" s="170">
        <f t="shared" si="288"/>
        <v>23275.610754341036</v>
      </c>
      <c r="BG248" s="170" t="str">
        <f t="shared" si="289"/>
        <v>USD</v>
      </c>
      <c r="BH248" s="542">
        <f>IF(OR(A248="REFUND",A248="CANCELLED"),0,IFERROR((IF(OR(AJ248="USDAED",LEFT(AJ248,3)=RIGHT(AJ248,3)),AQ248,AO248)-AM248)*-BF248*VLOOKUP(AJ248,'FX RATES'!$H$1:$J$26,3,FALSE),0))</f>
        <v>-2327.5610754339714</v>
      </c>
      <c r="BI248" s="170" t="str">
        <f t="shared" si="290"/>
        <v>RUB</v>
      </c>
      <c r="BJ248" s="542">
        <f t="shared" si="291"/>
        <v>-30.326528670149465</v>
      </c>
      <c r="BK248" s="170">
        <f t="shared" si="292"/>
        <v>0</v>
      </c>
      <c r="BL248" s="542">
        <f t="shared" si="293"/>
        <v>-30.326528670149465</v>
      </c>
      <c r="BM248" s="170">
        <f t="shared" si="294"/>
        <v>0</v>
      </c>
      <c r="BN248" s="542">
        <f t="shared" si="295"/>
        <v>-30.326528670149465</v>
      </c>
    </row>
    <row r="249" spans="1:66" ht="19.5" customHeight="1">
      <c r="A249" s="167" t="s">
        <v>366</v>
      </c>
      <c r="B249" s="168" t="s">
        <v>39</v>
      </c>
      <c r="C249" s="168" t="s">
        <v>367</v>
      </c>
      <c r="D249" s="168" t="s">
        <v>472</v>
      </c>
      <c r="E249" s="171">
        <v>46049</v>
      </c>
      <c r="F249" s="171"/>
      <c r="G249" s="168" t="s">
        <v>39</v>
      </c>
      <c r="H249" s="181" t="s">
        <v>473</v>
      </c>
      <c r="I249" s="169">
        <v>-75272</v>
      </c>
      <c r="J249" s="170">
        <f t="shared" si="272"/>
        <v>-75272</v>
      </c>
      <c r="K249" s="168" t="s">
        <v>5</v>
      </c>
      <c r="L249" s="168" t="s">
        <v>533</v>
      </c>
      <c r="M249" s="168" t="s">
        <v>20</v>
      </c>
      <c r="N249" s="167" t="s">
        <v>371</v>
      </c>
      <c r="O249" s="168" t="s">
        <v>39</v>
      </c>
      <c r="P249" s="168" t="s">
        <v>474</v>
      </c>
      <c r="Q249" s="169"/>
      <c r="R249" s="170">
        <f t="shared" si="273"/>
        <v>5849964.0779695436</v>
      </c>
      <c r="S249" s="168" t="s">
        <v>9</v>
      </c>
      <c r="T249" s="171" t="s">
        <v>475</v>
      </c>
      <c r="U249" s="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</v>
      </c>
      <c r="Y249" s="174">
        <v>0</v>
      </c>
      <c r="Z249" s="173">
        <f>IF(AA249="",VLOOKUP(P249,CLIENTS!$A$1:$O$649,5,FALSE),AA249)</f>
        <v>1.3737738710600245E-2</v>
      </c>
      <c r="AA249" s="174">
        <v>1.3737738710600245E-2</v>
      </c>
      <c r="AB249" s="173" t="str">
        <f>IF(W249="via USD",IF(K249="EUR",K249&amp;"USD","USD"&amp;K249),IFERROR(VLOOKUP(K249&amp;S249,'FX RATES'!$H$2:$H$20,1,FALSE),S249&amp;K249))</f>
        <v>USDUSD</v>
      </c>
      <c r="AC249" s="175">
        <f>IF(LEFT(AB249,3)=RIGHT(AB249,3),0,IFERROR(INDEX(CLIENTS!$A$1:$O$649,MATCH(H249,CLIENTS!$A$1:$A$649,0),MATCH(AB249,CLIENTS!$A$1:$O$1,0)),0))</f>
        <v>0</v>
      </c>
      <c r="AD249" s="176"/>
      <c r="AE249" s="177">
        <f t="shared" si="274"/>
        <v>1</v>
      </c>
      <c r="AF249" s="177" t="str">
        <f t="shared" si="275"/>
        <v>46049USDUSD</v>
      </c>
      <c r="AG249" s="176"/>
      <c r="AH249" s="178">
        <f>IF(LEFT(AB249,3)=RIGHT(AB249,3),1,VLOOKUP(AB249,'FX RATES'!$H$1:$I$20,2,FALSE))</f>
        <v>1</v>
      </c>
      <c r="AI249" s="178">
        <f t="shared" si="276"/>
        <v>1</v>
      </c>
      <c r="AJ249" s="173" t="str">
        <f>IF(W249="via USD",IF(S249="EUR",S249&amp;"USD","USD"&amp;S249),IFERROR(VLOOKUP(K249&amp;S249,'FX RATES'!$H$2:$H$20,1,FALSE),S249&amp;K249))</f>
        <v>USDRUB</v>
      </c>
      <c r="AK249" s="175">
        <f>IF(LEFT(AJ249,3)=RIGHT(AJ249,3),0,IFERROR(INDEX(CLIENTS!$A$1:$O$649,MATCH(P249,CLIENTS!$A$1:$A$649,0),MATCH(AJ249,CLIENTS!$A$1:$O$1,0)),0))</f>
        <v>0</v>
      </c>
      <c r="AL249" s="176">
        <v>76.650000000000006</v>
      </c>
      <c r="AM249" s="177">
        <f t="shared" si="277"/>
        <v>76.650000000000006</v>
      </c>
      <c r="AN249" s="177" t="str">
        <f t="shared" si="278"/>
        <v>46049USDRUB</v>
      </c>
      <c r="AO249" s="176">
        <v>76.75</v>
      </c>
      <c r="AP249" s="178">
        <f ca="1">IF(LEFT(AJ249,3)=RIGHT(AJ249,3),1,VLOOKUP(AJ249,'FX RATES'!$H$1:$I$20,2,FALSE))</f>
        <v>76.720500000000001</v>
      </c>
      <c r="AQ249" s="178">
        <f t="shared" si="279"/>
        <v>76.75</v>
      </c>
      <c r="AR249" s="179">
        <f>-Q249*(1-Z249)/(1+X249)*IF(W249="CLIENT",IF(S249=RIGHT(AJ249,3),1/AM249,AM249),IF(W249="VENDOR",IF(S249=RIGHT(AJ249,3),1/AE249,AE249),AE249^(VLOOKUP(AB249,'FX RATES'!$H$1:$J$26,3,FALSE))/AM249^(VLOOKUP(AJ249,'FX RATES'!$H$1:$J$26,3,FALSE))))</f>
        <v>0</v>
      </c>
      <c r="AS249" s="179">
        <f>-I249*(1+X249)/(1-Z249)*IF(W249="VENDOR",IF(K249=RIGHT(AB249,3),1/AE249,AE249),IF(W249="CLIENT",IF(K249=RIGHT(AB249,3),1/AM249,AM249),AM249^(VLOOKUP(AJ249,'FX RATES'!$H$1:$J$26,3,FALSE))/AE249^(VLOOKUP(AB249,'FX RATES'!$H$1:$J$26,3,FALSE))))</f>
        <v>5849964.0779695436</v>
      </c>
      <c r="AT249" s="170">
        <f>IF(AB249&lt;&gt;AJ249,J249/IF(K249=RIGHT(AB249,3),AE249,1/AE249),IF(S249="USD",J249/IF(K249=RIGHT(AB249,3),IF(W249="CLIENT",AM249,AE249),1/IF(W249="CLIENT",AM249,AE249)),J249*VLOOKUP(K249,'FX RATES'!$E$1:$F$10,2,FALSE)))</f>
        <v>-75272</v>
      </c>
      <c r="AU249" s="170">
        <f>IF(AB249&lt;&gt;AJ249,R249/IF(S249=RIGHT(AJ249,3),AM249,1/AM249),IF(K249="USD",R249/IF(S249=RIGHT(AJ249,3),IF(W249="CLIENT",AM249,AE249),1/IF(W249="CLIENT",AM249,AE249)),R249*VLOOKUP(S249,'FX RATES'!$E$1:$F$10,2,FALSE)))</f>
        <v>76320.470684534157</v>
      </c>
      <c r="AV249" s="170">
        <f t="shared" si="280"/>
        <v>1048.470684534157</v>
      </c>
      <c r="AW249" s="169"/>
      <c r="AX249" s="170">
        <f t="shared" si="281"/>
        <v>1048.4706845341561</v>
      </c>
      <c r="AY249" s="170">
        <f t="shared" si="282"/>
        <v>-75272</v>
      </c>
      <c r="AZ249" s="170" t="str">
        <f t="shared" si="283"/>
        <v>USD</v>
      </c>
      <c r="BA249" s="542">
        <f>IF(OR(A249="REFUND",A249="CANCELLED"),0,IFERROR((IF(OR(AB249="USDAED",LEFT(AB249,3)=RIGHT(AB249,3)),AI249,AG249)-AE249)*-AY249*VLOOKUP(AB249,'FX RATES'!$H$1:$J$26,3,FALSE),0))</f>
        <v>0</v>
      </c>
      <c r="BB249" s="170" t="str">
        <f t="shared" si="284"/>
        <v>USD</v>
      </c>
      <c r="BC249" s="542">
        <f t="shared" si="285"/>
        <v>0</v>
      </c>
      <c r="BD249" s="170">
        <f t="shared" si="286"/>
        <v>0</v>
      </c>
      <c r="BE249" s="542">
        <f t="shared" si="287"/>
        <v>0</v>
      </c>
      <c r="BF249" s="170">
        <f t="shared" si="288"/>
        <v>76320.470684534157</v>
      </c>
      <c r="BG249" s="170" t="str">
        <f t="shared" si="289"/>
        <v>USD</v>
      </c>
      <c r="BH249" s="542">
        <f>IF(OR(A249="REFUND",A249="CANCELLED"),0,IFERROR((IF(OR(AJ249="USDAED",LEFT(AJ249,3)=RIGHT(AJ249,3)),AQ249,AO249)-AM249)*-BF249*VLOOKUP(AJ249,'FX RATES'!$H$1:$J$26,3,FALSE),0))</f>
        <v>-7632.0470684529819</v>
      </c>
      <c r="BI249" s="170" t="str">
        <f t="shared" si="290"/>
        <v>RUB</v>
      </c>
      <c r="BJ249" s="542">
        <f t="shared" si="291"/>
        <v>-99.440352683426468</v>
      </c>
      <c r="BK249" s="170">
        <f t="shared" si="292"/>
        <v>0</v>
      </c>
      <c r="BL249" s="542">
        <f t="shared" si="293"/>
        <v>-99.440352683426468</v>
      </c>
      <c r="BM249" s="170">
        <f t="shared" si="294"/>
        <v>0</v>
      </c>
      <c r="BN249" s="542">
        <f t="shared" si="295"/>
        <v>-99.440352683426468</v>
      </c>
    </row>
    <row r="250" spans="1:66" ht="19.5" customHeight="1">
      <c r="A250" s="167" t="s">
        <v>366</v>
      </c>
      <c r="B250" s="168" t="s">
        <v>39</v>
      </c>
      <c r="C250" s="168" t="s">
        <v>383</v>
      </c>
      <c r="D250" s="168" t="s">
        <v>128</v>
      </c>
      <c r="E250" s="171">
        <v>46049</v>
      </c>
      <c r="F250" s="171"/>
      <c r="G250" s="168" t="s">
        <v>39</v>
      </c>
      <c r="H250" s="168" t="s">
        <v>384</v>
      </c>
      <c r="I250" s="169">
        <v>-70071000</v>
      </c>
      <c r="J250" s="170">
        <f t="shared" si="272"/>
        <v>-70071000</v>
      </c>
      <c r="K250" s="168" t="s">
        <v>9</v>
      </c>
      <c r="L250" s="171" t="s">
        <v>374</v>
      </c>
      <c r="M250" s="168" t="s">
        <v>25</v>
      </c>
      <c r="N250" s="167" t="s">
        <v>371</v>
      </c>
      <c r="O250" s="168" t="s">
        <v>39</v>
      </c>
      <c r="P250" s="349" t="s">
        <v>384</v>
      </c>
      <c r="Q250" s="169"/>
      <c r="R250" s="170">
        <f t="shared" si="273"/>
        <v>3359108.3413231065</v>
      </c>
      <c r="S250" s="168" t="s">
        <v>8</v>
      </c>
      <c r="T250" s="171" t="s">
        <v>385</v>
      </c>
      <c r="U250" s="168" t="s">
        <v>20</v>
      </c>
      <c r="V250" s="167" t="s">
        <v>371</v>
      </c>
      <c r="W250" s="172" t="s">
        <v>382</v>
      </c>
      <c r="X250" s="173">
        <f>IF(Y250="",VLOOKUP(H250,CLIENTS!$A$1:$O$649,5,FALSE),Y250)</f>
        <v>0</v>
      </c>
      <c r="Y250" s="174">
        <v>0</v>
      </c>
      <c r="Z250" s="173">
        <f>IF(AA250="",VLOOKUP(P250,CLIENTS!$A$1:$O$649,5,FALSE),AA250)</f>
        <v>0</v>
      </c>
      <c r="AA250" s="174">
        <v>0</v>
      </c>
      <c r="AB250" s="173" t="str">
        <f>IF(W250="via USD",IF(K250="EUR",K250&amp;"USD","USD"&amp;K250),IFERROR(VLOOKUP(K250&amp;S250,'FX RATES'!$H$2:$H$20,1,FALSE),S250&amp;K250))</f>
        <v>AEDRUB</v>
      </c>
      <c r="AC250" s="175">
        <f>IF(LEFT(AB250,3)=RIGHT(AB250,3),0,IFERROR(INDEX(CLIENTS!$A$1:$O$649,MATCH(H250,CLIENTS!$A$1:$A$649,0),MATCH(AB250,CLIENTS!$A$1:$O$1,0)),0))</f>
        <v>0</v>
      </c>
      <c r="AD250" s="176">
        <v>20.86</v>
      </c>
      <c r="AE250" s="177">
        <f t="shared" si="274"/>
        <v>20.86</v>
      </c>
      <c r="AF250" s="177" t="str">
        <f t="shared" si="275"/>
        <v>46049AEDRUB</v>
      </c>
      <c r="AG250" s="176">
        <v>20.898599999999998</v>
      </c>
      <c r="AH250" s="178">
        <f ca="1">IF(LEFT(AB250,3)=RIGHT(AB250,3),1,VLOOKUP(AB250,'FX RATES'!$H$1:$I$20,2,FALSE))</f>
        <v>20.8843</v>
      </c>
      <c r="AI250" s="178">
        <f t="shared" si="276"/>
        <v>76.75</v>
      </c>
      <c r="AJ250" s="173" t="str">
        <f>IF(W250="via USD",IF(S250="EUR",S250&amp;"USD","USD"&amp;S250),IFERROR(VLOOKUP(K250&amp;S250,'FX RATES'!$H$2:$H$20,1,FALSE),S250&amp;K250))</f>
        <v>AEDRUB</v>
      </c>
      <c r="AK250" s="175">
        <f>IF(LEFT(AJ250,3)=RIGHT(AJ250,3),0,IFERROR(INDEX(CLIENTS!$A$1:$O$649,MATCH(P250,CLIENTS!$A$1:$A$649,0),MATCH(AJ250,CLIENTS!$A$1:$O$1,0)),0))</f>
        <v>0</v>
      </c>
      <c r="AL250" s="176"/>
      <c r="AM250" s="177" t="str">
        <f t="shared" si="277"/>
        <v/>
      </c>
      <c r="AN250" s="177" t="str">
        <f t="shared" si="278"/>
        <v>46049AEDRUB</v>
      </c>
      <c r="AO250" s="176"/>
      <c r="AP250" s="178">
        <f ca="1">IF(LEFT(AJ250,3)=RIGHT(AJ250,3),1,VLOOKUP(AJ250,'FX RATES'!$H$1:$I$20,2,FALSE))</f>
        <v>20.8843</v>
      </c>
      <c r="AQ250" s="178">
        <f t="shared" si="279"/>
        <v>76.75</v>
      </c>
      <c r="AR250" s="179">
        <f>-Q250*(1-Z250)/(1+X250)*IF(W250="CLIENT",IF(S250=RIGHT(AJ250,3),1/AM250,AM250),IF(W250="VENDOR",IF(S250=RIGHT(AJ250,3),1/AE250,AE250),AE250^(VLOOKUP(AB250,'FX RATES'!$H$1:$J$26,3,FALSE))/AM250^(VLOOKUP(AJ250,'FX RATES'!$H$1:$J$26,3,FALSE))))</f>
        <v>0</v>
      </c>
      <c r="AS250" s="179">
        <f>-I250*(1+X250)/(1-Z250)*IF(W250="VENDOR",IF(K250=RIGHT(AB250,3),1/AE250,AE250),IF(W250="CLIENT",IF(K250=RIGHT(AB250,3),1/AM250,AM250),AM250^(VLOOKUP(AJ250,'FX RATES'!$H$1:$J$26,3,FALSE))/AE250^(VLOOKUP(AB250,'FX RATES'!$H$1:$J$26,3,FALSE))))</f>
        <v>3359108.3413231065</v>
      </c>
      <c r="AT250" s="170">
        <f ca="1">IF(AB250&lt;&gt;AJ250,J250/IF(K250=RIGHT(AB250,3),AE250,1/AE250),IF(S250="USD",J250/IF(K250=RIGHT(AB250,3),IF(W250="CLIENT",AM250,AE250),1/IF(W250="CLIENT",AM250,AE250)),J250*VLOOKUP(K250,'FX RATES'!$E$1:$F$10,2,FALSE)))</f>
        <v>-913328.24994623335</v>
      </c>
      <c r="AU250" s="170">
        <f ca="1">IF(AB250&lt;&gt;AJ250,R250/IF(S250=RIGHT(AJ250,3),AM250,1/AM250),IF(K250="USD",R250/IF(S250=RIGHT(AJ250,3),IF(W250="CLIENT",AM250,AE250),1/IF(W250="CLIENT",AM250,AE250)),R250*VLOOKUP(S250,'FX RATES'!$E$1:$F$10,2,FALSE)))</f>
        <v>914640.40225537936</v>
      </c>
      <c r="AV250" s="170">
        <f t="shared" ca="1" si="280"/>
        <v>1312.1523091460112</v>
      </c>
      <c r="AW250" s="169"/>
      <c r="AX250" s="170">
        <f t="shared" ca="1" si="281"/>
        <v>0</v>
      </c>
      <c r="AY250" s="170">
        <f t="shared" si="282"/>
        <v>-3359108.3413231065</v>
      </c>
      <c r="AZ250" s="170" t="str">
        <f t="shared" si="283"/>
        <v>AED</v>
      </c>
      <c r="BA250" s="542">
        <f>IF(OR(A250="REFUND",A250="CANCELLED"),0,IFERROR((IF(OR(AB250="USDAED",LEFT(AB250,3)=RIGHT(AB250,3)),AI250,AG250)-AE250)*-AY250*VLOOKUP(AB250,'FX RATES'!$H$1:$J$26,3,FALSE),0))</f>
        <v>129661.58197506808</v>
      </c>
      <c r="BB250" s="170" t="str">
        <f t="shared" si="284"/>
        <v>RUB</v>
      </c>
      <c r="BC250" s="542">
        <f t="shared" si="285"/>
        <v>1689.401719544861</v>
      </c>
      <c r="BD250" s="170">
        <f t="shared" si="286"/>
        <v>0</v>
      </c>
      <c r="BE250" s="542">
        <f t="shared" si="287"/>
        <v>1689.401719544861</v>
      </c>
      <c r="BF250" s="170">
        <f t="shared" si="288"/>
        <v>3359108.3413231065</v>
      </c>
      <c r="BG250" s="170" t="str">
        <f t="shared" si="289"/>
        <v>AED</v>
      </c>
      <c r="BH250" s="542">
        <f>IF(OR(A250="REFUND",A250="CANCELLED"),0,IFERROR((IF(OR(AJ250="USDAED",LEFT(AJ250,3)=RIGHT(AJ250,3)),AQ250,AO250)-AM250)*-BF250*VLOOKUP(AJ250,'FX RATES'!$H$1:$J$26,3,FALSE),0))</f>
        <v>0</v>
      </c>
      <c r="BI250" s="170" t="str">
        <f t="shared" si="290"/>
        <v>RUB</v>
      </c>
      <c r="BJ250" s="542">
        <f t="shared" si="291"/>
        <v>0</v>
      </c>
      <c r="BK250" s="170">
        <f t="shared" si="292"/>
        <v>0</v>
      </c>
      <c r="BL250" s="542">
        <f t="shared" si="293"/>
        <v>0</v>
      </c>
      <c r="BM250" s="170">
        <f t="shared" si="294"/>
        <v>0</v>
      </c>
      <c r="BN250" s="542">
        <f t="shared" si="295"/>
        <v>1689.401719544861</v>
      </c>
    </row>
    <row r="251" spans="1:66" ht="19.5" customHeight="1">
      <c r="J251" s="450"/>
    </row>
    <row r="252" spans="1:66" ht="19.5" customHeight="1">
      <c r="A252" s="167" t="s">
        <v>366</v>
      </c>
      <c r="B252" s="168" t="s">
        <v>39</v>
      </c>
      <c r="C252" s="168" t="s">
        <v>367</v>
      </c>
      <c r="D252" s="168" t="s">
        <v>368</v>
      </c>
      <c r="E252" s="171">
        <v>46049</v>
      </c>
      <c r="F252" s="171"/>
      <c r="G252" s="168" t="s">
        <v>39</v>
      </c>
      <c r="H252" s="186" t="s">
        <v>541</v>
      </c>
      <c r="I252" s="169"/>
      <c r="J252" s="170">
        <f>IF(I252="",AR252,I252)</f>
        <v>-1420184.2719958473</v>
      </c>
      <c r="K252" s="168" t="s">
        <v>8</v>
      </c>
      <c r="L252" s="171" t="s">
        <v>537</v>
      </c>
      <c r="M252" s="168" t="s">
        <v>20</v>
      </c>
      <c r="N252" s="167" t="s">
        <v>371</v>
      </c>
      <c r="O252" s="168" t="s">
        <v>39</v>
      </c>
      <c r="P252" s="168" t="s">
        <v>542</v>
      </c>
      <c r="Q252" s="169">
        <v>30000000</v>
      </c>
      <c r="R252" s="170">
        <f>IF(Q252="",AS252,Q252)</f>
        <v>30000000</v>
      </c>
      <c r="S252" s="168" t="s">
        <v>9</v>
      </c>
      <c r="T252" s="171" t="s">
        <v>543</v>
      </c>
      <c r="U252" s="168" t="s">
        <v>25</v>
      </c>
      <c r="V252" s="167" t="s">
        <v>371</v>
      </c>
      <c r="W252" s="172" t="s">
        <v>375</v>
      </c>
      <c r="X252" s="173">
        <f>IF(Y252="",VLOOKUP(H252,CLIENTS!$A$1:$O$649,5,FALSE),Y252)</f>
        <v>0</v>
      </c>
      <c r="Y252" s="174">
        <v>0</v>
      </c>
      <c r="Z252" s="173">
        <f>IF(AA252="",VLOOKUP(P252,CLIENTS!$A$1:$O$649,5,FALSE),AA252)</f>
        <v>6.0000000000000001E-3</v>
      </c>
      <c r="AA252" s="174">
        <v>6.0000000000000001E-3</v>
      </c>
      <c r="AB252" s="173" t="str">
        <f>IF(W252="via USD",IF(K252="EUR",K252&amp;"USD","USD"&amp;K252),IFERROR(VLOOKUP(K252&amp;S252,'FX RATES'!$H$2:$H$20,1,FALSE),S252&amp;K252))</f>
        <v>USDAED</v>
      </c>
      <c r="AC252" s="175">
        <f>IF(LEFT(AB252,3)=RIGHT(AB252,3),0,IFERROR(INDEX(CLIENTS!$A$1:$O$649,MATCH(H252,CLIENTS!$A$1:$A$649,0),MATCH(AB252,CLIENTS!$A$1:$O$1,0)),0))</f>
        <v>0</v>
      </c>
      <c r="AD252" s="176">
        <v>3.67</v>
      </c>
      <c r="AE252" s="177">
        <f>IF(W252="CLIENT","",IF(AD252="",AH252+AC252,AD252+AC252))</f>
        <v>3.67</v>
      </c>
      <c r="AF252" s="177" t="str">
        <f>E252&amp;AB252</f>
        <v>46049USDAED</v>
      </c>
      <c r="AG252" s="176"/>
      <c r="AH252" s="178">
        <f>IF(LEFT(AB252,3)=RIGHT(AB252,3),1,VLOOKUP(AB252,'FX RATES'!$H$1:$I$20,2,FALSE))</f>
        <v>3.6724999999999999</v>
      </c>
      <c r="AI252" s="178">
        <f>IF(OR(AB252="USDAED",LEFT(AB252,3)=RIGHT(AB252,3)),AH252,IF(LEFT(AB252)="USD",AG252,IF(RIGHT(AB252,3)="USD",1,IFERROR(VLOOKUP(E252&amp;"USD"&amp;RIGHT(AB252,3),$AF:$AG,2,FALSE),VLOOKUP(E252&amp;"USD"&amp;RIGHT(AJ252,3),$AN:$AO,2,FALSE)))))</f>
        <v>3.6724999999999999</v>
      </c>
      <c r="AJ252" s="173" t="str">
        <f>IF(W252="via USD",IF(S252="EUR",S252&amp;"USD","USD"&amp;S252),IFERROR(VLOOKUP(K252&amp;S252,'FX RATES'!$H$2:$H$20,1,FALSE),S252&amp;K252))</f>
        <v>USDRUB</v>
      </c>
      <c r="AK252" s="175">
        <f>IF(LEFT(AJ252,3)=RIGHT(AJ252,3),0,IFERROR(INDEX(CLIENTS!$A$1:$O$649,MATCH(P252,CLIENTS!$A$1:$A$649,0),MATCH(AJ252,CLIENTS!$A$1:$O$1,0)),0))</f>
        <v>0</v>
      </c>
      <c r="AL252" s="176">
        <v>77.06</v>
      </c>
      <c r="AM252" s="177">
        <f>IF(W252="VENDOR","",IF(AL252="",AP252+AK252,AL252+AK252))</f>
        <v>77.06</v>
      </c>
      <c r="AN252" s="177" t="str">
        <f>E252&amp;AJ252</f>
        <v>46049USDRUB</v>
      </c>
      <c r="AO252" s="176">
        <v>76.75</v>
      </c>
      <c r="AP252" s="178">
        <f ca="1">IF(LEFT(AJ252,3)=RIGHT(AJ252,3),1,VLOOKUP(AJ252,'FX RATES'!$H$1:$I$20,2,FALSE))</f>
        <v>76.720500000000001</v>
      </c>
      <c r="AQ252" s="178">
        <f>IF(OR(AJ252="USDAED",LEFT(AJ252,3)=RIGHT(AJ252,3)),AP252,IF(LEFT(AJ252)="USD",AO252,IF(RIGHT(AJ252,3)="USD",1,IFERROR(VLOOKUP(E252&amp;"USD"&amp;RIGHT(AJ252,3),$AN:$AO,2,FALSE),VLOOKUP(E252&amp;"USD"&amp;RIGHT(AB252,3),$AF:$AG,2,FALSE)))))</f>
        <v>76.75</v>
      </c>
      <c r="AR252" s="179">
        <f>-Q252*(1-Z252)/(1+X252)*IF(W252="CLIENT",IF(S252=RIGHT(AJ252,3),1/AM252,AM252),IF(W252="VENDOR",IF(S252=RIGHT(AJ252,3),1/AE252,AE252),AE252^(VLOOKUP(AB252,'FX RATES'!$H$1:$J$26,3,FALSE))/AM252^(VLOOKUP(AJ252,'FX RATES'!$H$1:$J$26,3,FALSE))))</f>
        <v>-1420184.2719958473</v>
      </c>
      <c r="AS252" s="179">
        <f>-I252*(1+X252)/(1-Z252)*IF(W252="VENDOR",IF(K252=RIGHT(AB252,3),1/AE252,AE252),IF(W252="CLIENT",IF(K252=RIGHT(AB252,3),1/AM252,AM252),AM252^(VLOOKUP(AJ252,'FX RATES'!$H$1:$J$26,3,FALSE))/AE252^(VLOOKUP(AB252,'FX RATES'!$H$1:$J$26,3,FALSE))))</f>
        <v>0</v>
      </c>
      <c r="AT252" s="170">
        <f>IF(AB252&lt;&gt;AJ252,J252/IF(K252=RIGHT(AB252,3),AE252,1/AE252),IF(S252="USD",J252/IF(K252=RIGHT(AB252,3),IF(W252="CLIENT",AM252,AE252),1/IF(W252="CLIENT",AM252,AE252)),J252*VLOOKUP(K252,'FX RATES'!$E$1:$F$10,2,FALSE)))</f>
        <v>-386971.19127952243</v>
      </c>
      <c r="AU252" s="170">
        <f>IF(AB252&lt;&gt;AJ252,R252/IF(S252=RIGHT(AJ252,3),AM252,1/AM252),IF(K252="USD",R252/IF(S252=RIGHT(AJ252,3),IF(W252="CLIENT",AM252,AE252),1/IF(W252="CLIENT",AM252,AE252)),R252*VLOOKUP(S252,'FX RATES'!$E$1:$F$10,2,FALSE)))</f>
        <v>389307.03348040488</v>
      </c>
      <c r="AV252" s="170">
        <f>AT252+AU252</f>
        <v>2335.8422008824418</v>
      </c>
      <c r="AW252" s="169"/>
      <c r="AX252" s="170">
        <f>IF(AND(ISERROR(SEARCH("INVOICE",T252)),ISERROR(SEARCH("SWITCH",T252)),ISERROR(SEARCH("FOREX",T252)),ISERROR(SEARCH("REFUND",A252)),ISERROR(SEARCH("CANCELLED",A252))),IF(AW252="",-AT252*X252+AU252*Z252,AW252),0)</f>
        <v>2335.8422008824291</v>
      </c>
      <c r="AY252" s="170">
        <f>IF(AZ252="USD",AT252,IF(AZ252=K252,J252,-R252))</f>
        <v>-386971.19127952243</v>
      </c>
      <c r="AZ252" s="170" t="str">
        <f>LEFT(AB252,3)</f>
        <v>USD</v>
      </c>
      <c r="BA252" s="542">
        <f>IF(OR(A252="REFUND",A252="CANCELLED"),0,IFERROR((IF(OR(AB252="USDAED",LEFT(AB252,3)=RIGHT(AB252,3)),AI252,AG252)-AE252)*-AY252*VLOOKUP(AB252,'FX RATES'!$H$1:$J$26,3,FALSE),0))</f>
        <v>967.42797819878547</v>
      </c>
      <c r="BB252" s="170" t="str">
        <f>RIGHT(AB252,3)</f>
        <v>AED</v>
      </c>
      <c r="BC252" s="542">
        <f>IF(BA252=0,0,IFERROR(BA252/IF(BB252&lt;&gt;"USD",AI252,1),"???"))</f>
        <v>263.42490897175918</v>
      </c>
      <c r="BD252" s="170">
        <f>IFERROR(-AC252/(IF(OR(AB252="USDAED",LEFT(AB252,3)=RIGHT(AB252,3)),AH252,AG252)-AE252)*BC252,0)</f>
        <v>0</v>
      </c>
      <c r="BE252" s="542">
        <f>BC252-BD252</f>
        <v>263.42490897175918</v>
      </c>
      <c r="BF252" s="170">
        <f>IF(BG252="USD",AU252,IF(BG252=S252,R252,-J252))</f>
        <v>389307.03348040488</v>
      </c>
      <c r="BG252" s="170" t="str">
        <f>LEFT(AJ252,3)</f>
        <v>USD</v>
      </c>
      <c r="BH252" s="542">
        <f>IF(OR(A252="REFUND",A252="CANCELLED"),0,IFERROR((IF(OR(AJ252="USDAED",LEFT(AJ252,3)=RIGHT(AJ252,3)),AQ252,AO252)-AM252)*-BF252*VLOOKUP(AJ252,'FX RATES'!$H$1:$J$26,3,FALSE),0))</f>
        <v>120685.18037892639</v>
      </c>
      <c r="BI252" s="170" t="str">
        <f>RIGHT(AJ252,3)</f>
        <v>RUB</v>
      </c>
      <c r="BJ252" s="542">
        <f>IF(BH252=0,0,IFERROR(BH252/IF(BI252&lt;&gt;"USD",AQ252,1),"???"))</f>
        <v>1572.4453469566956</v>
      </c>
      <c r="BK252" s="170">
        <f>IFERROR(-AK252/(IF(OR(AJ252="USDAED",LEFT(AJ252,3)=RIGHT(AJ252,3)),AP252,AO252)-AM252)*BJ252,0)</f>
        <v>0</v>
      </c>
      <c r="BL252" s="542">
        <f>BJ252-BK252</f>
        <v>1572.4453469566956</v>
      </c>
      <c r="BM252" s="170">
        <f>IF(AND(ISERROR(SEARCH("REFUND",A252)),ISERROR(SEARCH("CANCELLED",A252))),BD252+BK252,0)</f>
        <v>0</v>
      </c>
      <c r="BN252" s="542">
        <f>IF(AND(ISERROR(SEARCH("REFUND",A252)),ISERROR(SEARCH("CANCELLED",A252))),BE252+BL252,0)</f>
        <v>1835.8702559284548</v>
      </c>
    </row>
    <row r="253" spans="1:66" ht="19.5" customHeight="1">
      <c r="A253" s="167" t="s">
        <v>366</v>
      </c>
      <c r="B253" s="168" t="s">
        <v>39</v>
      </c>
      <c r="C253" s="168" t="s">
        <v>367</v>
      </c>
      <c r="D253" s="168" t="s">
        <v>368</v>
      </c>
      <c r="E253" s="171">
        <v>46049</v>
      </c>
      <c r="F253" s="171"/>
      <c r="G253" s="168" t="s">
        <v>39</v>
      </c>
      <c r="H253" s="168" t="s">
        <v>544</v>
      </c>
      <c r="I253" s="169">
        <v>-300000</v>
      </c>
      <c r="J253" s="170">
        <f>IF(I253="",AR253,I253)</f>
        <v>-300000</v>
      </c>
      <c r="K253" s="168" t="s">
        <v>5</v>
      </c>
      <c r="L253" s="171" t="s">
        <v>462</v>
      </c>
      <c r="M253" s="168" t="s">
        <v>20</v>
      </c>
      <c r="N253" s="167" t="s">
        <v>371</v>
      </c>
      <c r="O253" s="168" t="s">
        <v>39</v>
      </c>
      <c r="P253" s="168" t="s">
        <v>463</v>
      </c>
      <c r="Q253" s="169"/>
      <c r="R253" s="170">
        <f>IF(Q253="",AS253,Q253)</f>
        <v>23363636.363636363</v>
      </c>
      <c r="S253" s="168" t="s">
        <v>9</v>
      </c>
      <c r="T253" s="171" t="s">
        <v>464</v>
      </c>
      <c r="U253" s="168" t="s">
        <v>25</v>
      </c>
      <c r="V253" s="167" t="s">
        <v>371</v>
      </c>
      <c r="W253" s="172" t="s">
        <v>375</v>
      </c>
      <c r="X253" s="173">
        <f>IF(Y253="",VLOOKUP(H253,CLIENTS!$A$1:$O$649,5,FALSE),Y253)</f>
        <v>0</v>
      </c>
      <c r="Y253" s="174">
        <v>0</v>
      </c>
      <c r="Z253" s="173">
        <f>IF(AA253="",VLOOKUP(P253,CLIENTS!$A$1:$O$649,5,FALSE),AA253)</f>
        <v>0.01</v>
      </c>
      <c r="AA253" s="174">
        <v>0.01</v>
      </c>
      <c r="AB253" s="173" t="str">
        <f>IF(W253="via USD",IF(K253="EUR",K253&amp;"USD","USD"&amp;K253),IFERROR(VLOOKUP(K253&amp;S253,'FX RATES'!$H$2:$H$20,1,FALSE),S253&amp;K253))</f>
        <v>USDUSD</v>
      </c>
      <c r="AC253" s="175">
        <f>IF(LEFT(AB253,3)=RIGHT(AB253,3),0,IFERROR(INDEX(CLIENTS!$A$1:$O$649,MATCH(H253,CLIENTS!$A$1:$A$649,0),MATCH(AB253,CLIENTS!$A$1:$O$1,0)),0))</f>
        <v>0</v>
      </c>
      <c r="AD253" s="176"/>
      <c r="AE253" s="177">
        <f>IF(W253="CLIENT","",IF(AD253="",AH253+AC253,AD253+AC253))</f>
        <v>1</v>
      </c>
      <c r="AF253" s="177" t="str">
        <f>E253&amp;AB253</f>
        <v>46049USDUSD</v>
      </c>
      <c r="AG253" s="176"/>
      <c r="AH253" s="178">
        <f>IF(LEFT(AB253,3)=RIGHT(AB253,3),1,VLOOKUP(AB253,'FX RATES'!$H$1:$I$20,2,FALSE))</f>
        <v>1</v>
      </c>
      <c r="AI253" s="178">
        <f>IF(OR(AB253="USDAED",LEFT(AB253,3)=RIGHT(AB253,3)),AH253,IF(LEFT(AB253)="USD",AG253,IF(RIGHT(AB253,3)="USD",1,IFERROR(VLOOKUP(E253&amp;"USD"&amp;RIGHT(AB253,3),$AF:$AG,2,FALSE),VLOOKUP(E253&amp;"USD"&amp;RIGHT(AJ253,3),$AN:$AO,2,FALSE)))))</f>
        <v>1</v>
      </c>
      <c r="AJ253" s="173" t="str">
        <f>IF(W253="via USD",IF(S253="EUR",S253&amp;"USD","USD"&amp;S253),IFERROR(VLOOKUP(K253&amp;S253,'FX RATES'!$H$2:$H$20,1,FALSE),S253&amp;K253))</f>
        <v>USDRUB</v>
      </c>
      <c r="AK253" s="175">
        <f>IF(LEFT(AJ253,3)=RIGHT(AJ253,3),0,IFERROR(INDEX(CLIENTS!$A$1:$O$649,MATCH(P253,CLIENTS!$A$1:$A$649,0),MATCH(AJ253,CLIENTS!$A$1:$O$1,0)),0))</f>
        <v>0</v>
      </c>
      <c r="AL253" s="176">
        <v>77.099999999999994</v>
      </c>
      <c r="AM253" s="177">
        <f>IF(W253="VENDOR","",IF(AL253="",AP253+AK253,AL253+AK253))</f>
        <v>77.099999999999994</v>
      </c>
      <c r="AN253" s="177" t="str">
        <f>E253&amp;AJ253</f>
        <v>46049USDRUB</v>
      </c>
      <c r="AO253" s="176">
        <v>76.75</v>
      </c>
      <c r="AP253" s="178">
        <f ca="1">IF(LEFT(AJ253,3)=RIGHT(AJ253,3),1,VLOOKUP(AJ253,'FX RATES'!$H$1:$I$20,2,FALSE))</f>
        <v>76.720500000000001</v>
      </c>
      <c r="AQ253" s="178">
        <f>IF(OR(AJ253="USDAED",LEFT(AJ253,3)=RIGHT(AJ253,3)),AP253,IF(LEFT(AJ253)="USD",AO253,IF(RIGHT(AJ253,3)="USD",1,IFERROR(VLOOKUP(E253&amp;"USD"&amp;RIGHT(AJ253,3),$AN:$AO,2,FALSE),VLOOKUP(E253&amp;"USD"&amp;RIGHT(AB253,3),$AF:$AG,2,FALSE)))))</f>
        <v>76.75</v>
      </c>
      <c r="AR253" s="179">
        <f>-Q253*(1-Z253)/(1+X253)*IF(W253="CLIENT",IF(S253=RIGHT(AJ253,3),1/AM253,AM253),IF(W253="VENDOR",IF(S253=RIGHT(AJ253,3),1/AE253,AE253),AE253^(VLOOKUP(AB253,'FX RATES'!$H$1:$J$26,3,FALSE))/AM253^(VLOOKUP(AJ253,'FX RATES'!$H$1:$J$26,3,FALSE))))</f>
        <v>0</v>
      </c>
      <c r="AS253" s="179">
        <f>-I253*(1+X253)/(1-Z253)*IF(W253="VENDOR",IF(K253=RIGHT(AB253,3),1/AE253,AE253),IF(W253="CLIENT",IF(K253=RIGHT(AB253,3),1/AM253,AM253),AM253^(VLOOKUP(AJ253,'FX RATES'!$H$1:$J$26,3,FALSE))/AE253^(VLOOKUP(AB253,'FX RATES'!$H$1:$J$26,3,FALSE))))</f>
        <v>23363636.363636363</v>
      </c>
      <c r="AT253" s="170">
        <f>IF(AB253&lt;&gt;AJ253,J253/IF(K253=RIGHT(AB253,3),AE253,1/AE253),IF(S253="USD",J253/IF(K253=RIGHT(AB253,3),IF(W253="CLIENT",AM253,AE253),1/IF(W253="CLIENT",AM253,AE253)),J253*VLOOKUP(K253,'FX RATES'!$E$1:$F$10,2,FALSE)))</f>
        <v>-300000</v>
      </c>
      <c r="AU253" s="170">
        <f>IF(AB253&lt;&gt;AJ253,R253/IF(S253=RIGHT(AJ253,3),AM253,1/AM253),IF(K253="USD",R253/IF(S253=RIGHT(AJ253,3),IF(W253="CLIENT",AM253,AE253),1/IF(W253="CLIENT",AM253,AE253)),R253*VLOOKUP(S253,'FX RATES'!$E$1:$F$10,2,FALSE)))</f>
        <v>303030.30303030304</v>
      </c>
      <c r="AV253" s="170">
        <f>AT253+AU253</f>
        <v>3030.3030303030391</v>
      </c>
      <c r="AW253" s="169"/>
      <c r="AX253" s="170">
        <f>IF(AND(ISERROR(SEARCH("INVOICE",T253)),ISERROR(SEARCH("SWITCH",T253)),ISERROR(SEARCH("FOREX",T253)),ISERROR(SEARCH("REFUND",A253)),ISERROR(SEARCH("CANCELLED",A253))),IF(AW253="",-AT253*X253+AU253*Z253,AW253),0)</f>
        <v>3030.3030303030305</v>
      </c>
      <c r="AY253" s="170">
        <f>IF(AZ253="USD",AT253,IF(AZ253=K253,J253,-R253))</f>
        <v>-300000</v>
      </c>
      <c r="AZ253" s="170" t="str">
        <f>LEFT(AB253,3)</f>
        <v>USD</v>
      </c>
      <c r="BA253" s="542">
        <f>IF(OR(A253="REFUND",A253="CANCELLED"),0,IFERROR((IF(OR(AB253="USDAED",LEFT(AB253,3)=RIGHT(AB253,3)),AI253,AG253)-AE253)*-AY253*VLOOKUP(AB253,'FX RATES'!$H$1:$J$26,3,FALSE),0))</f>
        <v>0</v>
      </c>
      <c r="BB253" s="170" t="str">
        <f>RIGHT(AB253,3)</f>
        <v>USD</v>
      </c>
      <c r="BC253" s="542">
        <f>IF(BA253=0,0,IFERROR(BA253/IF(BB253&lt;&gt;"USD",AI253,1),"???"))</f>
        <v>0</v>
      </c>
      <c r="BD253" s="170">
        <f>IFERROR(-AC253/(IF(OR(AB253="USDAED",LEFT(AB253,3)=RIGHT(AB253,3)),AH253,AG253)-AE253)*BC253,0)</f>
        <v>0</v>
      </c>
      <c r="BE253" s="542">
        <f>BC253-BD253</f>
        <v>0</v>
      </c>
      <c r="BF253" s="170">
        <f>IF(BG253="USD",AU253,IF(BG253=S253,R253,-J253))</f>
        <v>303030.30303030304</v>
      </c>
      <c r="BG253" s="170" t="str">
        <f>LEFT(AJ253,3)</f>
        <v>USD</v>
      </c>
      <c r="BH253" s="542">
        <f>IF(OR(A253="REFUND",A253="CANCELLED"),0,IFERROR((IF(OR(AJ253="USDAED",LEFT(AJ253,3)=RIGHT(AJ253,3)),AQ253,AO253)-AM253)*-BF253*VLOOKUP(AJ253,'FX RATES'!$H$1:$J$26,3,FALSE),0))</f>
        <v>106060.60606060435</v>
      </c>
      <c r="BI253" s="170" t="str">
        <f>RIGHT(AJ253,3)</f>
        <v>RUB</v>
      </c>
      <c r="BJ253" s="542">
        <f>IF(BH253=0,0,IFERROR(BH253/IF(BI253&lt;&gt;"USD",AQ253,1),"???"))</f>
        <v>1381.8971473694378</v>
      </c>
      <c r="BK253" s="170">
        <f>IFERROR(-AK253/(IF(OR(AJ253="USDAED",LEFT(AJ253,3)=RIGHT(AJ253,3)),AP253,AO253)-AM253)*BJ253,0)</f>
        <v>0</v>
      </c>
      <c r="BL253" s="542">
        <f>BJ253-BK253</f>
        <v>1381.8971473694378</v>
      </c>
      <c r="BM253" s="170">
        <f>IF(AND(ISERROR(SEARCH("REFUND",A253)),ISERROR(SEARCH("CANCELLED",A253))),BD253+BK253,0)</f>
        <v>0</v>
      </c>
      <c r="BN253" s="542">
        <f>IF(AND(ISERROR(SEARCH("REFUND",A253)),ISERROR(SEARCH("CANCELLED",A253))),BE253+BL253,0)</f>
        <v>1381.8971473694378</v>
      </c>
    </row>
    <row r="254" spans="1:66" ht="19.5" customHeight="1">
      <c r="A254" s="167" t="s">
        <v>366</v>
      </c>
      <c r="B254" s="168" t="s">
        <v>39</v>
      </c>
      <c r="C254" s="168" t="s">
        <v>383</v>
      </c>
      <c r="D254" s="168" t="s">
        <v>128</v>
      </c>
      <c r="E254" s="171">
        <v>46049</v>
      </c>
      <c r="F254" s="171"/>
      <c r="G254" s="168" t="s">
        <v>39</v>
      </c>
      <c r="H254" s="168" t="s">
        <v>384</v>
      </c>
      <c r="I254" s="169">
        <f>-(30000000+R253)</f>
        <v>-53363636.36363636</v>
      </c>
      <c r="J254" s="170">
        <f>IF(I254="",AR254,I254)</f>
        <v>-53363636.36363636</v>
      </c>
      <c r="K254" s="168" t="s">
        <v>9</v>
      </c>
      <c r="L254" s="171" t="s">
        <v>374</v>
      </c>
      <c r="M254" s="168" t="s">
        <v>25</v>
      </c>
      <c r="N254" s="167" t="s">
        <v>371</v>
      </c>
      <c r="O254" s="168" t="s">
        <v>39</v>
      </c>
      <c r="P254" s="349" t="s">
        <v>384</v>
      </c>
      <c r="Q254" s="169"/>
      <c r="R254" s="170">
        <f>IF(Q254="",AS254,Q254)</f>
        <v>2547190.2798871771</v>
      </c>
      <c r="S254" s="168" t="s">
        <v>8</v>
      </c>
      <c r="T254" s="171" t="s">
        <v>385</v>
      </c>
      <c r="U254" s="168" t="s">
        <v>20</v>
      </c>
      <c r="V254" s="167" t="s">
        <v>371</v>
      </c>
      <c r="W254" s="172" t="s">
        <v>382</v>
      </c>
      <c r="X254" s="173">
        <f>IF(Y254="",VLOOKUP(H254,CLIENTS!$A$1:$O$649,5,FALSE),Y254)</f>
        <v>0</v>
      </c>
      <c r="Y254" s="174">
        <v>0</v>
      </c>
      <c r="Z254" s="173">
        <f>IF(AA254="",VLOOKUP(P254,CLIENTS!$A$1:$O$649,5,FALSE),AA254)</f>
        <v>0</v>
      </c>
      <c r="AA254" s="174">
        <v>0</v>
      </c>
      <c r="AB254" s="173" t="str">
        <f>IF(W254="via USD",IF(K254="EUR",K254&amp;"USD","USD"&amp;K254),IFERROR(VLOOKUP(K254&amp;S254,'FX RATES'!$H$2:$H$20,1,FALSE),S254&amp;K254))</f>
        <v>AEDRUB</v>
      </c>
      <c r="AC254" s="175">
        <f>IF(LEFT(AB254,3)=RIGHT(AB254,3),0,IFERROR(INDEX(CLIENTS!$A$1:$O$649,MATCH(H254,CLIENTS!$A$1:$A$649,0),MATCH(AB254,CLIENTS!$A$1:$O$1,0)),0))</f>
        <v>0</v>
      </c>
      <c r="AD254" s="176">
        <v>20.95</v>
      </c>
      <c r="AE254" s="177">
        <f>IF(W254="CLIENT","",IF(AD254="",AH254+AC254,AD254+AC254))</f>
        <v>20.95</v>
      </c>
      <c r="AF254" s="177" t="str">
        <f>E254&amp;AB254</f>
        <v>46049AEDRUB</v>
      </c>
      <c r="AG254" s="176">
        <v>20.898599999999998</v>
      </c>
      <c r="AH254" s="178">
        <f ca="1">IF(LEFT(AB254,3)=RIGHT(AB254,3),1,VLOOKUP(AB254,'FX RATES'!$H$1:$I$20,2,FALSE))</f>
        <v>20.8843</v>
      </c>
      <c r="AI254" s="178">
        <f>IF(OR(AB254="USDAED",LEFT(AB254,3)=RIGHT(AB254,3)),AH254,IF(LEFT(AB254)="USD",AG254,IF(RIGHT(AB254,3)="USD",1,IFERROR(VLOOKUP(E254&amp;"USD"&amp;RIGHT(AB254,3),$AF:$AG,2,FALSE),VLOOKUP(E254&amp;"USD"&amp;RIGHT(AJ254,3),$AN:$AO,2,FALSE)))))</f>
        <v>76.75</v>
      </c>
      <c r="AJ254" s="173" t="str">
        <f>IF(W254="via USD",IF(S254="EUR",S254&amp;"USD","USD"&amp;S254),IFERROR(VLOOKUP(K254&amp;S254,'FX RATES'!$H$2:$H$20,1,FALSE),S254&amp;K254))</f>
        <v>AEDRUB</v>
      </c>
      <c r="AK254" s="175">
        <f>IF(LEFT(AJ254,3)=RIGHT(AJ254,3),0,IFERROR(INDEX(CLIENTS!$A$1:$O$649,MATCH(P254,CLIENTS!$A$1:$A$649,0),MATCH(AJ254,CLIENTS!$A$1:$O$1,0)),0))</f>
        <v>0</v>
      </c>
      <c r="AL254" s="176"/>
      <c r="AM254" s="177" t="str">
        <f>IF(W254="VENDOR","",IF(AL254="",AP254+AK254,AL254+AK254))</f>
        <v/>
      </c>
      <c r="AN254" s="177" t="str">
        <f>E254&amp;AJ254</f>
        <v>46049AEDRUB</v>
      </c>
      <c r="AO254" s="176"/>
      <c r="AP254" s="178">
        <f ca="1">IF(LEFT(AJ254,3)=RIGHT(AJ254,3),1,VLOOKUP(AJ254,'FX RATES'!$H$1:$I$20,2,FALSE))</f>
        <v>20.8843</v>
      </c>
      <c r="AQ254" s="178">
        <f>IF(OR(AJ254="USDAED",LEFT(AJ254,3)=RIGHT(AJ254,3)),AP254,IF(LEFT(AJ254)="USD",AO254,IF(RIGHT(AJ254,3)="USD",1,IFERROR(VLOOKUP(E254&amp;"USD"&amp;RIGHT(AJ254,3),$AN:$AO,2,FALSE),VLOOKUP(E254&amp;"USD"&amp;RIGHT(AB254,3),$AF:$AG,2,FALSE)))))</f>
        <v>76.75</v>
      </c>
      <c r="AR254" s="179">
        <f>-Q254*(1-Z254)/(1+X254)*IF(W254="CLIENT",IF(S254=RIGHT(AJ254,3),1/AM254,AM254),IF(W254="VENDOR",IF(S254=RIGHT(AJ254,3),1/AE254,AE254),AE254^(VLOOKUP(AB254,'FX RATES'!$H$1:$J$26,3,FALSE))/AM254^(VLOOKUP(AJ254,'FX RATES'!$H$1:$J$26,3,FALSE))))</f>
        <v>0</v>
      </c>
      <c r="AS254" s="179">
        <f>-I254*(1+X254)/(1-Z254)*IF(W254="VENDOR",IF(K254=RIGHT(AB254,3),1/AE254,AE254),IF(W254="CLIENT",IF(K254=RIGHT(AB254,3),1/AM254,AM254),AM254^(VLOOKUP(AJ254,'FX RATES'!$H$1:$J$26,3,FALSE))/AE254^(VLOOKUP(AB254,'FX RATES'!$H$1:$J$26,3,FALSE))))</f>
        <v>2547190.2798871771</v>
      </c>
      <c r="AT254" s="170">
        <f ca="1">IF(AB254&lt;&gt;AJ254,J254/IF(K254=RIGHT(AB254,3),AE254,1/AE254),IF(S254="USD",J254/IF(K254=RIGHT(AB254,3),IF(W254="CLIENT",AM254,AE254),1/IF(W254="CLIENT",AM254,AE254)),J254*VLOOKUP(K254,'FX RATES'!$E$1:$F$10,2,FALSE)))</f>
        <v>-695559.02742599905</v>
      </c>
      <c r="AU254" s="170">
        <f ca="1">IF(AB254&lt;&gt;AJ254,R254/IF(S254=RIGHT(AJ254,3),AM254,1/AM254),IF(K254="USD",R254/IF(S254=RIGHT(AJ254,3),IF(W254="CLIENT",AM254,AE254),1/IF(W254="CLIENT",AM254,AE254)),R254*VLOOKUP(S254,'FX RATES'!$E$1:$F$10,2,FALSE)))</f>
        <v>693565.94235342182</v>
      </c>
      <c r="AV254" s="170">
        <f ca="1">AT254+AU254</f>
        <v>-1993.0850725772325</v>
      </c>
      <c r="AW254" s="169"/>
      <c r="AX254" s="170">
        <f ca="1">IF(AND(ISERROR(SEARCH("INVOICE",T254)),ISERROR(SEARCH("SWITCH",T254)),ISERROR(SEARCH("FOREX",T254)),ISERROR(SEARCH("REFUND",A254)),ISERROR(SEARCH("CANCELLED",A254))),IF(AW254="",-AT254*X254+AU254*Z254,AW254),0)</f>
        <v>0</v>
      </c>
      <c r="AY254" s="170">
        <f>IF(AZ254="USD",AT254,IF(AZ254=K254,J254,-R254))</f>
        <v>-2547190.2798871771</v>
      </c>
      <c r="AZ254" s="170" t="str">
        <f>LEFT(AB254,3)</f>
        <v>AED</v>
      </c>
      <c r="BA254" s="542">
        <f>IF(OR(A254="REFUND",A254="CANCELLED"),0,IFERROR((IF(OR(AB254="USDAED",LEFT(AB254,3)=RIGHT(AB254,3)),AI254,AG254)-AE254)*-AY254*VLOOKUP(AB254,'FX RATES'!$H$1:$J$26,3,FALSE),0))</f>
        <v>-130925.58038620345</v>
      </c>
      <c r="BB254" s="170" t="str">
        <f>RIGHT(AB254,3)</f>
        <v>RUB</v>
      </c>
      <c r="BC254" s="542">
        <f>IF(BA254=0,0,IFERROR(BA254/IF(BB254&lt;&gt;"USD",AI254,1),"???"))</f>
        <v>-1705.8707542176346</v>
      </c>
      <c r="BD254" s="170">
        <f>IFERROR(-AC254/(IF(OR(AB254="USDAED",LEFT(AB254,3)=RIGHT(AB254,3)),AH254,AG254)-AE254)*BC254,0)</f>
        <v>0</v>
      </c>
      <c r="BE254" s="542">
        <f>BC254-BD254</f>
        <v>-1705.8707542176346</v>
      </c>
      <c r="BF254" s="170">
        <f>IF(BG254="USD",AU254,IF(BG254=S254,R254,-J254))</f>
        <v>2547190.2798871771</v>
      </c>
      <c r="BG254" s="170" t="str">
        <f>LEFT(AJ254,3)</f>
        <v>AED</v>
      </c>
      <c r="BH254" s="542">
        <f>IF(OR(A254="REFUND",A254="CANCELLED"),0,IFERROR((IF(OR(AJ254="USDAED",LEFT(AJ254,3)=RIGHT(AJ254,3)),AQ254,AO254)-AM254)*-BF254*VLOOKUP(AJ254,'FX RATES'!$H$1:$J$26,3,FALSE),0))</f>
        <v>0</v>
      </c>
      <c r="BI254" s="170" t="str">
        <f>RIGHT(AJ254,3)</f>
        <v>RUB</v>
      </c>
      <c r="BJ254" s="542">
        <f>IF(BH254=0,0,IFERROR(BH254/IF(BI254&lt;&gt;"USD",AQ254,1),"???"))</f>
        <v>0</v>
      </c>
      <c r="BK254" s="170">
        <f>IFERROR(-AK254/(IF(OR(AJ254="USDAED",LEFT(AJ254,3)=RIGHT(AJ254,3)),AP254,AO254)-AM254)*BJ254,0)</f>
        <v>0</v>
      </c>
      <c r="BL254" s="542">
        <f>BJ254-BK254</f>
        <v>0</v>
      </c>
      <c r="BM254" s="170">
        <f>IF(AND(ISERROR(SEARCH("REFUND",A254)),ISERROR(SEARCH("CANCELLED",A254))),BD254+BK254,0)</f>
        <v>0</v>
      </c>
      <c r="BN254" s="542">
        <f>IF(AND(ISERROR(SEARCH("REFUND",A254)),ISERROR(SEARCH("CANCELLED",A254))),BE254+BL254,0)</f>
        <v>-1705.8707542176346</v>
      </c>
    </row>
    <row r="255" spans="1:66" ht="19.5" customHeight="1">
      <c r="J255" s="450"/>
    </row>
    <row r="256" spans="1:66" ht="19.5" customHeight="1">
      <c r="A256" s="167" t="s">
        <v>366</v>
      </c>
      <c r="B256" s="181" t="s">
        <v>39</v>
      </c>
      <c r="C256" s="181" t="s">
        <v>367</v>
      </c>
      <c r="D256" s="181" t="s">
        <v>418</v>
      </c>
      <c r="E256" s="171">
        <v>46049</v>
      </c>
      <c r="F256" s="171"/>
      <c r="G256" s="181" t="s">
        <v>39</v>
      </c>
      <c r="H256" s="181" t="s">
        <v>428</v>
      </c>
      <c r="I256" s="169"/>
      <c r="J256" s="170">
        <f>IF(I256="",AR256,I256)</f>
        <v>-477295.18855656695</v>
      </c>
      <c r="K256" s="168" t="s">
        <v>5</v>
      </c>
      <c r="L256" s="168" t="s">
        <v>378</v>
      </c>
      <c r="M256" s="168" t="s">
        <v>20</v>
      </c>
      <c r="N256" s="167" t="s">
        <v>371</v>
      </c>
      <c r="O256" s="168" t="s">
        <v>39</v>
      </c>
      <c r="P256" s="168" t="s">
        <v>429</v>
      </c>
      <c r="Q256" s="169">
        <v>37000000</v>
      </c>
      <c r="R256" s="170">
        <f>IF(Q256="",AS256,Q256)</f>
        <v>37000000</v>
      </c>
      <c r="S256" s="168" t="s">
        <v>9</v>
      </c>
      <c r="T256" s="168" t="s">
        <v>391</v>
      </c>
      <c r="U256" s="168" t="s">
        <v>25</v>
      </c>
      <c r="V256" s="167" t="s">
        <v>371</v>
      </c>
      <c r="W256" s="172" t="s">
        <v>375</v>
      </c>
      <c r="X256" s="173">
        <f>IF(Y256="",VLOOKUP(H256,CLIENTS!$A$1:$O$649,5,FALSE),Y256)</f>
        <v>0</v>
      </c>
      <c r="Y256" s="174">
        <v>0</v>
      </c>
      <c r="Z256" s="173">
        <f>IF(AA256="",VLOOKUP(P256,CLIENTS!$A$1:$O$649,5,FALSE),AA256)</f>
        <v>8.0000000000000002E-3</v>
      </c>
      <c r="AA256" s="174">
        <v>8.0000000000000002E-3</v>
      </c>
      <c r="AB256" s="173" t="str">
        <f>IF(W256="via USD",IF(K256="EUR",K256&amp;"USD","USD"&amp;K256),IFERROR(VLOOKUP(K256&amp;S256,'FX RATES'!$H$2:$H$20,1,FALSE),S256&amp;K256))</f>
        <v>USDUSD</v>
      </c>
      <c r="AC256" s="175">
        <f>IF(LEFT(AB256,3)=RIGHT(AB256,3),0,IFERROR(INDEX(CLIENTS!$A$1:$O$649,MATCH(H256,CLIENTS!$A$1:$A$649,0),MATCH(AB256,CLIENTS!$A$1:$O$1,0)),0))</f>
        <v>0</v>
      </c>
      <c r="AD256" s="176"/>
      <c r="AE256" s="177">
        <f>IF(W256="CLIENT","",IF(AD256="",AH256+AC256,AD256+AC256))</f>
        <v>1</v>
      </c>
      <c r="AF256" s="177" t="str">
        <f>E256&amp;AB256</f>
        <v>46049USDUSD</v>
      </c>
      <c r="AG256" s="176"/>
      <c r="AH256" s="178">
        <f>IF(LEFT(AB256,3)=RIGHT(AB256,3),1,VLOOKUP(AB256,'FX RATES'!$H$1:$I$20,2,FALSE))</f>
        <v>1</v>
      </c>
      <c r="AI256" s="178">
        <f>IF(OR(AB256="USDAED",LEFT(AB256,3)=RIGHT(AB256,3)),AH256,IF(LEFT(AB256)="USD",AG256,IF(RIGHT(AB256,3)="USD",1,IFERROR(VLOOKUP(E256&amp;"USD"&amp;RIGHT(AB256,3),$AF:$AG,2,FALSE),VLOOKUP(E256&amp;"USD"&amp;RIGHT(AJ256,3),$AN:$AO,2,FALSE)))))</f>
        <v>1</v>
      </c>
      <c r="AJ256" s="173" t="str">
        <f>IF(W256="via USD",IF(S256="EUR",S256&amp;"USD","USD"&amp;S256),IFERROR(VLOOKUP(K256&amp;S256,'FX RATES'!$H$2:$H$20,1,FALSE),S256&amp;K256))</f>
        <v>USDRUB</v>
      </c>
      <c r="AK256" s="175">
        <f>IF(LEFT(AJ256,3)=RIGHT(AJ256,3),0,IFERROR(INDEX(CLIENTS!$A$1:$O$649,MATCH(P256,CLIENTS!$A$1:$A$649,0),MATCH(AJ256,CLIENTS!$A$1:$O$1,0)),0))</f>
        <v>0</v>
      </c>
      <c r="AL256" s="176">
        <v>76.900000000000006</v>
      </c>
      <c r="AM256" s="177">
        <f>IF(W256="VENDOR","",IF(AL256="",AP256+AK256,AL256+AK256))</f>
        <v>76.900000000000006</v>
      </c>
      <c r="AN256" s="177" t="str">
        <f>E256&amp;AJ256</f>
        <v>46049USDRUB</v>
      </c>
      <c r="AO256" s="176">
        <v>76.75</v>
      </c>
      <c r="AP256" s="178">
        <f ca="1">IF(LEFT(AJ256,3)=RIGHT(AJ256,3),1,VLOOKUP(AJ256,'FX RATES'!$H$1:$I$50,2,FALSE))</f>
        <v>76.720500000000001</v>
      </c>
      <c r="AQ256" s="178">
        <f>IF(OR(AJ256="USDAED",LEFT(AJ256,3)=RIGHT(AJ256,3),AJ256="USDUSDT",AJ256="USDTUSD"),AP256,IF(LEFT(AJ256)="USD",AO256,IF(RIGHT(AJ256,3)="USD",1,IFERROR(VLOOKUP(E256&amp;"USD"&amp;RIGHT(AJ256,3),$AN:$AO,2,FALSE),VLOOKUP(E256&amp;"USD"&amp;RIGHT(AB256,3),$AF:$AG,2,FALSE)))))</f>
        <v>76.75</v>
      </c>
      <c r="AR256" s="179">
        <f>-Q256*(1-Z256)/(1+X256)*IF(W256="CLIENT",IF(S256=RIGHT(AJ256,3),1/AM256,AM256),IF(W256="VENDOR",IF(S256=RIGHT(AJ256,3),1/AE256,AE256),AE256^(VLOOKUP(AB256,'FX RATES'!$H$1:$J$26,3,FALSE))/AM256^(VLOOKUP(AJ256,'FX RATES'!$H$1:$J$26,3,FALSE))))</f>
        <v>-477295.18855656695</v>
      </c>
      <c r="AS256" s="179">
        <f>-I256*(1+X256)/(1-Z256)*IF(W256="VENDOR",IF(K256=RIGHT(AB256,3),1/AE256,AE256),IF(W256="CLIENT",IF(K256=RIGHT(AB256,3),1/AM256,AM256),AM256^(VLOOKUP(AJ256,'FX RATES'!$H$1:$J$26,3,FALSE))/AE256^(VLOOKUP(AB256,'FX RATES'!$H$1:$J$26,3,FALSE))))</f>
        <v>0</v>
      </c>
      <c r="AT256" s="170">
        <f>IF(AB256&lt;&gt;AJ256,J256/IF(K256=RIGHT(AB256,3),AE256,1/AE256),IF(S256="USD",J256/IF(K256=RIGHT(AB256,3),IF(W256="CLIENT",AM256,AE256),1/IF(W256="CLIENT",AM256,AE256)),J256*VLOOKUP(K256,'FX RATES'!$E$1:$F$10,2,FALSE)))</f>
        <v>-477295.18855656695</v>
      </c>
      <c r="AU256" s="170">
        <f>IF(AB256&lt;&gt;AJ256,R256/IF(S256=RIGHT(AJ256,3),AM256,1/AM256),IF(K256="USD",R256/IF(S256=RIGHT(AJ256,3),IF(W256="CLIENT",AM256,AE256),1/IF(W256="CLIENT",AM256,AE256)),R256*VLOOKUP(S256,'FX RATES'!$E$1:$F$10,2,FALSE)))</f>
        <v>481144.34330299083</v>
      </c>
      <c r="AV256" s="170">
        <f>AT256+AU256</f>
        <v>3849.1547464238829</v>
      </c>
      <c r="AW256" s="169"/>
      <c r="AX256" s="170">
        <f>IF(AND(ISERROR(SEARCH("INVOICE",T256)),ISERROR(SEARCH("SWITCH",T256)),ISERROR(SEARCH("FOREX",T256)),ISERROR(SEARCH("REFUND",A256)),ISERROR(SEARCH("CANCELLED",A256))),IF(AW256="",-AT256*X256+AU256*Z256,AW256),0)</f>
        <v>3849.1547464239266</v>
      </c>
      <c r="AY256" s="170">
        <f>IF(AZ256="USD",AT256,IF(AZ256=K256,J256,-R256))</f>
        <v>-477295.18855656695</v>
      </c>
      <c r="AZ256" s="170" t="str">
        <f>LEFT(AB256,3)</f>
        <v>USD</v>
      </c>
      <c r="BA256" s="542">
        <f>IF(OR(A256="REFUND",A256="CANCELLED"),0,IFERROR((IF(OR(AB256="USDAED",LEFT(AB256,3)=RIGHT(AB256,3)),AI256,AG256)-AE256)*-AY256*VLOOKUP(AB256,'FX RATES'!$H$1:$J$26,3,FALSE),0))</f>
        <v>0</v>
      </c>
      <c r="BB256" s="170" t="str">
        <f>RIGHT(AB256,3)</f>
        <v>USD</v>
      </c>
      <c r="BC256" s="542">
        <f>IF(BA256=0,0,IFERROR(BA256/IF(BB256&lt;&gt;"USD",AI256,1),"???"))</f>
        <v>0</v>
      </c>
      <c r="BD256" s="170">
        <f>IFERROR(-AC256/(IF(OR(AB256="USDAED",LEFT(AB256,3)=RIGHT(AB256,3)),AH256,AG256)-AE256)*BC256,0)</f>
        <v>0</v>
      </c>
      <c r="BE256" s="542">
        <f>BC256-BD256</f>
        <v>0</v>
      </c>
      <c r="BF256" s="170">
        <f>IF(BG256="USD",AU256,IF(BG256=S256,R256,-J256))</f>
        <v>481144.34330299083</v>
      </c>
      <c r="BG256" s="170" t="str">
        <f>LEFT(AJ256,3)</f>
        <v>USD</v>
      </c>
      <c r="BH256" s="542">
        <f>IF(OR(A256="REFUND",A256="CANCELLED"),0,IFERROR((IF(OR(AJ256="USDAED",LEFT(AJ256,3)=RIGHT(AJ256,3),AJ256="USDUSDT",AJ256="USDTUSD"),AQ256,AO256)-AM256)*-BF256*VLOOKUP(AJ256,'FX RATES'!$H$1:$J$26,3,FALSE),0))</f>
        <v>72171.651495451355</v>
      </c>
      <c r="BI256" s="170" t="str">
        <f>RIGHT(AJ256,3)</f>
        <v>RUB</v>
      </c>
      <c r="BJ256" s="542">
        <f>IF(BH256=0,0,IFERROR(BH256/IF(BI256&lt;&gt;"USD",AQ256,1),"???"))</f>
        <v>940.34725075506651</v>
      </c>
      <c r="BK256" s="170">
        <f>IFERROR(-AK256/(IF(OR(AJ256="USDAED",LEFT(AJ256,3)=RIGHT(AJ256,3)),AP256,AO256)-AM256)*BJ256,0)</f>
        <v>0</v>
      </c>
      <c r="BL256" s="542">
        <f>BJ256-BK256</f>
        <v>940.34725075506651</v>
      </c>
      <c r="BM256" s="170">
        <f>IF(AND(ISERROR(SEARCH("REFUND",A256)),ISERROR(SEARCH("CANCELLED",A256))),BD256+BK256,0)</f>
        <v>0</v>
      </c>
      <c r="BN256" s="542">
        <f>IF(AND(ISERROR(SEARCH("REFUND",A256)),ISERROR(SEARCH("CANCELLED",A256))),BE256+BL256,0)</f>
        <v>940.34725075506651</v>
      </c>
    </row>
    <row r="257" spans="1:66" ht="19.5" customHeight="1">
      <c r="A257" s="167" t="s">
        <v>366</v>
      </c>
      <c r="B257" s="168" t="s">
        <v>102</v>
      </c>
      <c r="C257" s="168" t="s">
        <v>367</v>
      </c>
      <c r="D257" s="168" t="s">
        <v>143</v>
      </c>
      <c r="E257" s="171">
        <v>46049</v>
      </c>
      <c r="F257" s="171"/>
      <c r="G257" s="168" t="s">
        <v>102</v>
      </c>
      <c r="H257" s="181" t="s">
        <v>447</v>
      </c>
      <c r="I257" s="169">
        <v>-52653.75</v>
      </c>
      <c r="J257" s="170">
        <f>IF(I257="",AR257,I257)</f>
        <v>-52653.75</v>
      </c>
      <c r="K257" s="168" t="s">
        <v>5</v>
      </c>
      <c r="L257" s="171" t="s">
        <v>448</v>
      </c>
      <c r="M257" s="168" t="s">
        <v>54</v>
      </c>
      <c r="N257" s="167" t="s">
        <v>371</v>
      </c>
      <c r="O257" s="168" t="s">
        <v>39</v>
      </c>
      <c r="P257" s="168" t="s">
        <v>449</v>
      </c>
      <c r="Q257" s="169"/>
      <c r="R257" s="170">
        <f>IF(Q257="",AS257,Q257)</f>
        <v>4140156.8251533746</v>
      </c>
      <c r="S257" s="168" t="s">
        <v>9</v>
      </c>
      <c r="T257" s="171" t="s">
        <v>450</v>
      </c>
      <c r="U257" s="168" t="s">
        <v>25</v>
      </c>
      <c r="V257" s="167" t="s">
        <v>371</v>
      </c>
      <c r="W257" s="172" t="s">
        <v>375</v>
      </c>
      <c r="X257" s="173">
        <f>IF(Y257="",VLOOKUP(H257,CLIENTS!$A$1:$O$649,5,FALSE),Y257)</f>
        <v>0</v>
      </c>
      <c r="Y257" s="174">
        <v>0</v>
      </c>
      <c r="Z257" s="173">
        <f>IF(AA257="",VLOOKUP(P257,CLIENTS!$A$1:$O$649,5,FALSE),AA257)</f>
        <v>2.1999999999999999E-2</v>
      </c>
      <c r="AA257" s="174">
        <v>2.1999999999999999E-2</v>
      </c>
      <c r="AB257" s="173" t="str">
        <f>IF(W257="via USD",IF(K257="EUR",K257&amp;"USD","USD"&amp;K257),IFERROR(VLOOKUP(K257&amp;S257,'FX RATES'!$H$2:$H$20,1,FALSE),S257&amp;K257))</f>
        <v>USDUSD</v>
      </c>
      <c r="AC257" s="175">
        <f>IF(LEFT(AB257,3)=RIGHT(AB257,3),0,IFERROR(INDEX(CLIENTS!$A$1:$O$649,MATCH(H257,CLIENTS!$A$1:$A$649,0),MATCH(AB257,CLIENTS!$A$1:$O$1,0)),0))</f>
        <v>0</v>
      </c>
      <c r="AD257" s="176"/>
      <c r="AE257" s="177">
        <f>IF(W257="CLIENT","",IF(AD257="",AH257+AC257,AD257+AC257))</f>
        <v>1</v>
      </c>
      <c r="AF257" s="177" t="str">
        <f>E257&amp;AB257</f>
        <v>46049USDUSD</v>
      </c>
      <c r="AG257" s="176"/>
      <c r="AH257" s="178">
        <f>IF(LEFT(AB257,3)=RIGHT(AB257,3),1,VLOOKUP(AB257,'FX RATES'!$H$1:$I$20,2,FALSE))</f>
        <v>1</v>
      </c>
      <c r="AI257" s="178">
        <f>IF(OR(AB257="USDAED",LEFT(AB257,3)=RIGHT(AB257,3)),AH257,IF(LEFT(AB257)="USD",AG257,IF(RIGHT(AB257,3)="USD",1,IFERROR(VLOOKUP(E257&amp;"USD"&amp;RIGHT(AB257,3),$AF:$AG,2,FALSE),VLOOKUP(E257&amp;"USD"&amp;RIGHT(AJ257,3),$AN:$AO,2,FALSE)))))</f>
        <v>1</v>
      </c>
      <c r="AJ257" s="173" t="str">
        <f>IF(W257="via USD",IF(S257="EUR",S257&amp;"USD","USD"&amp;S257),IFERROR(VLOOKUP(K257&amp;S257,'FX RATES'!$H$2:$H$20,1,FALSE),S257&amp;K257))</f>
        <v>USDRUB</v>
      </c>
      <c r="AK257" s="175">
        <f>IF(LEFT(AJ257,3)=RIGHT(AJ257,3),0,IFERROR(INDEX(CLIENTS!$A$1:$O$649,MATCH(P257,CLIENTS!$A$1:$A$649,0),MATCH(AJ257,CLIENTS!$A$1:$O$1,0)),0))</f>
        <v>0</v>
      </c>
      <c r="AL257" s="176">
        <v>76.900000000000006</v>
      </c>
      <c r="AM257" s="177">
        <f>IF(W257="VENDOR","",IF(AL257="",AP257+AK257,AL257+AK257))</f>
        <v>76.900000000000006</v>
      </c>
      <c r="AN257" s="177" t="str">
        <f>E257&amp;AJ257</f>
        <v>46049USDRUB</v>
      </c>
      <c r="AO257" s="176">
        <v>76.75</v>
      </c>
      <c r="AP257" s="178">
        <f ca="1">IF(LEFT(AJ257,3)=RIGHT(AJ257,3),1,VLOOKUP(AJ257,'FX RATES'!$H$1:$I$20,2,FALSE))</f>
        <v>76.720500000000001</v>
      </c>
      <c r="AQ257" s="178">
        <f>IF(OR(AJ257="USDAED",LEFT(AJ257,3)=RIGHT(AJ257,3)),AP257,IF(LEFT(AJ257)="USD",AO257,IF(RIGHT(AJ257,3)="USD",1,IFERROR(VLOOKUP(E257&amp;"USD"&amp;RIGHT(AJ257,3),$AN:$AO,2,FALSE),VLOOKUP(E257&amp;"USD"&amp;RIGHT(AB257,3),$AF:$AG,2,FALSE)))))</f>
        <v>76.75</v>
      </c>
      <c r="AR257" s="179">
        <f>-Q257*(1-Z257)/(1+X257)*IF(W257="CLIENT",IF(S257=RIGHT(AJ257,3),1/AM257,AM257),IF(W257="VENDOR",IF(S257=RIGHT(AJ257,3),1/AE257,AE257),AE257^(VLOOKUP(AB257,'FX RATES'!$H$1:$J$26,3,FALSE))/AM257^(VLOOKUP(AJ257,'FX RATES'!$H$1:$J$26,3,FALSE))))</f>
        <v>0</v>
      </c>
      <c r="AS257" s="179">
        <f>-I257*(1+X257)/(1-Z257)*IF(W257="VENDOR",IF(K257=RIGHT(AB257,3),1/AE257,AE257),IF(W257="CLIENT",IF(K257=RIGHT(AB257,3),1/AM257,AM257),AM257^(VLOOKUP(AJ257,'FX RATES'!$H$1:$J$26,3,FALSE))/AE257^(VLOOKUP(AB257,'FX RATES'!$H$1:$J$26,3,FALSE))))</f>
        <v>4140156.8251533746</v>
      </c>
      <c r="AT257" s="170">
        <f>IF(AB257&lt;&gt;AJ257,J257/IF(K257=RIGHT(AB257,3),AE257,1/AE257),IF(S257="USD",J257/IF(K257=RIGHT(AB257,3),IF(W257="CLIENT",AM257,AE257),1/IF(W257="CLIENT",AM257,AE257)),J257*VLOOKUP(K257,'FX RATES'!$E$1:$F$10,2,FALSE)))</f>
        <v>-52653.75</v>
      </c>
      <c r="AU257" s="170">
        <f>IF(AB257&lt;&gt;AJ257,R257/IF(S257=RIGHT(AJ257,3),AM257,1/AM257),IF(K257="USD",R257/IF(S257=RIGHT(AJ257,3),IF(W257="CLIENT",AM257,AE257),1/IF(W257="CLIENT",AM257,AE257)),R257*VLOOKUP(S257,'FX RATES'!$E$1:$F$10,2,FALSE)))</f>
        <v>53838.190184049083</v>
      </c>
      <c r="AV257" s="170">
        <f>AT257+AU257</f>
        <v>1184.4401840490827</v>
      </c>
      <c r="AW257" s="169"/>
      <c r="AX257" s="170">
        <f>IF(AND(ISERROR(SEARCH("INVOICE",T257)),ISERROR(SEARCH("SWITCH",T257)),ISERROR(SEARCH("FOREX",T257)),ISERROR(SEARCH("REFUND",A257)),ISERROR(SEARCH("CANCELLED",A257))),IF(AW257="",-AT257*X257+AU257*Z257,AW257),0)</f>
        <v>1184.4401840490798</v>
      </c>
      <c r="AY257" s="170">
        <f>IF(AZ257="USD",AT257,IF(AZ257=K257,J257,-R257))</f>
        <v>-52653.75</v>
      </c>
      <c r="AZ257" s="170" t="str">
        <f>LEFT(AB257,3)</f>
        <v>USD</v>
      </c>
      <c r="BA257" s="542">
        <f>IF(OR(A257="REFUND",A257="CANCELLED"),0,IFERROR((IF(OR(AB257="USDAED",LEFT(AB257,3)=RIGHT(AB257,3)),AI257,AG257)-AE257)*-AY257*VLOOKUP(AB257,'FX RATES'!$H$1:$J$26,3,FALSE),0))</f>
        <v>0</v>
      </c>
      <c r="BB257" s="170" t="str">
        <f>RIGHT(AB257,3)</f>
        <v>USD</v>
      </c>
      <c r="BC257" s="542">
        <f>IF(BA257=0,0,IFERROR(BA257/IF(BB257&lt;&gt;"USD",AI257,1),"???"))</f>
        <v>0</v>
      </c>
      <c r="BD257" s="170">
        <f>IFERROR(-AC257/(IF(OR(AB257="USDAED",LEFT(AB257,3)=RIGHT(AB257,3)),AH257,AG257)-AE257)*BC257,0)</f>
        <v>0</v>
      </c>
      <c r="BE257" s="542">
        <f>BC257-BD257</f>
        <v>0</v>
      </c>
      <c r="BF257" s="170">
        <f>IF(BG257="USD",AU257,IF(BG257=S257,R257,-J257))</f>
        <v>53838.190184049083</v>
      </c>
      <c r="BG257" s="170" t="str">
        <f>LEFT(AJ257,3)</f>
        <v>USD</v>
      </c>
      <c r="BH257" s="542">
        <f>IF(OR(A257="REFUND",A257="CANCELLED"),0,IFERROR((IF(OR(AJ257="USDAED",LEFT(AJ257,3)=RIGHT(AJ257,3)),AQ257,AO257)-AM257)*-BF257*VLOOKUP(AJ257,'FX RATES'!$H$1:$J$26,3,FALSE),0))</f>
        <v>8075.7285276076682</v>
      </c>
      <c r="BI257" s="170" t="str">
        <f>RIGHT(AJ257,3)</f>
        <v>RUB</v>
      </c>
      <c r="BJ257" s="542">
        <f>IF(BH257=0,0,IFERROR(BH257/IF(BI257&lt;&gt;"USD",AQ257,1),"???"))</f>
        <v>105.22121860075137</v>
      </c>
      <c r="BK257" s="170">
        <f>IFERROR(-AK257/(IF(OR(AJ257="USDAED",LEFT(AJ257,3)=RIGHT(AJ257,3)),AP257,AO257)-AM257)*BJ257,0)</f>
        <v>0</v>
      </c>
      <c r="BL257" s="542">
        <f>BJ257-BK257</f>
        <v>105.22121860075137</v>
      </c>
      <c r="BM257" s="170">
        <f>IF(AND(ISERROR(SEARCH("REFUND",A257)),ISERROR(SEARCH("CANCELLED",A257))),BD257+BK257,0)</f>
        <v>0</v>
      </c>
      <c r="BN257" s="542">
        <f>IF(AND(ISERROR(SEARCH("REFUND",A257)),ISERROR(SEARCH("CANCELLED",A257))),BE257+BL257,0)</f>
        <v>105.22121860075137</v>
      </c>
    </row>
    <row r="258" spans="1:66" ht="19.5" customHeight="1">
      <c r="A258" s="167" t="s">
        <v>366</v>
      </c>
      <c r="B258" s="172" t="s">
        <v>102</v>
      </c>
      <c r="C258" s="172" t="s">
        <v>102</v>
      </c>
      <c r="D258" s="172" t="s">
        <v>451</v>
      </c>
      <c r="E258" s="171">
        <v>46049</v>
      </c>
      <c r="F258" s="171"/>
      <c r="G258" s="172" t="s">
        <v>102</v>
      </c>
      <c r="H258" s="172" t="s">
        <v>105</v>
      </c>
      <c r="I258" s="169"/>
      <c r="J258" s="170">
        <f>IF(I258="",AR258,I258)</f>
        <v>-52865.210843373497</v>
      </c>
      <c r="K258" s="172" t="s">
        <v>53</v>
      </c>
      <c r="L258" s="172" t="s">
        <v>420</v>
      </c>
      <c r="M258" s="172" t="s">
        <v>54</v>
      </c>
      <c r="N258" s="167" t="s">
        <v>371</v>
      </c>
      <c r="O258" s="172" t="s">
        <v>102</v>
      </c>
      <c r="P258" s="172" t="s">
        <v>105</v>
      </c>
      <c r="Q258" s="169">
        <f>-J257</f>
        <v>52653.75</v>
      </c>
      <c r="R258" s="170">
        <f>IF(Q258="",AS258,Q258)</f>
        <v>52653.75</v>
      </c>
      <c r="S258" s="172" t="s">
        <v>5</v>
      </c>
      <c r="T258" s="171" t="s">
        <v>420</v>
      </c>
      <c r="U258" s="172" t="s">
        <v>54</v>
      </c>
      <c r="V258" s="167" t="s">
        <v>371</v>
      </c>
      <c r="W258" s="172" t="s">
        <v>375</v>
      </c>
      <c r="X258" s="173">
        <f>IF(Y258="",VLOOKUP(H258,CLIENTS!$A$1:$O$649,5,FALSE),Y258)</f>
        <v>-4.0000000000000001E-3</v>
      </c>
      <c r="Y258" s="174">
        <v>-4.0000000000000001E-3</v>
      </c>
      <c r="Z258" s="173">
        <f>IF(AA258="",VLOOKUP(P258,CLIENTS!$A$1:$O$649,5,FALSE),AA258)</f>
        <v>0</v>
      </c>
      <c r="AA258" s="174">
        <v>0</v>
      </c>
      <c r="AB258" s="173" t="str">
        <f>IF(W258="via USD",IF(K258="EUR",K258&amp;"USD","USD"&amp;K258),IFERROR(VLOOKUP(K258&amp;S258,'FX RATES'!$H$2:$H$55,1,FALSE),S258&amp;K258))</f>
        <v>USDUSDT</v>
      </c>
      <c r="AC258" s="175">
        <f>IF(LEFT(AB258,3)=RIGHT(AB258,3),0,IFERROR(INDEX(CLIENTS!$A$1:$O$649,MATCH(H258,CLIENTS!$A$1:$A$649,0),MATCH(AB258,CLIENTS!$A$1:$O$1,0)),0))</f>
        <v>0</v>
      </c>
      <c r="AD258" s="176"/>
      <c r="AE258" s="177">
        <f>IF(W258="CLIENT","",IF(AD258="",AH258+AC258,AD258+AC258))</f>
        <v>1</v>
      </c>
      <c r="AF258" s="177" t="str">
        <f>E258&amp;AB258</f>
        <v>46049USDUSDT</v>
      </c>
      <c r="AG258" s="176">
        <v>1</v>
      </c>
      <c r="AH258" s="178">
        <f>IF(OR(LEFT(AB258,3)=RIGHT(AB258,3),OR(AB258="USDUSDT",AB258="USDTUSD")),1,VLOOKUP(AB258,'FX RATES'!$H$1:$I$20,2,FALSE))</f>
        <v>1</v>
      </c>
      <c r="AI258" s="178">
        <f>IF(OR(AB258="USDAED",LEFT(AB258,3)=RIGHT(AB258,3)),AH258,IF(LEFT(AB258)="USD",AG258,IF(OR(RIGHT(AB258,3)="USD",RIGHT(AB258,4)="USDT"),1,IFERROR(VLOOKUP(E258&amp;"USD"&amp;RIGHT(AB258,3),$AF:$AG,2,FALSE),VLOOKUP(E258&amp;"USD"&amp;RIGHT(AJ258,3),$AN:$AO,2,FALSE)))))</f>
        <v>1</v>
      </c>
      <c r="AJ258" s="173" t="str">
        <f>IF(W258="via USD",IF(S258="EUR",S258&amp;"USD","USD"&amp;S258),IFERROR(VLOOKUP(K258&amp;S258,'FX RATES'!$H$2:$H$20,1,FALSE),S258&amp;K258))</f>
        <v>USDUSD</v>
      </c>
      <c r="AK258" s="175">
        <f>IF(LEFT(AJ258,3)=RIGHT(AJ258,3),0,IFERROR(INDEX(CLIENTS!$A$1:$O$649,MATCH(P258,CLIENTS!$A$1:$A$649,0),MATCH(AJ258,CLIENTS!$A$1:$O$1,0)),0))</f>
        <v>0</v>
      </c>
      <c r="AL258" s="176"/>
      <c r="AM258" s="177">
        <f>IF(W258="VENDOR","",IF(AL258="",AP258+AK258,AL258+AK258))</f>
        <v>1</v>
      </c>
      <c r="AN258" s="177" t="str">
        <f>E258&amp;AJ258</f>
        <v>46049USDUSD</v>
      </c>
      <c r="AO258" s="176"/>
      <c r="AP258" s="178">
        <f>IF(OR(LEFT(AJ258,3)=RIGHT(AJ258,3),AND(OR(AB258="USDUSDT",AB258="USDTUSD"),OR(AJ258="USDUSDT",AJ258="USDTUSD"))),1,VLOOKUP(AJ258,'FX RATES'!$H$1:$I$20,2,FALSE))</f>
        <v>1</v>
      </c>
      <c r="AQ258" s="178">
        <f>IF(OR(AJ258="USDAED",LEFT(AJ258,3)=RIGHT(AJ258,3)),AP258,IF(LEFT(AJ258)="USD",AO258,IF(OR(RIGHT(AB258,3)="USD",RIGHT(AB258,4)="USDT"),1,IFERROR(VLOOKUP(E258&amp;"USD"&amp;RIGHT(AJ258,3),$AN:$AO,2,FALSE),VLOOKUP(E258&amp;"USD"&amp;RIGHT(AB258,3),$AF:$AG,2,FALSE)))))</f>
        <v>1</v>
      </c>
      <c r="AR258" s="179">
        <f>-Q258*(1-Z258)/(1+X258)*IF(W258="CLIENT",IF(S258=RIGHT(AJ258,3),1/AM258,AM258),IF(W258="VENDOR",IF(S258=RIGHT(AJ258,3),1/AE258,AE258),AE258^(VLOOKUP(AB258,'FX RATES'!$H$1:$J$26,3,FALSE))/AM258^(VLOOKUP(AJ258,'FX RATES'!$H$1:$J$26,3,FALSE))))</f>
        <v>-52865.210843373497</v>
      </c>
      <c r="AS258" s="179">
        <f>-I258*(1+X258)/(1-Z258)*IF(W258="VENDOR",IF(K258=RIGHT(AB258,3),1/AE258,AE258),IF(W258="CLIENT",IF(K258=RIGHT(AB258,3),1/AM258,AM258),AM258^(VLOOKUP(AJ258,'FX RATES'!$H$1:$J$26,3,FALSE))/AE258^(VLOOKUP(AB258,'FX RATES'!$H$1:$J$26,3,FALSE))))</f>
        <v>0</v>
      </c>
      <c r="AT258" s="170">
        <f>IF(AB258&lt;&gt;AJ258,J258/IF(K258=RIGHT(AB258,3),AE258,1/AE258),IF(S258="USD",J258/IF(K258=RIGHT(AB258,3),IF(W258="CLIENT",AM258,AE258),1/IF(W258="CLIENT",AM258,AE258)),J258*VLOOKUP(K258,'FX RATES'!$E$1:$F$10,2,FALSE)))</f>
        <v>-52865.210843373497</v>
      </c>
      <c r="AU258" s="170">
        <f>IF(AB258&lt;&gt;AJ258,R258/IF(S258=RIGHT(AJ258,3),AM258,1/AM258),IF(K258="USD",R258/IF(S258=RIGHT(AJ258,3),IF(W258="CLIENT",AM258,AE258),1/IF(W258="CLIENT",AM258,AE258)),R258*VLOOKUP(S258,'FX RATES'!$E$1:$F$10,2,FALSE)))</f>
        <v>52653.75</v>
      </c>
      <c r="AV258" s="170">
        <f>AT258+AU258</f>
        <v>-211.46084337349748</v>
      </c>
      <c r="AW258" s="169"/>
      <c r="AX258" s="170">
        <f>IF(AND(ISERROR(SEARCH("INVOICE",T258)),ISERROR(SEARCH("SWITCH",T258)),ISERROR(SEARCH("FOREX",T258)),ISERROR(SEARCH("REFUND",A258)),ISERROR(SEARCH("CANCELLED",A258))),IF(AW258="",-AT258*X258+AU258*Z258,AW258),0)</f>
        <v>-211.46084337349399</v>
      </c>
      <c r="AY258" s="170">
        <f>IF(AZ258="USD",AT258,IF(AZ258=K258,J258,-R258))</f>
        <v>-52865.210843373497</v>
      </c>
      <c r="AZ258" s="170" t="str">
        <f>LEFT(AB258,3)</f>
        <v>USD</v>
      </c>
      <c r="BA258" s="542">
        <f>IF(OR(A258="REFUND",A258="CANCELLED"),0,IFERROR((IF(OR(AB258="USDAED",LEFT(AB258,3)=RIGHT(AB258,3)),AI258,AG258)-AE258)*-AY258*VLOOKUP(AB258,'FX RATES'!$H$1:$J$26,3,FALSE),0))</f>
        <v>0</v>
      </c>
      <c r="BB258" s="170" t="str">
        <f>RIGHT(AB258,4)</f>
        <v>USDT</v>
      </c>
      <c r="BC258" s="542">
        <f>IF(BA258=0,0,IFERROR(BA258/IF(BB258&lt;&gt;"USD",AI258,1),"???"))</f>
        <v>0</v>
      </c>
      <c r="BD258" s="170">
        <f>IFERROR(-AC258/(IF(OR(AB258="USDAED",LEFT(AB258,3)=RIGHT(AB258,3)),AH258,AG258)-AE258)*BC258,0)</f>
        <v>0</v>
      </c>
      <c r="BE258" s="542">
        <f>BC258-BD258</f>
        <v>0</v>
      </c>
      <c r="BF258" s="170">
        <f>IF(BG258="USD",AU258,IF(BG258=S258,R258,-J258))</f>
        <v>52653.75</v>
      </c>
      <c r="BG258" s="170" t="str">
        <f>LEFT(AJ258,3)</f>
        <v>USD</v>
      </c>
      <c r="BH258" s="542">
        <f>IF(OR(A258="REFUND",A258="CANCELLED"),0,IFERROR((IF(OR(AJ258="USDAED",LEFT(AJ258,3)=RIGHT(AJ258,3)),AQ258,AO258)-AM258)*-BF258*VLOOKUP(AJ258,'FX RATES'!$H$1:$J$26,3,FALSE),0))</f>
        <v>0</v>
      </c>
      <c r="BI258" s="170" t="str">
        <f>RIGHT(AJ258,3)</f>
        <v>USD</v>
      </c>
      <c r="BJ258" s="542">
        <f>IF(BH258=0,0,IFERROR(BH258/IF(BI258&lt;&gt;"USD",AQ258,1),"???"))</f>
        <v>0</v>
      </c>
      <c r="BK258" s="170">
        <f>IFERROR(-AK258/(IF(OR(AJ258="USDAED",LEFT(AJ258,3)=RIGHT(AJ258,3)),AP258,AO258)-AM258)*BJ258,0)</f>
        <v>0</v>
      </c>
      <c r="BL258" s="542">
        <f>BJ258-BK258</f>
        <v>0</v>
      </c>
      <c r="BM258" s="170">
        <f>IF(AND(ISERROR(SEARCH("REFUND",A258)),ISERROR(SEARCH("CANCELLED",A258))),BD258+BK258,0)</f>
        <v>0</v>
      </c>
      <c r="BN258" s="542">
        <f>IF(AND(ISERROR(SEARCH("REFUND",A258)),ISERROR(SEARCH("CANCELLED",A258))),BE258+BL258,0)</f>
        <v>0</v>
      </c>
    </row>
    <row r="259" spans="1:66" ht="19.5" customHeight="1">
      <c r="A259" s="167" t="s">
        <v>366</v>
      </c>
      <c r="B259" s="168" t="s">
        <v>39</v>
      </c>
      <c r="C259" s="168" t="s">
        <v>383</v>
      </c>
      <c r="D259" s="168" t="s">
        <v>128</v>
      </c>
      <c r="E259" s="171">
        <v>46049</v>
      </c>
      <c r="F259" s="171"/>
      <c r="G259" s="168" t="s">
        <v>39</v>
      </c>
      <c r="H259" s="168" t="s">
        <v>384</v>
      </c>
      <c r="I259" s="169">
        <f>-(R256+R257)</f>
        <v>-41140156.825153373</v>
      </c>
      <c r="J259" s="170">
        <f>IF(I259="",AR259,I259)</f>
        <v>-41140156.825153373</v>
      </c>
      <c r="K259" s="168" t="s">
        <v>9</v>
      </c>
      <c r="L259" s="171" t="s">
        <v>374</v>
      </c>
      <c r="M259" s="168" t="s">
        <v>25</v>
      </c>
      <c r="N259" s="167" t="s">
        <v>371</v>
      </c>
      <c r="O259" s="168" t="s">
        <v>39</v>
      </c>
      <c r="P259" s="349" t="s">
        <v>384</v>
      </c>
      <c r="Q259" s="169"/>
      <c r="R259" s="170">
        <f>IF(Q259="",AS259,Q259)</f>
        <v>1969370.8389254846</v>
      </c>
      <c r="S259" s="168" t="s">
        <v>8</v>
      </c>
      <c r="T259" s="171" t="s">
        <v>385</v>
      </c>
      <c r="U259" s="168" t="s">
        <v>20</v>
      </c>
      <c r="V259" s="167" t="s">
        <v>371</v>
      </c>
      <c r="W259" s="172" t="s">
        <v>382</v>
      </c>
      <c r="X259" s="173">
        <f>IF(Y259="",VLOOKUP(H259,CLIENTS!$A$1:$O$649,5,FALSE),Y259)</f>
        <v>0</v>
      </c>
      <c r="Y259" s="174">
        <v>0</v>
      </c>
      <c r="Z259" s="173">
        <f>IF(AA259="",VLOOKUP(P259,CLIENTS!$A$1:$O$649,5,FALSE),AA259)</f>
        <v>0</v>
      </c>
      <c r="AA259" s="174">
        <v>0</v>
      </c>
      <c r="AB259" s="173" t="str">
        <f>IF(W259="via USD",IF(K259="EUR",K259&amp;"USD","USD"&amp;K259),IFERROR(VLOOKUP(K259&amp;S259,'FX RATES'!$H$2:$H$20,1,FALSE),S259&amp;K259))</f>
        <v>AEDRUB</v>
      </c>
      <c r="AC259" s="175">
        <f>IF(LEFT(AB259,3)=RIGHT(AB259,3),0,IFERROR(INDEX(CLIENTS!$A$1:$O$649,MATCH(H259,CLIENTS!$A$1:$A$649,0),MATCH(AB259,CLIENTS!$A$1:$O$1,0)),0))</f>
        <v>0</v>
      </c>
      <c r="AD259" s="176">
        <v>20.89</v>
      </c>
      <c r="AE259" s="177">
        <f>IF(W259="CLIENT","",IF(AD259="",AH259+AC259,AD259+AC259))</f>
        <v>20.89</v>
      </c>
      <c r="AF259" s="177" t="str">
        <f>E259&amp;AB259</f>
        <v>46049AEDRUB</v>
      </c>
      <c r="AG259" s="176">
        <v>20.898599999999998</v>
      </c>
      <c r="AH259" s="178">
        <f ca="1">IF(LEFT(AB259,3)=RIGHT(AB259,3),1,VLOOKUP(AB259,'FX RATES'!$H$1:$I$20,2,FALSE))</f>
        <v>20.8843</v>
      </c>
      <c r="AI259" s="178">
        <f>IF(OR(AB259="USDAED",LEFT(AB259,3)=RIGHT(AB259,3)),AH259,IF(LEFT(AB259)="USD",AG259,IF(RIGHT(AB259,3)="USD",1,IFERROR(VLOOKUP(E259&amp;"USD"&amp;RIGHT(AB259,3),$AF:$AG,2,FALSE),VLOOKUP(E259&amp;"USD"&amp;RIGHT(AJ259,3),$AN:$AO,2,FALSE)))))</f>
        <v>76.75</v>
      </c>
      <c r="AJ259" s="173" t="str">
        <f>IF(W259="via USD",IF(S259="EUR",S259&amp;"USD","USD"&amp;S259),IFERROR(VLOOKUP(K259&amp;S259,'FX RATES'!$H$2:$H$20,1,FALSE),S259&amp;K259))</f>
        <v>AEDRUB</v>
      </c>
      <c r="AK259" s="175">
        <f>IF(LEFT(AJ259,3)=RIGHT(AJ259,3),0,IFERROR(INDEX(CLIENTS!$A$1:$O$649,MATCH(P259,CLIENTS!$A$1:$A$649,0),MATCH(AJ259,CLIENTS!$A$1:$O$1,0)),0))</f>
        <v>0</v>
      </c>
      <c r="AL259" s="176"/>
      <c r="AM259" s="177" t="str">
        <f>IF(W259="VENDOR","",IF(AL259="",AP259+AK259,AL259+AK259))</f>
        <v/>
      </c>
      <c r="AN259" s="177" t="str">
        <f>E259&amp;AJ259</f>
        <v>46049AEDRUB</v>
      </c>
      <c r="AO259" s="176"/>
      <c r="AP259" s="178">
        <f ca="1">IF(LEFT(AJ259,3)=RIGHT(AJ259,3),1,VLOOKUP(AJ259,'FX RATES'!$H$1:$I$20,2,FALSE))</f>
        <v>20.8843</v>
      </c>
      <c r="AQ259" s="178">
        <f>IF(OR(AJ259="USDAED",LEFT(AJ259,3)=RIGHT(AJ259,3)),AP259,IF(LEFT(AJ259)="USD",AO259,IF(RIGHT(AJ259,3)="USD",1,IFERROR(VLOOKUP(E259&amp;"USD"&amp;RIGHT(AJ259,3),$AN:$AO,2,FALSE),VLOOKUP(E259&amp;"USD"&amp;RIGHT(AB259,3),$AF:$AG,2,FALSE)))))</f>
        <v>76.75</v>
      </c>
      <c r="AR259" s="179">
        <f>-Q259*(1-Z259)/(1+X259)*IF(W259="CLIENT",IF(S259=RIGHT(AJ259,3),1/AM259,AM259),IF(W259="VENDOR",IF(S259=RIGHT(AJ259,3),1/AE259,AE259),AE259^(VLOOKUP(AB259,'FX RATES'!$H$1:$J$26,3,FALSE))/AM259^(VLOOKUP(AJ259,'FX RATES'!$H$1:$J$26,3,FALSE))))</f>
        <v>0</v>
      </c>
      <c r="AS259" s="179">
        <f>-I259*(1+X259)/(1-Z259)*IF(W259="VENDOR",IF(K259=RIGHT(AB259,3),1/AE259,AE259),IF(W259="CLIENT",IF(K259=RIGHT(AB259,3),1/AM259,AM259),AM259^(VLOOKUP(AJ259,'FX RATES'!$H$1:$J$26,3,FALSE))/AE259^(VLOOKUP(AB259,'FX RATES'!$H$1:$J$26,3,FALSE))))</f>
        <v>1969370.8389254846</v>
      </c>
      <c r="AT259" s="170">
        <f ca="1">IF(AB259&lt;&gt;AJ259,J259/IF(K259=RIGHT(AB259,3),AE259,1/AE259),IF(S259="USD",J259/IF(K259=RIGHT(AB259,3),IF(W259="CLIENT",AM259,AE259),1/IF(W259="CLIENT",AM259,AE259)),J259*VLOOKUP(K259,'FX RATES'!$E$1:$F$10,2,FALSE)))</f>
        <v>-536234.21152303973</v>
      </c>
      <c r="AU259" s="170">
        <f ca="1">IF(AB259&lt;&gt;AJ259,R259/IF(S259=RIGHT(AJ259,3),AM259,1/AM259),IF(K259="USD",R259/IF(S259=RIGHT(AJ259,3),IF(W259="CLIENT",AM259,AE259),1/IF(W259="CLIENT",AM259,AE259)),R259*VLOOKUP(S259,'FX RATES'!$E$1:$F$10,2,FALSE)))</f>
        <v>536233.41472675605</v>
      </c>
      <c r="AV259" s="170">
        <f ca="1">AT259+AU259</f>
        <v>-0.79679628368467093</v>
      </c>
      <c r="AW259" s="169"/>
      <c r="AX259" s="170">
        <f ca="1">IF(AND(ISERROR(SEARCH("INVOICE",T259)),ISERROR(SEARCH("SWITCH",T259)),ISERROR(SEARCH("FOREX",T259)),ISERROR(SEARCH("REFUND",A259)),ISERROR(SEARCH("CANCELLED",A259))),IF(AW259="",-AT259*X259+AU259*Z259,AW259),0)</f>
        <v>0</v>
      </c>
      <c r="AY259" s="170">
        <f>IF(AZ259="USD",AT259,IF(AZ259=K259,J259,-R259))</f>
        <v>-1969370.8389254846</v>
      </c>
      <c r="AZ259" s="170" t="str">
        <f>LEFT(AB259,3)</f>
        <v>AED</v>
      </c>
      <c r="BA259" s="542">
        <f>IF(OR(A259="REFUND",A259="CANCELLED"),0,IFERROR((IF(OR(AB259="USDAED",LEFT(AB259,3)=RIGHT(AB259,3)),AI259,AG259)-AE259)*-AY259*VLOOKUP(AB259,'FX RATES'!$H$1:$J$26,3,FALSE),0))</f>
        <v>16936.589214754677</v>
      </c>
      <c r="BB259" s="170" t="str">
        <f>RIGHT(AB259,3)</f>
        <v>RUB</v>
      </c>
      <c r="BC259" s="542">
        <f>IF(BA259=0,0,IFERROR(BA259/IF(BB259&lt;&gt;"USD",AI259,1),"???"))</f>
        <v>220.67217217921402</v>
      </c>
      <c r="BD259" s="170">
        <f>IFERROR(-AC259/(IF(OR(AB259="USDAED",LEFT(AB259,3)=RIGHT(AB259,3)),AH259,AG259)-AE259)*BC259,0)</f>
        <v>0</v>
      </c>
      <c r="BE259" s="542">
        <f>BC259-BD259</f>
        <v>220.67217217921402</v>
      </c>
      <c r="BF259" s="170">
        <f>IF(BG259="USD",AU259,IF(BG259=S259,R259,-J259))</f>
        <v>1969370.8389254846</v>
      </c>
      <c r="BG259" s="170" t="str">
        <f>LEFT(AJ259,3)</f>
        <v>AED</v>
      </c>
      <c r="BH259" s="542">
        <f>IF(OR(A259="REFUND",A259="CANCELLED"),0,IFERROR((IF(OR(AJ259="USDAED",LEFT(AJ259,3)=RIGHT(AJ259,3)),AQ259,AO259)-AM259)*-BF259*VLOOKUP(AJ259,'FX RATES'!$H$1:$J$26,3,FALSE),0))</f>
        <v>0</v>
      </c>
      <c r="BI259" s="170" t="str">
        <f>RIGHT(AJ259,3)</f>
        <v>RUB</v>
      </c>
      <c r="BJ259" s="542">
        <f>IF(BH259=0,0,IFERROR(BH259/IF(BI259&lt;&gt;"USD",AQ259,1),"???"))</f>
        <v>0</v>
      </c>
      <c r="BK259" s="170">
        <f>IFERROR(-AK259/(IF(OR(AJ259="USDAED",LEFT(AJ259,3)=RIGHT(AJ259,3)),AP259,AO259)-AM259)*BJ259,0)</f>
        <v>0</v>
      </c>
      <c r="BL259" s="542">
        <f>BJ259-BK259</f>
        <v>0</v>
      </c>
      <c r="BM259" s="170">
        <f>IF(AND(ISERROR(SEARCH("REFUND",A259)),ISERROR(SEARCH("CANCELLED",A259))),BD259+BK259,0)</f>
        <v>0</v>
      </c>
      <c r="BN259" s="542">
        <f>IF(AND(ISERROR(SEARCH("REFUND",A259)),ISERROR(SEARCH("CANCELLED",A259))),BE259+BL259,0)</f>
        <v>220.67217217921402</v>
      </c>
    </row>
    <row r="260" spans="1:66" ht="19.5" customHeight="1">
      <c r="J260" s="450"/>
      <c r="O260" s="167" t="s">
        <v>38</v>
      </c>
    </row>
    <row r="261" spans="1:66" ht="19.5" customHeight="1">
      <c r="A261" s="167" t="s">
        <v>366</v>
      </c>
      <c r="B261" s="168" t="s">
        <v>45</v>
      </c>
      <c r="C261" s="168" t="s">
        <v>367</v>
      </c>
      <c r="D261" s="168" t="s">
        <v>368</v>
      </c>
      <c r="E261" s="171">
        <v>46050</v>
      </c>
      <c r="F261" s="171"/>
      <c r="G261" s="168" t="s">
        <v>45</v>
      </c>
      <c r="H261" s="168" t="s">
        <v>412</v>
      </c>
      <c r="I261" s="169">
        <v>-269259</v>
      </c>
      <c r="J261" s="170">
        <f>IF(I261="",AR261,I261)</f>
        <v>-269259</v>
      </c>
      <c r="K261" s="168" t="s">
        <v>5</v>
      </c>
      <c r="L261" s="171" t="s">
        <v>22</v>
      </c>
      <c r="M261" s="168" t="s">
        <v>49</v>
      </c>
      <c r="N261" s="167" t="s">
        <v>371</v>
      </c>
      <c r="O261" s="168" t="s">
        <v>39</v>
      </c>
      <c r="P261" s="168" t="s">
        <v>417</v>
      </c>
      <c r="Q261" s="169">
        <v>20736708.289999999</v>
      </c>
      <c r="R261" s="170">
        <f>IF(Q261="",AS261,Q261)</f>
        <v>20736708.289999999</v>
      </c>
      <c r="S261" s="168" t="s">
        <v>9</v>
      </c>
      <c r="T261" s="171" t="s">
        <v>414</v>
      </c>
      <c r="U261" s="168" t="s">
        <v>25</v>
      </c>
      <c r="V261" s="167" t="s">
        <v>371</v>
      </c>
      <c r="W261" s="172" t="s">
        <v>375</v>
      </c>
      <c r="X261" s="173">
        <f>IF(Y261="",VLOOKUP(H261,CLIENTS!$A$1:$O$649,5,FALSE),Y261)</f>
        <v>0</v>
      </c>
      <c r="Y261" s="174">
        <v>0</v>
      </c>
      <c r="Z261" s="173">
        <f>IF(AA261="",VLOOKUP(P261,CLIENTS!$A$1:$O$649,5,FALSE),AA261)</f>
        <v>6.0000000000000001E-3</v>
      </c>
      <c r="AA261" s="174">
        <v>6.0000000000000001E-3</v>
      </c>
      <c r="AB261" s="173" t="str">
        <f>IF(W261="via USD",IF(K261="EUR",K261&amp;"USD","USD"&amp;K261),IFERROR(VLOOKUP(K261&amp;S261,'FX RATES'!$H$2:$H$20,1,FALSE),S261&amp;K261))</f>
        <v>USDUSD</v>
      </c>
      <c r="AC261" s="175">
        <f>IF(LEFT(AB261,3)=RIGHT(AB261,3),0,IFERROR(INDEX(CLIENTS!$A$1:$O$649,MATCH(H261,CLIENTS!$A$1:$A$649,0),MATCH(AB261,CLIENTS!$A$1:$O$1,0)),0))</f>
        <v>0</v>
      </c>
      <c r="AD261" s="176"/>
      <c r="AE261" s="177">
        <f>IF(W261="CLIENT","",IF(AD261="",AH261+AC261,AD261+AC261))</f>
        <v>1</v>
      </c>
      <c r="AF261" s="177" t="str">
        <f>E261&amp;AB261</f>
        <v>46050USDUSD</v>
      </c>
      <c r="AG261" s="176"/>
      <c r="AH261" s="178">
        <f>IF(LEFT(AB261,3)=RIGHT(AB261,3),1,VLOOKUP(AB261,'FX RATES'!$H$1:$I$20,2,FALSE))</f>
        <v>1</v>
      </c>
      <c r="AI261" s="178">
        <f>IF(OR(AB261="USDAED",LEFT(AB261,3)=RIGHT(AB261,3)),AH261,IF(LEFT(AB261)="USD",AG261,IF(RIGHT(AB261,3)="USD",1,IFERROR(VLOOKUP(E261&amp;"USD"&amp;RIGHT(AB261,3),$AF:$AG,2,FALSE),VLOOKUP(E261&amp;"USD"&amp;RIGHT(AJ261,3),$AN:$AO,2,FALSE)))))</f>
        <v>1</v>
      </c>
      <c r="AJ261" s="173" t="str">
        <f>IF(W261="via USD",IF(S261="EUR",S261&amp;"USD","USD"&amp;S261),IFERROR(VLOOKUP(K261&amp;S261,'FX RATES'!$H$2:$H$20,1,FALSE),S261&amp;K261))</f>
        <v>USDRUB</v>
      </c>
      <c r="AK261" s="175">
        <f>IF(LEFT(AJ261,3)=RIGHT(AJ261,3),0,IFERROR(INDEX(CLIENTS!$A$1:$O$649,MATCH(P261,CLIENTS!$A$1:$A$649,0),MATCH(AJ261,CLIENTS!$A$1:$O$1,0)),0))</f>
        <v>0</v>
      </c>
      <c r="AL261" s="176">
        <v>76.551900000000003</v>
      </c>
      <c r="AM261" s="177">
        <f>IF(W261="VENDOR","",IF(AL261="",AP261+AK261,AL261+AK261))</f>
        <v>76.551900000000003</v>
      </c>
      <c r="AN261" s="177" t="str">
        <f>E261&amp;AJ261</f>
        <v>46050USDRUB</v>
      </c>
      <c r="AO261" s="176">
        <v>76.099999999999994</v>
      </c>
      <c r="AP261" s="178">
        <f ca="1">IF(LEFT(AJ261,3)=RIGHT(AJ261,3),1,VLOOKUP(AJ261,'FX RATES'!$H$1:$I$20,2,FALSE))</f>
        <v>76.720500000000001</v>
      </c>
      <c r="AQ261" s="178">
        <f>IF(OR(AJ261="USDAED",LEFT(AJ261,3)=RIGHT(AJ261,3)),AP261,IF(LEFT(AJ261)="USD",AO261,IF(RIGHT(AJ261,3)="USD",1,IFERROR(VLOOKUP(E261&amp;"USD"&amp;RIGHT(AJ261,3),$AN:$AO,2,FALSE),VLOOKUP(E261&amp;"USD"&amp;RIGHT(AB261,3),$AF:$AG,2,FALSE)))))</f>
        <v>76.099999999999994</v>
      </c>
      <c r="AR261" s="179">
        <f>-Q261*(1-Z261)/(1+X261)*IF(W261="CLIENT",IF(S261=RIGHT(AJ261,3),1/AM261,AM261),IF(W261="VENDOR",IF(S261=RIGHT(AJ261,3),1/AE261,AE261),AE261^(VLOOKUP(AB261,'FX RATES'!$H$1:$J$26,3,FALSE))/AM261^(VLOOKUP(AJ261,'FX RATES'!$H$1:$J$26,3,FALSE))))</f>
        <v>-269258.99997596402</v>
      </c>
      <c r="AS261" s="179">
        <f>-I261*(1+X261)/(1-Z261)*IF(W261="VENDOR",IF(K261=RIGHT(AB261,3),1/AE261,AE261),IF(W261="CLIENT",IF(K261=RIGHT(AB261,3),1/AM261,AM261),AM261^(VLOOKUP(AJ261,'FX RATES'!$H$1:$J$26,3,FALSE))/AE261^(VLOOKUP(AB261,'FX RATES'!$H$1:$J$26,3,FALSE))))</f>
        <v>20736708.291851107</v>
      </c>
      <c r="AT261" s="170">
        <f>IF(AB261&lt;&gt;AJ261,J261/IF(K261=RIGHT(AB261,3),AE261,1/AE261),IF(S261="USD",J261/IF(K261=RIGHT(AB261,3),IF(W261="CLIENT",AM261,AE261),1/IF(W261="CLIENT",AM261,AE261)),J261*VLOOKUP(K261,'FX RATES'!$E$1:$F$10,2,FALSE)))</f>
        <v>-269259</v>
      </c>
      <c r="AU261" s="170">
        <f>IF(AB261&lt;&gt;AJ261,R261/IF(S261=RIGHT(AJ261,3),AM261,1/AM261),IF(K261="USD",R261/IF(S261=RIGHT(AJ261,3),IF(W261="CLIENT",AM261,AE261),1/IF(W261="CLIENT",AM261,AE261)),R261*VLOOKUP(S261,'FX RATES'!$E$1:$F$10,2,FALSE)))</f>
        <v>270884.30581082898</v>
      </c>
      <c r="AV261" s="170">
        <f>AT261+AU261</f>
        <v>1625.3058108289842</v>
      </c>
      <c r="AW261" s="169"/>
      <c r="AX261" s="170">
        <f>IF(AND(ISERROR(SEARCH("INVOICE",T261)),ISERROR(SEARCH("SWITCH",T261)),ISERROR(SEARCH("FOREX",T261)),ISERROR(SEARCH("REFUND",A261)),ISERROR(SEARCH("CANCELLED",A261))),IF(AW261="",-AT261*X261+AU261*Z261,AW261),0)</f>
        <v>1625.305834864974</v>
      </c>
      <c r="AY261" s="170">
        <f>IF(AZ261="USD",AT261,IF(AZ261=K261,J261,-R261))</f>
        <v>-269259</v>
      </c>
      <c r="AZ261" s="170" t="str">
        <f>LEFT(AB261,3)</f>
        <v>USD</v>
      </c>
      <c r="BA261" s="542">
        <f>IF(OR(A261="REFUND",A261="CANCELLED"),0,IFERROR((IF(OR(AB261="USDAED",LEFT(AB261,3)=RIGHT(AB261,3)),AI261,AG261)-AE261)*-AY261*VLOOKUP(AB261,'FX RATES'!$H$1:$J$26,3,FALSE),0))</f>
        <v>0</v>
      </c>
      <c r="BB261" s="170" t="str">
        <f>RIGHT(AB261,3)</f>
        <v>USD</v>
      </c>
      <c r="BC261" s="542">
        <f>IF(BA261=0,0,IFERROR(BA261/IF(BB261&lt;&gt;"USD",AI261,1),"???"))</f>
        <v>0</v>
      </c>
      <c r="BD261" s="170">
        <f>IFERROR(-AC261/(IF(OR(AB261="USDAED",LEFT(AB261,3)=RIGHT(AB261,3)),AH261,AG261)-AE261)*BC261,0)</f>
        <v>0</v>
      </c>
      <c r="BE261" s="542">
        <f>BC261-BD261</f>
        <v>0</v>
      </c>
      <c r="BF261" s="170">
        <f>IF(BG261="USD",AU261,IF(BG261=S261,R261,-J261))</f>
        <v>270884.30581082898</v>
      </c>
      <c r="BG261" s="170" t="str">
        <f>LEFT(AJ261,3)</f>
        <v>USD</v>
      </c>
      <c r="BH261" s="542">
        <f>IF(OR(A261="REFUND",A261="CANCELLED"),0,IFERROR((IF(OR(AJ261="USDAED",LEFT(AJ261,3)=RIGHT(AJ261,3)),AQ261,AO261)-AM261)*-BF261*VLOOKUP(AJ261,'FX RATES'!$H$1:$J$26,3,FALSE),0))</f>
        <v>122412.61779591607</v>
      </c>
      <c r="BI261" s="170" t="str">
        <f>RIGHT(AJ261,3)</f>
        <v>RUB</v>
      </c>
      <c r="BJ261" s="542">
        <f>IF(BH261=0,0,IFERROR(BH261/IF(BI261&lt;&gt;"USD",AQ261,1),"???"))</f>
        <v>1608.5757923247843</v>
      </c>
      <c r="BK261" s="170">
        <f>IFERROR(-AK261/(IF(OR(AJ261="USDAED",LEFT(AJ261,3)=RIGHT(AJ261,3)),AP261,AO261)-AM261)*BJ261,0)</f>
        <v>0</v>
      </c>
      <c r="BL261" s="542">
        <f>BJ261-BK261</f>
        <v>1608.5757923247843</v>
      </c>
      <c r="BM261" s="170">
        <f>IF(AND(ISERROR(SEARCH("REFUND",A261)),ISERROR(SEARCH("CANCELLED",A261))),BD261+BK261,0)</f>
        <v>0</v>
      </c>
      <c r="BN261" s="542">
        <f>IF(AND(ISERROR(SEARCH("REFUND",A261)),ISERROR(SEARCH("CANCELLED",A261))),BE261+BL261,0)</f>
        <v>1608.5757923247843</v>
      </c>
    </row>
    <row r="262" spans="1:66" ht="19.5" customHeight="1">
      <c r="A262" s="167" t="s">
        <v>366</v>
      </c>
      <c r="B262" s="168" t="s">
        <v>45</v>
      </c>
      <c r="C262" s="168" t="s">
        <v>367</v>
      </c>
      <c r="D262" s="168" t="s">
        <v>368</v>
      </c>
      <c r="E262" s="171">
        <v>46050</v>
      </c>
      <c r="F262" s="171"/>
      <c r="G262" s="168" t="s">
        <v>45</v>
      </c>
      <c r="H262" s="168" t="s">
        <v>412</v>
      </c>
      <c r="I262" s="169">
        <v>-169985</v>
      </c>
      <c r="J262" s="170">
        <f>IF(I262="",AR262,I262)</f>
        <v>-169985</v>
      </c>
      <c r="K262" s="168" t="s">
        <v>5</v>
      </c>
      <c r="L262" s="171" t="s">
        <v>22</v>
      </c>
      <c r="M262" s="168" t="s">
        <v>51</v>
      </c>
      <c r="N262" s="167" t="s">
        <v>371</v>
      </c>
      <c r="O262" s="168" t="s">
        <v>39</v>
      </c>
      <c r="P262" s="168" t="s">
        <v>417</v>
      </c>
      <c r="Q262" s="169">
        <v>13091222.050000001</v>
      </c>
      <c r="R262" s="170">
        <f>IF(Q262="",AS262,Q262)</f>
        <v>13091222.050000001</v>
      </c>
      <c r="S262" s="168" t="s">
        <v>9</v>
      </c>
      <c r="T262" s="171" t="s">
        <v>414</v>
      </c>
      <c r="U262" s="168" t="s">
        <v>25</v>
      </c>
      <c r="V262" s="167" t="s">
        <v>371</v>
      </c>
      <c r="W262" s="172" t="s">
        <v>375</v>
      </c>
      <c r="X262" s="173">
        <f>IF(Y262="",VLOOKUP(H262,CLIENTS!$A$1:$O$649,5,FALSE),Y262)</f>
        <v>0</v>
      </c>
      <c r="Y262" s="174">
        <v>0</v>
      </c>
      <c r="Z262" s="173">
        <f>IF(AA262="",VLOOKUP(P262,CLIENTS!$A$1:$O$649,5,FALSE),AA262)</f>
        <v>6.0000000000000001E-3</v>
      </c>
      <c r="AA262" s="174">
        <v>6.0000000000000001E-3</v>
      </c>
      <c r="AB262" s="173" t="str">
        <f>IF(W262="via USD",IF(K262="EUR",K262&amp;"USD","USD"&amp;K262),IFERROR(VLOOKUP(K262&amp;S262,'FX RATES'!$H$2:$H$20,1,FALSE),S262&amp;K262))</f>
        <v>USDUSD</v>
      </c>
      <c r="AC262" s="175">
        <f>IF(LEFT(AB262,3)=RIGHT(AB262,3),0,IFERROR(INDEX(CLIENTS!$A$1:$O$649,MATCH(H262,CLIENTS!$A$1:$A$649,0),MATCH(AB262,CLIENTS!$A$1:$O$1,0)),0))</f>
        <v>0</v>
      </c>
      <c r="AD262" s="176"/>
      <c r="AE262" s="177">
        <f>IF(W262="CLIENT","",IF(AD262="",AH262+AC262,AD262+AC262))</f>
        <v>1</v>
      </c>
      <c r="AF262" s="177" t="str">
        <f>E262&amp;AB262</f>
        <v>46050USDUSD</v>
      </c>
      <c r="AG262" s="176"/>
      <c r="AH262" s="178">
        <f>IF(LEFT(AB262,3)=RIGHT(AB262,3),1,VLOOKUP(AB262,'FX RATES'!$H$1:$I$20,2,FALSE))</f>
        <v>1</v>
      </c>
      <c r="AI262" s="178">
        <f>IF(OR(AB262="USDAED",LEFT(AB262,3)=RIGHT(AB262,3)),AH262,IF(LEFT(AB262)="USD",AG262,IF(RIGHT(AB262,3)="USD",1,IFERROR(VLOOKUP(E262&amp;"USD"&amp;RIGHT(AB262,3),$AF:$AG,2,FALSE),VLOOKUP(E262&amp;"USD"&amp;RIGHT(AJ262,3),$AN:$AO,2,FALSE)))))</f>
        <v>1</v>
      </c>
      <c r="AJ262" s="173" t="str">
        <f>IF(W262="via USD",IF(S262="EUR",S262&amp;"USD","USD"&amp;S262),IFERROR(VLOOKUP(K262&amp;S262,'FX RATES'!$H$2:$H$20,1,FALSE),S262&amp;K262))</f>
        <v>USDRUB</v>
      </c>
      <c r="AK262" s="175">
        <f>IF(LEFT(AJ262,3)=RIGHT(AJ262,3),0,IFERROR(INDEX(CLIENTS!$A$1:$O$649,MATCH(P262,CLIENTS!$A$1:$A$649,0),MATCH(AJ262,CLIENTS!$A$1:$O$1,0)),0))</f>
        <v>0</v>
      </c>
      <c r="AL262" s="176">
        <v>76.551900000000003</v>
      </c>
      <c r="AM262" s="177">
        <f>IF(W262="VENDOR","",IF(AL262="",AP262+AK262,AL262+AK262))</f>
        <v>76.551900000000003</v>
      </c>
      <c r="AN262" s="177" t="str">
        <f>E262&amp;AJ262</f>
        <v>46050USDRUB</v>
      </c>
      <c r="AO262" s="176">
        <v>76.099999999999994</v>
      </c>
      <c r="AP262" s="178">
        <f ca="1">IF(LEFT(AJ262,3)=RIGHT(AJ262,3),1,VLOOKUP(AJ262,'FX RATES'!$H$1:$I$20,2,FALSE))</f>
        <v>76.720500000000001</v>
      </c>
      <c r="AQ262" s="178">
        <f>IF(OR(AJ262="USDAED",LEFT(AJ262,3)=RIGHT(AJ262,3)),AP262,IF(LEFT(AJ262)="USD",AO262,IF(RIGHT(AJ262,3)="USD",1,IFERROR(VLOOKUP(E262&amp;"USD"&amp;RIGHT(AJ262,3),$AN:$AO,2,FALSE),VLOOKUP(E262&amp;"USD"&amp;RIGHT(AB262,3),$AF:$AG,2,FALSE)))))</f>
        <v>76.099999999999994</v>
      </c>
      <c r="AR262" s="179">
        <f>-Q262*(1-Z262)/(1+X262)*IF(W262="CLIENT",IF(S262=RIGHT(AJ262,3),1/AM262,AM262),IF(W262="VENDOR",IF(S262=RIGHT(AJ262,3),1/AE262,AE262),AE262^(VLOOKUP(AB262,'FX RATES'!$H$1:$J$26,3,FALSE))/AM262^(VLOOKUP(AJ262,'FX RATES'!$H$1:$J$26,3,FALSE))))</f>
        <v>-169984.99995036048</v>
      </c>
      <c r="AS262" s="179">
        <f>-I262*(1+X262)/(1-Z262)*IF(W262="VENDOR",IF(K262=RIGHT(AB262,3),1/AE262,AE262),IF(W262="CLIENT",IF(K262=RIGHT(AB262,3),1/AM262,AM262),AM262^(VLOOKUP(AJ262,'FX RATES'!$H$1:$J$26,3,FALSE))/AE262^(VLOOKUP(AB262,'FX RATES'!$H$1:$J$26,3,FALSE))))</f>
        <v>13091222.053822938</v>
      </c>
      <c r="AT262" s="170">
        <f>IF(AB262&lt;&gt;AJ262,J262/IF(K262=RIGHT(AB262,3),AE262,1/AE262),IF(S262="USD",J262/IF(K262=RIGHT(AB262,3),IF(W262="CLIENT",AM262,AE262),1/IF(W262="CLIENT",AM262,AE262)),J262*VLOOKUP(K262,'FX RATES'!$E$1:$F$10,2,FALSE)))</f>
        <v>-169985</v>
      </c>
      <c r="AU262" s="170">
        <f>IF(AB262&lt;&gt;AJ262,R262/IF(S262=RIGHT(AJ262,3),AM262,1/AM262),IF(K262="USD",R262/IF(S262=RIGHT(AJ262,3),IF(W262="CLIENT",AM262,AE262),1/IF(W262="CLIENT",AM262,AE262)),R262*VLOOKUP(S262,'FX RATES'!$E$1:$F$10,2,FALSE)))</f>
        <v>171011.06634845119</v>
      </c>
      <c r="AV262" s="170">
        <f>AT262+AU262</f>
        <v>1026.0663484511897</v>
      </c>
      <c r="AW262" s="169"/>
      <c r="AX262" s="170">
        <f>IF(AND(ISERROR(SEARCH("INVOICE",T262)),ISERROR(SEARCH("SWITCH",T262)),ISERROR(SEARCH("FOREX",T262)),ISERROR(SEARCH("REFUND",A262)),ISERROR(SEARCH("CANCELLED",A262))),IF(AW262="",-AT262*X262+AU262*Z262,AW262),0)</f>
        <v>1026.0663980907073</v>
      </c>
      <c r="AY262" s="170">
        <f>IF(AZ262="USD",AT262,IF(AZ262=K262,J262,-R262))</f>
        <v>-169985</v>
      </c>
      <c r="AZ262" s="170" t="str">
        <f>LEFT(AB262,3)</f>
        <v>USD</v>
      </c>
      <c r="BA262" s="542">
        <f>IF(OR(A262="REFUND",A262="CANCELLED"),0,IFERROR((IF(OR(AB262="USDAED",LEFT(AB262,3)=RIGHT(AB262,3)),AI262,AG262)-AE262)*-AY262*VLOOKUP(AB262,'FX RATES'!$H$1:$J$26,3,FALSE),0))</f>
        <v>0</v>
      </c>
      <c r="BB262" s="170" t="str">
        <f>RIGHT(AB262,3)</f>
        <v>USD</v>
      </c>
      <c r="BC262" s="542">
        <f>IF(BA262=0,0,IFERROR(BA262/IF(BB262&lt;&gt;"USD",AI262,1),"???"))</f>
        <v>0</v>
      </c>
      <c r="BD262" s="170">
        <f>IFERROR(-AC262/(IF(OR(AB262="USDAED",LEFT(AB262,3)=RIGHT(AB262,3)),AH262,AG262)-AE262)*BC262,0)</f>
        <v>0</v>
      </c>
      <c r="BE262" s="542">
        <f>BC262-BD262</f>
        <v>0</v>
      </c>
      <c r="BF262" s="170">
        <f>IF(BG262="USD",AU262,IF(BG262=S262,R262,-J262))</f>
        <v>171011.06634845119</v>
      </c>
      <c r="BG262" s="170" t="str">
        <f>LEFT(AJ262,3)</f>
        <v>USD</v>
      </c>
      <c r="BH262" s="542">
        <f>IF(OR(A262="REFUND",A262="CANCELLED"),0,IFERROR((IF(OR(AJ262="USDAED",LEFT(AJ262,3)=RIGHT(AJ262,3)),AQ262,AO262)-AM262)*-BF262*VLOOKUP(AJ262,'FX RATES'!$H$1:$J$26,3,FALSE),0))</f>
        <v>77279.900882866641</v>
      </c>
      <c r="BI262" s="170" t="str">
        <f>RIGHT(AJ262,3)</f>
        <v>RUB</v>
      </c>
      <c r="BJ262" s="542">
        <f>IF(BH262=0,0,IFERROR(BH262/IF(BI262&lt;&gt;"USD",AQ262,1),"???"))</f>
        <v>1015.5046108129651</v>
      </c>
      <c r="BK262" s="170">
        <f>IFERROR(-AK262/(IF(OR(AJ262="USDAED",LEFT(AJ262,3)=RIGHT(AJ262,3)),AP262,AO262)-AM262)*BJ262,0)</f>
        <v>0</v>
      </c>
      <c r="BL262" s="542">
        <f>BJ262-BK262</f>
        <v>1015.5046108129651</v>
      </c>
      <c r="BM262" s="170">
        <f>IF(AND(ISERROR(SEARCH("REFUND",A262)),ISERROR(SEARCH("CANCELLED",A262))),BD262+BK262,0)</f>
        <v>0</v>
      </c>
      <c r="BN262" s="542">
        <f>IF(AND(ISERROR(SEARCH("REFUND",A262)),ISERROR(SEARCH("CANCELLED",A262))),BE262+BL262,0)</f>
        <v>1015.5046108129651</v>
      </c>
    </row>
    <row r="263" spans="1:66" ht="19.5" customHeight="1">
      <c r="A263" s="167" t="s">
        <v>366</v>
      </c>
      <c r="B263" s="168" t="s">
        <v>39</v>
      </c>
      <c r="C263" s="168" t="s">
        <v>367</v>
      </c>
      <c r="D263" s="168" t="s">
        <v>368</v>
      </c>
      <c r="E263" s="171">
        <v>46050</v>
      </c>
      <c r="F263" s="171"/>
      <c r="G263" s="168" t="s">
        <v>39</v>
      </c>
      <c r="H263" s="168" t="s">
        <v>504</v>
      </c>
      <c r="I263" s="169"/>
      <c r="J263" s="170">
        <f>IF(I263="",AR263,I263)</f>
        <v>-111045.6728316345</v>
      </c>
      <c r="K263" s="168" t="s">
        <v>5</v>
      </c>
      <c r="L263" s="171" t="s">
        <v>505</v>
      </c>
      <c r="M263" s="168" t="s">
        <v>20</v>
      </c>
      <c r="N263" s="167" t="s">
        <v>371</v>
      </c>
      <c r="O263" s="168" t="s">
        <v>39</v>
      </c>
      <c r="P263" s="168" t="s">
        <v>417</v>
      </c>
      <c r="Q263" s="169">
        <f>42380000-R261-R262</f>
        <v>8552069.6600000001</v>
      </c>
      <c r="R263" s="170">
        <f>IF(Q263="",AS263,Q263)</f>
        <v>8552069.6600000001</v>
      </c>
      <c r="S263" s="168" t="s">
        <v>9</v>
      </c>
      <c r="T263" s="171" t="s">
        <v>414</v>
      </c>
      <c r="U263" s="168" t="s">
        <v>25</v>
      </c>
      <c r="V263" s="167" t="s">
        <v>371</v>
      </c>
      <c r="W263" s="172" t="s">
        <v>375</v>
      </c>
      <c r="X263" s="173">
        <f>IF(Y263="",VLOOKUP(H263,CLIENTS!$A$1:$O$649,5,FALSE),Y263)</f>
        <v>0</v>
      </c>
      <c r="Y263" s="174">
        <v>0</v>
      </c>
      <c r="Z263" s="173">
        <f>IF(AA263="",VLOOKUP(P263,CLIENTS!$A$1:$O$649,5,FALSE),AA263)</f>
        <v>6.0000000000000001E-3</v>
      </c>
      <c r="AA263" s="174">
        <v>6.0000000000000001E-3</v>
      </c>
      <c r="AB263" s="173" t="str">
        <f>IF(W263="via USD",IF(K263="EUR",K263&amp;"USD","USD"&amp;K263),IFERROR(VLOOKUP(K263&amp;S263,'FX RATES'!$H$2:$H$20,1,FALSE),S263&amp;K263))</f>
        <v>USDUSD</v>
      </c>
      <c r="AC263" s="175">
        <f>IF(LEFT(AB263,3)=RIGHT(AB263,3),0,IFERROR(INDEX(CLIENTS!$A$1:$O$649,MATCH(H263,CLIENTS!$A$1:$A$649,0),MATCH(AB263,CLIENTS!$A$1:$O$1,0)),0))</f>
        <v>0</v>
      </c>
      <c r="AD263" s="176"/>
      <c r="AE263" s="177">
        <f>IF(W263="CLIENT","",IF(AD263="",AH263+AC263,AD263+AC263))</f>
        <v>1</v>
      </c>
      <c r="AF263" s="177" t="str">
        <f>E263&amp;AB263</f>
        <v>46050USDUSD</v>
      </c>
      <c r="AG263" s="176"/>
      <c r="AH263" s="178">
        <f>IF(LEFT(AB263,3)=RIGHT(AB263,3),1,VLOOKUP(AB263,'FX RATES'!$H$1:$I$20,2,FALSE))</f>
        <v>1</v>
      </c>
      <c r="AI263" s="178">
        <f>IF(OR(AB263="USDAED",LEFT(AB263,3)=RIGHT(AB263,3)),AH263,IF(LEFT(AB263)="USD",AG263,IF(RIGHT(AB263,3)="USD",1,IFERROR(VLOOKUP(E263&amp;"USD"&amp;RIGHT(AB263,3),$AF:$AG,2,FALSE),VLOOKUP(E263&amp;"USD"&amp;RIGHT(AJ263,3),$AN:$AO,2,FALSE)))))</f>
        <v>1</v>
      </c>
      <c r="AJ263" s="173" t="str">
        <f>IF(W263="via USD",IF(S263="EUR",S263&amp;"USD","USD"&amp;S263),IFERROR(VLOOKUP(K263&amp;S263,'FX RATES'!$H$2:$H$20,1,FALSE),S263&amp;K263))</f>
        <v>USDRUB</v>
      </c>
      <c r="AK263" s="175">
        <f>IF(LEFT(AJ263,3)=RIGHT(AJ263,3),0,IFERROR(INDEX(CLIENTS!$A$1:$O$649,MATCH(P263,CLIENTS!$A$1:$A$649,0),MATCH(AJ263,CLIENTS!$A$1:$O$1,0)),0))</f>
        <v>0</v>
      </c>
      <c r="AL263" s="176">
        <v>76.551900000000003</v>
      </c>
      <c r="AM263" s="177">
        <f>IF(W263="VENDOR","",IF(AL263="",AP263+AK263,AL263+AK263))</f>
        <v>76.551900000000003</v>
      </c>
      <c r="AN263" s="177" t="str">
        <f>E263&amp;AJ263</f>
        <v>46050USDRUB</v>
      </c>
      <c r="AO263" s="176">
        <v>76.099999999999994</v>
      </c>
      <c r="AP263" s="178">
        <f ca="1">IF(LEFT(AJ263,3)=RIGHT(AJ263,3),1,VLOOKUP(AJ263,'FX RATES'!$H$1:$I$20,2,FALSE))</f>
        <v>76.720500000000001</v>
      </c>
      <c r="AQ263" s="178">
        <f>IF(OR(AJ263="USDAED",LEFT(AJ263,3)=RIGHT(AJ263,3)),AP263,IF(LEFT(AJ263)="USD",AO263,IF(RIGHT(AJ263,3)="USD",1,IFERROR(VLOOKUP(E263&amp;"USD"&amp;RIGHT(AJ263,3),$AN:$AO,2,FALSE),VLOOKUP(E263&amp;"USD"&amp;RIGHT(AB263,3),$AF:$AG,2,FALSE)))))</f>
        <v>76.099999999999994</v>
      </c>
      <c r="AR263" s="179">
        <f>-Q263*(1-Z263)/(1+X263)*IF(W263="CLIENT",IF(S263=RIGHT(AJ263,3),1/AM263,AM263),IF(W263="VENDOR",IF(S263=RIGHT(AJ263,3),1/AE263,AE263),AE263^(VLOOKUP(AB263,'FX RATES'!$H$1:$J$26,3,FALSE))/AM263^(VLOOKUP(AJ263,'FX RATES'!$H$1:$J$26,3,FALSE))))</f>
        <v>-111045.6728316345</v>
      </c>
      <c r="AS263" s="179">
        <f>-I263*(1+X263)/(1-Z263)*IF(W263="VENDOR",IF(K263=RIGHT(AB263,3),1/AE263,AE263),IF(W263="CLIENT",IF(K263=RIGHT(AB263,3),1/AM263,AM263),AM263^(VLOOKUP(AJ263,'FX RATES'!$H$1:$J$26,3,FALSE))/AE263^(VLOOKUP(AB263,'FX RATES'!$H$1:$J$26,3,FALSE))))</f>
        <v>0</v>
      </c>
      <c r="AT263" s="170">
        <f>IF(AB263&lt;&gt;AJ263,J263/IF(K263=RIGHT(AB263,3),AE263,1/AE263),IF(S263="USD",J263/IF(K263=RIGHT(AB263,3),IF(W263="CLIENT",AM263,AE263),1/IF(W263="CLIENT",AM263,AE263)),J263*VLOOKUP(K263,'FX RATES'!$E$1:$F$10,2,FALSE)))</f>
        <v>-111045.6728316345</v>
      </c>
      <c r="AU263" s="170">
        <f>IF(AB263&lt;&gt;AJ263,R263/IF(S263=RIGHT(AJ263,3),AM263,1/AM263),IF(K263="USD",R263/IF(S263=RIGHT(AJ263,3),IF(W263="CLIENT",AM263,AE263),1/IF(W263="CLIENT",AM263,AE263)),R263*VLOOKUP(S263,'FX RATES'!$E$1:$F$10,2,FALSE)))</f>
        <v>111715.96864349545</v>
      </c>
      <c r="AV263" s="170">
        <f>AT263+AU263</f>
        <v>670.29581186095311</v>
      </c>
      <c r="AW263" s="169"/>
      <c r="AX263" s="170">
        <f>IF(AND(ISERROR(SEARCH("INVOICE",T263)),ISERROR(SEARCH("SWITCH",T263)),ISERROR(SEARCH("FOREX",T263)),ISERROR(SEARCH("REFUND",A263)),ISERROR(SEARCH("CANCELLED",A263))),IF(AW263="",-AT263*X263+AU263*Z263,AW263),0)</f>
        <v>670.29581186097266</v>
      </c>
      <c r="AY263" s="170">
        <f>IF(AZ263="USD",AT263,IF(AZ263=K263,J263,-R263))</f>
        <v>-111045.6728316345</v>
      </c>
      <c r="AZ263" s="170" t="str">
        <f>LEFT(AB263,3)</f>
        <v>USD</v>
      </c>
      <c r="BA263" s="542">
        <f>IF(OR(A263="REFUND",A263="CANCELLED"),0,IFERROR((IF(OR(AB263="USDAED",LEFT(AB263,3)=RIGHT(AB263,3)),AI263,AG263)-AE263)*-AY263*VLOOKUP(AB263,'FX RATES'!$H$1:$J$26,3,FALSE),0))</f>
        <v>0</v>
      </c>
      <c r="BB263" s="170" t="str">
        <f>RIGHT(AB263,3)</f>
        <v>USD</v>
      </c>
      <c r="BC263" s="542">
        <f>IF(BA263=0,0,IFERROR(BA263/IF(BB263&lt;&gt;"USD",AI263,1),"???"))</f>
        <v>0</v>
      </c>
      <c r="BD263" s="170">
        <f>IFERROR(-AC263/(IF(OR(AB263="USDAED",LEFT(AB263,3)=RIGHT(AB263,3)),AH263,AG263)-AE263)*BC263,0)</f>
        <v>0</v>
      </c>
      <c r="BE263" s="542">
        <f>BC263-BD263</f>
        <v>0</v>
      </c>
      <c r="BF263" s="170">
        <f>IF(BG263="USD",AU263,IF(BG263=S263,R263,-J263))</f>
        <v>111715.96864349545</v>
      </c>
      <c r="BG263" s="170" t="str">
        <f>LEFT(AJ263,3)</f>
        <v>USD</v>
      </c>
      <c r="BH263" s="542">
        <f>IF(OR(A263="REFUND",A263="CANCELLED"),0,IFERROR((IF(OR(AJ263="USDAED",LEFT(AJ263,3)=RIGHT(AJ263,3)),AQ263,AO263)-AM263)*-BF263*VLOOKUP(AJ263,'FX RATES'!$H$1:$J$26,3,FALSE),0))</f>
        <v>50484.446229996604</v>
      </c>
      <c r="BI263" s="170" t="str">
        <f>RIGHT(AJ263,3)</f>
        <v>RUB</v>
      </c>
      <c r="BJ263" s="542">
        <f>IF(BH263=0,0,IFERROR(BH263/IF(BI263&lt;&gt;"USD",AQ263,1),"???"))</f>
        <v>663.39613968458093</v>
      </c>
      <c r="BK263" s="170">
        <f>IFERROR(-AK263/(IF(OR(AJ263="USDAED",LEFT(AJ263,3)=RIGHT(AJ263,3)),AP263,AO263)-AM263)*BJ263,0)</f>
        <v>0</v>
      </c>
      <c r="BL263" s="542">
        <f>BJ263-BK263</f>
        <v>663.39613968458093</v>
      </c>
      <c r="BM263" s="170">
        <f>IF(AND(ISERROR(SEARCH("REFUND",A263)),ISERROR(SEARCH("CANCELLED",A263))),BD263+BK263,0)</f>
        <v>0</v>
      </c>
      <c r="BN263" s="542">
        <f>IF(AND(ISERROR(SEARCH("REFUND",A263)),ISERROR(SEARCH("CANCELLED",A263))),BE263+BL263,0)</f>
        <v>663.39613968458093</v>
      </c>
    </row>
    <row r="264" spans="1:66" ht="19.5" customHeight="1">
      <c r="A264" s="167" t="s">
        <v>366</v>
      </c>
      <c r="B264" s="168" t="s">
        <v>39</v>
      </c>
      <c r="C264" s="168" t="s">
        <v>367</v>
      </c>
      <c r="D264" s="168" t="s">
        <v>368</v>
      </c>
      <c r="E264" s="171">
        <v>46050</v>
      </c>
      <c r="F264" s="171"/>
      <c r="G264" s="168" t="s">
        <v>39</v>
      </c>
      <c r="H264" s="168" t="s">
        <v>393</v>
      </c>
      <c r="I264" s="169"/>
      <c r="J264" s="170">
        <f>IF(I264="",AR264,I264)</f>
        <v>-123948.39800370731</v>
      </c>
      <c r="K264" s="168" t="s">
        <v>5</v>
      </c>
      <c r="L264" s="171" t="s">
        <v>378</v>
      </c>
      <c r="M264" s="168" t="s">
        <v>20</v>
      </c>
      <c r="N264" s="167" t="s">
        <v>371</v>
      </c>
      <c r="O264" s="168" t="s">
        <v>39</v>
      </c>
      <c r="P264" s="168" t="s">
        <v>394</v>
      </c>
      <c r="Q264" s="169">
        <v>9555372.9800000004</v>
      </c>
      <c r="R264" s="170">
        <f>IF(Q264="",AS264,Q264)</f>
        <v>9555372.9800000004</v>
      </c>
      <c r="S264" s="168" t="s">
        <v>9</v>
      </c>
      <c r="T264" s="171" t="s">
        <v>25</v>
      </c>
      <c r="U264" s="168" t="s">
        <v>25</v>
      </c>
      <c r="V264" s="167" t="s">
        <v>371</v>
      </c>
      <c r="W264" s="172" t="s">
        <v>389</v>
      </c>
      <c r="X264" s="173">
        <f>IF(Y264="",VLOOKUP(H264,CLIENTS!$A$1:$O$649,5,FALSE),Y264)</f>
        <v>0</v>
      </c>
      <c r="Y264" s="174">
        <v>0</v>
      </c>
      <c r="Z264" s="173">
        <f>IF(AA264="",VLOOKUP(P264,CLIENTS!$A$1:$O$649,5,FALSE),AA264)</f>
        <v>7.0000000000000001E-3</v>
      </c>
      <c r="AA264" s="174">
        <v>7.0000000000000001E-3</v>
      </c>
      <c r="AB264" s="173" t="str">
        <f>IF(W264="via USD",IF(K264="EUR",K264&amp;"USD","USD"&amp;K264),IFERROR(VLOOKUP(K264&amp;S264,'FX RATES'!$H$2:$H$20,1,FALSE),S264&amp;K264))</f>
        <v>USDRUB</v>
      </c>
      <c r="AC264" s="175">
        <f>IF(LEFT(AB264,3)=RIGHT(AB264,3),0,IFERROR(INDEX(CLIENTS!$A$1:$O$649,MATCH(H264,CLIENTS!$A$1:$A$649,0),MATCH(AB264,CLIENTS!$A$1:$O$1,0)),0))</f>
        <v>0</v>
      </c>
      <c r="AD264" s="176"/>
      <c r="AE264" s="177" t="str">
        <f>IF(W264="CLIENT","",IF(AD264="",AH264+AC264,AD264+AC264))</f>
        <v/>
      </c>
      <c r="AF264" s="177" t="str">
        <f>E264&amp;AB264</f>
        <v>46050USDRUB</v>
      </c>
      <c r="AG264" s="176">
        <v>76.099999999999994</v>
      </c>
      <c r="AH264" s="178">
        <f ca="1">IF(LEFT(AB264,3)=RIGHT(AB264,3),1,VLOOKUP(AB264,'FX RATES'!$H$1:$I$20,2,FALSE))</f>
        <v>76.720500000000001</v>
      </c>
      <c r="AI264" s="178">
        <f>IF(OR(AB264="USDAED",LEFT(AB264,3)=RIGHT(AB264,3)),AH264,IF(LEFT(AB264)="USD",AG264,IF(RIGHT(AB264,3)="USD",1,IFERROR(VLOOKUP(E264&amp;"USD"&amp;RIGHT(AB264,3),$AF:$AG,2,FALSE),VLOOKUP(E264&amp;"USD"&amp;RIGHT(AJ264,3),$AN:$AO,2,FALSE)))))</f>
        <v>76.099999999999994</v>
      </c>
      <c r="AJ264" s="173" t="str">
        <f>IF(W264="via USD",IF(S264="EUR",S264&amp;"USD","USD"&amp;S264),IFERROR(VLOOKUP(K264&amp;S264,'FX RATES'!$H$2:$H$20,1,FALSE),S264&amp;K264))</f>
        <v>USDRUB</v>
      </c>
      <c r="AK264" s="175">
        <f>IF(LEFT(AJ264,3)=RIGHT(AJ264,3),0,IFERROR(INDEX(CLIENTS!$A$1:$O$649,MATCH(P264,CLIENTS!$A$1:$A$649,0),MATCH(AJ264,CLIENTS!$A$1:$O$1,0)),0))</f>
        <v>0</v>
      </c>
      <c r="AL264" s="176">
        <v>76.551900000000003</v>
      </c>
      <c r="AM264" s="177">
        <f>IF(W264="VENDOR","",IF(AL264="",AP264+AK264,AL264+AK264))</f>
        <v>76.551900000000003</v>
      </c>
      <c r="AN264" s="177" t="str">
        <f>E264&amp;AJ264</f>
        <v>46050USDRUB</v>
      </c>
      <c r="AO264" s="176">
        <v>76.099999999999994</v>
      </c>
      <c r="AP264" s="178">
        <f ca="1">IF(LEFT(AJ264,3)=RIGHT(AJ264,3),1,VLOOKUP(AJ264,'FX RATES'!$H$1:$I$20,2,FALSE))</f>
        <v>76.720500000000001</v>
      </c>
      <c r="AQ264" s="178">
        <f>IF(OR(AJ264="USDAED",LEFT(AJ264,3)=RIGHT(AJ264,3)),AP264,IF(LEFT(AJ264)="USD",AO264,IF(RIGHT(AJ264,3)="USD",1,IFERROR(VLOOKUP(E264&amp;"USD"&amp;RIGHT(AJ264,3),$AN:$AO,2,FALSE),VLOOKUP(E264&amp;"USD"&amp;RIGHT(AB264,3),$AF:$AG,2,FALSE)))))</f>
        <v>76.099999999999994</v>
      </c>
      <c r="AR264" s="179">
        <f>-Q264*(1-Z264)/(1+X264)*IF(W264="CLIENT",IF(S264=RIGHT(AJ264,3),1/AM264,AM264),IF(W264="VENDOR",IF(S264=RIGHT(AJ264,3),1/AE264,AE264),AE264^(VLOOKUP(AB264,'FX RATES'!$H$1:$J$26,3,FALSE))/AM264^(VLOOKUP(AJ264,'FX RATES'!$H$1:$J$26,3,FALSE))))</f>
        <v>-123948.39800370731</v>
      </c>
      <c r="AS264" s="179">
        <f>-I264*(1+X264)/(1-Z264)*IF(W264="VENDOR",IF(K264=RIGHT(AB264,3),1/AE264,AE264),IF(W264="CLIENT",IF(K264=RIGHT(AB264,3),1/AM264,AM264),AM264^(VLOOKUP(AJ264,'FX RATES'!$H$1:$J$26,3,FALSE))/AE264^(VLOOKUP(AB264,'FX RATES'!$H$1:$J$26,3,FALSE))))</f>
        <v>0</v>
      </c>
      <c r="AT264" s="170">
        <f>IF(AB264&lt;&gt;AJ264,J264/IF(K264=RIGHT(AB264,3),AE264,1/AE264),IF(S264="USD",J264/IF(K264=RIGHT(AB264,3),IF(W264="CLIENT",AM264,AE264),1/IF(W264="CLIENT",AM264,AE264)),J264*VLOOKUP(K264,'FX RATES'!$E$1:$F$10,2,FALSE)))</f>
        <v>-123948.39800370731</v>
      </c>
      <c r="AU264" s="170">
        <f>IF(AB264&lt;&gt;AJ264,R264/IF(S264=RIGHT(AJ264,3),AM264,1/AM264),IF(K264="USD",R264/IF(S264=RIGHT(AJ264,3),IF(W264="CLIENT",AM264,AE264),1/IF(W264="CLIENT",AM264,AE264)),R264*VLOOKUP(S264,'FX RATES'!$E$1:$F$10,2,FALSE)))</f>
        <v>124822.15307523393</v>
      </c>
      <c r="AV264" s="170">
        <f>AT264+AU264</f>
        <v>873.75507152662612</v>
      </c>
      <c r="AW264" s="169"/>
      <c r="AX264" s="170">
        <f>IF(AND(ISERROR(SEARCH("INVOICE",T264)),ISERROR(SEARCH("SWITCH",T264)),ISERROR(SEARCH("FOREX",T264)),ISERROR(SEARCH("REFUND",A264)),ISERROR(SEARCH("CANCELLED",A264))),IF(AW264="",-AT264*X264+AU264*Z264,AW264),0)</f>
        <v>873.75507152663749</v>
      </c>
      <c r="AY264" s="170">
        <f>IF(AZ264="USD",AT264,IF(AZ264=K264,J264,-R264))</f>
        <v>-123948.39800370731</v>
      </c>
      <c r="AZ264" s="170" t="str">
        <f>LEFT(AB264,3)</f>
        <v>USD</v>
      </c>
      <c r="BA264" s="542">
        <f>IF(OR(A264="REFUND",A264="CANCELLED"),0,IFERROR((IF(OR(AB264="USDAED",LEFT(AB264,3)=RIGHT(AB264,3)),AI264,AG264)-AE264)*-AY264*VLOOKUP(AB264,'FX RATES'!$H$1:$J$26,3,FALSE),0))</f>
        <v>0</v>
      </c>
      <c r="BB264" s="170" t="str">
        <f>RIGHT(AB264,3)</f>
        <v>RUB</v>
      </c>
      <c r="BC264" s="542">
        <f>IF(BA264=0,0,IFERROR(BA264/IF(BB264&lt;&gt;"USD",AI264,1),"???"))</f>
        <v>0</v>
      </c>
      <c r="BD264" s="170">
        <f>IFERROR(-AC264/(IF(OR(AB264="USDAED",LEFT(AB264,3)=RIGHT(AB264,3)),AH264,AG264)-AE264)*BC264,0)</f>
        <v>0</v>
      </c>
      <c r="BE264" s="542">
        <f>BC264-BD264</f>
        <v>0</v>
      </c>
      <c r="BF264" s="170">
        <f>IF(BG264="USD",AU264,IF(BG264=S264,R264,-J264))</f>
        <v>124822.15307523393</v>
      </c>
      <c r="BG264" s="170" t="str">
        <f>LEFT(AJ264,3)</f>
        <v>USD</v>
      </c>
      <c r="BH264" s="542">
        <f>IF(OR(A264="REFUND",A264="CANCELLED"),0,IFERROR((IF(OR(AJ264="USDAED",LEFT(AJ264,3)=RIGHT(AJ264,3)),AQ264,AO264)-AM264)*-BF264*VLOOKUP(AJ264,'FX RATES'!$H$1:$J$26,3,FALSE),0))</f>
        <v>56407.130974699343</v>
      </c>
      <c r="BI264" s="170" t="str">
        <f>RIGHT(AJ264,3)</f>
        <v>RUB</v>
      </c>
      <c r="BJ264" s="542">
        <f>IF(BH264=0,0,IFERROR(BH264/IF(BI264&lt;&gt;"USD",AQ264,1),"???"))</f>
        <v>741.22379730222531</v>
      </c>
      <c r="BK264" s="170">
        <f>IFERROR(-AK264/(IF(OR(AJ264="USDAED",LEFT(AJ264,3)=RIGHT(AJ264,3)),AP264,AO264)-AM264)*BJ264,0)</f>
        <v>0</v>
      </c>
      <c r="BL264" s="542">
        <f>BJ264-BK264</f>
        <v>741.22379730222531</v>
      </c>
      <c r="BM264" s="170">
        <f>IF(AND(ISERROR(SEARCH("REFUND",A264)),ISERROR(SEARCH("CANCELLED",A264))),BD264+BK264,0)</f>
        <v>0</v>
      </c>
      <c r="BN264" s="542">
        <f>IF(AND(ISERROR(SEARCH("REFUND",A264)),ISERROR(SEARCH("CANCELLED",A264))),BE264+BL264,0)</f>
        <v>741.22379730222531</v>
      </c>
    </row>
    <row r="265" spans="1:66" ht="19.5" customHeight="1">
      <c r="A265" s="167" t="s">
        <v>366</v>
      </c>
      <c r="B265" s="168" t="s">
        <v>39</v>
      </c>
      <c r="C265" s="168" t="s">
        <v>383</v>
      </c>
      <c r="D265" s="168" t="s">
        <v>128</v>
      </c>
      <c r="E265" s="171">
        <v>46050</v>
      </c>
      <c r="F265" s="171"/>
      <c r="G265" s="168" t="s">
        <v>39</v>
      </c>
      <c r="H265" s="168" t="s">
        <v>384</v>
      </c>
      <c r="I265" s="169">
        <v>-51935000</v>
      </c>
      <c r="J265" s="170">
        <f>IF(I265="",AR265,I265)</f>
        <v>-51935000</v>
      </c>
      <c r="K265" s="168" t="s">
        <v>9</v>
      </c>
      <c r="L265" s="171" t="s">
        <v>374</v>
      </c>
      <c r="M265" s="168" t="s">
        <v>25</v>
      </c>
      <c r="N265" s="167" t="s">
        <v>371</v>
      </c>
      <c r="O265" s="168" t="s">
        <v>39</v>
      </c>
      <c r="P265" s="349" t="s">
        <v>384</v>
      </c>
      <c r="Q265" s="169"/>
      <c r="R265" s="170">
        <f>IF(Q265="",AS265,Q265)</f>
        <v>2493278.9246279406</v>
      </c>
      <c r="S265" s="168" t="s">
        <v>8</v>
      </c>
      <c r="T265" s="171" t="s">
        <v>385</v>
      </c>
      <c r="U265" s="168" t="s">
        <v>20</v>
      </c>
      <c r="V265" s="167" t="s">
        <v>371</v>
      </c>
      <c r="W265" s="172" t="s">
        <v>382</v>
      </c>
      <c r="X265" s="173">
        <f>IF(Y265="",VLOOKUP(H265,CLIENTS!$A$1:$O$649,5,FALSE),Y265)</f>
        <v>0</v>
      </c>
      <c r="Y265" s="174">
        <v>0</v>
      </c>
      <c r="Z265" s="173">
        <f>IF(AA265="",VLOOKUP(P265,CLIENTS!$A$1:$O$649,5,FALSE),AA265)</f>
        <v>0</v>
      </c>
      <c r="AA265" s="174">
        <v>0</v>
      </c>
      <c r="AB265" s="173" t="str">
        <f>IF(W265="via USD",IF(K265="EUR",K265&amp;"USD","USD"&amp;K265),IFERROR(VLOOKUP(K265&amp;S265,'FX RATES'!$H$2:$H$20,1,FALSE),S265&amp;K265))</f>
        <v>AEDRUB</v>
      </c>
      <c r="AC265" s="175">
        <f>IF(LEFT(AB265,3)=RIGHT(AB265,3),0,IFERROR(INDEX(CLIENTS!$A$1:$O$649,MATCH(H265,CLIENTS!$A$1:$A$649,0),MATCH(AB265,CLIENTS!$A$1:$O$1,0)),0))</f>
        <v>0</v>
      </c>
      <c r="AD265" s="176">
        <v>20.83</v>
      </c>
      <c r="AE265" s="177">
        <f>IF(W265="CLIENT","",IF(AD265="",AH265+AC265,AD265+AC265))</f>
        <v>20.83</v>
      </c>
      <c r="AF265" s="177" t="str">
        <f>E265&amp;AB265</f>
        <v>46050AEDRUB</v>
      </c>
      <c r="AG265" s="176">
        <v>20.721499999999999</v>
      </c>
      <c r="AH265" s="178">
        <f ca="1">IF(LEFT(AB265,3)=RIGHT(AB265,3),1,VLOOKUP(AB265,'FX RATES'!$H$1:$I$20,2,FALSE))</f>
        <v>20.8843</v>
      </c>
      <c r="AI265" s="178">
        <f>IF(OR(AB265="USDAED",LEFT(AB265,3)=RIGHT(AB265,3)),AH265,IF(LEFT(AB265)="USD",AG265,IF(RIGHT(AB265,3)="USD",1,IFERROR(VLOOKUP(E265&amp;"USD"&amp;RIGHT(AB265,3),$AF:$AG,2,FALSE),VLOOKUP(E265&amp;"USD"&amp;RIGHT(AJ265,3),$AN:$AO,2,FALSE)))))</f>
        <v>76.099999999999994</v>
      </c>
      <c r="AJ265" s="173" t="str">
        <f>IF(W265="via USD",IF(S265="EUR",S265&amp;"USD","USD"&amp;S265),IFERROR(VLOOKUP(K265&amp;S265,'FX RATES'!$H$2:$H$20,1,FALSE),S265&amp;K265))</f>
        <v>AEDRUB</v>
      </c>
      <c r="AK265" s="175">
        <f>IF(LEFT(AJ265,3)=RIGHT(AJ265,3),0,IFERROR(INDEX(CLIENTS!$A$1:$O$649,MATCH(P265,CLIENTS!$A$1:$A$649,0),MATCH(AJ265,CLIENTS!$A$1:$O$1,0)),0))</f>
        <v>0</v>
      </c>
      <c r="AL265" s="176"/>
      <c r="AM265" s="177" t="str">
        <f>IF(W265="VENDOR","",IF(AL265="",AP265+AK265,AL265+AK265))</f>
        <v/>
      </c>
      <c r="AN265" s="177" t="str">
        <f>E265&amp;AJ265</f>
        <v>46050AEDRUB</v>
      </c>
      <c r="AO265" s="176"/>
      <c r="AP265" s="178">
        <f ca="1">IF(LEFT(AJ265,3)=RIGHT(AJ265,3),1,VLOOKUP(AJ265,'FX RATES'!$H$1:$I$20,2,FALSE))</f>
        <v>20.8843</v>
      </c>
      <c r="AQ265" s="178">
        <f>IF(OR(AJ265="USDAED",LEFT(AJ265,3)=RIGHT(AJ265,3)),AP265,IF(LEFT(AJ265)="USD",AO265,IF(RIGHT(AJ265,3)="USD",1,IFERROR(VLOOKUP(E265&amp;"USD"&amp;RIGHT(AJ265,3),$AN:$AO,2,FALSE),VLOOKUP(E265&amp;"USD"&amp;RIGHT(AB265,3),$AF:$AG,2,FALSE)))))</f>
        <v>76.099999999999994</v>
      </c>
      <c r="AR265" s="179">
        <f>-Q265*(1-Z265)/(1+X265)*IF(W265="CLIENT",IF(S265=RIGHT(AJ265,3),1/AM265,AM265),IF(W265="VENDOR",IF(S265=RIGHT(AJ265,3),1/AE265,AE265),AE265^(VLOOKUP(AB265,'FX RATES'!$H$1:$J$26,3,FALSE))/AM265^(VLOOKUP(AJ265,'FX RATES'!$H$1:$J$26,3,FALSE))))</f>
        <v>0</v>
      </c>
      <c r="AS265" s="179">
        <f>-I265*(1+X265)/(1-Z265)*IF(W265="VENDOR",IF(K265=RIGHT(AB265,3),1/AE265,AE265),IF(W265="CLIENT",IF(K265=RIGHT(AB265,3),1/AM265,AM265),AM265^(VLOOKUP(AJ265,'FX RATES'!$H$1:$J$26,3,FALSE))/AE265^(VLOOKUP(AB265,'FX RATES'!$H$1:$J$26,3,FALSE))))</f>
        <v>2493278.9246279406</v>
      </c>
      <c r="AT265" s="170">
        <f ca="1">IF(AB265&lt;&gt;AJ265,J265/IF(K265=RIGHT(AB265,3),AE265,1/AE265),IF(S265="USD",J265/IF(K265=RIGHT(AB265,3),IF(W265="CLIENT",AM265,AE265),1/IF(W265="CLIENT",AM265,AE265)),J265*VLOOKUP(K265,'FX RATES'!$E$1:$F$10,2,FALSE)))</f>
        <v>-676937.71547369997</v>
      </c>
      <c r="AU265" s="170">
        <f ca="1">IF(AB265&lt;&gt;AJ265,R265/IF(S265=RIGHT(AJ265,3),AM265,1/AM265),IF(K265="USD",R265/IF(S265=RIGHT(AJ265,3),IF(W265="CLIENT",AM265,AE265),1/IF(W265="CLIENT",AM265,AE265)),R265*VLOOKUP(S265,'FX RATES'!$E$1:$F$10,2,FALSE)))</f>
        <v>678886.59931055398</v>
      </c>
      <c r="AV265" s="170">
        <f ca="1">AT265+AU265</f>
        <v>1948.8838368540164</v>
      </c>
      <c r="AW265" s="169"/>
      <c r="AX265" s="170">
        <f ca="1">IF(AND(ISERROR(SEARCH("INVOICE",T265)),ISERROR(SEARCH("SWITCH",T265)),ISERROR(SEARCH("FOREX",T265)),ISERROR(SEARCH("REFUND",A265)),ISERROR(SEARCH("CANCELLED",A265))),IF(AW265="",-AT265*X265+AU265*Z265,AW265),0)</f>
        <v>0</v>
      </c>
      <c r="AY265" s="170">
        <f>IF(AZ265="USD",AT265,IF(AZ265=K265,J265,-R265))</f>
        <v>-2493278.9246279406</v>
      </c>
      <c r="AZ265" s="170" t="str">
        <f>LEFT(AB265,3)</f>
        <v>AED</v>
      </c>
      <c r="BA265" s="542">
        <f>IF(OR(A265="REFUND",A265="CANCELLED"),0,IFERROR((IF(OR(AB265="USDAED",LEFT(AB265,3)=RIGHT(AB265,3)),AI265,AG265)-AE265)*-AY265*VLOOKUP(AB265,'FX RATES'!$H$1:$J$26,3,FALSE),0))</f>
        <v>-270520.76332213002</v>
      </c>
      <c r="BB265" s="170" t="str">
        <f>RIGHT(AB265,3)</f>
        <v>RUB</v>
      </c>
      <c r="BC265" s="542">
        <f>IF(BA265=0,0,IFERROR(BA265/IF(BB265&lt;&gt;"USD",AI265,1),"???"))</f>
        <v>-3554.8063511449413</v>
      </c>
      <c r="BD265" s="170">
        <f>IFERROR(-AC265/(IF(OR(AB265="USDAED",LEFT(AB265,3)=RIGHT(AB265,3)),AH265,AG265)-AE265)*BC265,0)</f>
        <v>0</v>
      </c>
      <c r="BE265" s="542">
        <f>BC265-BD265</f>
        <v>-3554.8063511449413</v>
      </c>
      <c r="BF265" s="170">
        <f>IF(BG265="USD",AU265,IF(BG265=S265,R265,-J265))</f>
        <v>2493278.9246279406</v>
      </c>
      <c r="BG265" s="170" t="str">
        <f>LEFT(AJ265,3)</f>
        <v>AED</v>
      </c>
      <c r="BH265" s="542">
        <f>IF(OR(A265="REFUND",A265="CANCELLED"),0,IFERROR((IF(OR(AJ265="USDAED",LEFT(AJ265,3)=RIGHT(AJ265,3)),AQ265,AO265)-AM265)*-BF265*VLOOKUP(AJ265,'FX RATES'!$H$1:$J$26,3,FALSE),0))</f>
        <v>0</v>
      </c>
      <c r="BI265" s="170" t="str">
        <f>RIGHT(AJ265,3)</f>
        <v>RUB</v>
      </c>
      <c r="BJ265" s="542">
        <f>IF(BH265=0,0,IFERROR(BH265/IF(BI265&lt;&gt;"USD",AQ265,1),"???"))</f>
        <v>0</v>
      </c>
      <c r="BK265" s="170">
        <f>IFERROR(-AK265/(IF(OR(AJ265="USDAED",LEFT(AJ265,3)=RIGHT(AJ265,3)),AP265,AO265)-AM265)*BJ265,0)</f>
        <v>0</v>
      </c>
      <c r="BL265" s="542">
        <f>BJ265-BK265</f>
        <v>0</v>
      </c>
      <c r="BM265" s="170">
        <f>IF(AND(ISERROR(SEARCH("REFUND",A265)),ISERROR(SEARCH("CANCELLED",A265))),BD265+BK265,0)</f>
        <v>0</v>
      </c>
      <c r="BN265" s="542">
        <f>IF(AND(ISERROR(SEARCH("REFUND",A265)),ISERROR(SEARCH("CANCELLED",A265))),BE265+BL265,0)</f>
        <v>-3554.8063511449413</v>
      </c>
    </row>
    <row r="266" spans="1:66" ht="19.5" customHeight="1">
      <c r="J266" s="450"/>
    </row>
    <row r="267" spans="1:66" ht="19.5" customHeight="1">
      <c r="A267" s="167" t="s">
        <v>366</v>
      </c>
      <c r="B267" s="225" t="s">
        <v>42</v>
      </c>
      <c r="C267" s="225" t="s">
        <v>367</v>
      </c>
      <c r="D267" s="225" t="s">
        <v>368</v>
      </c>
      <c r="E267" s="226">
        <v>46050</v>
      </c>
      <c r="F267" s="226"/>
      <c r="G267" s="225" t="s">
        <v>42</v>
      </c>
      <c r="H267" s="225" t="s">
        <v>430</v>
      </c>
      <c r="I267" s="227">
        <v>-1543200</v>
      </c>
      <c r="J267" s="170">
        <f>IF(I267="",AR267,I267)</f>
        <v>-1543200</v>
      </c>
      <c r="K267" s="225" t="s">
        <v>7</v>
      </c>
      <c r="L267" s="226" t="s">
        <v>37</v>
      </c>
      <c r="M267" s="225" t="s">
        <v>22</v>
      </c>
      <c r="N267" s="167" t="s">
        <v>371</v>
      </c>
      <c r="O267" s="225" t="s">
        <v>52</v>
      </c>
      <c r="P267" s="225" t="s">
        <v>429</v>
      </c>
      <c r="Q267" s="227"/>
      <c r="R267" s="170">
        <f>IF(Q267="",AS267,Q267)</f>
        <v>16982954.773869347</v>
      </c>
      <c r="S267" s="225" t="s">
        <v>9</v>
      </c>
      <c r="T267" s="226" t="s">
        <v>25</v>
      </c>
      <c r="U267" s="225" t="s">
        <v>25</v>
      </c>
      <c r="V267" s="167" t="s">
        <v>371</v>
      </c>
      <c r="W267" s="230" t="s">
        <v>389</v>
      </c>
      <c r="X267" s="173">
        <f>IF(Y267="",VLOOKUP(H267,CLIENTS!$A$1:$O$649,5,FALSE),Y267)</f>
        <v>0</v>
      </c>
      <c r="Y267" s="234">
        <v>0</v>
      </c>
      <c r="Z267" s="173">
        <f>IF(AA267="",VLOOKUP(P267,CLIENTS!$A$1:$O$649,5,FALSE),AA267)</f>
        <v>5.0000000000000001E-3</v>
      </c>
      <c r="AA267" s="234">
        <v>5.0000000000000001E-3</v>
      </c>
      <c r="AB267" s="173" t="str">
        <f>IF(W267="via USD",IF(K267="EUR",K267&amp;"USD","USD"&amp;K267),IFERROR(VLOOKUP(K267&amp;S267,'FX RATES'!$H$2:$H$20,1,FALSE),S267&amp;K267))</f>
        <v>CNYRUB</v>
      </c>
      <c r="AC267" s="175">
        <f>IF(LEFT(AB267,3)=RIGHT(AB267,3),0,IFERROR(INDEX(CLIENTS!$A$1:$O$649,MATCH(H267,CLIENTS!$A$1:$A$649,0),MATCH(AB267,CLIENTS!$A$1:$O$1,0)),0))</f>
        <v>0</v>
      </c>
      <c r="AD267" s="176"/>
      <c r="AE267" s="177" t="str">
        <f>IF(W267="CLIENT","",IF(AD267="",AH267+AC267,AD267+AC267))</f>
        <v/>
      </c>
      <c r="AF267" s="177" t="str">
        <f>E267&amp;AB267</f>
        <v>46050CNYRUB</v>
      </c>
      <c r="AG267" s="176"/>
      <c r="AH267" s="178">
        <f ca="1">IF(LEFT(AB267,3)=RIGHT(AB267,3),1,VLOOKUP(AB267,'FX RATES'!$H$1:$I$20,2,FALSE))</f>
        <v>11.103899999999999</v>
      </c>
      <c r="AI267" s="178">
        <f>IF(OR(AB267="USDAED",LEFT(AB267,3)=RIGHT(AB267,3)),AH267,IF(LEFT(AB267)="USD",AG267,IF(RIGHT(AB267,3)="USD",1,IFERROR(VLOOKUP(E267&amp;"USD"&amp;RIGHT(AB267,3),$AF:$AG,2,FALSE),VLOOKUP(E267&amp;"USD"&amp;RIGHT(AJ267,3),$AN:$AO,2,FALSE)))))</f>
        <v>76.099999999999994</v>
      </c>
      <c r="AJ267" s="173" t="str">
        <f>IF(W267="via USD",IF(S267="EUR",S267&amp;"USD","USD"&amp;S267),IFERROR(VLOOKUP(K267&amp;S267,'FX RATES'!$H$2:$H$20,1,FALSE),S267&amp;K267))</f>
        <v>CNYRUB</v>
      </c>
      <c r="AK267" s="175">
        <f>IF(LEFT(AJ267,3)=RIGHT(AJ267,3),0,IFERROR(INDEX(CLIENTS!$A$1:$O$649,MATCH(P267,CLIENTS!$A$1:$A$649,0),MATCH(AJ267,CLIENTS!$A$1:$O$1,0)),0))</f>
        <v>0</v>
      </c>
      <c r="AL267" s="176">
        <v>10.95</v>
      </c>
      <c r="AM267" s="177">
        <f>IF(W267="VENDOR","",IF(AL267="",AP267+AK267,AL267+AK267))</f>
        <v>10.95</v>
      </c>
      <c r="AN267" s="177" t="str">
        <f>E267&amp;AJ267</f>
        <v>46050CNYRUB</v>
      </c>
      <c r="AO267" s="176">
        <v>10.95</v>
      </c>
      <c r="AP267" s="178">
        <f ca="1">IF(LEFT(AJ267,3)=RIGHT(AJ267,3),1,VLOOKUP(AJ267,'FX RATES'!$H$1:$I$20,2,FALSE))</f>
        <v>11.103899999999999</v>
      </c>
      <c r="AQ267" s="178">
        <f>IF(OR(AJ267="USDAED",LEFT(AJ267,3)=RIGHT(AJ267,3)),AP267,IF(LEFT(AJ267)="USD",AO267,IF(RIGHT(AJ267,3)="USD",1,IFERROR(VLOOKUP(E267&amp;"USD"&amp;RIGHT(AJ267,3),$AN:$AO,2,FALSE),VLOOKUP(E267&amp;"USD"&amp;RIGHT(AB267,3),$AF:$AG,2,FALSE)))))</f>
        <v>76.099999999999994</v>
      </c>
      <c r="AR267" s="179">
        <f>-Q267*(1-Z267)/(1+X267)*IF(W267="CLIENT",IF(S267=RIGHT(AJ267,3),1/AM267,AM267),IF(W267="VENDOR",IF(S267=RIGHT(AJ267,3),1/AE267,AE267),AE267^(VLOOKUP(AB267,'FX RATES'!$H$1:$J$26,3,FALSE))/AM267^(VLOOKUP(AJ267,'FX RATES'!$H$1:$J$26,3,FALSE))))</f>
        <v>0</v>
      </c>
      <c r="AS267" s="179">
        <f>-I267*(1+X267)/(1-Z267)*IF(W267="VENDOR",IF(K267=RIGHT(AB267,3),1/AE267,AE267),IF(W267="CLIENT",IF(K267=RIGHT(AB267,3),1/AM267,AM267),AM267^(VLOOKUP(AJ267,'FX RATES'!$H$1:$J$26,3,FALSE))/AE267^(VLOOKUP(AB267,'FX RATES'!$H$1:$J$26,3,FALSE))))</f>
        <v>16982954.773869347</v>
      </c>
      <c r="AT267" s="170">
        <f ca="1">IF(AB267&lt;&gt;AJ267,J267/IF(K267=RIGHT(AB267,3),AE267,1/AE267),IF(S267="USD",J267/IF(K267=RIGHT(AB267,3),IF(W267="CLIENT",AM267,AE267),1/IF(W267="CLIENT",AM267,AE267)),J267*VLOOKUP(K267,'FX RATES'!$E$1:$F$10,2,FALSE)))</f>
        <v>-223393.16734221193</v>
      </c>
      <c r="AU267" s="170">
        <f ca="1">IF(AB267&lt;&gt;AJ267,R267/IF(S267=RIGHT(AJ267,3),AM267,1/AM267),IF(K267="USD",R267/IF(S267=RIGHT(AJ267,3),IF(W267="CLIENT",AM267,AE267),1/IF(W267="CLIENT",AM267,AE267)),R267*VLOOKUP(S267,'FX RATES'!$E$1:$F$10,2,FALSE)))</f>
        <v>221361.3672208777</v>
      </c>
      <c r="AV267" s="170">
        <f ca="1">AT267+AU267</f>
        <v>-2031.8001213342359</v>
      </c>
      <c r="AW267" s="227"/>
      <c r="AX267" s="170">
        <f ca="1">IF(AND(ISERROR(SEARCH("INVOICE",T267)),ISERROR(SEARCH("SWITCH",T267)),ISERROR(SEARCH("FOREX",T267)),ISERROR(SEARCH("REFUND",A267)),ISERROR(SEARCH("CANCELLED",A267))),IF(AW267="",-AT267*X267+AU267*Z267,AW267),0)</f>
        <v>1106.8068361043886</v>
      </c>
      <c r="AY267" s="170">
        <f>IF(AZ267="USD",AT267,IF(AZ267=K267,J267,-R267))</f>
        <v>-1543200</v>
      </c>
      <c r="AZ267" s="170" t="str">
        <f>LEFT(AB267,3)</f>
        <v>CNY</v>
      </c>
      <c r="BA267" s="542">
        <f>IF(OR(A267="REFUND",A267="CANCELLED"),0,IFERROR((IF(OR(AB267="USDAED",LEFT(AB267,3)=RIGHT(AB267,3)),AI267,AG267)-AE267)*-AY267*VLOOKUP(AB267,'FX RATES'!$H$1:$J$26,3,FALSE),0))</f>
        <v>0</v>
      </c>
      <c r="BB267" s="170" t="str">
        <f>RIGHT(AB267,3)</f>
        <v>RUB</v>
      </c>
      <c r="BC267" s="542">
        <f>IF(BA267=0,0,IFERROR(BA267/IF(BB267&lt;&gt;"USD",AI267,1),"???"))</f>
        <v>0</v>
      </c>
      <c r="BD267" s="170">
        <f>IFERROR(-AC267/(IF(OR(AB267="USDAED",LEFT(AB267,3)=RIGHT(AB267,3)),AH267,AG267)-AE267)*BC267,0)</f>
        <v>0</v>
      </c>
      <c r="BE267" s="542">
        <f>BC267-BD267</f>
        <v>0</v>
      </c>
      <c r="BF267" s="170">
        <f>IF(BG267="USD",AU267,IF(BG267=S267,R267,-J267))</f>
        <v>1543200</v>
      </c>
      <c r="BG267" s="170" t="str">
        <f>LEFT(AJ267,3)</f>
        <v>CNY</v>
      </c>
      <c r="BH267" s="542">
        <f>IF(OR(A267="REFUND",A267="CANCELLED"),0,IFERROR((IF(OR(AJ267="USDAED",LEFT(AJ267,3)=RIGHT(AJ267,3)),AQ267,AO267)-AM267)*-BF267*VLOOKUP(AJ267,'FX RATES'!$H$1:$J$26,3,FALSE),0))</f>
        <v>0</v>
      </c>
      <c r="BI267" s="170" t="str">
        <f>RIGHT(AJ267,3)</f>
        <v>RUB</v>
      </c>
      <c r="BJ267" s="542">
        <f>IF(BH267=0,0,IFERROR(BH267/IF(BI267&lt;&gt;"USD",AQ267,1),"???"))</f>
        <v>0</v>
      </c>
      <c r="BK267" s="170">
        <f>IFERROR(-AK267/(IF(OR(AJ267="USDAED",LEFT(AJ267,3)=RIGHT(AJ267,3)),AP267,AO267)-AM267)*BJ267,0)</f>
        <v>0</v>
      </c>
      <c r="BL267" s="542">
        <f>BJ267-BK267</f>
        <v>0</v>
      </c>
      <c r="BM267" s="170">
        <f>IF(AND(ISERROR(SEARCH("REFUND",A267)),ISERROR(SEARCH("CANCELLED",A267))),BD267+BK267,0)</f>
        <v>0</v>
      </c>
      <c r="BN267" s="542">
        <f>IF(AND(ISERROR(SEARCH("REFUND",A267)),ISERROR(SEARCH("CANCELLED",A267))),BE267+BL267,0)</f>
        <v>0</v>
      </c>
    </row>
    <row r="268" spans="1:66" ht="19.5" customHeight="1">
      <c r="A268" s="167" t="s">
        <v>366</v>
      </c>
      <c r="B268" s="225" t="s">
        <v>42</v>
      </c>
      <c r="C268" s="225" t="s">
        <v>367</v>
      </c>
      <c r="D268" s="225" t="s">
        <v>368</v>
      </c>
      <c r="E268" s="226">
        <v>46050</v>
      </c>
      <c r="F268" s="226"/>
      <c r="G268" s="225" t="s">
        <v>42</v>
      </c>
      <c r="H268" s="225" t="s">
        <v>430</v>
      </c>
      <c r="I268" s="227">
        <v>-4400000</v>
      </c>
      <c r="J268" s="170">
        <f>IF(I268="",AR268,I268)</f>
        <v>-4400000</v>
      </c>
      <c r="K268" s="225" t="s">
        <v>7</v>
      </c>
      <c r="L268" s="226" t="s">
        <v>37</v>
      </c>
      <c r="M268" s="225" t="s">
        <v>22</v>
      </c>
      <c r="N268" s="167" t="s">
        <v>371</v>
      </c>
      <c r="O268" s="225" t="s">
        <v>52</v>
      </c>
      <c r="P268" s="225" t="s">
        <v>430</v>
      </c>
      <c r="Q268" s="227"/>
      <c r="R268" s="170">
        <f>IF(Q268="",AS268,Q268)</f>
        <v>48422110.552763812</v>
      </c>
      <c r="S268" s="225" t="s">
        <v>9</v>
      </c>
      <c r="T268" s="226" t="s">
        <v>25</v>
      </c>
      <c r="U268" s="225" t="s">
        <v>25</v>
      </c>
      <c r="V268" s="167" t="s">
        <v>371</v>
      </c>
      <c r="W268" s="230" t="s">
        <v>389</v>
      </c>
      <c r="X268" s="173">
        <f>IF(Y268="",VLOOKUP(H268,CLIENTS!$A$1:$O$649,5,FALSE),Y268)</f>
        <v>0</v>
      </c>
      <c r="Y268" s="234">
        <v>0</v>
      </c>
      <c r="Z268" s="173">
        <f>IF(AA268="",VLOOKUP(P268,CLIENTS!$A$1:$O$649,5,FALSE),AA268)</f>
        <v>5.0000000000000001E-3</v>
      </c>
      <c r="AA268" s="234">
        <v>5.0000000000000001E-3</v>
      </c>
      <c r="AB268" s="173" t="str">
        <f>IF(W268="via USD",IF(K268="EUR",K268&amp;"USD","USD"&amp;K268),IFERROR(VLOOKUP(K268&amp;S268,'FX RATES'!$H$2:$H$20,1,FALSE),S268&amp;K268))</f>
        <v>CNYRUB</v>
      </c>
      <c r="AC268" s="175">
        <f>IF(LEFT(AB268,3)=RIGHT(AB268,3),0,IFERROR(INDEX(CLIENTS!$A$1:$O$649,MATCH(H268,CLIENTS!$A$1:$A$649,0),MATCH(AB268,CLIENTS!$A$1:$O$1,0)),0))</f>
        <v>0</v>
      </c>
      <c r="AD268" s="176"/>
      <c r="AE268" s="177" t="str">
        <f>IF(W268="CLIENT","",IF(AD268="",AH268+AC268,AD268+AC268))</f>
        <v/>
      </c>
      <c r="AF268" s="177" t="str">
        <f>E268&amp;AB268</f>
        <v>46050CNYRUB</v>
      </c>
      <c r="AG268" s="176"/>
      <c r="AH268" s="178">
        <f ca="1">IF(LEFT(AB268,3)=RIGHT(AB268,3),1,VLOOKUP(AB268,'FX RATES'!$H$1:$I$20,2,FALSE))</f>
        <v>11.103899999999999</v>
      </c>
      <c r="AI268" s="178">
        <f>IF(OR(AB268="USDAED",LEFT(AB268,3)=RIGHT(AB268,3)),AH268,IF(LEFT(AB268)="USD",AG268,IF(RIGHT(AB268,3)="USD",1,IFERROR(VLOOKUP(E268&amp;"USD"&amp;RIGHT(AB268,3),$AF:$AG,2,FALSE),VLOOKUP(E268&amp;"USD"&amp;RIGHT(AJ268,3),$AN:$AO,2,FALSE)))))</f>
        <v>76.099999999999994</v>
      </c>
      <c r="AJ268" s="173" t="str">
        <f>IF(W268="via USD",IF(S268="EUR",S268&amp;"USD","USD"&amp;S268),IFERROR(VLOOKUP(K268&amp;S268,'FX RATES'!$H$2:$H$20,1,FALSE),S268&amp;K268))</f>
        <v>CNYRUB</v>
      </c>
      <c r="AK268" s="175">
        <f>IF(LEFT(AJ268,3)=RIGHT(AJ268,3),0,IFERROR(INDEX(CLIENTS!$A$1:$O$649,MATCH(P268,CLIENTS!$A$1:$A$649,0),MATCH(AJ268,CLIENTS!$A$1:$O$1,0)),0))</f>
        <v>0</v>
      </c>
      <c r="AL268" s="176">
        <v>10.95</v>
      </c>
      <c r="AM268" s="177">
        <f>IF(W268="VENDOR","",IF(AL268="",AP268+AK268,AL268+AK268))</f>
        <v>10.95</v>
      </c>
      <c r="AN268" s="177" t="str">
        <f>E268&amp;AJ268</f>
        <v>46050CNYRUB</v>
      </c>
      <c r="AO268" s="176">
        <v>10.95</v>
      </c>
      <c r="AP268" s="178">
        <f ca="1">IF(LEFT(AJ268,3)=RIGHT(AJ268,3),1,VLOOKUP(AJ268,'FX RATES'!$H$1:$I$20,2,FALSE))</f>
        <v>11.103899999999999</v>
      </c>
      <c r="AQ268" s="178">
        <f>IF(OR(AJ268="USDAED",LEFT(AJ268,3)=RIGHT(AJ268,3)),AP268,IF(LEFT(AJ268)="USD",AO268,IF(RIGHT(AJ268,3)="USD",1,IFERROR(VLOOKUP(E268&amp;"USD"&amp;RIGHT(AJ268,3),$AN:$AO,2,FALSE),VLOOKUP(E268&amp;"USD"&amp;RIGHT(AB268,3),$AF:$AG,2,FALSE)))))</f>
        <v>76.099999999999994</v>
      </c>
      <c r="AR268" s="179">
        <f>-Q268*(1-Z268)/(1+X268)*IF(W268="CLIENT",IF(S268=RIGHT(AJ268,3),1/AM268,AM268),IF(W268="VENDOR",IF(S268=RIGHT(AJ268,3),1/AE268,AE268),AE268^(VLOOKUP(AB268,'FX RATES'!$H$1:$J$26,3,FALSE))/AM268^(VLOOKUP(AJ268,'FX RATES'!$H$1:$J$26,3,FALSE))))</f>
        <v>0</v>
      </c>
      <c r="AS268" s="179">
        <f>-I268*(1+X268)/(1-Z268)*IF(W268="VENDOR",IF(K268=RIGHT(AB268,3),1/AE268,AE268),IF(W268="CLIENT",IF(K268=RIGHT(AB268,3),1/AM268,AM268),AM268^(VLOOKUP(AJ268,'FX RATES'!$H$1:$J$26,3,FALSE))/AE268^(VLOOKUP(AB268,'FX RATES'!$H$1:$J$26,3,FALSE))))</f>
        <v>48422110.552763812</v>
      </c>
      <c r="AT268" s="170">
        <f ca="1">IF(AB268&lt;&gt;AJ268,J268/IF(K268=RIGHT(AB268,3),AE268,1/AE268),IF(S268="USD",J268/IF(K268=RIGHT(AB268,3),IF(W268="CLIENT",AM268,AE268),1/IF(W268="CLIENT",AM268,AE268)),J268*VLOOKUP(K268,'FX RATES'!$E$1:$F$10,2,FALSE)))</f>
        <v>-636942.67515923572</v>
      </c>
      <c r="AU268" s="170">
        <f ca="1">IF(AB268&lt;&gt;AJ268,R268/IF(S268=RIGHT(AJ268,3),AM268,1/AM268),IF(K268="USD",R268/IF(S268=RIGHT(AJ268,3),IF(W268="CLIENT",AM268,AE268),1/IF(W268="CLIENT",AM268,AE268)),R268*VLOOKUP(S268,'FX RATES'!$E$1:$F$10,2,FALSE)))</f>
        <v>631149.56957741163</v>
      </c>
      <c r="AV268" s="170">
        <f ca="1">AT268+AU268</f>
        <v>-5793.1055818240857</v>
      </c>
      <c r="AW268" s="227"/>
      <c r="AX268" s="170">
        <f ca="1">IF(AND(ISERROR(SEARCH("INVOICE",T268)),ISERROR(SEARCH("SWITCH",T268)),ISERROR(SEARCH("FOREX",T268)),ISERROR(SEARCH("REFUND",A268)),ISERROR(SEARCH("CANCELLED",A268))),IF(AW268="",-AT268*X268+AU268*Z268,AW268),0)</f>
        <v>3155.747847887058</v>
      </c>
      <c r="AY268" s="170">
        <f>IF(AZ268="USD",AT268,IF(AZ268=K268,J268,-R268))</f>
        <v>-4400000</v>
      </c>
      <c r="AZ268" s="170" t="str">
        <f>LEFT(AB268,3)</f>
        <v>CNY</v>
      </c>
      <c r="BA268" s="542">
        <f>IF(OR(A268="REFUND",A268="CANCELLED"),0,IFERROR((IF(OR(AB268="USDAED",LEFT(AB268,3)=RIGHT(AB268,3)),AI268,AG268)-AE268)*-AY268*VLOOKUP(AB268,'FX RATES'!$H$1:$J$26,3,FALSE),0))</f>
        <v>0</v>
      </c>
      <c r="BB268" s="170" t="str">
        <f>RIGHT(AB268,3)</f>
        <v>RUB</v>
      </c>
      <c r="BC268" s="542">
        <f>IF(BA268=0,0,IFERROR(BA268/IF(BB268&lt;&gt;"USD",AI268,1),"???"))</f>
        <v>0</v>
      </c>
      <c r="BD268" s="170">
        <f>IFERROR(-AC268/(IF(OR(AB268="USDAED",LEFT(AB268,3)=RIGHT(AB268,3)),AH268,AG268)-AE268)*BC268,0)</f>
        <v>0</v>
      </c>
      <c r="BE268" s="542">
        <f>BC268-BD268</f>
        <v>0</v>
      </c>
      <c r="BF268" s="170">
        <f>IF(BG268="USD",AU268,IF(BG268=S268,R268,-J268))</f>
        <v>4400000</v>
      </c>
      <c r="BG268" s="170" t="str">
        <f>LEFT(AJ268,3)</f>
        <v>CNY</v>
      </c>
      <c r="BH268" s="542">
        <f>IF(OR(A268="REFUND",A268="CANCELLED"),0,IFERROR((IF(OR(AJ268="USDAED",LEFT(AJ268,3)=RIGHT(AJ268,3)),AQ268,AO268)-AM268)*-BF268*VLOOKUP(AJ268,'FX RATES'!$H$1:$J$26,3,FALSE),0))</f>
        <v>0</v>
      </c>
      <c r="BI268" s="170" t="str">
        <f>RIGHT(AJ268,3)</f>
        <v>RUB</v>
      </c>
      <c r="BJ268" s="542">
        <f>IF(BH268=0,0,IFERROR(BH268/IF(BI268&lt;&gt;"USD",AQ268,1),"???"))</f>
        <v>0</v>
      </c>
      <c r="BK268" s="170">
        <f>IFERROR(-AK268/(IF(OR(AJ268="USDAED",LEFT(AJ268,3)=RIGHT(AJ268,3)),AP268,AO268)-AM268)*BJ268,0)</f>
        <v>0</v>
      </c>
      <c r="BL268" s="542">
        <f>BJ268-BK268</f>
        <v>0</v>
      </c>
      <c r="BM268" s="170">
        <f>IF(AND(ISERROR(SEARCH("REFUND",A268)),ISERROR(SEARCH("CANCELLED",A268))),BD268+BK268,0)</f>
        <v>0</v>
      </c>
      <c r="BN268" s="542">
        <f>IF(AND(ISERROR(SEARCH("REFUND",A268)),ISERROR(SEARCH("CANCELLED",A268))),BE268+BL268,0)</f>
        <v>0</v>
      </c>
    </row>
    <row r="269" spans="1:66" ht="19.5" customHeight="1">
      <c r="A269" s="167" t="s">
        <v>366</v>
      </c>
      <c r="B269" s="225" t="s">
        <v>39</v>
      </c>
      <c r="C269" s="225" t="s">
        <v>383</v>
      </c>
      <c r="D269" s="225" t="s">
        <v>368</v>
      </c>
      <c r="E269" s="226">
        <v>46050</v>
      </c>
      <c r="F269" s="226"/>
      <c r="G269" s="225" t="s">
        <v>52</v>
      </c>
      <c r="H269" s="228" t="s">
        <v>390</v>
      </c>
      <c r="I269" s="227">
        <f>-(R267+R268)</f>
        <v>-65405065.326633155</v>
      </c>
      <c r="J269" s="170">
        <f t="shared" ref="J269" si="296">IF(I269="",AR269,I269)</f>
        <v>-65405065.326633155</v>
      </c>
      <c r="K269" s="225" t="s">
        <v>9</v>
      </c>
      <c r="L269" s="226" t="s">
        <v>391</v>
      </c>
      <c r="M269" s="225" t="s">
        <v>25</v>
      </c>
      <c r="N269" s="167" t="s">
        <v>371</v>
      </c>
      <c r="O269" s="225" t="s">
        <v>42</v>
      </c>
      <c r="P269" s="225" t="s">
        <v>392</v>
      </c>
      <c r="Q269" s="227"/>
      <c r="R269" s="170">
        <f t="shared" ref="R269" si="297">IF(Q269="",AS269,Q269)</f>
        <v>5983994.9978621369</v>
      </c>
      <c r="S269" s="225" t="s">
        <v>7</v>
      </c>
      <c r="T269" s="226" t="s">
        <v>22</v>
      </c>
      <c r="U269" s="225" t="s">
        <v>22</v>
      </c>
      <c r="V269" s="167" t="s">
        <v>371</v>
      </c>
      <c r="W269" s="230" t="s">
        <v>382</v>
      </c>
      <c r="X269" s="173">
        <f>IF(Y269="",VLOOKUP(H269,CLIENTS!$A$1:$O$649,5,FALSE),Y269)</f>
        <v>0</v>
      </c>
      <c r="Y269" s="234"/>
      <c r="Z269" s="173">
        <f>IF(AA269="",VLOOKUP(P269,CLIENTS!$A$1:$O$649,5,FALSE),AA269)</f>
        <v>0</v>
      </c>
      <c r="AA269" s="234"/>
      <c r="AB269" s="173" t="str">
        <f>IF(W269="via USD",IF(K269="EUR",K269&amp;"USD","USD"&amp;K269),IFERROR(VLOOKUP(K269&amp;S269,'FX RATES'!$H$2:$H$20,1,FALSE),S269&amp;K269))</f>
        <v>CNYRUB</v>
      </c>
      <c r="AC269" s="175">
        <f>IF(LEFT(AB269,3)=RIGHT(AB269,3),0,IFERROR(INDEX(CLIENTS!$A$1:$O$649,MATCH(H269,CLIENTS!$A$1:$A$649,0),MATCH(AB269,CLIENTS!$A$1:$O$1,0)),0))</f>
        <v>0</v>
      </c>
      <c r="AD269" s="176">
        <v>10.93</v>
      </c>
      <c r="AE269" s="177">
        <f t="shared" ref="AE269" si="298">IF(W269="CLIENT","",IF(AD269="",AH269+AC269,AD269+AC269))</f>
        <v>10.93</v>
      </c>
      <c r="AF269" s="177" t="str">
        <f t="shared" ref="AF269" si="299">E269&amp;AB269</f>
        <v>46050CNYRUB</v>
      </c>
      <c r="AG269" s="176">
        <v>10.95</v>
      </c>
      <c r="AH269" s="178">
        <f ca="1">IF(LEFT(AB269,3)=RIGHT(AB269,3),1,VLOOKUP(AB269,'FX RATES'!$H$1:$I$20,2,FALSE))</f>
        <v>11.103899999999999</v>
      </c>
      <c r="AI269" s="178">
        <f>IF(OR(AB269="USDAED",LEFT(AB269,3)=RIGHT(AB269,3)),AH269,IF(LEFT(AB269)="USD",AG269,IF(RIGHT(AB269,3)="USD",1,IFERROR(VLOOKUP(E269&amp;"USD"&amp;RIGHT(AB269,3),$AF:$AG,2,FALSE),VLOOKUP(E269&amp;"USD"&amp;RIGHT(AJ269,3),$AN:$AO,2,FALSE)))))</f>
        <v>76.099999999999994</v>
      </c>
      <c r="AJ269" s="173" t="str">
        <f>IF(W269="via USD",IF(S269="EUR",S269&amp;"USD","USD"&amp;S269),IFERROR(VLOOKUP(K269&amp;S269,'FX RATES'!$H$2:$H$20,1,FALSE),S269&amp;K269))</f>
        <v>CNYRUB</v>
      </c>
      <c r="AK269" s="175">
        <f>IF(LEFT(AJ269,3)=RIGHT(AJ269,3),0,IFERROR(INDEX(CLIENTS!$A$1:$O$649,MATCH(P269,CLIENTS!$A$1:$A$649,0),MATCH(AJ269,CLIENTS!$A$1:$O$1,0)),0))</f>
        <v>0</v>
      </c>
      <c r="AL269" s="176"/>
      <c r="AM269" s="177" t="str">
        <f t="shared" ref="AM269" si="300">IF(W269="VENDOR","",IF(AL269="",AP269+AK269,AL269+AK269))</f>
        <v/>
      </c>
      <c r="AN269" s="177" t="str">
        <f t="shared" ref="AN269" si="301">E269&amp;AJ269</f>
        <v>46050CNYRUB</v>
      </c>
      <c r="AO269" s="176"/>
      <c r="AP269" s="178">
        <f ca="1">IF(LEFT(AJ269,3)=RIGHT(AJ269,3),1,VLOOKUP(AJ269,'FX RATES'!$H$1:$I$20,2,FALSE))</f>
        <v>11.103899999999999</v>
      </c>
      <c r="AQ269" s="178">
        <f>IF(OR(AJ269="USDAED",LEFT(AJ269,3)=RIGHT(AJ269,3)),AP269,IF(LEFT(AJ269)="USD",AO269,IF(RIGHT(AJ269,3)="USD",1,IFERROR(VLOOKUP(E269&amp;"USD"&amp;RIGHT(AJ269,3),$AN:$AO,2,FALSE),VLOOKUP(E269&amp;"USD"&amp;RIGHT(AB269,3),$AF:$AG,2,FALSE)))))</f>
        <v>76.099999999999994</v>
      </c>
      <c r="AR269" s="179">
        <f>-Q269*(1-Z269)/(1+X269)*IF(W269="CLIENT",IF(S269=RIGHT(AJ269,3),1/AM269,AM269),IF(W269="VENDOR",IF(S269=RIGHT(AJ269,3),1/AE269,AE269),AE269^(VLOOKUP(AB269,'FX RATES'!$H$1:$J$26,3,FALSE))/AM269^(VLOOKUP(AJ269,'FX RATES'!$H$1:$J$26,3,FALSE))))</f>
        <v>0</v>
      </c>
      <c r="AS269" s="179">
        <f>-I269*(1+X269)/(1-Z269)*IF(W269="VENDOR",IF(K269=RIGHT(AB269,3),1/AE269,AE269),IF(W269="CLIENT",IF(K269=RIGHT(AB269,3),1/AM269,AM269),AM269^(VLOOKUP(AJ269,'FX RATES'!$H$1:$J$26,3,FALSE))/AE269^(VLOOKUP(AB269,'FX RATES'!$H$1:$J$26,3,FALSE))))</f>
        <v>5983994.9978621369</v>
      </c>
      <c r="AT269" s="170">
        <f ca="1">IF(AB269&lt;&gt;AJ269,J269/IF(K269=RIGHT(AB269,3),AE269,1/AE269),IF(S269="USD",J269/IF(K269=RIGHT(AB269,3),IF(W269="CLIENT",AM269,AE269),1/IF(W269="CLIENT",AM269,AE269)),J269*VLOOKUP(K269,'FX RATES'!$E$1:$F$10,2,FALSE)))</f>
        <v>-852510.9367982893</v>
      </c>
      <c r="AU269" s="170">
        <f ca="1">IF(AB269&lt;&gt;AJ269,R269/IF(S269=RIGHT(AJ269,3),AM269,1/AM269),IF(K269="USD",R269/IF(S269=RIGHT(AJ269,3),IF(W269="CLIENT",AM269,AE269),1/IF(W269="CLIENT",AM269,AE269)),R269*VLOOKUP(S269,'FX RATES'!$E$1:$F$10,2,FALSE)))</f>
        <v>866241.31410858955</v>
      </c>
      <c r="AV269" s="170">
        <f t="shared" ref="AV269" ca="1" si="302">AT269+AU269</f>
        <v>13730.377310300246</v>
      </c>
      <c r="AW269" s="227"/>
      <c r="AX269" s="170">
        <f t="shared" ref="AX269" ca="1" si="303">IF(AND(ISERROR(SEARCH("INVOICE",T269)),ISERROR(SEARCH("SWITCH",T269)),ISERROR(SEARCH("FOREX",T269)),ISERROR(SEARCH("REFUND",A269)),ISERROR(SEARCH("CANCELLED",A269))),IF(AW269="",-AT269*X269+AU269*Z269,AW269),0)</f>
        <v>0</v>
      </c>
      <c r="AY269" s="170">
        <f t="shared" ref="AY269" si="304">IF(AZ269="USD",AT269,IF(AZ269=K269,J269,-R269))</f>
        <v>-5983994.9978621369</v>
      </c>
      <c r="AZ269" s="170" t="str">
        <f t="shared" ref="AZ269" si="305">LEFT(AB269,3)</f>
        <v>CNY</v>
      </c>
      <c r="BA269" s="542">
        <f>IF(OR(A269="REFUND",A269="CANCELLED"),0,IFERROR((IF(OR(AB269="USDAED",LEFT(AB269,3)=RIGHT(AB269,3)),AI269,AG269)-AE269)*-AY269*VLOOKUP(AB269,'FX RATES'!$H$1:$J$26,3,FALSE),0))</f>
        <v>119679.89995724018</v>
      </c>
      <c r="BB269" s="170" t="str">
        <f>RIGHT(AB269,3)</f>
        <v>RUB</v>
      </c>
      <c r="BC269" s="542">
        <f t="shared" ref="BC269" si="306">IF(BA269=0,0,IFERROR(BA269/IF(BB269&lt;&gt;"USD",AI269,1),"???"))</f>
        <v>1572.6662280846281</v>
      </c>
      <c r="BD269" s="170">
        <f t="shared" ref="BD269" si="307">IFERROR(-AC269/(IF(OR(AB269="USDAED",LEFT(AB269,3)=RIGHT(AB269,3)),AH269,AG269)-AE269)*BC269,0)</f>
        <v>0</v>
      </c>
      <c r="BE269" s="542">
        <f t="shared" ref="BE269" si="308">BC269-BD269</f>
        <v>1572.6662280846281</v>
      </c>
      <c r="BF269" s="170">
        <f t="shared" ref="BF269" si="309">IF(BG269="USD",AU269,IF(BG269=S269,R269,-J269))</f>
        <v>5983994.9978621369</v>
      </c>
      <c r="BG269" s="170" t="str">
        <f t="shared" ref="BG269" si="310">LEFT(AJ269,3)</f>
        <v>CNY</v>
      </c>
      <c r="BH269" s="542">
        <f>IF(OR(A269="REFUND",A269="CANCELLED"),0,IFERROR((IF(OR(AJ269="USDAED",LEFT(AJ269,3)=RIGHT(AJ269,3)),AQ269,AO269)-AM269)*-BF269*VLOOKUP(AJ269,'FX RATES'!$H$1:$J$26,3,FALSE),0))</f>
        <v>0</v>
      </c>
      <c r="BI269" s="170" t="str">
        <f t="shared" ref="BI269" si="311">RIGHT(AJ269,3)</f>
        <v>RUB</v>
      </c>
      <c r="BJ269" s="542">
        <f t="shared" ref="BJ269" si="312">IF(BH269=0,0,IFERROR(BH269/IF(BI269&lt;&gt;"USD",AQ269,1),"???"))</f>
        <v>0</v>
      </c>
      <c r="BK269" s="170">
        <f t="shared" ref="BK269" si="313">IFERROR(-AK269/(IF(OR(AJ269="USDAED",LEFT(AJ269,3)=RIGHT(AJ269,3)),AP269,AO269)-AM269)*BJ269,0)</f>
        <v>0</v>
      </c>
      <c r="BL269" s="542">
        <f t="shared" ref="BL269" si="314">BJ269-BK269</f>
        <v>0</v>
      </c>
      <c r="BM269" s="170">
        <f t="shared" ref="BM269" si="315">IF(AND(ISERROR(SEARCH("REFUND",A269)),ISERROR(SEARCH("CANCELLED",A269))),BD269+BK269,0)</f>
        <v>0</v>
      </c>
      <c r="BN269" s="542">
        <f t="shared" ref="BN269" si="316">IF(AND(ISERROR(SEARCH("REFUND",A269)),ISERROR(SEARCH("CANCELLED",A269))),BE269+BL269,0)</f>
        <v>1572.6662280846281</v>
      </c>
    </row>
    <row r="270" spans="1:66" ht="19.5" customHeight="1">
      <c r="J270" s="450"/>
    </row>
    <row r="271" spans="1:66" ht="19.5" customHeight="1">
      <c r="A271" s="167" t="s">
        <v>366</v>
      </c>
      <c r="B271" s="168" t="s">
        <v>39</v>
      </c>
      <c r="C271" s="168" t="s">
        <v>367</v>
      </c>
      <c r="D271" s="181" t="s">
        <v>368</v>
      </c>
      <c r="E271" s="171">
        <v>46050</v>
      </c>
      <c r="F271" s="171"/>
      <c r="G271" s="168" t="s">
        <v>39</v>
      </c>
      <c r="H271" s="181" t="s">
        <v>545</v>
      </c>
      <c r="I271" s="169">
        <v>-51300</v>
      </c>
      <c r="J271" s="170">
        <f>IF(I271="",AR271,I271)</f>
        <v>-51300</v>
      </c>
      <c r="K271" s="168" t="s">
        <v>5</v>
      </c>
      <c r="L271" s="168" t="s">
        <v>546</v>
      </c>
      <c r="M271" s="168" t="s">
        <v>20</v>
      </c>
      <c r="N271" s="167" t="s">
        <v>371</v>
      </c>
      <c r="O271" s="168" t="s">
        <v>52</v>
      </c>
      <c r="P271" s="168" t="s">
        <v>379</v>
      </c>
      <c r="Q271" s="169"/>
      <c r="R271" s="170">
        <f>IF(Q271="",AS271,Q271)</f>
        <v>3946846.7035175879</v>
      </c>
      <c r="S271" s="168" t="s">
        <v>9</v>
      </c>
      <c r="T271" s="171" t="s">
        <v>380</v>
      </c>
      <c r="U271" s="171" t="s">
        <v>25</v>
      </c>
      <c r="V271" s="167" t="s">
        <v>371</v>
      </c>
      <c r="W271" s="172" t="s">
        <v>375</v>
      </c>
      <c r="X271" s="173">
        <f>IF(Y271="",VLOOKUP(H271,CLIENTS!$A$1:$O$649,5,FALSE),Y271)</f>
        <v>0</v>
      </c>
      <c r="Y271" s="174">
        <v>0</v>
      </c>
      <c r="Z271" s="173">
        <f>IF(AA271="",VLOOKUP(P271,CLIENTS!$A$1:$O$649,5,FALSE),AA271)</f>
        <v>5.0000000000000001E-3</v>
      </c>
      <c r="AA271" s="174">
        <v>5.0000000000000001E-3</v>
      </c>
      <c r="AB271" s="173" t="str">
        <f>IF(W271="via USD",IF(K271="EUR",K271&amp;"USD","USD"&amp;K271),IFERROR(VLOOKUP(K271&amp;S271,'FX RATES'!$H$2:$H$20,1,FALSE),S271&amp;K271))</f>
        <v>USDUSD</v>
      </c>
      <c r="AC271" s="175">
        <f>IF(LEFT(AB271,3)=RIGHT(AB271,3),0,IFERROR(INDEX(CLIENTS!$A$1:$O$649,MATCH(H271,CLIENTS!$A$1:$A$649,0),MATCH(AB271,CLIENTS!$A$1:$O$1,0)),0))</f>
        <v>0</v>
      </c>
      <c r="AD271" s="176"/>
      <c r="AE271" s="177">
        <f>IF(W271="CLIENT","",IF(AD271="",AH271+AC271,AD271+AC271))</f>
        <v>1</v>
      </c>
      <c r="AF271" s="177" t="str">
        <f>E271&amp;AB271</f>
        <v>46050USDUSD</v>
      </c>
      <c r="AG271" s="176"/>
      <c r="AH271" s="178">
        <f>IF(LEFT(AB271,3)=RIGHT(AB271,3),1,VLOOKUP(AB271,'FX RATES'!$H$1:$I$20,2,FALSE))</f>
        <v>1</v>
      </c>
      <c r="AI271" s="178">
        <f>IF(OR(AB271="USDAED",LEFT(AB271,3)=RIGHT(AB271,3)),AH271,IF(LEFT(AB271)="USD",AG271,IF(RIGHT(AB271,3)="USD",1,IFERROR(VLOOKUP(E271&amp;"USD"&amp;RIGHT(AB271,3),$AF:$AG,2,FALSE),VLOOKUP(E271&amp;"USD"&amp;RIGHT(AJ271,3),$AN:$AO,2,FALSE)))))</f>
        <v>1</v>
      </c>
      <c r="AJ271" s="173" t="str">
        <f>IF(W271="via USD",IF(S271="EUR",S271&amp;"USD","USD"&amp;S271),IFERROR(VLOOKUP(K271&amp;S271,'FX RATES'!$H$2:$H$20,1,FALSE),S271&amp;K271))</f>
        <v>USDRUB</v>
      </c>
      <c r="AK271" s="175">
        <f>IF(LEFT(AJ271,3)=RIGHT(AJ271,3),0,IFERROR(INDEX(CLIENTS!$A$1:$O$649,MATCH(P271,CLIENTS!$A$1:$A$649,0),MATCH(AJ271,CLIENTS!$A$1:$O$1,0)),0))</f>
        <v>0</v>
      </c>
      <c r="AL271" s="176">
        <v>76.551900000000003</v>
      </c>
      <c r="AM271" s="177">
        <f>IF(W271="VENDOR","",IF(AL271="",AP271+AK271,AL271+AK271))</f>
        <v>76.551900000000003</v>
      </c>
      <c r="AN271" s="177" t="str">
        <f>E271&amp;AJ271</f>
        <v>46050USDRUB</v>
      </c>
      <c r="AO271" s="176">
        <v>76.099999999999994</v>
      </c>
      <c r="AP271" s="178">
        <f ca="1">IF(LEFT(AJ271,3)=RIGHT(AJ271,3),1,VLOOKUP(AJ271,'FX RATES'!$H$1:$I$20,2,FALSE))</f>
        <v>76.720500000000001</v>
      </c>
      <c r="AQ271" s="178">
        <f>IF(OR(AJ271="USDAED",LEFT(AJ271,3)=RIGHT(AJ271,3)),AP271,IF(LEFT(AJ271)="USD",AO271,IF(RIGHT(AJ271,3)="USD",1,IFERROR(VLOOKUP(E271&amp;"USD"&amp;RIGHT(AJ271,3),$AN:$AO,2,FALSE),VLOOKUP(E271&amp;"USD"&amp;RIGHT(AB271,3),$AF:$AG,2,FALSE)))))</f>
        <v>76.099999999999994</v>
      </c>
      <c r="AR271" s="179">
        <f>-Q271*(1-Z271)/(1+X271)*IF(W271="CLIENT",IF(S271=RIGHT(AJ271,3),1/AM271,AM271),IF(W271="VENDOR",IF(S271=RIGHT(AJ271,3),1/AE271,AE271),AE271^(VLOOKUP(AB271,'FX RATES'!$H$1:$J$26,3,FALSE))/AM271^(VLOOKUP(AJ271,'FX RATES'!$H$1:$J$26,3,FALSE))))</f>
        <v>0</v>
      </c>
      <c r="AS271" s="179">
        <f>-I271*(1+X271)/(1-Z271)*IF(W271="VENDOR",IF(K271=RIGHT(AB271,3),1/AE271,AE271),IF(W271="CLIENT",IF(K271=RIGHT(AB271,3),1/AM271,AM271),AM271^(VLOOKUP(AJ271,'FX RATES'!$H$1:$J$26,3,FALSE))/AE271^(VLOOKUP(AB271,'FX RATES'!$H$1:$J$26,3,FALSE))))</f>
        <v>3946846.7035175879</v>
      </c>
      <c r="AT271" s="170">
        <f>IF(AB271&lt;&gt;AJ271,J271/IF(K271=RIGHT(AB271,3),AE271,1/AE271),IF(S271="USD",J271/IF(K271=RIGHT(AB271,3),IF(W271="CLIENT",AM271,AE271),1/IF(W271="CLIENT",AM271,AE271)),J271*VLOOKUP(K271,'FX RATES'!$E$1:$F$10,2,FALSE)))</f>
        <v>-51300</v>
      </c>
      <c r="AU271" s="170">
        <f>IF(AB271&lt;&gt;AJ271,R271/IF(S271=RIGHT(AJ271,3),AM271,1/AM271),IF(K271="USD",R271/IF(S271=RIGHT(AJ271,3),IF(W271="CLIENT",AM271,AE271),1/IF(W271="CLIENT",AM271,AE271)),R271*VLOOKUP(S271,'FX RATES'!$E$1:$F$10,2,FALSE)))</f>
        <v>51557.788944723616</v>
      </c>
      <c r="AV271" s="170">
        <f>AT271+AU271</f>
        <v>257.78894472361571</v>
      </c>
      <c r="AW271" s="169"/>
      <c r="AX271" s="170">
        <f>IF(AND(ISERROR(SEARCH("INVOICE",T271)),ISERROR(SEARCH("SWITCH",T271)),ISERROR(SEARCH("FOREX",T271)),ISERROR(SEARCH("REFUND",A271)),ISERROR(SEARCH("CANCELLED",A271))),IF(AW271="",-AT271*X271+AU271*Z271,AW271),0)</f>
        <v>257.7889447236181</v>
      </c>
      <c r="AY271" s="170">
        <f>IF(AZ271="USD",AT271,IF(AZ271=K271,J271,-R271))</f>
        <v>-51300</v>
      </c>
      <c r="AZ271" s="170" t="str">
        <f>LEFT(AB271,3)</f>
        <v>USD</v>
      </c>
      <c r="BA271" s="542">
        <f>IF(OR(A271="REFUND",A271="CANCELLED"),0,IFERROR((IF(OR(AB271="USDAED",LEFT(AB271,3)=RIGHT(AB271,3)),AI271,AG271)-AE271)*-AY271*VLOOKUP(AB271,'FX RATES'!$H$1:$J$26,3,FALSE),0))</f>
        <v>0</v>
      </c>
      <c r="BB271" s="170" t="str">
        <f>RIGHT(AB271,3)</f>
        <v>USD</v>
      </c>
      <c r="BC271" s="542">
        <f>IF(BA271=0,0,IFERROR(BA271/IF(BB271&lt;&gt;"USD",AI271,1),"???"))</f>
        <v>0</v>
      </c>
      <c r="BD271" s="170">
        <f>IFERROR(-AC271/(IF(OR(AB271="USDAED",LEFT(AB271,3)=RIGHT(AB271,3)),AH271,AG271)-AE271)*BC271,0)</f>
        <v>0</v>
      </c>
      <c r="BE271" s="542">
        <f>BC271-BD271</f>
        <v>0</v>
      </c>
      <c r="BF271" s="170">
        <f>IF(BG271="USD",AU271,IF(BG271=S271,R271,-J271))</f>
        <v>51557.788944723616</v>
      </c>
      <c r="BG271" s="170" t="str">
        <f>LEFT(AJ271,3)</f>
        <v>USD</v>
      </c>
      <c r="BH271" s="542">
        <f>IF(OR(A271="REFUND",A271="CANCELLED"),0,IFERROR((IF(OR(AJ271="USDAED",LEFT(AJ271,3)=RIGHT(AJ271,3)),AQ271,AO271)-AM271)*-BF271*VLOOKUP(AJ271,'FX RATES'!$H$1:$J$26,3,FALSE),0))</f>
        <v>23298.964824121071</v>
      </c>
      <c r="BI271" s="170" t="str">
        <f>RIGHT(AJ271,3)</f>
        <v>RUB</v>
      </c>
      <c r="BJ271" s="542">
        <f>IF(BH271=0,0,IFERROR(BH271/IF(BI271&lt;&gt;"USD",AQ271,1),"???"))</f>
        <v>306.16248126308898</v>
      </c>
      <c r="BK271" s="170">
        <f>IFERROR(-AK271/(IF(OR(AJ271="USDAED",LEFT(AJ271,3)=RIGHT(AJ271,3)),AP271,AO271)-AM271)*BJ271,0)</f>
        <v>0</v>
      </c>
      <c r="BL271" s="542">
        <f>BJ271-BK271</f>
        <v>306.16248126308898</v>
      </c>
      <c r="BM271" s="170">
        <f>IF(AND(ISERROR(SEARCH("REFUND",A271)),ISERROR(SEARCH("CANCELLED",A271))),BD271+BK271,0)</f>
        <v>0</v>
      </c>
      <c r="BN271" s="542">
        <f>IF(AND(ISERROR(SEARCH("REFUND",A271)),ISERROR(SEARCH("CANCELLED",A271))),BE271+BL271,0)</f>
        <v>306.16248126308898</v>
      </c>
    </row>
    <row r="272" spans="1:66" ht="19.5" customHeight="1">
      <c r="A272" s="167" t="s">
        <v>366</v>
      </c>
      <c r="B272" s="168" t="s">
        <v>39</v>
      </c>
      <c r="C272" s="168" t="s">
        <v>367</v>
      </c>
      <c r="D272" s="168" t="s">
        <v>368</v>
      </c>
      <c r="E272" s="171">
        <v>46050</v>
      </c>
      <c r="F272" s="171"/>
      <c r="G272" s="168" t="s">
        <v>39</v>
      </c>
      <c r="H272" s="186" t="s">
        <v>547</v>
      </c>
      <c r="I272" s="169">
        <v>-192675</v>
      </c>
      <c r="J272" s="170">
        <f>IF(I272="",AR272,I272)</f>
        <v>-192675</v>
      </c>
      <c r="K272" s="168" t="s">
        <v>8</v>
      </c>
      <c r="L272" s="171" t="s">
        <v>548</v>
      </c>
      <c r="M272" s="168" t="s">
        <v>20</v>
      </c>
      <c r="N272" s="167" t="s">
        <v>371</v>
      </c>
      <c r="O272" s="168" t="s">
        <v>52</v>
      </c>
      <c r="P272" s="168" t="s">
        <v>379</v>
      </c>
      <c r="Q272" s="169"/>
      <c r="R272" s="170">
        <f>IF(Q272="",AS272,Q272)</f>
        <v>4039170.6030150764</v>
      </c>
      <c r="S272" s="168" t="s">
        <v>9</v>
      </c>
      <c r="T272" s="171" t="s">
        <v>380</v>
      </c>
      <c r="U272" s="171" t="s">
        <v>25</v>
      </c>
      <c r="V272" s="167" t="s">
        <v>371</v>
      </c>
      <c r="W272" s="172" t="s">
        <v>375</v>
      </c>
      <c r="X272" s="173">
        <f>IF(Y272="",VLOOKUP(H272,CLIENTS!$A$1:$O$649,5,FALSE),Y272)</f>
        <v>0</v>
      </c>
      <c r="Y272" s="174">
        <v>0</v>
      </c>
      <c r="Z272" s="173">
        <f>IF(AA272="",VLOOKUP(P272,CLIENTS!$A$1:$O$649,5,FALSE),AA272)</f>
        <v>5.0000000000000001E-3</v>
      </c>
      <c r="AA272" s="174">
        <v>5.0000000000000001E-3</v>
      </c>
      <c r="AB272" s="173" t="str">
        <f>IF(W272="via USD",IF(K272="EUR",K272&amp;"USD","USD"&amp;K272),IFERROR(VLOOKUP(K272&amp;S272,'FX RATES'!$H$2:$H$20,1,FALSE),S272&amp;K272))</f>
        <v>USDAED</v>
      </c>
      <c r="AC272" s="175">
        <f>IF(LEFT(AB272,3)=RIGHT(AB272,3),0,IFERROR(INDEX(CLIENTS!$A$1:$O$649,MATCH(H272,CLIENTS!$A$1:$A$649,0),MATCH(AB272,CLIENTS!$A$1:$O$1,0)),0))</f>
        <v>0</v>
      </c>
      <c r="AD272" s="176">
        <v>3.67</v>
      </c>
      <c r="AE272" s="177">
        <f>IF(W272="CLIENT","",IF(AD272="",AH272+AC272,AD272+AC272))</f>
        <v>3.67</v>
      </c>
      <c r="AF272" s="177" t="str">
        <f>E272&amp;AB272</f>
        <v>46050USDAED</v>
      </c>
      <c r="AG272" s="176"/>
      <c r="AH272" s="178">
        <f>IF(LEFT(AB272,3)=RIGHT(AB272,3),1,VLOOKUP(AB272,'FX RATES'!$H$1:$I$20,2,FALSE))</f>
        <v>3.6724999999999999</v>
      </c>
      <c r="AI272" s="178">
        <f>IF(OR(AB272="USDAED",LEFT(AB272,3)=RIGHT(AB272,3)),AH272,IF(LEFT(AB272)="USD",AG272,IF(RIGHT(AB272,3)="USD",1,IFERROR(VLOOKUP(E272&amp;"USD"&amp;RIGHT(AB272,3),$AF:$AG,2,FALSE),VLOOKUP(E272&amp;"USD"&amp;RIGHT(AJ272,3),$AN:$AO,2,FALSE)))))</f>
        <v>3.6724999999999999</v>
      </c>
      <c r="AJ272" s="173" t="str">
        <f>IF(W272="via USD",IF(S272="EUR",S272&amp;"USD","USD"&amp;S272),IFERROR(VLOOKUP(K272&amp;S272,'FX RATES'!$H$2:$H$20,1,FALSE),S272&amp;K272))</f>
        <v>USDRUB</v>
      </c>
      <c r="AK272" s="175">
        <f>IF(LEFT(AJ272,3)=RIGHT(AJ272,3),0,IFERROR(INDEX(CLIENTS!$A$1:$O$649,MATCH(P272,CLIENTS!$A$1:$A$649,0),MATCH(AJ272,CLIENTS!$A$1:$O$1,0)),0))</f>
        <v>0</v>
      </c>
      <c r="AL272" s="176">
        <v>76.551900000000003</v>
      </c>
      <c r="AM272" s="177">
        <f>IF(W272="VENDOR","",IF(AL272="",AP272+AK272,AL272+AK272))</f>
        <v>76.551900000000003</v>
      </c>
      <c r="AN272" s="177" t="str">
        <f>E272&amp;AJ272</f>
        <v>46050USDRUB</v>
      </c>
      <c r="AO272" s="176">
        <v>76.099999999999994</v>
      </c>
      <c r="AP272" s="178">
        <f ca="1">IF(LEFT(AJ272,3)=RIGHT(AJ272,3),1,VLOOKUP(AJ272,'FX RATES'!$H$1:$I$20,2,FALSE))</f>
        <v>76.720500000000001</v>
      </c>
      <c r="AQ272" s="178">
        <f>IF(OR(AJ272="USDAED",LEFT(AJ272,3)=RIGHT(AJ272,3)),AP272,IF(LEFT(AJ272)="USD",AO272,IF(RIGHT(AJ272,3)="USD",1,IFERROR(VLOOKUP(E272&amp;"USD"&amp;RIGHT(AJ272,3),$AN:$AO,2,FALSE),VLOOKUP(E272&amp;"USD"&amp;RIGHT(AB272,3),$AF:$AG,2,FALSE)))))</f>
        <v>76.099999999999994</v>
      </c>
      <c r="AR272" s="179">
        <f>-Q272*(1-Z272)/(1+X272)*IF(W272="CLIENT",IF(S272=RIGHT(AJ272,3),1/AM272,AM272),IF(W272="VENDOR",IF(S272=RIGHT(AJ272,3),1/AE272,AE272),AE272^(VLOOKUP(AB272,'FX RATES'!$H$1:$J$26,3,FALSE))/AM272^(VLOOKUP(AJ272,'FX RATES'!$H$1:$J$26,3,FALSE))))</f>
        <v>0</v>
      </c>
      <c r="AS272" s="179">
        <f>-I272*(1+X272)/(1-Z272)*IF(W272="VENDOR",IF(K272=RIGHT(AB272,3),1/AE272,AE272),IF(W272="CLIENT",IF(K272=RIGHT(AB272,3),1/AM272,AM272),AM272^(VLOOKUP(AJ272,'FX RATES'!$H$1:$J$26,3,FALSE))/AE272^(VLOOKUP(AB272,'FX RATES'!$H$1:$J$26,3,FALSE))))</f>
        <v>4039170.6030150764</v>
      </c>
      <c r="AT272" s="170">
        <f>IF(AB272&lt;&gt;AJ272,J272/IF(K272=RIGHT(AB272,3),AE272,1/AE272),IF(S272="USD",J272/IF(K272=RIGHT(AB272,3),IF(W272="CLIENT",AM272,AE272),1/IF(W272="CLIENT",AM272,AE272)),J272*VLOOKUP(K272,'FX RATES'!$E$1:$F$10,2,FALSE)))</f>
        <v>-52500</v>
      </c>
      <c r="AU272" s="170">
        <f>IF(AB272&lt;&gt;AJ272,R272/IF(S272=RIGHT(AJ272,3),AM272,1/AM272),IF(K272="USD",R272/IF(S272=RIGHT(AJ272,3),IF(W272="CLIENT",AM272,AE272),1/IF(W272="CLIENT",AM272,AE272)),R272*VLOOKUP(S272,'FX RATES'!$E$1:$F$10,2,FALSE)))</f>
        <v>52763.819095477396</v>
      </c>
      <c r="AV272" s="170">
        <f>AT272+AU272</f>
        <v>263.81909547739633</v>
      </c>
      <c r="AW272" s="169"/>
      <c r="AX272" s="170">
        <f>IF(AND(ISERROR(SEARCH("INVOICE",T272)),ISERROR(SEARCH("SWITCH",T272)),ISERROR(SEARCH("FOREX",T272)),ISERROR(SEARCH("REFUND",A272)),ISERROR(SEARCH("CANCELLED",A272))),IF(AW272="",-AT272*X272+AU272*Z272,AW272),0)</f>
        <v>263.81909547738701</v>
      </c>
      <c r="AY272" s="170">
        <f>IF(AZ272="USD",AT272,IF(AZ272=K272,J272,-R272))</f>
        <v>-52500</v>
      </c>
      <c r="AZ272" s="170" t="str">
        <f>LEFT(AB272,3)</f>
        <v>USD</v>
      </c>
      <c r="BA272" s="542">
        <f>IF(OR(A272="REFUND",A272="CANCELLED"),0,IFERROR((IF(OR(AB272="USDAED",LEFT(AB272,3)=RIGHT(AB272,3)),AI272,AG272)-AE272)*-AY272*VLOOKUP(AB272,'FX RATES'!$H$1:$J$26,3,FALSE),0))</f>
        <v>131.24999999999721</v>
      </c>
      <c r="BB272" s="170" t="str">
        <f>RIGHT(AB272,3)</f>
        <v>AED</v>
      </c>
      <c r="BC272" s="542">
        <f>IF(BA272=0,0,IFERROR(BA272/IF(BB272&lt;&gt;"USD",AI272,1),"???"))</f>
        <v>35.738597685499585</v>
      </c>
      <c r="BD272" s="170">
        <f>IFERROR(-AC272/(IF(OR(AB272="USDAED",LEFT(AB272,3)=RIGHT(AB272,3)),AH272,AG272)-AE272)*BC272,0)</f>
        <v>0</v>
      </c>
      <c r="BE272" s="542">
        <f>BC272-BD272</f>
        <v>35.738597685499585</v>
      </c>
      <c r="BF272" s="170">
        <f>IF(BG272="USD",AU272,IF(BG272=S272,R272,-J272))</f>
        <v>52763.819095477396</v>
      </c>
      <c r="BG272" s="170" t="str">
        <f>LEFT(AJ272,3)</f>
        <v>USD</v>
      </c>
      <c r="BH272" s="542">
        <f>IF(OR(A272="REFUND",A272="CANCELLED"),0,IFERROR((IF(OR(AJ272="USDAED",LEFT(AJ272,3)=RIGHT(AJ272,3)),AQ272,AO272)-AM272)*-BF272*VLOOKUP(AJ272,'FX RATES'!$H$1:$J$26,3,FALSE),0))</f>
        <v>23843.969849246714</v>
      </c>
      <c r="BI272" s="170" t="str">
        <f>RIGHT(AJ272,3)</f>
        <v>RUB</v>
      </c>
      <c r="BJ272" s="542">
        <f>IF(BH272=0,0,IFERROR(BH272/IF(BI272&lt;&gt;"USD",AQ272,1),"???"))</f>
        <v>313.32417673123149</v>
      </c>
      <c r="BK272" s="170">
        <f>IFERROR(-AK272/(IF(OR(AJ272="USDAED",LEFT(AJ272,3)=RIGHT(AJ272,3)),AP272,AO272)-AM272)*BJ272,0)</f>
        <v>0</v>
      </c>
      <c r="BL272" s="542">
        <f>BJ272-BK272</f>
        <v>313.32417673123149</v>
      </c>
      <c r="BM272" s="170">
        <f>IF(AND(ISERROR(SEARCH("REFUND",A272)),ISERROR(SEARCH("CANCELLED",A272))),BD272+BK272,0)</f>
        <v>0</v>
      </c>
      <c r="BN272" s="542">
        <f>IF(AND(ISERROR(SEARCH("REFUND",A272)),ISERROR(SEARCH("CANCELLED",A272))),BE272+BL272,0)</f>
        <v>349.06277441673109</v>
      </c>
    </row>
    <row r="273" spans="1:66" ht="19.5" customHeight="1">
      <c r="A273" s="167" t="s">
        <v>366</v>
      </c>
      <c r="B273" s="168" t="s">
        <v>52</v>
      </c>
      <c r="C273" s="168" t="s">
        <v>381</v>
      </c>
      <c r="D273" s="168" t="s">
        <v>128</v>
      </c>
      <c r="E273" s="171">
        <v>46050</v>
      </c>
      <c r="F273" s="171"/>
      <c r="G273" s="168" t="s">
        <v>52</v>
      </c>
      <c r="H273" s="168" t="s">
        <v>52</v>
      </c>
      <c r="I273" s="169"/>
      <c r="J273" s="170">
        <f>IF(I273="",AR273,I273)</f>
        <v>-348069.1134673357</v>
      </c>
      <c r="K273" s="168" t="s">
        <v>9</v>
      </c>
      <c r="L273" s="168" t="s">
        <v>25</v>
      </c>
      <c r="M273" s="168" t="s">
        <v>25</v>
      </c>
      <c r="N273" s="167" t="s">
        <v>371</v>
      </c>
      <c r="O273" s="168" t="s">
        <v>52</v>
      </c>
      <c r="P273" s="168" t="s">
        <v>52</v>
      </c>
      <c r="Q273" s="169">
        <f>-(R271+R272+J274)</f>
        <v>348069.1134673357</v>
      </c>
      <c r="R273" s="170">
        <f>IF(Q273="",AS273,Q273)</f>
        <v>348069.1134673357</v>
      </c>
      <c r="S273" s="168" t="s">
        <v>9</v>
      </c>
      <c r="T273" s="168" t="s">
        <v>25</v>
      </c>
      <c r="U273" s="168" t="s">
        <v>25</v>
      </c>
      <c r="V273" s="167" t="s">
        <v>371</v>
      </c>
      <c r="W273" s="172" t="s">
        <v>382</v>
      </c>
      <c r="X273" s="173">
        <f>IF(Y273="",VLOOKUP(H273,CLIENTS!$A$1:$O$649,5,FALSE),Y273)</f>
        <v>0</v>
      </c>
      <c r="Y273" s="174"/>
      <c r="Z273" s="173">
        <f>IF(AA273="",VLOOKUP(P273,CLIENTS!$A$1:$O$649,5,FALSE),AA273)</f>
        <v>0</v>
      </c>
      <c r="AA273" s="174"/>
      <c r="AB273" s="173" t="str">
        <f>IF(W273="via USD",IF(K273="EUR",K273&amp;"USD","USD"&amp;K273),IFERROR(VLOOKUP(K273&amp;S273,'FX RATES'!$H$2:$H$20,1,FALSE),S273&amp;K273))</f>
        <v>RUBRUB</v>
      </c>
      <c r="AC273" s="175">
        <f>IF(LEFT(AB273,3)=RIGHT(AB273,3),0,IFERROR(INDEX(CLIENTS!$A$1:$O$649,MATCH(H273,CLIENTS!$A$1:$A$649,0),MATCH(AB273,CLIENTS!$A$1:$O$1,0)),0))</f>
        <v>0</v>
      </c>
      <c r="AD273" s="176"/>
      <c r="AE273" s="177">
        <f>IF(W273="CLIENT","",IF(AD273="",AH273+AC273,AD273+AC273))</f>
        <v>1</v>
      </c>
      <c r="AF273" s="177" t="str">
        <f>E273&amp;AB273</f>
        <v>46050RUBRUB</v>
      </c>
      <c r="AG273" s="176"/>
      <c r="AH273" s="178">
        <f>IF(LEFT(AB273,3)=RIGHT(AB273,3),1,VLOOKUP(AB273,'FX RATES'!$H$1:$I$20,2,FALSE))</f>
        <v>1</v>
      </c>
      <c r="AI273" s="178">
        <f>IF(OR(AB273="USDAED",LEFT(AB273,3)=RIGHT(AB273,3)),AH273,IF(LEFT(AB273)="USD",AG273,IF(RIGHT(AB273,3)="USD",1,IFERROR(VLOOKUP(E273&amp;"USD"&amp;RIGHT(AB273,3),$AF:$AG,2,FALSE),VLOOKUP(E273&amp;"USD"&amp;RIGHT(AJ273,3),$AN:$AO,2,FALSE)))))</f>
        <v>1</v>
      </c>
      <c r="AJ273" s="173" t="str">
        <f>IF(W273="via USD",IF(S273="EUR",S273&amp;"USD","USD"&amp;S273),IFERROR(VLOOKUP(K273&amp;S273,'FX RATES'!$H$2:$H$20,1,FALSE),S273&amp;K273))</f>
        <v>RUBRUB</v>
      </c>
      <c r="AK273" s="175">
        <f>IF(LEFT(AJ273,3)=RIGHT(AJ273,3),0,IFERROR(INDEX(CLIENTS!$A$1:$O$649,MATCH(P273,CLIENTS!$A$1:$A$649,0),MATCH(AJ273,CLIENTS!$A$1:$O$1,0)),0))</f>
        <v>0</v>
      </c>
      <c r="AL273" s="176"/>
      <c r="AM273" s="177" t="str">
        <f>IF(W273="VENDOR","",IF(AL273="",AP273+AK273,AL273+AK273))</f>
        <v/>
      </c>
      <c r="AN273" s="177" t="str">
        <f>E273&amp;AJ273</f>
        <v>46050RUBRUB</v>
      </c>
      <c r="AO273" s="176"/>
      <c r="AP273" s="178">
        <f>IF(LEFT(AJ273,3)=RIGHT(AJ273,3),1,VLOOKUP(AJ273,'FX RATES'!$H$1:$I$20,2,FALSE))</f>
        <v>1</v>
      </c>
      <c r="AQ273" s="178">
        <f>IF(OR(AJ273="USDAED",LEFT(AJ273,3)=RIGHT(AJ273,3)),AP273,IF(LEFT(AJ273)="USD",AO273,IF(RIGHT(AJ273,3)="USD",1,IFERROR(VLOOKUP(E273&amp;"USD"&amp;RIGHT(AJ273,3),$AN:$AO,2,FALSE),VLOOKUP(E273&amp;"USD"&amp;RIGHT(AB273,3),$AF:$AG,2,FALSE)))))</f>
        <v>1</v>
      </c>
      <c r="AR273" s="179">
        <f>-Q273*(1-Z273)/(1+X273)*IF(W273="CLIENT",IF(S273=RIGHT(AJ273,3),1/AM273,AM273),IF(W273="VENDOR",IF(S273=RIGHT(AJ273,3),1/AE273,AE273),AE273^(VLOOKUP(AB273,'FX RATES'!$H$1:$J$26,3,FALSE))/AM273^(VLOOKUP(AJ273,'FX RATES'!$H$1:$J$26,3,FALSE))))</f>
        <v>-348069.1134673357</v>
      </c>
      <c r="AS273" s="179">
        <f>-I273*(1+X273)/(1-Z273)*IF(W273="VENDOR",IF(K273=RIGHT(AB273,3),1/AE273,AE273),IF(W273="CLIENT",IF(K273=RIGHT(AB273,3),1/AM273,AM273),AM273^(VLOOKUP(AJ273,'FX RATES'!$H$1:$J$26,3,FALSE))/AE273^(VLOOKUP(AB273,'FX RATES'!$H$1:$J$26,3,FALSE))))</f>
        <v>0</v>
      </c>
      <c r="AT273" s="170">
        <f ca="1">IF(AB273&lt;&gt;AJ273,J273/IF(K273=RIGHT(AB273,3),AE273,1/AE273),IF(S273="USD",J273/IF(K273=RIGHT(AB273,3),IF(W273="CLIENT",AM273,AE273),1/IF(W273="CLIENT",AM273,AE273)),J273*VLOOKUP(K273,'FX RATES'!$E$1:$F$10,2,FALSE)))</f>
        <v>-4536.8462597002845</v>
      </c>
      <c r="AU273" s="170">
        <f ca="1">IF(AB273&lt;&gt;AJ273,R273/IF(S273=RIGHT(AJ273,3),AM273,1/AM273),IF(K273="USD",R273/IF(S273=RIGHT(AJ273,3),IF(W273="CLIENT",AM273,AE273),1/IF(W273="CLIENT",AM273,AE273)),R273*VLOOKUP(S273,'FX RATES'!$E$1:$F$10,2,FALSE)))</f>
        <v>4536.8462597002845</v>
      </c>
      <c r="AV273" s="170">
        <f ca="1">AT273+AU273</f>
        <v>0</v>
      </c>
      <c r="AW273" s="169"/>
      <c r="AX273" s="170">
        <f ca="1">IF(AND(ISERROR(SEARCH("INVOICE",T273)),ISERROR(SEARCH("SWITCH",T273)),ISERROR(SEARCH("FOREX",T273)),ISERROR(SEARCH("REFUND",A273)),ISERROR(SEARCH("CANCELLED",A273))),IF(AW273="",-AT273*X273+AU273*Z273,AW273),0)</f>
        <v>0</v>
      </c>
      <c r="AY273" s="170">
        <f>IF(AZ273="USD",AT273,IF(AZ273=K273,J273,-R273))</f>
        <v>-348069.1134673357</v>
      </c>
      <c r="AZ273" s="170" t="str">
        <f>LEFT(AB273,3)</f>
        <v>RUB</v>
      </c>
      <c r="BA273" s="542">
        <f>IF(OR(A273="REFUND",A273="CANCELLED"),0,IFERROR((IF(OR(AB273="USDAED",LEFT(AB273,3)=RIGHT(AB273,3)),AI273,AG273)-AE273)*-AY273*VLOOKUP(AB273,'FX RATES'!$H$1:$J$26,3,FALSE),0))</f>
        <v>0</v>
      </c>
      <c r="BB273" s="170" t="str">
        <f>RIGHT(AB273,3)</f>
        <v>RUB</v>
      </c>
      <c r="BC273" s="542">
        <f>IF(BA273=0,0,IFERROR(BA273/IF(BB273&lt;&gt;"USD",AI273,1),"???"))</f>
        <v>0</v>
      </c>
      <c r="BD273" s="170">
        <f>IFERROR(-AC273/(IF(OR(AB273="USDAED",LEFT(AB273,3)=RIGHT(AB273,3)),AH273,AG273)-AE273)*BC273,0)</f>
        <v>0</v>
      </c>
      <c r="BE273" s="542">
        <f>BC273-BD273</f>
        <v>0</v>
      </c>
      <c r="BF273" s="170">
        <f>IF(BG273="USD",AU273,IF(BG273=S273,R273,-J273))</f>
        <v>348069.1134673357</v>
      </c>
      <c r="BG273" s="170" t="str">
        <f>LEFT(AJ273,3)</f>
        <v>RUB</v>
      </c>
      <c r="BH273" s="542">
        <f>IF(OR(A273="REFUND",A273="CANCELLED"),0,IFERROR((IF(OR(AJ273="USDAED",LEFT(AJ273,3)=RIGHT(AJ273,3)),AQ273,AO273)-AM273)*-BF273*VLOOKUP(AJ273,'FX RATES'!$H$1:$J$26,3,FALSE),0))</f>
        <v>0</v>
      </c>
      <c r="BI273" s="170" t="str">
        <f>RIGHT(AJ273,3)</f>
        <v>RUB</v>
      </c>
      <c r="BJ273" s="542">
        <f>IF(BH273=0,0,IFERROR(BH273/IF(BI273&lt;&gt;"USD",AQ273,1),"???"))</f>
        <v>0</v>
      </c>
      <c r="BK273" s="170">
        <f>IFERROR(-AK273/(IF(OR(AJ273="USDAED",LEFT(AJ273,3)=RIGHT(AJ273,3)),AP273,AO273)-AM273)*BJ273,0)</f>
        <v>0</v>
      </c>
      <c r="BL273" s="542">
        <f>BJ273-BK273</f>
        <v>0</v>
      </c>
      <c r="BM273" s="170">
        <f>IF(AND(ISERROR(SEARCH("REFUND",A273)),ISERROR(SEARCH("CANCELLED",A273))),BD273+BK273,0)</f>
        <v>0</v>
      </c>
      <c r="BN273" s="542">
        <f>IF(AND(ISERROR(SEARCH("REFUND",A273)),ISERROR(SEARCH("CANCELLED",A273))),BE273+BL273,0)</f>
        <v>0</v>
      </c>
    </row>
    <row r="274" spans="1:66" ht="19.5" customHeight="1">
      <c r="A274" s="167" t="s">
        <v>366</v>
      </c>
      <c r="B274" s="168" t="s">
        <v>34</v>
      </c>
      <c r="C274" s="168" t="s">
        <v>383</v>
      </c>
      <c r="D274" s="168" t="s">
        <v>148</v>
      </c>
      <c r="E274" s="171">
        <v>46050</v>
      </c>
      <c r="F274" s="171"/>
      <c r="G274" s="168" t="s">
        <v>34</v>
      </c>
      <c r="H274" s="168" t="s">
        <v>549</v>
      </c>
      <c r="I274" s="169"/>
      <c r="J274" s="170">
        <f t="shared" ref="J274" si="317">IF(I274="",AR274,I274)</f>
        <v>-8334086.4199999999</v>
      </c>
      <c r="K274" s="168" t="s">
        <v>9</v>
      </c>
      <c r="L274" s="171" t="s">
        <v>25</v>
      </c>
      <c r="M274" s="168" t="s">
        <v>25</v>
      </c>
      <c r="N274" s="167" t="s">
        <v>371</v>
      </c>
      <c r="O274" s="168" t="s">
        <v>34</v>
      </c>
      <c r="P274" s="168" t="s">
        <v>34</v>
      </c>
      <c r="Q274" s="169">
        <v>109724</v>
      </c>
      <c r="R274" s="170">
        <f t="shared" ref="R274" si="318">IF(Q274="",AS274,Q274)</f>
        <v>109724</v>
      </c>
      <c r="S274" s="168" t="s">
        <v>5</v>
      </c>
      <c r="T274" s="171" t="s">
        <v>477</v>
      </c>
      <c r="U274" s="168" t="s">
        <v>25</v>
      </c>
      <c r="V274" s="167" t="s">
        <v>371</v>
      </c>
      <c r="W274" s="172" t="s">
        <v>382</v>
      </c>
      <c r="X274" s="173">
        <f>IF(Y274="",VLOOKUP(H274,CLIENTS!$A$1:$O$649,5,FALSE),Y274)</f>
        <v>0</v>
      </c>
      <c r="Y274" s="174"/>
      <c r="Z274" s="173">
        <f>IF(AA274="",VLOOKUP(P274,CLIENTS!$A$1:$O$649,5,FALSE),AA274)</f>
        <v>0</v>
      </c>
      <c r="AA274" s="174"/>
      <c r="AB274" s="173" t="str">
        <f>IF(W274="via USD",IF(K274="EUR",K274&amp;"USD","USD"&amp;K274),IFERROR(VLOOKUP(K274&amp;S274,'FX RATES'!$H$2:$H$20,1,FALSE),S274&amp;K274))</f>
        <v>USDRUB</v>
      </c>
      <c r="AC274" s="175">
        <f>IF(LEFT(AB274,3)=RIGHT(AB274,3),0,IFERROR(INDEX(CLIENTS!$A$1:$O$649,MATCH(H274,CLIENTS!$A$1:$A$649,0),MATCH(AB274,CLIENTS!$A$1:$O$1,0)),0))+0.07</f>
        <v>0</v>
      </c>
      <c r="AD274" s="176">
        <v>75.954999999999998</v>
      </c>
      <c r="AE274" s="177">
        <f t="shared" ref="AE274" si="319">IF(W274="CLIENT","",IF(AD274="",AH274+AC274,AD274+AC274))</f>
        <v>75.954999999999998</v>
      </c>
      <c r="AF274" s="177" t="str">
        <f t="shared" ref="AF274" si="320">E274&amp;AB274</f>
        <v>46050USDRUB</v>
      </c>
      <c r="AG274" s="176">
        <v>76.099999999999994</v>
      </c>
      <c r="AH274" s="178">
        <f ca="1">IF(LEFT(AB274,3)=RIGHT(AB274,3),1,VLOOKUP(AB274,'FX RATES'!$H$1:$I$20,2,FALSE))</f>
        <v>76.720500000000001</v>
      </c>
      <c r="AI274" s="178">
        <f>IF(OR(AB274="USDAED",LEFT(AB274,3)=RIGHT(AB274,3)),AH274,IF(LEFT(AB274)="USD",AG274,IF(RIGHT(AB274,3)="USD",1,IFERROR(VLOOKUP(E274&amp;"USD"&amp;RIGHT(AB274,3),$AF:$AG,2,FALSE),VLOOKUP(E274&amp;"USD"&amp;RIGHT(AJ274,3),$AN:$AO,2,FALSE)))))</f>
        <v>76.099999999999994</v>
      </c>
      <c r="AJ274" s="173" t="str">
        <f>IF(W274="via USD",IF(S274="EUR",S274&amp;"USD","USD"&amp;S274),IFERROR(VLOOKUP(K274&amp;S274,'FX RATES'!$H$2:$H$20,1,FALSE),S274&amp;K274))</f>
        <v>USDRUB</v>
      </c>
      <c r="AK274" s="175">
        <f>IF(LEFT(AJ274,3)=RIGHT(AJ274,3),0,IFERROR(INDEX(CLIENTS!$A$1:$O$649,MATCH(P274,CLIENTS!$A$1:$A$649,0),MATCH(AJ274,CLIENTS!$A$1:$O$1,0)),0))</f>
        <v>0</v>
      </c>
      <c r="AL274" s="176"/>
      <c r="AM274" s="177" t="str">
        <f t="shared" ref="AM274" si="321">IF(W274="VENDOR","",IF(AL274="",AP274+AK274,AL274+AK274))</f>
        <v/>
      </c>
      <c r="AN274" s="177" t="str">
        <f t="shared" ref="AN274" si="322">E274&amp;AJ274</f>
        <v>46050USDRUB</v>
      </c>
      <c r="AO274" s="176"/>
      <c r="AP274" s="178">
        <f ca="1">IF(LEFT(AJ274,3)=RIGHT(AJ274,3),1,VLOOKUP(AJ274,'FX RATES'!$H$1:$I$20,2,FALSE))</f>
        <v>76.720500000000001</v>
      </c>
      <c r="AQ274" s="178">
        <f>IF(OR(AJ274="USDAED",LEFT(AJ274,3)=RIGHT(AJ274,3)),AP274,IF(LEFT(AJ274)="USD",AO274,IF(RIGHT(AJ274,3)="USD",1,IFERROR(VLOOKUP(E274&amp;"USD"&amp;RIGHT(AJ274,3),$AN:$AO,2,FALSE),VLOOKUP(E274&amp;"USD"&amp;RIGHT(AB274,3),$AF:$AG,2,FALSE)))))</f>
        <v>76.099999999999994</v>
      </c>
      <c r="AR274" s="179">
        <f>-Q274*(1-Z274)/(1+X274)*IF(W274="CLIENT",IF(S274=RIGHT(AJ274,3),1/AM274,AM274),IF(W274="VENDOR",IF(S274=RIGHT(AJ274,3),1/AE274,AE274),AE274^(VLOOKUP(AB274,'FX RATES'!$H$1:$J$26,3,FALSE))/AM274^(VLOOKUP(AJ274,'FX RATES'!$H$1:$J$26,3,FALSE))))</f>
        <v>-8334086.4199999999</v>
      </c>
      <c r="AS274" s="179">
        <f>-I274*(1+X274)/(1-Z274)*IF(W274="VENDOR",IF(K274=RIGHT(AB274,3),1/AE274,AE274),IF(W274="CLIENT",IF(K274=RIGHT(AB274,3),1/AM274,AM274),AM274^(VLOOKUP(AJ274,'FX RATES'!$H$1:$J$26,3,FALSE))/AE274^(VLOOKUP(AB274,'FX RATES'!$H$1:$J$26,3,FALSE))))</f>
        <v>0</v>
      </c>
      <c r="AT274" s="170">
        <f>IF(AB274&lt;&gt;AJ274,J274/IF(K274=RIGHT(AB274,3),AE274,1/AE274),IF(S274="USD",J274/IF(K274=RIGHT(AB274,3),IF(W274="CLIENT",AM274,AE274),1/IF(W274="CLIENT",AM274,AE274)),J274*VLOOKUP(K274,'FX RATES'!$E$1:$F$10,2,FALSE)))</f>
        <v>-109724</v>
      </c>
      <c r="AU274" s="170">
        <f>IF(AB274&lt;&gt;AJ274,R274/IF(S274=RIGHT(AJ274,3),AM274,1/AM274),IF(K274="USD",R274/IF(S274=RIGHT(AJ274,3),IF(W274="CLIENT",AM274,AE274),1/IF(W274="CLIENT",AM274,AE274)),R274*VLOOKUP(S274,'FX RATES'!$E$1:$F$10,2,FALSE)))</f>
        <v>109724</v>
      </c>
      <c r="AV274" s="170">
        <f t="shared" ref="AV274" si="323">AT274+AU274</f>
        <v>0</v>
      </c>
      <c r="AW274" s="169"/>
      <c r="AX274" s="170">
        <f t="shared" ref="AX274" si="324">IF(AND(ISERROR(SEARCH("INVOICE",T274)),ISERROR(SEARCH("SWITCH",T274)),ISERROR(SEARCH("FOREX",T274)),ISERROR(SEARCH("REFUND",A274)),ISERROR(SEARCH("CANCELLED",A274))),IF(AW274="",-AT274*X274+AU274*Z274,AW274),0)</f>
        <v>0</v>
      </c>
      <c r="AY274" s="170">
        <f t="shared" ref="AY274" si="325">IF(AZ274="USD",AT274,IF(AZ274=K274,J274,-R274))</f>
        <v>-109724</v>
      </c>
      <c r="AZ274" s="170" t="str">
        <f t="shared" ref="AZ274" si="326">LEFT(AB274,3)</f>
        <v>USD</v>
      </c>
      <c r="BA274" s="542">
        <f>IF(OR(A274="REFUND",A274="CANCELLED"),0,IFERROR((IF(OR(AB274="USDAED",LEFT(AB274,3)=RIGHT(AB274,3)),AI274,AG274)-AE274)*-AY274*VLOOKUP(AB274,'FX RATES'!$H$1:$J$26,3,FALSE),0))</f>
        <v>15909.979999999563</v>
      </c>
      <c r="BB274" s="170" t="str">
        <f t="shared" ref="BB274" si="327">RIGHT(AB274,3)</f>
        <v>RUB</v>
      </c>
      <c r="BC274" s="542">
        <f t="shared" ref="BC274" si="328">IF(BA274=0,0,IFERROR(BA274/IF(BB274&lt;&gt;"USD",AI274,1),"???"))</f>
        <v>209.06675427069072</v>
      </c>
      <c r="BD274" s="170">
        <f t="shared" ref="BD274" si="329">IFERROR(-AC274/(IF(OR(AB274="USDAED",LEFT(AB274,3)=RIGHT(AB274,3)),AH274,AG274)-AE274)*BC274,0)</f>
        <v>0</v>
      </c>
      <c r="BE274" s="542">
        <f t="shared" ref="BE274" si="330">BC274-BD274</f>
        <v>209.06675427069072</v>
      </c>
      <c r="BF274" s="170">
        <f t="shared" ref="BF274" si="331">IF(BG274="USD",AU274,IF(BG274=S274,R274,-J274))</f>
        <v>109724</v>
      </c>
      <c r="BG274" s="170" t="str">
        <f t="shared" ref="BG274" si="332">LEFT(AJ274,3)</f>
        <v>USD</v>
      </c>
      <c r="BH274" s="542">
        <f>IF(OR(A274="REFUND",A274="CANCELLED"),0,IFERROR((IF(OR(AJ274="USDAED",LEFT(AJ274,3)=RIGHT(AJ274,3)),AQ274,AO274)-AM274)*-BF274*VLOOKUP(AJ274,'FX RATES'!$H$1:$J$26,3,FALSE),0))</f>
        <v>0</v>
      </c>
      <c r="BI274" s="170" t="str">
        <f t="shared" ref="BI274" si="333">RIGHT(AJ274,3)</f>
        <v>RUB</v>
      </c>
      <c r="BJ274" s="542">
        <f t="shared" ref="BJ274" si="334">IF(BH274=0,0,IFERROR(BH274/IF(BI274&lt;&gt;"USD",AQ274,1),"???"))</f>
        <v>0</v>
      </c>
      <c r="BK274" s="170">
        <f t="shared" ref="BK274" si="335">IFERROR(-AK274/(IF(OR(AJ274="USDAED",LEFT(AJ274,3)=RIGHT(AJ274,3)),AP274,AO274)-AM274)*BJ274,0)</f>
        <v>0</v>
      </c>
      <c r="BL274" s="542">
        <f t="shared" ref="BL274" si="336">BJ274-BK274</f>
        <v>0</v>
      </c>
      <c r="BM274" s="170">
        <f t="shared" ref="BM274" si="337">IF(AND(ISERROR(SEARCH("REFUND",A274)),ISERROR(SEARCH("CANCELLED",A274))),BD274+BK274,0)</f>
        <v>0</v>
      </c>
      <c r="BN274" s="542">
        <f t="shared" ref="BN274" si="338">IF(AND(ISERROR(SEARCH("REFUND",A274)),ISERROR(SEARCH("CANCELLED",A274))),BE274+BL274,0)</f>
        <v>209.06675427069072</v>
      </c>
    </row>
    <row r="275" spans="1:66" ht="19.5" customHeight="1">
      <c r="J275" s="450"/>
    </row>
    <row r="276" spans="1:66" ht="19.5" customHeight="1">
      <c r="A276" s="167" t="s">
        <v>366</v>
      </c>
      <c r="B276" s="168" t="s">
        <v>39</v>
      </c>
      <c r="C276" s="168" t="s">
        <v>367</v>
      </c>
      <c r="D276" s="168" t="s">
        <v>368</v>
      </c>
      <c r="E276" s="171">
        <v>46050</v>
      </c>
      <c r="F276" s="171"/>
      <c r="G276" s="168" t="s">
        <v>39</v>
      </c>
      <c r="H276" s="168" t="s">
        <v>544</v>
      </c>
      <c r="I276" s="169">
        <v>-200000</v>
      </c>
      <c r="J276" s="170">
        <f>IF(I276="",AR276,I276)</f>
        <v>-200000</v>
      </c>
      <c r="K276" s="168" t="s">
        <v>5</v>
      </c>
      <c r="L276" s="171" t="s">
        <v>462</v>
      </c>
      <c r="M276" s="168" t="s">
        <v>14</v>
      </c>
      <c r="N276" s="167" t="s">
        <v>371</v>
      </c>
      <c r="O276" s="168" t="s">
        <v>39</v>
      </c>
      <c r="P276" s="168" t="s">
        <v>463</v>
      </c>
      <c r="Q276" s="169"/>
      <c r="R276" s="170">
        <f>IF(Q276="",AS276,Q276)</f>
        <v>15525252.525252525</v>
      </c>
      <c r="S276" s="168" t="s">
        <v>9</v>
      </c>
      <c r="T276" s="171" t="s">
        <v>464</v>
      </c>
      <c r="U276" s="168" t="s">
        <v>25</v>
      </c>
      <c r="V276" s="167" t="s">
        <v>371</v>
      </c>
      <c r="W276" s="172" t="s">
        <v>375</v>
      </c>
      <c r="X276" s="173">
        <f>IF(Y276="",VLOOKUP(H276,CLIENTS!$A$1:$O$649,5,FALSE),Y276)</f>
        <v>0</v>
      </c>
      <c r="Y276" s="174">
        <v>0</v>
      </c>
      <c r="Z276" s="173">
        <f>IF(AA276="",VLOOKUP(P276,CLIENTS!$A$1:$O$649,5,FALSE),AA276)</f>
        <v>0.01</v>
      </c>
      <c r="AA276" s="174">
        <v>0.01</v>
      </c>
      <c r="AB276" s="173" t="str">
        <f>IF(W276="via USD",IF(K276="EUR",K276&amp;"USD","USD"&amp;K276),IFERROR(VLOOKUP(K276&amp;S276,'FX RATES'!$H$2:$H$20,1,FALSE),S276&amp;K276))</f>
        <v>USDUSD</v>
      </c>
      <c r="AC276" s="175">
        <f>IF(LEFT(AB276,3)=RIGHT(AB276,3),0,IFERROR(INDEX(CLIENTS!$A$1:$O$649,MATCH(H276,CLIENTS!$A$1:$A$649,0),MATCH(AB276,CLIENTS!$A$1:$O$1,0)),0))</f>
        <v>0</v>
      </c>
      <c r="AD276" s="176"/>
      <c r="AE276" s="177">
        <f>IF(W276="CLIENT","",IF(AD276="",AH276+AC276,AD276+AC276))</f>
        <v>1</v>
      </c>
      <c r="AF276" s="177" t="str">
        <f>E276&amp;AB276</f>
        <v>46050USDUSD</v>
      </c>
      <c r="AG276" s="176"/>
      <c r="AH276" s="178">
        <f>IF(LEFT(AB276,3)=RIGHT(AB276,3),1,VLOOKUP(AB276,'FX RATES'!$H$1:$I$20,2,FALSE))</f>
        <v>1</v>
      </c>
      <c r="AI276" s="178">
        <f>IF(OR(AB276="USDAED",LEFT(AB276,3)=RIGHT(AB276,3)),AH276,IF(LEFT(AB276)="USD",AG276,IF(RIGHT(AB276,3)="USD",1,IFERROR(VLOOKUP(E276&amp;"USD"&amp;RIGHT(AB276,3),$AF:$AG,2,FALSE),VLOOKUP(E276&amp;"USD"&amp;RIGHT(AJ276,3),$AN:$AO,2,FALSE)))))</f>
        <v>1</v>
      </c>
      <c r="AJ276" s="173" t="str">
        <f>IF(W276="via USD",IF(S276="EUR",S276&amp;"USD","USD"&amp;S276),IFERROR(VLOOKUP(K276&amp;S276,'FX RATES'!$H$2:$H$20,1,FALSE),S276&amp;K276))</f>
        <v>USDRUB</v>
      </c>
      <c r="AK276" s="175">
        <f>IF(LEFT(AJ276,3)=RIGHT(AJ276,3),0,IFERROR(INDEX(CLIENTS!$A$1:$O$649,MATCH(P276,CLIENTS!$A$1:$A$649,0),MATCH(AJ276,CLIENTS!$A$1:$O$1,0)),0))</f>
        <v>0</v>
      </c>
      <c r="AL276" s="176">
        <v>76.849999999999994</v>
      </c>
      <c r="AM276" s="177">
        <f>IF(W276="VENDOR","",IF(AL276="",AP276+AK276,AL276+AK276))</f>
        <v>76.849999999999994</v>
      </c>
      <c r="AN276" s="177" t="str">
        <f>E276&amp;AJ276</f>
        <v>46050USDRUB</v>
      </c>
      <c r="AO276" s="176">
        <v>76.099999999999994</v>
      </c>
      <c r="AP276" s="178">
        <f ca="1">IF(LEFT(AJ276,3)=RIGHT(AJ276,3),1,VLOOKUP(AJ276,'FX RATES'!$H$1:$I$20,2,FALSE))</f>
        <v>76.720500000000001</v>
      </c>
      <c r="AQ276" s="178">
        <f>IF(OR(AJ276="USDAED",LEFT(AJ276,3)=RIGHT(AJ276,3)),AP276,IF(LEFT(AJ276)="USD",AO276,IF(RIGHT(AJ276,3)="USD",1,IFERROR(VLOOKUP(E276&amp;"USD"&amp;RIGHT(AJ276,3),$AN:$AO,2,FALSE),VLOOKUP(E276&amp;"USD"&amp;RIGHT(AB276,3),$AF:$AG,2,FALSE)))))</f>
        <v>76.099999999999994</v>
      </c>
      <c r="AR276" s="179">
        <f>-Q276*(1-Z276)/(1+X276)*IF(W276="CLIENT",IF(S276=RIGHT(AJ276,3),1/AM276,AM276),IF(W276="VENDOR",IF(S276=RIGHT(AJ276,3),1/AE276,AE276),AE276^(VLOOKUP(AB276,'FX RATES'!$H$1:$J$26,3,FALSE))/AM276^(VLOOKUP(AJ276,'FX RATES'!$H$1:$J$26,3,FALSE))))</f>
        <v>0</v>
      </c>
      <c r="AS276" s="179">
        <f>-I276*(1+X276)/(1-Z276)*IF(W276="VENDOR",IF(K276=RIGHT(AB276,3),1/AE276,AE276),IF(W276="CLIENT",IF(K276=RIGHT(AB276,3),1/AM276,AM276),AM276^(VLOOKUP(AJ276,'FX RATES'!$H$1:$J$26,3,FALSE))/AE276^(VLOOKUP(AB276,'FX RATES'!$H$1:$J$26,3,FALSE))))</f>
        <v>15525252.525252525</v>
      </c>
      <c r="AT276" s="170">
        <f>IF(AB276&lt;&gt;AJ276,J276/IF(K276=RIGHT(AB276,3),AE276,1/AE276),IF(S276="USD",J276/IF(K276=RIGHT(AB276,3),IF(W276="CLIENT",AM276,AE276),1/IF(W276="CLIENT",AM276,AE276)),J276*VLOOKUP(K276,'FX RATES'!$E$1:$F$10,2,FALSE)))</f>
        <v>-200000</v>
      </c>
      <c r="AU276" s="170">
        <f>IF(AB276&lt;&gt;AJ276,R276/IF(S276=RIGHT(AJ276,3),AM276,1/AM276),IF(K276="USD",R276/IF(S276=RIGHT(AJ276,3),IF(W276="CLIENT",AM276,AE276),1/IF(W276="CLIENT",AM276,AE276)),R276*VLOOKUP(S276,'FX RATES'!$E$1:$F$10,2,FALSE)))</f>
        <v>202020.20202020204</v>
      </c>
      <c r="AV276" s="170">
        <f>AT276+AU276</f>
        <v>2020.2020202020358</v>
      </c>
      <c r="AW276" s="169"/>
      <c r="AX276" s="170">
        <f>IF(AND(ISERROR(SEARCH("INVOICE",T276)),ISERROR(SEARCH("SWITCH",T276)),ISERROR(SEARCH("FOREX",T276)),ISERROR(SEARCH("REFUND",A276)),ISERROR(SEARCH("CANCELLED",A276))),IF(AW276="",-AT276*X276+AU276*Z276,AW276),0)</f>
        <v>2020.2020202020203</v>
      </c>
      <c r="AY276" s="170">
        <f>IF(AZ276="USD",AT276,IF(AZ276=K276,J276,-R276))</f>
        <v>-200000</v>
      </c>
      <c r="AZ276" s="170" t="str">
        <f>LEFT(AB276,3)</f>
        <v>USD</v>
      </c>
      <c r="BA276" s="542">
        <f>IF(OR(A276="REFUND",A276="CANCELLED"),0,IFERROR((IF(OR(AB276="USDAED",LEFT(AB276,3)=RIGHT(AB276,3)),AI276,AG276)-AE276)*-AY276*VLOOKUP(AB276,'FX RATES'!$H$1:$J$26,3,FALSE),0))</f>
        <v>0</v>
      </c>
      <c r="BB276" s="170" t="str">
        <f>RIGHT(AB276,3)</f>
        <v>USD</v>
      </c>
      <c r="BC276" s="542">
        <f>IF(BA276=0,0,IFERROR(BA276/IF(BB276&lt;&gt;"USD",AI276,1),"???"))</f>
        <v>0</v>
      </c>
      <c r="BD276" s="170">
        <f>IFERROR(-AC276/(IF(OR(AB276="USDAED",LEFT(AB276,3)=RIGHT(AB276,3)),AH276,AG276)-AE276)*BC276,0)</f>
        <v>0</v>
      </c>
      <c r="BE276" s="542">
        <f>BC276-BD276</f>
        <v>0</v>
      </c>
      <c r="BF276" s="170">
        <f>IF(BG276="USD",AU276,IF(BG276=S276,R276,-J276))</f>
        <v>202020.20202020204</v>
      </c>
      <c r="BG276" s="170" t="str">
        <f>LEFT(AJ276,3)</f>
        <v>USD</v>
      </c>
      <c r="BH276" s="542">
        <f>IF(OR(A276="REFUND",A276="CANCELLED"),0,IFERROR((IF(OR(AJ276="USDAED",LEFT(AJ276,3)=RIGHT(AJ276,3)),AQ276,AO276)-AM276)*-BF276*VLOOKUP(AJ276,'FX RATES'!$H$1:$J$26,3,FALSE),0))</f>
        <v>151515.15151515152</v>
      </c>
      <c r="BI276" s="170" t="str">
        <f>RIGHT(AJ276,3)</f>
        <v>RUB</v>
      </c>
      <c r="BJ276" s="542">
        <f>IF(BH276=0,0,IFERROR(BH276/IF(BI276&lt;&gt;"USD",AQ276,1),"???"))</f>
        <v>1991.0006769402303</v>
      </c>
      <c r="BK276" s="170">
        <f>IFERROR(-AK276/(IF(OR(AJ276="USDAED",LEFT(AJ276,3)=RIGHT(AJ276,3)),AP276,AO276)-AM276)*BJ276,0)</f>
        <v>0</v>
      </c>
      <c r="BL276" s="542">
        <f>BJ276-BK276</f>
        <v>1991.0006769402303</v>
      </c>
      <c r="BM276" s="170">
        <f>IF(AND(ISERROR(SEARCH("REFUND",A276)),ISERROR(SEARCH("CANCELLED",A276))),BD276+BK276,0)</f>
        <v>0</v>
      </c>
      <c r="BN276" s="542">
        <f>IF(AND(ISERROR(SEARCH("REFUND",A276)),ISERROR(SEARCH("CANCELLED",A276))),BE276+BL276,0)</f>
        <v>1991.0006769402303</v>
      </c>
    </row>
    <row r="277" spans="1:66" ht="19.5" customHeight="1">
      <c r="A277" s="167" t="s">
        <v>366</v>
      </c>
      <c r="B277" s="168" t="s">
        <v>39</v>
      </c>
      <c r="C277" s="168" t="s">
        <v>383</v>
      </c>
      <c r="D277" s="168" t="s">
        <v>128</v>
      </c>
      <c r="E277" s="171">
        <v>46050</v>
      </c>
      <c r="F277" s="171"/>
      <c r="G277" s="168" t="s">
        <v>39</v>
      </c>
      <c r="H277" s="168" t="s">
        <v>384</v>
      </c>
      <c r="I277" s="169">
        <v>-15525000</v>
      </c>
      <c r="J277" s="170">
        <f>IF(I277="",AR277,I277)</f>
        <v>-15525000</v>
      </c>
      <c r="K277" s="168" t="s">
        <v>9</v>
      </c>
      <c r="L277" s="171" t="s">
        <v>374</v>
      </c>
      <c r="M277" s="168" t="s">
        <v>25</v>
      </c>
      <c r="N277" s="167" t="s">
        <v>371</v>
      </c>
      <c r="O277" s="168" t="s">
        <v>39</v>
      </c>
      <c r="P277" s="349" t="s">
        <v>384</v>
      </c>
      <c r="Q277" s="169"/>
      <c r="R277" s="170">
        <f>IF(Q277="",AS277,Q277)</f>
        <v>743178.55433221639</v>
      </c>
      <c r="S277" s="168" t="s">
        <v>8</v>
      </c>
      <c r="T277" s="171" t="s">
        <v>385</v>
      </c>
      <c r="U277" s="168" t="s">
        <v>20</v>
      </c>
      <c r="V277" s="167" t="s">
        <v>371</v>
      </c>
      <c r="W277" s="172" t="s">
        <v>382</v>
      </c>
      <c r="X277" s="173">
        <f>IF(Y277="",VLOOKUP(H277,CLIENTS!$A$1:$O$649,5,FALSE),Y277)</f>
        <v>0</v>
      </c>
      <c r="Y277" s="174">
        <v>0</v>
      </c>
      <c r="Z277" s="173">
        <f>IF(AA277="",VLOOKUP(P277,CLIENTS!$A$1:$O$649,5,FALSE),AA277)</f>
        <v>0</v>
      </c>
      <c r="AA277" s="174">
        <v>0</v>
      </c>
      <c r="AB277" s="173" t="str">
        <f>IF(W277="via USD",IF(K277="EUR",K277&amp;"USD","USD"&amp;K277),IFERROR(VLOOKUP(K277&amp;S277,'FX RATES'!$H$2:$H$20,1,FALSE),S277&amp;K277))</f>
        <v>AEDRUB</v>
      </c>
      <c r="AC277" s="175">
        <f>IF(LEFT(AB277,3)=RIGHT(AB277,3),0,IFERROR(INDEX(CLIENTS!$A$1:$O$649,MATCH(H277,CLIENTS!$A$1:$A$649,0),MATCH(AB277,CLIENTS!$A$1:$O$1,0)),0))</f>
        <v>0</v>
      </c>
      <c r="AD277" s="176">
        <v>20.89</v>
      </c>
      <c r="AE277" s="177">
        <f>IF(W277="CLIENT","",IF(AD277="",AH277+AC277,AD277+AC277))</f>
        <v>20.89</v>
      </c>
      <c r="AF277" s="177" t="str">
        <f>E277&amp;AB277</f>
        <v>46050AEDRUB</v>
      </c>
      <c r="AG277" s="176">
        <v>20.721499999999999</v>
      </c>
      <c r="AH277" s="178">
        <f ca="1">IF(LEFT(AB277,3)=RIGHT(AB277,3),1,VLOOKUP(AB277,'FX RATES'!$H$1:$I$20,2,FALSE))</f>
        <v>20.8843</v>
      </c>
      <c r="AI277" s="178">
        <f>IF(OR(AB277="USDAED",LEFT(AB277,3)=RIGHT(AB277,3)),AH277,IF(LEFT(AB277)="USD",AG277,IF(RIGHT(AB277,3)="USD",1,IFERROR(VLOOKUP(E277&amp;"USD"&amp;RIGHT(AB277,3),$AF:$AG,2,FALSE),VLOOKUP(E277&amp;"USD"&amp;RIGHT(AJ277,3),$AN:$AO,2,FALSE)))))</f>
        <v>76.099999999999994</v>
      </c>
      <c r="AJ277" s="173" t="str">
        <f>IF(W277="via USD",IF(S277="EUR",S277&amp;"USD","USD"&amp;S277),IFERROR(VLOOKUP(K277&amp;S277,'FX RATES'!$H$2:$H$20,1,FALSE),S277&amp;K277))</f>
        <v>AEDRUB</v>
      </c>
      <c r="AK277" s="175">
        <f>IF(LEFT(AJ277,3)=RIGHT(AJ277,3),0,IFERROR(INDEX(CLIENTS!$A$1:$O$649,MATCH(P277,CLIENTS!$A$1:$A$649,0),MATCH(AJ277,CLIENTS!$A$1:$O$1,0)),0))</f>
        <v>0</v>
      </c>
      <c r="AL277" s="176"/>
      <c r="AM277" s="177" t="str">
        <f>IF(W277="VENDOR","",IF(AL277="",AP277+AK277,AL277+AK277))</f>
        <v/>
      </c>
      <c r="AN277" s="177" t="str">
        <f>E277&amp;AJ277</f>
        <v>46050AEDRUB</v>
      </c>
      <c r="AO277" s="176"/>
      <c r="AP277" s="178">
        <f ca="1">IF(LEFT(AJ277,3)=RIGHT(AJ277,3),1,VLOOKUP(AJ277,'FX RATES'!$H$1:$I$20,2,FALSE))</f>
        <v>20.8843</v>
      </c>
      <c r="AQ277" s="178">
        <f>IF(OR(AJ277="USDAED",LEFT(AJ277,3)=RIGHT(AJ277,3)),AP277,IF(LEFT(AJ277)="USD",AO277,IF(RIGHT(AJ277,3)="USD",1,IFERROR(VLOOKUP(E277&amp;"USD"&amp;RIGHT(AJ277,3),$AN:$AO,2,FALSE),VLOOKUP(E277&amp;"USD"&amp;RIGHT(AB277,3),$AF:$AG,2,FALSE)))))</f>
        <v>76.099999999999994</v>
      </c>
      <c r="AR277" s="179">
        <f>-Q277*(1-Z277)/(1+X277)*IF(W277="CLIENT",IF(S277=RIGHT(AJ277,3),1/AM277,AM277),IF(W277="VENDOR",IF(S277=RIGHT(AJ277,3),1/AE277,AE277),AE277^(VLOOKUP(AB277,'FX RATES'!$H$1:$J$26,3,FALSE))/AM277^(VLOOKUP(AJ277,'FX RATES'!$H$1:$J$26,3,FALSE))))</f>
        <v>0</v>
      </c>
      <c r="AS277" s="179">
        <f>-I277*(1+X277)/(1-Z277)*IF(W277="VENDOR",IF(K277=RIGHT(AB277,3),1/AE277,AE277),IF(W277="CLIENT",IF(K277=RIGHT(AB277,3),1/AM277,AM277),AM277^(VLOOKUP(AJ277,'FX RATES'!$H$1:$J$26,3,FALSE))/AE277^(VLOOKUP(AB277,'FX RATES'!$H$1:$J$26,3,FALSE))))</f>
        <v>743178.55433221639</v>
      </c>
      <c r="AT277" s="170">
        <f ca="1">IF(AB277&lt;&gt;AJ277,J277/IF(K277=RIGHT(AB277,3),AE277,1/AE277),IF(S277="USD",J277/IF(K277=RIGHT(AB277,3),IF(W277="CLIENT",AM277,AE277),1/IF(W277="CLIENT",AM277,AE277)),J277*VLOOKUP(K277,'FX RATES'!$E$1:$F$10,2,FALSE)))</f>
        <v>-202357.90955481259</v>
      </c>
      <c r="AU277" s="170">
        <f ca="1">IF(AB277&lt;&gt;AJ277,R277/IF(S277=RIGHT(AJ277,3),AM277,1/AM277),IF(K277="USD",R277/IF(S277=RIGHT(AJ277,3),IF(W277="CLIENT",AM277,AE277),1/IF(W277="CLIENT",AM277,AE277)),R277*VLOOKUP(S277,'FX RATES'!$E$1:$F$10,2,FALSE)))</f>
        <v>202357.60886898011</v>
      </c>
      <c r="AV277" s="170">
        <f ca="1">AT277+AU277</f>
        <v>-0.30068583248066716</v>
      </c>
      <c r="AW277" s="169"/>
      <c r="AX277" s="170">
        <f ca="1">IF(AND(ISERROR(SEARCH("INVOICE",T277)),ISERROR(SEARCH("SWITCH",T277)),ISERROR(SEARCH("FOREX",T277)),ISERROR(SEARCH("REFUND",A277)),ISERROR(SEARCH("CANCELLED",A277))),IF(AW277="",-AT277*X277+AU277*Z277,AW277),0)</f>
        <v>0</v>
      </c>
      <c r="AY277" s="170">
        <f>IF(AZ277="USD",AT277,IF(AZ277=K277,J277,-R277))</f>
        <v>-743178.55433221639</v>
      </c>
      <c r="AZ277" s="170" t="str">
        <f>LEFT(AB277,3)</f>
        <v>AED</v>
      </c>
      <c r="BA277" s="542">
        <f>IF(OR(A277="REFUND",A277="CANCELLED"),0,IFERROR((IF(OR(AB277="USDAED",LEFT(AB277,3)=RIGHT(AB277,3)),AI277,AG277)-AE277)*-AY277*VLOOKUP(AB277,'FX RATES'!$H$1:$J$26,3,FALSE),0))</f>
        <v>-125225.58640497968</v>
      </c>
      <c r="BB277" s="170" t="str">
        <f>RIGHT(AB277,3)</f>
        <v>RUB</v>
      </c>
      <c r="BC277" s="542">
        <f>IF(BA277=0,0,IFERROR(BA277/IF(BB277&lt;&gt;"USD",AI277,1),"???"))</f>
        <v>-1645.5399001968422</v>
      </c>
      <c r="BD277" s="170">
        <f>IFERROR(-AC277/(IF(OR(AB277="USDAED",LEFT(AB277,3)=RIGHT(AB277,3)),AH277,AG277)-AE277)*BC277,0)</f>
        <v>0</v>
      </c>
      <c r="BE277" s="542">
        <f>BC277-BD277</f>
        <v>-1645.5399001968422</v>
      </c>
      <c r="BF277" s="170">
        <f>IF(BG277="USD",AU277,IF(BG277=S277,R277,-J277))</f>
        <v>743178.55433221639</v>
      </c>
      <c r="BG277" s="170" t="str">
        <f>LEFT(AJ277,3)</f>
        <v>AED</v>
      </c>
      <c r="BH277" s="542">
        <f>IF(OR(A277="REFUND",A277="CANCELLED"),0,IFERROR((IF(OR(AJ277="USDAED",LEFT(AJ277,3)=RIGHT(AJ277,3)),AQ277,AO277)-AM277)*-BF277*VLOOKUP(AJ277,'FX RATES'!$H$1:$J$26,3,FALSE),0))</f>
        <v>0</v>
      </c>
      <c r="BI277" s="170" t="str">
        <f>RIGHT(AJ277,3)</f>
        <v>RUB</v>
      </c>
      <c r="BJ277" s="542">
        <f>IF(BH277=0,0,IFERROR(BH277/IF(BI277&lt;&gt;"USD",AQ277,1),"???"))</f>
        <v>0</v>
      </c>
      <c r="BK277" s="170">
        <f>IFERROR(-AK277/(IF(OR(AJ277="USDAED",LEFT(AJ277,3)=RIGHT(AJ277,3)),AP277,AO277)-AM277)*BJ277,0)</f>
        <v>0</v>
      </c>
      <c r="BL277" s="542">
        <f>BJ277-BK277</f>
        <v>0</v>
      </c>
      <c r="BM277" s="170">
        <f>IF(AND(ISERROR(SEARCH("REFUND",A277)),ISERROR(SEARCH("CANCELLED",A277))),BD277+BK277,0)</f>
        <v>0</v>
      </c>
      <c r="BN277" s="542">
        <f>IF(AND(ISERROR(SEARCH("REFUND",A277)),ISERROR(SEARCH("CANCELLED",A277))),BE277+BL277,0)</f>
        <v>-1645.5399001968422</v>
      </c>
    </row>
    <row r="278" spans="1:66" ht="19.5" customHeight="1">
      <c r="J278" s="450"/>
    </row>
    <row r="279" spans="1:66" ht="19.5" customHeight="1">
      <c r="A279" s="167" t="s">
        <v>366</v>
      </c>
      <c r="B279" s="168" t="s">
        <v>39</v>
      </c>
      <c r="C279" s="168" t="s">
        <v>367</v>
      </c>
      <c r="D279" s="181" t="s">
        <v>368</v>
      </c>
      <c r="E279" s="171">
        <v>46050</v>
      </c>
      <c r="F279" s="171"/>
      <c r="G279" s="168" t="s">
        <v>39</v>
      </c>
      <c r="H279" s="181" t="s">
        <v>483</v>
      </c>
      <c r="I279" s="169">
        <v>-430719.54</v>
      </c>
      <c r="J279" s="170">
        <f>IF(I279="",AR279,I279)</f>
        <v>-430719.54</v>
      </c>
      <c r="K279" s="168" t="s">
        <v>5</v>
      </c>
      <c r="L279" s="168" t="s">
        <v>510</v>
      </c>
      <c r="M279" s="168" t="s">
        <v>20</v>
      </c>
      <c r="N279" s="167" t="s">
        <v>371</v>
      </c>
      <c r="O279" s="168" t="s">
        <v>39</v>
      </c>
      <c r="P279" s="168" t="s">
        <v>379</v>
      </c>
      <c r="Q279" s="169"/>
      <c r="R279" s="170">
        <f>IF(Q279="",AS279,Q279)</f>
        <v>33014414.654822107</v>
      </c>
      <c r="S279" s="168" t="s">
        <v>9</v>
      </c>
      <c r="T279" s="171" t="s">
        <v>380</v>
      </c>
      <c r="U279" s="171" t="s">
        <v>25</v>
      </c>
      <c r="V279" s="167" t="s">
        <v>371</v>
      </c>
      <c r="W279" s="172" t="s">
        <v>375</v>
      </c>
      <c r="X279" s="173">
        <f>IF(Y279="",VLOOKUP(H279,CLIENTS!$A$1:$O$649,5,FALSE),Y279)</f>
        <v>0</v>
      </c>
      <c r="Y279" s="174">
        <v>0</v>
      </c>
      <c r="Z279" s="173">
        <f>IF(AA279="",VLOOKUP(P279,CLIENTS!$A$1:$O$649,5,FALSE),AA279)</f>
        <v>1.2974292674867716E-3</v>
      </c>
      <c r="AA279" s="174">
        <v>1.2974292674867716E-3</v>
      </c>
      <c r="AB279" s="173" t="str">
        <f>IF(W279="via USD",IF(K279="EUR",K279&amp;"USD","USD"&amp;K279),IFERROR(VLOOKUP(K279&amp;S279,'FX RATES'!$H$2:$H$20,1,FALSE),S279&amp;K279))</f>
        <v>USDUSD</v>
      </c>
      <c r="AC279" s="175">
        <f>IF(LEFT(AB279,3)=RIGHT(AB279,3),0,IFERROR(INDEX(CLIENTS!$A$1:$O$649,MATCH(H279,CLIENTS!$A$1:$A$649,0),MATCH(AB279,CLIENTS!$A$1:$O$1,0)),0))</f>
        <v>0</v>
      </c>
      <c r="AD279" s="176"/>
      <c r="AE279" s="177">
        <f>IF(W279="CLIENT","",IF(AD279="",AH279+AC279,AD279+AC279))</f>
        <v>1</v>
      </c>
      <c r="AF279" s="177" t="str">
        <f>E279&amp;AB279</f>
        <v>46050USDUSD</v>
      </c>
      <c r="AG279" s="176"/>
      <c r="AH279" s="178">
        <f>IF(LEFT(AB279,3)=RIGHT(AB279,3),1,VLOOKUP(AB279,'FX RATES'!$H$1:$I$20,2,FALSE))</f>
        <v>1</v>
      </c>
      <c r="AI279" s="178">
        <f>IF(OR(AB279="USDAED",LEFT(AB279,3)=RIGHT(AB279,3)),AH279,IF(LEFT(AB279)="USD",AG279,IF(RIGHT(AB279,3)="USD",1,IFERROR(VLOOKUP(E279&amp;"USD"&amp;RIGHT(AB279,3),$AF:$AG,2,FALSE),VLOOKUP(E279&amp;"USD"&amp;RIGHT(AJ279,3),$AN:$AO,2,FALSE)))))</f>
        <v>1</v>
      </c>
      <c r="AJ279" s="173" t="str">
        <f>IF(W279="via USD",IF(S279="EUR",S279&amp;"USD","USD"&amp;S279),IFERROR(VLOOKUP(K279&amp;S279,'FX RATES'!$H$2:$H$20,1,FALSE),S279&amp;K279))</f>
        <v>USDRUB</v>
      </c>
      <c r="AK279" s="175">
        <f>IF(LEFT(AJ279,3)=RIGHT(AJ279,3),0,IFERROR(INDEX(CLIENTS!$A$1:$O$649,MATCH(P279,CLIENTS!$A$1:$A$649,0),MATCH(AJ279,CLIENTS!$A$1:$O$1,0)),0))</f>
        <v>0</v>
      </c>
      <c r="AL279" s="176">
        <v>76.55</v>
      </c>
      <c r="AM279" s="177">
        <f>IF(W279="VENDOR","",IF(AL279="",AP279+AK279,AL279+AK279))</f>
        <v>76.55</v>
      </c>
      <c r="AN279" s="177" t="str">
        <f>E279&amp;AJ279</f>
        <v>46050USDRUB</v>
      </c>
      <c r="AO279" s="176">
        <v>76.099999999999994</v>
      </c>
      <c r="AP279" s="178">
        <f ca="1">IF(LEFT(AJ279,3)=RIGHT(AJ279,3),1,VLOOKUP(AJ279,'FX RATES'!$H$1:$I$20,2,FALSE))</f>
        <v>76.720500000000001</v>
      </c>
      <c r="AQ279" s="178">
        <f>IF(OR(AJ279="USDAED",LEFT(AJ279,3)=RIGHT(AJ279,3)),AP279,IF(LEFT(AJ279)="USD",AO279,IF(RIGHT(AJ279,3)="USD",1,IFERROR(VLOOKUP(E279&amp;"USD"&amp;RIGHT(AJ279,3),$AN:$AO,2,FALSE),VLOOKUP(E279&amp;"USD"&amp;RIGHT(AB279,3),$AF:$AG,2,FALSE)))))</f>
        <v>76.099999999999994</v>
      </c>
      <c r="AR279" s="179">
        <f>-Q279*(1-Z279)/(1+X279)*IF(W279="CLIENT",IF(S279=RIGHT(AJ279,3),1/AM279,AM279),IF(W279="VENDOR",IF(S279=RIGHT(AJ279,3),1/AE279,AE279),AE279^(VLOOKUP(AB279,'FX RATES'!$H$1:$J$26,3,FALSE))/AM279^(VLOOKUP(AJ279,'FX RATES'!$H$1:$J$26,3,FALSE))))</f>
        <v>0</v>
      </c>
      <c r="AS279" s="179">
        <f>-I279*(1+X279)/(1-Z279)*IF(W279="VENDOR",IF(K279=RIGHT(AB279,3),1/AE279,AE279),IF(W279="CLIENT",IF(K279=RIGHT(AB279,3),1/AM279,AM279),AM279^(VLOOKUP(AJ279,'FX RATES'!$H$1:$J$26,3,FALSE))/AE279^(VLOOKUP(AB279,'FX RATES'!$H$1:$J$26,3,FALSE))))</f>
        <v>33014414.654822107</v>
      </c>
      <c r="AT279" s="170">
        <f>IF(AB279&lt;&gt;AJ279,J279/IF(K279=RIGHT(AB279,3),AE279,1/AE279),IF(S279="USD",J279/IF(K279=RIGHT(AB279,3),IF(W279="CLIENT",AM279,AE279),1/IF(W279="CLIENT",AM279,AE279)),J279*VLOOKUP(K279,'FX RATES'!$E$1:$F$10,2,FALSE)))</f>
        <v>-430719.54</v>
      </c>
      <c r="AU279" s="170">
        <f>IF(AB279&lt;&gt;AJ279,R279/IF(S279=RIGHT(AJ279,3),AM279,1/AM279),IF(K279="USD",R279/IF(S279=RIGHT(AJ279,3),IF(W279="CLIENT",AM279,AE279),1/IF(W279="CLIENT",AM279,AE279)),R279*VLOOKUP(S279,'FX RATES'!$E$1:$F$10,2,FALSE)))</f>
        <v>431279.09411916538</v>
      </c>
      <c r="AV279" s="170">
        <f>AT279+AU279</f>
        <v>559.5541191654047</v>
      </c>
      <c r="AW279" s="169"/>
      <c r="AX279" s="170">
        <f>IF(AND(ISERROR(SEARCH("INVOICE",T279)),ISERROR(SEARCH("SWITCH",T279)),ISERROR(SEARCH("FOREX",T279)),ISERROR(SEARCH("REFUND",A279)),ISERROR(SEARCH("CANCELLED",A279))),IF(AW279="",-AT279*X279+AU279*Z279,AW279),0)</f>
        <v>559.55411916538719</v>
      </c>
      <c r="AY279" s="170">
        <f>IF(AZ279="USD",AT279,IF(AZ279=K279,J279,-R279))</f>
        <v>-430719.54</v>
      </c>
      <c r="AZ279" s="170" t="str">
        <f>LEFT(AB279,3)</f>
        <v>USD</v>
      </c>
      <c r="BA279" s="542">
        <f>IF(OR(A279="REFUND",A279="CANCELLED"),0,IFERROR((IF(OR(AB279="USDAED",LEFT(AB279,3)=RIGHT(AB279,3)),AI279,AG279)-AE279)*-AY279*VLOOKUP(AB279,'FX RATES'!$H$1:$J$26,3,FALSE),0))</f>
        <v>0</v>
      </c>
      <c r="BB279" s="170" t="str">
        <f>RIGHT(AB279,3)</f>
        <v>USD</v>
      </c>
      <c r="BC279" s="542">
        <f>IF(BA279=0,0,IFERROR(BA279/IF(BB279&lt;&gt;"USD",AI279,1),"???"))</f>
        <v>0</v>
      </c>
      <c r="BD279" s="170">
        <f>IFERROR(-AC279/(IF(OR(AB279="USDAED",LEFT(AB279,3)=RIGHT(AB279,3)),AH279,AG279)-AE279)*BC279,0)</f>
        <v>0</v>
      </c>
      <c r="BE279" s="542">
        <f>BC279-BD279</f>
        <v>0</v>
      </c>
      <c r="BF279" s="170">
        <f>IF(BG279="USD",AU279,IF(BG279=S279,R279,-J279))</f>
        <v>431279.09411916538</v>
      </c>
      <c r="BG279" s="170" t="str">
        <f>LEFT(AJ279,3)</f>
        <v>USD</v>
      </c>
      <c r="BH279" s="542">
        <f>IF(OR(A279="REFUND",A279="CANCELLED"),0,IFERROR((IF(OR(AJ279="USDAED",LEFT(AJ279,3)=RIGHT(AJ279,3)),AQ279,AO279)-AM279)*-BF279*VLOOKUP(AJ279,'FX RATES'!$H$1:$J$26,3,FALSE),0))</f>
        <v>194075.59235362566</v>
      </c>
      <c r="BI279" s="170" t="str">
        <f>RIGHT(AJ279,3)</f>
        <v>RUB</v>
      </c>
      <c r="BJ279" s="542">
        <f>IF(BH279=0,0,IFERROR(BH279/IF(BI279&lt;&gt;"USD",AQ279,1),"???"))</f>
        <v>2550.2705959740561</v>
      </c>
      <c r="BK279" s="170">
        <f>IFERROR(-AK279/(IF(OR(AJ279="USDAED",LEFT(AJ279,3)=RIGHT(AJ279,3)),AP279,AO279)-AM279)*BJ279,0)</f>
        <v>0</v>
      </c>
      <c r="BL279" s="542">
        <f>BJ279-BK279</f>
        <v>2550.2705959740561</v>
      </c>
      <c r="BM279" s="170">
        <f>IF(AND(ISERROR(SEARCH("REFUND",A279)),ISERROR(SEARCH("CANCELLED",A279))),BD279+BK279,0)</f>
        <v>0</v>
      </c>
      <c r="BN279" s="542">
        <f>IF(AND(ISERROR(SEARCH("REFUND",A279)),ISERROR(SEARCH("CANCELLED",A279))),BE279+BL279,0)</f>
        <v>2550.2705959740561</v>
      </c>
    </row>
    <row r="280" spans="1:66" ht="19.5" customHeight="1">
      <c r="A280" s="167" t="s">
        <v>366</v>
      </c>
      <c r="B280" s="168" t="s">
        <v>39</v>
      </c>
      <c r="C280" s="168" t="s">
        <v>383</v>
      </c>
      <c r="D280" s="168" t="s">
        <v>128</v>
      </c>
      <c r="E280" s="171">
        <v>46050</v>
      </c>
      <c r="F280" s="171"/>
      <c r="G280" s="168" t="s">
        <v>39</v>
      </c>
      <c r="H280" s="168" t="s">
        <v>384</v>
      </c>
      <c r="I280" s="169">
        <v>-33014000</v>
      </c>
      <c r="J280" s="170">
        <f>IF(I280="",AR280,I280)</f>
        <v>-33014000</v>
      </c>
      <c r="K280" s="168" t="s">
        <v>9</v>
      </c>
      <c r="L280" s="171" t="s">
        <v>374</v>
      </c>
      <c r="M280" s="168" t="s">
        <v>25</v>
      </c>
      <c r="N280" s="167" t="s">
        <v>371</v>
      </c>
      <c r="O280" s="168" t="s">
        <v>39</v>
      </c>
      <c r="P280" s="349" t="s">
        <v>384</v>
      </c>
      <c r="Q280" s="169"/>
      <c r="R280" s="170">
        <f>IF(Q280="",AS280,Q280)</f>
        <v>1584165.0671785029</v>
      </c>
      <c r="S280" s="168" t="s">
        <v>8</v>
      </c>
      <c r="T280" s="171" t="s">
        <v>385</v>
      </c>
      <c r="U280" s="168" t="s">
        <v>20</v>
      </c>
      <c r="V280" s="167" t="s">
        <v>371</v>
      </c>
      <c r="W280" s="172" t="s">
        <v>382</v>
      </c>
      <c r="X280" s="173">
        <f>IF(Y280="",VLOOKUP(H280,CLIENTS!$A$1:$O$649,5,FALSE),Y280)</f>
        <v>0</v>
      </c>
      <c r="Y280" s="174">
        <v>0</v>
      </c>
      <c r="Z280" s="173">
        <f>IF(AA280="",VLOOKUP(P280,CLIENTS!$A$1:$O$649,5,FALSE),AA280)</f>
        <v>0</v>
      </c>
      <c r="AA280" s="174">
        <v>0</v>
      </c>
      <c r="AB280" s="173" t="str">
        <f>IF(W280="via USD",IF(K280="EUR",K280&amp;"USD","USD"&amp;K280),IFERROR(VLOOKUP(K280&amp;S280,'FX RATES'!$H$2:$H$20,1,FALSE),S280&amp;K280))</f>
        <v>AEDRUB</v>
      </c>
      <c r="AC280" s="175">
        <f>IF(LEFT(AB280,3)=RIGHT(AB280,3),0,IFERROR(INDEX(CLIENTS!$A$1:$O$649,MATCH(H280,CLIENTS!$A$1:$A$649,0),MATCH(AB280,CLIENTS!$A$1:$O$1,0)),0))</f>
        <v>0</v>
      </c>
      <c r="AD280" s="176">
        <v>20.84</v>
      </c>
      <c r="AE280" s="177">
        <f>IF(W280="CLIENT","",IF(AD280="",AH280+AC280,AD280+AC280))</f>
        <v>20.84</v>
      </c>
      <c r="AF280" s="177" t="str">
        <f>E280&amp;AB280</f>
        <v>46050AEDRUB</v>
      </c>
      <c r="AG280" s="176">
        <v>20.721499999999999</v>
      </c>
      <c r="AH280" s="178">
        <f ca="1">IF(LEFT(AB280,3)=RIGHT(AB280,3),1,VLOOKUP(AB280,'FX RATES'!$H$1:$I$20,2,FALSE))</f>
        <v>20.8843</v>
      </c>
      <c r="AI280" s="178">
        <f>IF(OR(AB280="USDAED",LEFT(AB280,3)=RIGHT(AB280,3)),AH280,IF(LEFT(AB280)="USD",AG280,IF(RIGHT(AB280,3)="USD",1,IFERROR(VLOOKUP(E280&amp;"USD"&amp;RIGHT(AB280,3),$AF:$AG,2,FALSE),VLOOKUP(E280&amp;"USD"&amp;RIGHT(AJ280,3),$AN:$AO,2,FALSE)))))</f>
        <v>76.099999999999994</v>
      </c>
      <c r="AJ280" s="173" t="str">
        <f>IF(W280="via USD",IF(S280="EUR",S280&amp;"USD","USD"&amp;S280),IFERROR(VLOOKUP(K280&amp;S280,'FX RATES'!$H$2:$H$20,1,FALSE),S280&amp;K280))</f>
        <v>AEDRUB</v>
      </c>
      <c r="AK280" s="175">
        <f>IF(LEFT(AJ280,3)=RIGHT(AJ280,3),0,IFERROR(INDEX(CLIENTS!$A$1:$O$649,MATCH(P280,CLIENTS!$A$1:$A$649,0),MATCH(AJ280,CLIENTS!$A$1:$O$1,0)),0))</f>
        <v>0</v>
      </c>
      <c r="AL280" s="176"/>
      <c r="AM280" s="177" t="str">
        <f>IF(W280="VENDOR","",IF(AL280="",AP280+AK280,AL280+AK280))</f>
        <v/>
      </c>
      <c r="AN280" s="177" t="str">
        <f>E280&amp;AJ280</f>
        <v>46050AEDRUB</v>
      </c>
      <c r="AO280" s="176"/>
      <c r="AP280" s="178">
        <f ca="1">IF(LEFT(AJ280,3)=RIGHT(AJ280,3),1,VLOOKUP(AJ280,'FX RATES'!$H$1:$I$20,2,FALSE))</f>
        <v>20.8843</v>
      </c>
      <c r="AQ280" s="178">
        <f>IF(OR(AJ280="USDAED",LEFT(AJ280,3)=RIGHT(AJ280,3)),AP280,IF(LEFT(AJ280)="USD",AO280,IF(RIGHT(AJ280,3)="USD",1,IFERROR(VLOOKUP(E280&amp;"USD"&amp;RIGHT(AJ280,3),$AN:$AO,2,FALSE),VLOOKUP(E280&amp;"USD"&amp;RIGHT(AB280,3),$AF:$AG,2,FALSE)))))</f>
        <v>76.099999999999994</v>
      </c>
      <c r="AR280" s="179">
        <f>-Q280*(1-Z280)/(1+X280)*IF(W280="CLIENT",IF(S280=RIGHT(AJ280,3),1/AM280,AM280),IF(W280="VENDOR",IF(S280=RIGHT(AJ280,3),1/AE280,AE280),AE280^(VLOOKUP(AB280,'FX RATES'!$H$1:$J$26,3,FALSE))/AM280^(VLOOKUP(AJ280,'FX RATES'!$H$1:$J$26,3,FALSE))))</f>
        <v>0</v>
      </c>
      <c r="AS280" s="179">
        <f>-I280*(1+X280)/(1-Z280)*IF(W280="VENDOR",IF(K280=RIGHT(AB280,3),1/AE280,AE280),IF(W280="CLIENT",IF(K280=RIGHT(AB280,3),1/AM280,AM280),AM280^(VLOOKUP(AJ280,'FX RATES'!$H$1:$J$26,3,FALSE))/AE280^(VLOOKUP(AB280,'FX RATES'!$H$1:$J$26,3,FALSE))))</f>
        <v>1584165.0671785029</v>
      </c>
      <c r="AT280" s="170">
        <f ca="1">IF(AB280&lt;&gt;AJ280,J280/IF(K280=RIGHT(AB280,3),AE280,1/AE280),IF(S280="USD",J280/IF(K280=RIGHT(AB280,3),IF(W280="CLIENT",AM280,AE280),1/IF(W280="CLIENT",AM280,AE280)),J280*VLOOKUP(K280,'FX RATES'!$E$1:$F$10,2,FALSE)))</f>
        <v>-430315.23517182498</v>
      </c>
      <c r="AU280" s="170">
        <f ca="1">IF(AB280&lt;&gt;AJ280,R280/IF(S280=RIGHT(AJ280,3),AM280,1/AM280),IF(K280="USD",R280/IF(S280=RIGHT(AJ280,3),IF(W280="CLIENT",AM280,AE280),1/IF(W280="CLIENT",AM280,AE280)),R280*VLOOKUP(S280,'FX RATES'!$E$1:$F$10,2,FALSE)))</f>
        <v>431347.02041564637</v>
      </c>
      <c r="AV280" s="170">
        <f ca="1">AT280+AU280</f>
        <v>1031.7852438213886</v>
      </c>
      <c r="AW280" s="169"/>
      <c r="AX280" s="170">
        <f ca="1">IF(AND(ISERROR(SEARCH("INVOICE",T280)),ISERROR(SEARCH("SWITCH",T280)),ISERROR(SEARCH("FOREX",T280)),ISERROR(SEARCH("REFUND",A280)),ISERROR(SEARCH("CANCELLED",A280))),IF(AW280="",-AT280*X280+AU280*Z280,AW280),0)</f>
        <v>0</v>
      </c>
      <c r="AY280" s="170">
        <f>IF(AZ280="USD",AT280,IF(AZ280=K280,J280,-R280))</f>
        <v>-1584165.0671785029</v>
      </c>
      <c r="AZ280" s="170" t="str">
        <f>LEFT(AB280,3)</f>
        <v>AED</v>
      </c>
      <c r="BA280" s="542">
        <f>IF(OR(A280="REFUND",A280="CANCELLED"),0,IFERROR((IF(OR(AB280="USDAED",LEFT(AB280,3)=RIGHT(AB280,3)),AI280,AG280)-AE280)*-AY280*VLOOKUP(AB280,'FX RATES'!$H$1:$J$26,3,FALSE),0))</f>
        <v>-187723.56046065409</v>
      </c>
      <c r="BB280" s="170" t="str">
        <f>RIGHT(AB280,3)</f>
        <v>RUB</v>
      </c>
      <c r="BC280" s="542">
        <f>IF(BA280=0,0,IFERROR(BA280/IF(BB280&lt;&gt;"USD",AI280,1),"???"))</f>
        <v>-2466.8010573016309</v>
      </c>
      <c r="BD280" s="170">
        <f>IFERROR(-AC280/(IF(OR(AB280="USDAED",LEFT(AB280,3)=RIGHT(AB280,3)),AH280,AG280)-AE280)*BC280,0)</f>
        <v>0</v>
      </c>
      <c r="BE280" s="542">
        <f>BC280-BD280</f>
        <v>-2466.8010573016309</v>
      </c>
      <c r="BF280" s="170">
        <f>IF(BG280="USD",AU280,IF(BG280=S280,R280,-J280))</f>
        <v>1584165.0671785029</v>
      </c>
      <c r="BG280" s="170" t="str">
        <f>LEFT(AJ280,3)</f>
        <v>AED</v>
      </c>
      <c r="BH280" s="542">
        <f>IF(OR(A280="REFUND",A280="CANCELLED"),0,IFERROR((IF(OR(AJ280="USDAED",LEFT(AJ280,3)=RIGHT(AJ280,3)),AQ280,AO280)-AM280)*-BF280*VLOOKUP(AJ280,'FX RATES'!$H$1:$J$26,3,FALSE),0))</f>
        <v>0</v>
      </c>
      <c r="BI280" s="170" t="str">
        <f>RIGHT(AJ280,3)</f>
        <v>RUB</v>
      </c>
      <c r="BJ280" s="542">
        <f>IF(BH280=0,0,IFERROR(BH280/IF(BI280&lt;&gt;"USD",AQ280,1),"???"))</f>
        <v>0</v>
      </c>
      <c r="BK280" s="170">
        <f>IFERROR(-AK280/(IF(OR(AJ280="USDAED",LEFT(AJ280,3)=RIGHT(AJ280,3)),AP280,AO280)-AM280)*BJ280,0)</f>
        <v>0</v>
      </c>
      <c r="BL280" s="542">
        <f>BJ280-BK280</f>
        <v>0</v>
      </c>
      <c r="BM280" s="170">
        <f>IF(AND(ISERROR(SEARCH("REFUND",A280)),ISERROR(SEARCH("CANCELLED",A280))),BD280+BK280,0)</f>
        <v>0</v>
      </c>
      <c r="BN280" s="542">
        <f>IF(AND(ISERROR(SEARCH("REFUND",A280)),ISERROR(SEARCH("CANCELLED",A280))),BE280+BL280,0)</f>
        <v>-2466.8010573016309</v>
      </c>
    </row>
    <row r="281" spans="1:66" ht="19.5" customHeight="1">
      <c r="J281" s="450"/>
    </row>
    <row r="282" spans="1:66" ht="19.5" customHeight="1">
      <c r="A282" s="167" t="s">
        <v>366</v>
      </c>
      <c r="B282" s="225" t="s">
        <v>42</v>
      </c>
      <c r="C282" s="225" t="s">
        <v>367</v>
      </c>
      <c r="D282" s="225" t="s">
        <v>368</v>
      </c>
      <c r="E282" s="226">
        <v>46051</v>
      </c>
      <c r="F282" s="226"/>
      <c r="G282" s="225" t="s">
        <v>42</v>
      </c>
      <c r="H282" s="225" t="s">
        <v>550</v>
      </c>
      <c r="I282" s="227">
        <v>-6100000</v>
      </c>
      <c r="J282" s="170">
        <f>IF(I282="",AR282,I282)</f>
        <v>-6100000</v>
      </c>
      <c r="K282" s="225" t="s">
        <v>7</v>
      </c>
      <c r="L282" s="226" t="s">
        <v>37</v>
      </c>
      <c r="M282" s="225" t="s">
        <v>22</v>
      </c>
      <c r="N282" s="167" t="s">
        <v>371</v>
      </c>
      <c r="O282" s="225" t="s">
        <v>52</v>
      </c>
      <c r="P282" s="225" t="s">
        <v>551</v>
      </c>
      <c r="Q282" s="227"/>
      <c r="R282" s="170">
        <f>IF(Q282="",AS282,Q282)</f>
        <v>66819119.119119115</v>
      </c>
      <c r="S282" s="225" t="s">
        <v>9</v>
      </c>
      <c r="T282" s="225" t="s">
        <v>502</v>
      </c>
      <c r="U282" s="225" t="s">
        <v>25</v>
      </c>
      <c r="V282" s="167" t="s">
        <v>371</v>
      </c>
      <c r="W282" s="230" t="s">
        <v>389</v>
      </c>
      <c r="X282" s="173">
        <f>IF(Y282="",VLOOKUP(H282,CLIENTS!$A$1:$O$649,5,FALSE),Y282)</f>
        <v>0</v>
      </c>
      <c r="Y282" s="234">
        <v>0</v>
      </c>
      <c r="Z282" s="173">
        <f>IF(AA282="",VLOOKUP(P282,CLIENTS!$A$1:$O$649,5,FALSE),AA282)</f>
        <v>1E-3</v>
      </c>
      <c r="AA282" s="234">
        <v>1E-3</v>
      </c>
      <c r="AB282" s="173" t="str">
        <f>IF(W282="via USD",IF(K282="EUR",K282&amp;"USD","USD"&amp;K282),IFERROR(VLOOKUP(K282&amp;S282,'FX RATES'!$H$2:$H$20,1,FALSE),S282&amp;K282))</f>
        <v>CNYRUB</v>
      </c>
      <c r="AC282" s="175">
        <f>IF(LEFT(AB282,3)=RIGHT(AB282,3),0,IFERROR(INDEX(CLIENTS!$A$1:$O$649,MATCH(H282,CLIENTS!$A$1:$A$649,0),MATCH(AB282,CLIENTS!$A$1:$O$1,0)),0))</f>
        <v>0</v>
      </c>
      <c r="AD282" s="176"/>
      <c r="AE282" s="177" t="str">
        <f>IF(W282="CLIENT","",IF(AD282="",AH282+AC282,AD282+AC282))</f>
        <v/>
      </c>
      <c r="AF282" s="177" t="str">
        <f>E282&amp;AB282</f>
        <v>46051CNYRUB</v>
      </c>
      <c r="AG282" s="176"/>
      <c r="AH282" s="178">
        <f ca="1">IF(LEFT(AB282,3)=RIGHT(AB282,3),1,VLOOKUP(AB282,'FX RATES'!$H$1:$I$20,2,FALSE))</f>
        <v>11.103899999999999</v>
      </c>
      <c r="AI282" s="178">
        <f>IF(OR(AB282="USDAED",LEFT(AB282,3)=RIGHT(AB282,3)),AH282,IF(LEFT(AB282)="USD",AG282,IF(RIGHT(AB282,3)="USD",1,IFERROR(VLOOKUP(E282&amp;"USD"&amp;RIGHT(AB282,3),$AF:$AG,2,FALSE),VLOOKUP(E282&amp;"USD"&amp;RIGHT(AJ282,3),$AN:$AO,2,FALSE)))))</f>
        <v>76.099999999999994</v>
      </c>
      <c r="AJ282" s="173" t="str">
        <f>IF(W282="via USD",IF(S282="EUR",S282&amp;"USD","USD"&amp;S282),IFERROR(VLOOKUP(K282&amp;S282,'FX RATES'!$H$2:$H$20,1,FALSE),S282&amp;K282))</f>
        <v>CNYRUB</v>
      </c>
      <c r="AK282" s="175">
        <f>IF(LEFT(AJ282,3)=RIGHT(AJ282,3),0,IFERROR(INDEX(CLIENTS!$A$1:$O$649,MATCH(P282,CLIENTS!$A$1:$A$649,0),MATCH(AJ282,CLIENTS!$A$1:$O$1,0)),0))</f>
        <v>0</v>
      </c>
      <c r="AL282" s="176">
        <v>10.943</v>
      </c>
      <c r="AM282" s="177">
        <f>IF(W282="VENDOR","",IF(AL282="",AP282+AK282,AL282+AK282))</f>
        <v>10.943</v>
      </c>
      <c r="AN282" s="177" t="str">
        <f>E282&amp;AJ282</f>
        <v>46051CNYRUB</v>
      </c>
      <c r="AO282" s="176">
        <v>10.95</v>
      </c>
      <c r="AP282" s="178">
        <f ca="1">IF(LEFT(AJ282,3)=RIGHT(AJ282,3),1,VLOOKUP(AJ282,'FX RATES'!$H$1:$I$20,2,FALSE))</f>
        <v>11.103899999999999</v>
      </c>
      <c r="AQ282" s="178">
        <f>IF(OR(AJ282="USDAED",LEFT(AJ282,3)=RIGHT(AJ282,3)),AP282,IF(LEFT(AJ282)="USD",AO282,IF(RIGHT(AJ282,3)="USD",1,IFERROR(VLOOKUP(E282&amp;"USD"&amp;RIGHT(AJ282,3),$AN:$AO,2,FALSE),VLOOKUP(E282&amp;"USD"&amp;RIGHT(AB282,3),$AF:$AG,2,FALSE)))))</f>
        <v>76</v>
      </c>
      <c r="AR282" s="179">
        <f>-Q282*(1-Z282)/(1+X282)*IF(W282="CLIENT",IF(S282=RIGHT(AJ282,3),1/AM282,AM282),IF(W282="VENDOR",IF(S282=RIGHT(AJ282,3),1/AE282,AE282),AE282^(VLOOKUP(AB282,'FX RATES'!$H$1:$J$26,3,FALSE))/AM282^(VLOOKUP(AJ282,'FX RATES'!$H$1:$J$26,3,FALSE))))</f>
        <v>0</v>
      </c>
      <c r="AS282" s="179">
        <f>-I282*(1+X282)/(1-Z282)*IF(W282="VENDOR",IF(K282=RIGHT(AB282,3),1/AE282,AE282),IF(W282="CLIENT",IF(K282=RIGHT(AB282,3),1/AM282,AM282),AM282^(VLOOKUP(AJ282,'FX RATES'!$H$1:$J$26,3,FALSE))/AE282^(VLOOKUP(AB282,'FX RATES'!$H$1:$J$26,3,FALSE))))</f>
        <v>66819119.119119115</v>
      </c>
      <c r="AT282" s="170">
        <f ca="1">IF(AB282&lt;&gt;AJ282,J282/IF(K282=RIGHT(AB282,3),AE282,1/AE282),IF(S282="USD",J282/IF(K282=RIGHT(AB282,3),IF(W282="CLIENT",AM282,AE282),1/IF(W282="CLIENT",AM282,AE282)),J282*VLOOKUP(K282,'FX RATES'!$E$1:$F$10,2,FALSE)))</f>
        <v>-883034.16328894033</v>
      </c>
      <c r="AU282" s="170">
        <f ca="1">IF(AB282&lt;&gt;AJ282,R282/IF(S282=RIGHT(AJ282,3),AM282,1/AM282),IF(K282="USD",R282/IF(S282=RIGHT(AJ282,3),IF(W282="CLIENT",AM282,AE282),1/IF(W282="CLIENT",AM282,AE282)),R282*VLOOKUP(S282,'FX RATES'!$E$1:$F$10,2,FALSE)))</f>
        <v>870942.17476579419</v>
      </c>
      <c r="AV282" s="170">
        <f ca="1">AT282+AU282</f>
        <v>-12091.988523146138</v>
      </c>
      <c r="AW282" s="227"/>
      <c r="AX282" s="170">
        <f ca="1">IF(AND(ISERROR(SEARCH("INVOICE",T282)),ISERROR(SEARCH("SWITCH",T282)),ISERROR(SEARCH("FOREX",T282)),ISERROR(SEARCH("REFUND",A282)),ISERROR(SEARCH("CANCELLED",A282))),IF(AW282="",-AT282*X282+AU282*Z282,AW282),0)</f>
        <v>870.94217476579422</v>
      </c>
      <c r="AY282" s="170">
        <f>IF(AZ282="USD",AT282,IF(AZ282=K282,J282,-R282))</f>
        <v>-6100000</v>
      </c>
      <c r="AZ282" s="170" t="str">
        <f>LEFT(AB282,3)</f>
        <v>CNY</v>
      </c>
      <c r="BA282" s="542">
        <f>IF(OR(A282="REFUND",A282="CANCELLED"),0,IFERROR((IF(OR(AB282="USDAED",LEFT(AB282,3)=RIGHT(AB282,3)),AI282,AG282)-AE282)*-AY282*VLOOKUP(AB282,'FX RATES'!$H$1:$J$26,3,FALSE),0))</f>
        <v>0</v>
      </c>
      <c r="BB282" s="170" t="str">
        <f>RIGHT(AB282,3)</f>
        <v>RUB</v>
      </c>
      <c r="BC282" s="542">
        <f>IF(BA282=0,0,IFERROR(BA282/IF(BB282&lt;&gt;"USD",AI282,1),"???"))</f>
        <v>0</v>
      </c>
      <c r="BD282" s="170">
        <f>IFERROR(-AC282/(IF(OR(AB282="USDAED",LEFT(AB282,3)=RIGHT(AB282,3)),AH282,AG282)-AE282)*BC282,0)</f>
        <v>0</v>
      </c>
      <c r="BE282" s="542">
        <f>BC282-BD282</f>
        <v>0</v>
      </c>
      <c r="BF282" s="170">
        <f>IF(BG282="USD",AU282,IF(BG282=S282,R282,-J282))</f>
        <v>6100000</v>
      </c>
      <c r="BG282" s="170" t="str">
        <f>LEFT(AJ282,3)</f>
        <v>CNY</v>
      </c>
      <c r="BH282" s="542">
        <f>IF(OR(A282="REFUND",A282="CANCELLED"),0,IFERROR((IF(OR(AJ282="USDAED",LEFT(AJ282,3)=RIGHT(AJ282,3)),AQ282,AO282)-AM282)*-BF282*VLOOKUP(AJ282,'FX RATES'!$H$1:$J$26,3,FALSE),0))</f>
        <v>-42699.999999998006</v>
      </c>
      <c r="BI282" s="170" t="str">
        <f>RIGHT(AJ282,3)</f>
        <v>RUB</v>
      </c>
      <c r="BJ282" s="542">
        <f>IF(BH282=0,0,IFERROR(BH282/IF(BI282&lt;&gt;"USD",AQ282,1),"???"))</f>
        <v>-561.84210526313166</v>
      </c>
      <c r="BK282" s="170">
        <f>IFERROR(-AK282/(IF(OR(AJ282="USDAED",LEFT(AJ282,3)=RIGHT(AJ282,3)),AP282,AO282)-AM282)*BJ282,0)</f>
        <v>0</v>
      </c>
      <c r="BL282" s="542">
        <f>BJ282-BK282</f>
        <v>-561.84210526313166</v>
      </c>
      <c r="BM282" s="170">
        <f>IF(AND(ISERROR(SEARCH("REFUND",A282)),ISERROR(SEARCH("CANCELLED",A282))),BD282+BK282,0)</f>
        <v>0</v>
      </c>
      <c r="BN282" s="542">
        <f>IF(AND(ISERROR(SEARCH("REFUND",A282)),ISERROR(SEARCH("CANCELLED",A282))),BE282+BL282,0)</f>
        <v>-561.84210526313166</v>
      </c>
    </row>
    <row r="283" spans="1:66" ht="19.5" customHeight="1">
      <c r="A283" s="167" t="s">
        <v>366</v>
      </c>
      <c r="B283" s="225" t="s">
        <v>39</v>
      </c>
      <c r="C283" s="225" t="s">
        <v>383</v>
      </c>
      <c r="D283" s="225" t="s">
        <v>368</v>
      </c>
      <c r="E283" s="226">
        <v>46051</v>
      </c>
      <c r="F283" s="226"/>
      <c r="G283" s="225" t="s">
        <v>52</v>
      </c>
      <c r="H283" s="228" t="s">
        <v>390</v>
      </c>
      <c r="I283" s="227">
        <f>-R282</f>
        <v>-66819119.119119115</v>
      </c>
      <c r="J283" s="170">
        <f>IF(I283="",AR283,I283)</f>
        <v>-66819119.119119115</v>
      </c>
      <c r="K283" s="225" t="s">
        <v>9</v>
      </c>
      <c r="L283" s="226" t="s">
        <v>391</v>
      </c>
      <c r="M283" s="225" t="s">
        <v>25</v>
      </c>
      <c r="N283" s="167" t="s">
        <v>371</v>
      </c>
      <c r="O283" s="225" t="s">
        <v>42</v>
      </c>
      <c r="P283" s="225" t="s">
        <v>392</v>
      </c>
      <c r="Q283" s="227"/>
      <c r="R283" s="170">
        <f>IF(Q283="",AS283,Q283)</f>
        <v>6118966.952300285</v>
      </c>
      <c r="S283" s="225" t="s">
        <v>7</v>
      </c>
      <c r="T283" s="226" t="s">
        <v>22</v>
      </c>
      <c r="U283" s="225" t="s">
        <v>22</v>
      </c>
      <c r="V283" s="167" t="s">
        <v>371</v>
      </c>
      <c r="W283" s="230" t="s">
        <v>382</v>
      </c>
      <c r="X283" s="173">
        <f>IF(Y283="",VLOOKUP(H283,CLIENTS!$A$1:$O$649,5,FALSE),Y283)</f>
        <v>0</v>
      </c>
      <c r="Y283" s="234"/>
      <c r="Z283" s="173">
        <f>IF(AA283="",VLOOKUP(P283,CLIENTS!$A$1:$O$649,5,FALSE),AA283)</f>
        <v>0</v>
      </c>
      <c r="AA283" s="234"/>
      <c r="AB283" s="173" t="str">
        <f>IF(W283="via USD",IF(K283="EUR",K283&amp;"USD","USD"&amp;K283),IFERROR(VLOOKUP(K283&amp;S283,'FX RATES'!$H$2:$H$20,1,FALSE),S283&amp;K283))</f>
        <v>CNYRUB</v>
      </c>
      <c r="AC283" s="175">
        <f>IF(LEFT(AB283,3)=RIGHT(AB283,3),0,IFERROR(INDEX(CLIENTS!$A$1:$O$649,MATCH(H283,CLIENTS!$A$1:$A$649,0),MATCH(AB283,CLIENTS!$A$1:$O$1,0)),0))</f>
        <v>0</v>
      </c>
      <c r="AD283" s="176">
        <v>10.92</v>
      </c>
      <c r="AE283" s="177">
        <f>IF(W283="CLIENT","",IF(AD283="",AH283+AC283,AD283+AC283))</f>
        <v>10.92</v>
      </c>
      <c r="AF283" s="177" t="str">
        <f>E283&amp;AB283</f>
        <v>46051CNYRUB</v>
      </c>
      <c r="AG283" s="176">
        <v>10.95</v>
      </c>
      <c r="AH283" s="178">
        <f ca="1">IF(LEFT(AB283,3)=RIGHT(AB283,3),1,VLOOKUP(AB283,'FX RATES'!$H$1:$I$20,2,FALSE))</f>
        <v>11.103899999999999</v>
      </c>
      <c r="AI283" s="178">
        <f>IF(OR(AB283="USDAED",LEFT(AB283,3)=RIGHT(AB283,3)),AH283,IF(LEFT(AB283)="USD",AG283,IF(RIGHT(AB283,3)="USD",1,IFERROR(VLOOKUP(E283&amp;"USD"&amp;RIGHT(AB283,3),$AF:$AG,2,FALSE),VLOOKUP(E283&amp;"USD"&amp;RIGHT(AJ283,3),$AN:$AO,2,FALSE)))))</f>
        <v>76.099999999999994</v>
      </c>
      <c r="AJ283" s="173" t="str">
        <f>IF(W283="via USD",IF(S283="EUR",S283&amp;"USD","USD"&amp;S283),IFERROR(VLOOKUP(K283&amp;S283,'FX RATES'!$H$2:$H$20,1,FALSE),S283&amp;K283))</f>
        <v>CNYRUB</v>
      </c>
      <c r="AK283" s="175">
        <f>IF(LEFT(AJ283,3)=RIGHT(AJ283,3),0,IFERROR(INDEX(CLIENTS!$A$1:$O$649,MATCH(P283,CLIENTS!$A$1:$A$649,0),MATCH(AJ283,CLIENTS!$A$1:$O$1,0)),0))</f>
        <v>0</v>
      </c>
      <c r="AL283" s="176"/>
      <c r="AM283" s="177" t="str">
        <f>IF(W283="VENDOR","",IF(AL283="",AP283+AK283,AL283+AK283))</f>
        <v/>
      </c>
      <c r="AN283" s="177" t="str">
        <f>E283&amp;AJ283</f>
        <v>46051CNYRUB</v>
      </c>
      <c r="AO283" s="176"/>
      <c r="AP283" s="178">
        <f ca="1">IF(LEFT(AJ283,3)=RIGHT(AJ283,3),1,VLOOKUP(AJ283,'FX RATES'!$H$1:$I$20,2,FALSE))</f>
        <v>11.103899999999999</v>
      </c>
      <c r="AQ283" s="178">
        <f>IF(OR(AJ283="USDAED",LEFT(AJ283,3)=RIGHT(AJ283,3)),AP283,IF(LEFT(AJ283)="USD",AO283,IF(RIGHT(AJ283,3)="USD",1,IFERROR(VLOOKUP(E283&amp;"USD"&amp;RIGHT(AJ283,3),$AN:$AO,2,FALSE),VLOOKUP(E283&amp;"USD"&amp;RIGHT(AB283,3),$AF:$AG,2,FALSE)))))</f>
        <v>76</v>
      </c>
      <c r="AR283" s="179">
        <f>-Q283*(1-Z283)/(1+X283)*IF(W283="CLIENT",IF(S283=RIGHT(AJ283,3),1/AM283,AM283),IF(W283="VENDOR",IF(S283=RIGHT(AJ283,3),1/AE283,AE283),AE283^(VLOOKUP(AB283,'FX RATES'!$H$1:$J$26,3,FALSE))/AM283^(VLOOKUP(AJ283,'FX RATES'!$H$1:$J$26,3,FALSE))))</f>
        <v>0</v>
      </c>
      <c r="AS283" s="179">
        <f>-I283*(1+X283)/(1-Z283)*IF(W283="VENDOR",IF(K283=RIGHT(AB283,3),1/AE283,AE283),IF(W283="CLIENT",IF(K283=RIGHT(AB283,3),1/AM283,AM283),AM283^(VLOOKUP(AJ283,'FX RATES'!$H$1:$J$26,3,FALSE))/AE283^(VLOOKUP(AB283,'FX RATES'!$H$1:$J$26,3,FALSE))))</f>
        <v>6118966.952300285</v>
      </c>
      <c r="AT283" s="170">
        <f ca="1">IF(AB283&lt;&gt;AJ283,J283/IF(K283=RIGHT(AB283,3),AE283,1/AE283),IF(S283="USD",J283/IF(K283=RIGHT(AB283,3),IF(W283="CLIENT",AM283,AE283),1/IF(W283="CLIENT",AM283,AE283)),J283*VLOOKUP(K283,'FX RATES'!$E$1:$F$10,2,FALSE)))</f>
        <v>-870942.17476579419</v>
      </c>
      <c r="AU283" s="170">
        <f ca="1">IF(AB283&lt;&gt;AJ283,R283/IF(S283=RIGHT(AJ283,3),AM283,1/AM283),IF(K283="USD",R283/IF(S283=RIGHT(AJ283,3),IF(W283="CLIENT",AM283,AE283),1/IF(W283="CLIENT",AM283,AE283)),R283*VLOOKUP(S283,'FX RATES'!$E$1:$F$10,2,FALSE)))</f>
        <v>885779.81359297701</v>
      </c>
      <c r="AV283" s="170">
        <f ca="1">AT283+AU283</f>
        <v>14837.638827182818</v>
      </c>
      <c r="AW283" s="227"/>
      <c r="AX283" s="170">
        <f ca="1">IF(AND(ISERROR(SEARCH("INVOICE",T283)),ISERROR(SEARCH("SWITCH",T283)),ISERROR(SEARCH("FOREX",T283)),ISERROR(SEARCH("REFUND",A283)),ISERROR(SEARCH("CANCELLED",A283))),IF(AW283="",-AT283*X283+AU283*Z283,AW283),0)</f>
        <v>0</v>
      </c>
      <c r="AY283" s="170">
        <f>IF(AZ283="USD",AT283,IF(AZ283=K283,J283,-R283))</f>
        <v>-6118966.952300285</v>
      </c>
      <c r="AZ283" s="170" t="str">
        <f>LEFT(AB283,3)</f>
        <v>CNY</v>
      </c>
      <c r="BA283" s="542">
        <f>IF(OR(A283="REFUND",A283="CANCELLED"),0,IFERROR((IF(OR(AB283="USDAED",LEFT(AB283,3)=RIGHT(AB283,3)),AI283,AG283)-AE283)*-AY283*VLOOKUP(AB283,'FX RATES'!$H$1:$J$26,3,FALSE),0))</f>
        <v>183569.00856900463</v>
      </c>
      <c r="BB283" s="170" t="str">
        <f>RIGHT(AB283,3)</f>
        <v>RUB</v>
      </c>
      <c r="BC283" s="542">
        <f>IF(BA283=0,0,IFERROR(BA283/IF(BB283&lt;&gt;"USD",AI283,1),"???"))</f>
        <v>2412.2077341524919</v>
      </c>
      <c r="BD283" s="170">
        <f>IFERROR(-AC283/(IF(OR(AB283="USDAED",LEFT(AB283,3)=RIGHT(AB283,3)),AH283,AG283)-AE283)*BC283,0)</f>
        <v>0</v>
      </c>
      <c r="BE283" s="542">
        <f>BC283-BD283</f>
        <v>2412.2077341524919</v>
      </c>
      <c r="BF283" s="170">
        <f>IF(BG283="USD",AU283,IF(BG283=S283,R283,-J283))</f>
        <v>6118966.952300285</v>
      </c>
      <c r="BG283" s="170" t="str">
        <f>LEFT(AJ283,3)</f>
        <v>CNY</v>
      </c>
      <c r="BH283" s="542">
        <f>IF(OR(A283="REFUND",A283="CANCELLED"),0,IFERROR((IF(OR(AJ283="USDAED",LEFT(AJ283,3)=RIGHT(AJ283,3)),AQ283,AO283)-AM283)*-BF283*VLOOKUP(AJ283,'FX RATES'!$H$1:$J$26,3,FALSE),0))</f>
        <v>0</v>
      </c>
      <c r="BI283" s="170" t="str">
        <f>RIGHT(AJ283,3)</f>
        <v>RUB</v>
      </c>
      <c r="BJ283" s="542">
        <f>IF(BH283=0,0,IFERROR(BH283/IF(BI283&lt;&gt;"USD",AQ283,1),"???"))</f>
        <v>0</v>
      </c>
      <c r="BK283" s="170">
        <f>IFERROR(-AK283/(IF(OR(AJ283="USDAED",LEFT(AJ283,3)=RIGHT(AJ283,3)),AP283,AO283)-AM283)*BJ283,0)</f>
        <v>0</v>
      </c>
      <c r="BL283" s="542">
        <f>BJ283-BK283</f>
        <v>0</v>
      </c>
      <c r="BM283" s="170">
        <f>IF(AND(ISERROR(SEARCH("REFUND",A283)),ISERROR(SEARCH("CANCELLED",A283))),BD283+BK283,0)</f>
        <v>0</v>
      </c>
      <c r="BN283" s="542">
        <f>IF(AND(ISERROR(SEARCH("REFUND",A283)),ISERROR(SEARCH("CANCELLED",A283))),BE283+BL283,0)</f>
        <v>2412.2077341524919</v>
      </c>
    </row>
    <row r="284" spans="1:66" ht="19.5" customHeight="1">
      <c r="J284" s="450"/>
    </row>
    <row r="285" spans="1:66" ht="19.5" customHeight="1">
      <c r="A285" s="167" t="s">
        <v>366</v>
      </c>
      <c r="B285" s="168" t="s">
        <v>39</v>
      </c>
      <c r="C285" s="168" t="s">
        <v>367</v>
      </c>
      <c r="D285" s="168" t="s">
        <v>368</v>
      </c>
      <c r="E285" s="171">
        <v>46051</v>
      </c>
      <c r="F285" s="171"/>
      <c r="G285" s="168" t="s">
        <v>39</v>
      </c>
      <c r="H285" s="168" t="s">
        <v>393</v>
      </c>
      <c r="I285" s="169"/>
      <c r="J285" s="170">
        <f>IF(I285="",AR285,I285)</f>
        <v>-142757.04399904545</v>
      </c>
      <c r="K285" s="168" t="s">
        <v>5</v>
      </c>
      <c r="L285" s="171" t="s">
        <v>378</v>
      </c>
      <c r="M285" s="168" t="s">
        <v>20</v>
      </c>
      <c r="N285" s="167" t="s">
        <v>371</v>
      </c>
      <c r="O285" s="168" t="s">
        <v>39</v>
      </c>
      <c r="P285" s="168" t="s">
        <v>394</v>
      </c>
      <c r="Q285" s="169">
        <v>10964287.279999999</v>
      </c>
      <c r="R285" s="170">
        <f>IF(Q285="",AS285,Q285)</f>
        <v>10964287.279999999</v>
      </c>
      <c r="S285" s="168" t="s">
        <v>9</v>
      </c>
      <c r="T285" s="171" t="s">
        <v>25</v>
      </c>
      <c r="U285" s="168" t="s">
        <v>374</v>
      </c>
      <c r="V285" s="167" t="s">
        <v>371</v>
      </c>
      <c r="W285" s="172" t="s">
        <v>389</v>
      </c>
      <c r="X285" s="173">
        <f>IF(Y285="",VLOOKUP(H285,CLIENTS!$A$1:$O$649,5,FALSE),Y285)</f>
        <v>0</v>
      </c>
      <c r="Y285" s="174">
        <v>0</v>
      </c>
      <c r="Z285" s="173">
        <f>IF(AA285="",VLOOKUP(P285,CLIENTS!$A$1:$O$649,5,FALSE),AA285)</f>
        <v>7.0000000000000001E-3</v>
      </c>
      <c r="AA285" s="174">
        <v>7.0000000000000001E-3</v>
      </c>
      <c r="AB285" s="173" t="str">
        <f>IF(W285="via USD",IF(K285="EUR",K285&amp;"USD","USD"&amp;K285),IFERROR(VLOOKUP(K285&amp;S285,'FX RATES'!$H$2:$H$20,1,FALSE),S285&amp;K285))</f>
        <v>USDRUB</v>
      </c>
      <c r="AC285" s="175">
        <f>IF(LEFT(AB285,3)=RIGHT(AB285,3),0,IFERROR(INDEX(CLIENTS!$A$1:$O$649,MATCH(H285,CLIENTS!$A$1:$A$649,0),MATCH(AB285,CLIENTS!$A$1:$O$1,0)),0))</f>
        <v>0</v>
      </c>
      <c r="AD285" s="176"/>
      <c r="AE285" s="177" t="str">
        <f>IF(W285="CLIENT","",IF(AD285="",AH285+AC285,AD285+AC285))</f>
        <v/>
      </c>
      <c r="AF285" s="177" t="str">
        <f>E285&amp;AB285</f>
        <v>46051USDRUB</v>
      </c>
      <c r="AG285" s="176">
        <v>76.099999999999994</v>
      </c>
      <c r="AH285" s="178">
        <f ca="1">IF(LEFT(AB285,3)=RIGHT(AB285,3),1,VLOOKUP(AB285,'FX RATES'!$H$1:$I$20,2,FALSE))</f>
        <v>76.720500000000001</v>
      </c>
      <c r="AI285" s="178">
        <f>IF(OR(AB285="USDAED",LEFT(AB285,3)=RIGHT(AB285,3)),AH285,IF(LEFT(AB285)="USD",AG285,IF(RIGHT(AB285,3)="USD",1,IFERROR(VLOOKUP(E285&amp;"USD"&amp;RIGHT(AB285,3),$AF:$AG,2,FALSE),VLOOKUP(E285&amp;"USD"&amp;RIGHT(AJ285,3),$AN:$AO,2,FALSE)))))</f>
        <v>76.099999999999994</v>
      </c>
      <c r="AJ285" s="173" t="str">
        <f>IF(W285="via USD",IF(S285="EUR",S285&amp;"USD","USD"&amp;S285),IFERROR(VLOOKUP(K285&amp;S285,'FX RATES'!$H$2:$H$20,1,FALSE),S285&amp;K285))</f>
        <v>USDRUB</v>
      </c>
      <c r="AK285" s="175">
        <f>IF(LEFT(AJ285,3)=RIGHT(AJ285,3),0,IFERROR(INDEX(CLIENTS!$A$1:$O$649,MATCH(P285,CLIENTS!$A$1:$A$649,0),MATCH(AJ285,CLIENTS!$A$1:$O$1,0)),0))</f>
        <v>0</v>
      </c>
      <c r="AL285" s="176">
        <v>76.266199999999998</v>
      </c>
      <c r="AM285" s="177">
        <f>IF(W285="VENDOR","",IF(AL285="",AP285+AK285,AL285+AK285))</f>
        <v>76.266199999999998</v>
      </c>
      <c r="AN285" s="177" t="str">
        <f>E285&amp;AJ285</f>
        <v>46051USDRUB</v>
      </c>
      <c r="AO285" s="176">
        <v>76</v>
      </c>
      <c r="AP285" s="178">
        <f ca="1">IF(LEFT(AJ285,3)=RIGHT(AJ285,3),1,VLOOKUP(AJ285,'FX RATES'!$H$1:$I$20,2,FALSE))</f>
        <v>76.720500000000001</v>
      </c>
      <c r="AQ285" s="178">
        <f>IF(OR(AJ285="USDAED",LEFT(AJ285,3)=RIGHT(AJ285,3)),AP285,IF(LEFT(AJ285)="USD",AO285,IF(RIGHT(AJ285,3)="USD",1,IFERROR(VLOOKUP(E285&amp;"USD"&amp;RIGHT(AJ285,3),$AN:$AO,2,FALSE),VLOOKUP(E285&amp;"USD"&amp;RIGHT(AB285,3),$AF:$AG,2,FALSE)))))</f>
        <v>76</v>
      </c>
      <c r="AR285" s="179">
        <f>-Q285*(1-Z285)/(1+X285)*IF(W285="CLIENT",IF(S285=RIGHT(AJ285,3),1/AM285,AM285),IF(W285="VENDOR",IF(S285=RIGHT(AJ285,3),1/AE285,AE285),AE285^(VLOOKUP(AB285,'FX RATES'!$H$1:$J$26,3,FALSE))/AM285^(VLOOKUP(AJ285,'FX RATES'!$H$1:$J$26,3,FALSE))))</f>
        <v>-142757.04399904545</v>
      </c>
      <c r="AS285" s="179">
        <f>-I285*(1+X285)/(1-Z285)*IF(W285="VENDOR",IF(K285=RIGHT(AB285,3),1/AE285,AE285),IF(W285="CLIENT",IF(K285=RIGHT(AB285,3),1/AM285,AM285),AM285^(VLOOKUP(AJ285,'FX RATES'!$H$1:$J$26,3,FALSE))/AE285^(VLOOKUP(AB285,'FX RATES'!$H$1:$J$26,3,FALSE))))</f>
        <v>0</v>
      </c>
      <c r="AT285" s="170">
        <f>IF(AB285&lt;&gt;AJ285,J285/IF(K285=RIGHT(AB285,3),AE285,1/AE285),IF(S285="USD",J285/IF(K285=RIGHT(AB285,3),IF(W285="CLIENT",AM285,AE285),1/IF(W285="CLIENT",AM285,AE285)),J285*VLOOKUP(K285,'FX RATES'!$E$1:$F$10,2,FALSE)))</f>
        <v>-142757.04399904545</v>
      </c>
      <c r="AU285" s="170">
        <f>IF(AB285&lt;&gt;AJ285,R285/IF(S285=RIGHT(AJ285,3),AM285,1/AM285),IF(K285="USD",R285/IF(S285=RIGHT(AJ285,3),IF(W285="CLIENT",AM285,AE285),1/IF(W285="CLIENT",AM285,AE285)),R285*VLOOKUP(S285,'FX RATES'!$E$1:$F$10,2,FALSE)))</f>
        <v>143763.3877130367</v>
      </c>
      <c r="AV285" s="170">
        <f>AT285+AU285</f>
        <v>1006.3437139912567</v>
      </c>
      <c r="AW285" s="169"/>
      <c r="AX285" s="170">
        <f>IF(AND(ISERROR(SEARCH("INVOICE",T285)),ISERROR(SEARCH("SWITCH",T285)),ISERROR(SEARCH("FOREX",T285)),ISERROR(SEARCH("REFUND",A285)),ISERROR(SEARCH("CANCELLED",A285))),IF(AW285="",-AT285*X285+AU285*Z285,AW285),0)</f>
        <v>1006.3437139912569</v>
      </c>
      <c r="AY285" s="170">
        <f>IF(AZ285="USD",AT285,IF(AZ285=K285,J285,-R285))</f>
        <v>-142757.04399904545</v>
      </c>
      <c r="AZ285" s="170" t="str">
        <f>LEFT(AB285,3)</f>
        <v>USD</v>
      </c>
      <c r="BA285" s="542">
        <f>IF(OR(A285="REFUND",A285="CANCELLED"),0,IFERROR((IF(OR(AB285="USDAED",LEFT(AB285,3)=RIGHT(AB285,3)),AI285,AG285)-AE285)*-AY285*VLOOKUP(AB285,'FX RATES'!$H$1:$J$26,3,FALSE),0))</f>
        <v>0</v>
      </c>
      <c r="BB285" s="170" t="str">
        <f>RIGHT(AB285,3)</f>
        <v>RUB</v>
      </c>
      <c r="BC285" s="542">
        <f>IF(BA285=0,0,IFERROR(BA285/IF(BB285&lt;&gt;"USD",AI285,1),"???"))</f>
        <v>0</v>
      </c>
      <c r="BD285" s="170">
        <f>IFERROR(-AC285/(IF(OR(AB285="USDAED",LEFT(AB285,3)=RIGHT(AB285,3)),AH285,AG285)-AE285)*BC285,0)</f>
        <v>0</v>
      </c>
      <c r="BE285" s="542">
        <f>BC285-BD285</f>
        <v>0</v>
      </c>
      <c r="BF285" s="170">
        <f>IF(BG285="USD",AU285,IF(BG285=S285,R285,-J285))</f>
        <v>143763.3877130367</v>
      </c>
      <c r="BG285" s="170" t="str">
        <f>LEFT(AJ285,3)</f>
        <v>USD</v>
      </c>
      <c r="BH285" s="542">
        <f>IF(OR(A285="REFUND",A285="CANCELLED"),0,IFERROR((IF(OR(AJ285="USDAED",LEFT(AJ285,3)=RIGHT(AJ285,3)),AQ285,AO285)-AM285)*-BF285*VLOOKUP(AJ285,'FX RATES'!$H$1:$J$26,3,FALSE),0))</f>
        <v>38269.813809210049</v>
      </c>
      <c r="BI285" s="170" t="str">
        <f>RIGHT(AJ285,3)</f>
        <v>RUB</v>
      </c>
      <c r="BJ285" s="542">
        <f>IF(BH285=0,0,IFERROR(BH285/IF(BI285&lt;&gt;"USD",AQ285,1),"???"))</f>
        <v>503.55018170013221</v>
      </c>
      <c r="BK285" s="170">
        <f>IFERROR(-AK285/(IF(OR(AJ285="USDAED",LEFT(AJ285,3)=RIGHT(AJ285,3)),AP285,AO285)-AM285)*BJ285,0)</f>
        <v>0</v>
      </c>
      <c r="BL285" s="542">
        <f>BJ285-BK285</f>
        <v>503.55018170013221</v>
      </c>
      <c r="BM285" s="170">
        <f>IF(AND(ISERROR(SEARCH("REFUND",A285)),ISERROR(SEARCH("CANCELLED",A285))),BD285+BK285,0)</f>
        <v>0</v>
      </c>
      <c r="BN285" s="542">
        <f>IF(AND(ISERROR(SEARCH("REFUND",A285)),ISERROR(SEARCH("CANCELLED",A285))),BE285+BL285,0)</f>
        <v>503.55018170013221</v>
      </c>
    </row>
    <row r="286" spans="1:66" ht="19.5" customHeight="1">
      <c r="A286" s="167" t="s">
        <v>366</v>
      </c>
      <c r="B286" s="168" t="s">
        <v>39</v>
      </c>
      <c r="C286" s="168" t="s">
        <v>383</v>
      </c>
      <c r="D286" s="168" t="s">
        <v>128</v>
      </c>
      <c r="E286" s="171">
        <v>46051</v>
      </c>
      <c r="F286" s="171"/>
      <c r="G286" s="168" t="s">
        <v>39</v>
      </c>
      <c r="H286" s="168" t="s">
        <v>384</v>
      </c>
      <c r="I286" s="169">
        <v>-10964000</v>
      </c>
      <c r="J286" s="170">
        <f>IF(I286="",AR286,I286)</f>
        <v>-10964000</v>
      </c>
      <c r="K286" s="168" t="s">
        <v>9</v>
      </c>
      <c r="L286" s="171" t="s">
        <v>374</v>
      </c>
      <c r="M286" s="168" t="s">
        <v>25</v>
      </c>
      <c r="N286" s="167" t="s">
        <v>371</v>
      </c>
      <c r="O286" s="168" t="s">
        <v>39</v>
      </c>
      <c r="P286" s="349" t="s">
        <v>384</v>
      </c>
      <c r="Q286" s="169"/>
      <c r="R286" s="170">
        <f>IF(Q286="",AS286,Q286)</f>
        <v>528385.54216867476</v>
      </c>
      <c r="S286" s="168" t="s">
        <v>8</v>
      </c>
      <c r="T286" s="171" t="s">
        <v>385</v>
      </c>
      <c r="U286" s="168" t="s">
        <v>20</v>
      </c>
      <c r="V286" s="167" t="s">
        <v>371</v>
      </c>
      <c r="W286" s="172" t="s">
        <v>382</v>
      </c>
      <c r="X286" s="173">
        <f>IF(Y286="",VLOOKUP(H286,CLIENTS!$A$1:$O$649,5,FALSE),Y286)</f>
        <v>0</v>
      </c>
      <c r="Y286" s="174">
        <v>0</v>
      </c>
      <c r="Z286" s="173">
        <f>IF(AA286="",VLOOKUP(P286,CLIENTS!$A$1:$O$649,5,FALSE),AA286)</f>
        <v>0</v>
      </c>
      <c r="AA286" s="174">
        <v>0</v>
      </c>
      <c r="AB286" s="173" t="str">
        <f>IF(W286="via USD",IF(K286="EUR",K286&amp;"USD","USD"&amp;K286),IFERROR(VLOOKUP(K286&amp;S286,'FX RATES'!$H$2:$H$20,1,FALSE),S286&amp;K286))</f>
        <v>AEDRUB</v>
      </c>
      <c r="AC286" s="175">
        <f>IF(LEFT(AB286,3)=RIGHT(AB286,3),0,IFERROR(INDEX(CLIENTS!$A$1:$O$649,MATCH(H286,CLIENTS!$A$1:$A$649,0),MATCH(AB286,CLIENTS!$A$1:$O$1,0)),0))</f>
        <v>0</v>
      </c>
      <c r="AD286" s="176">
        <v>20.75</v>
      </c>
      <c r="AE286" s="177">
        <f>IF(W286="CLIENT","",IF(AD286="",AH286+AC286,AD286+AC286))</f>
        <v>20.75</v>
      </c>
      <c r="AF286" s="177" t="str">
        <f>E286&amp;AB286</f>
        <v>46051AEDRUB</v>
      </c>
      <c r="AG286" s="176">
        <v>20.694299999999998</v>
      </c>
      <c r="AH286" s="178">
        <f ca="1">IF(LEFT(AB286,3)=RIGHT(AB286,3),1,VLOOKUP(AB286,'FX RATES'!$H$1:$I$20,2,FALSE))</f>
        <v>20.8843</v>
      </c>
      <c r="AI286" s="178">
        <f>IF(OR(AB286="USDAED",LEFT(AB286,3)=RIGHT(AB286,3)),AH286,IF(LEFT(AB286)="USD",AG286,IF(RIGHT(AB286,3)="USD",1,IFERROR(VLOOKUP(E286&amp;"USD"&amp;RIGHT(AB286,3),$AF:$AG,2,FALSE),VLOOKUP(E286&amp;"USD"&amp;RIGHT(AJ286,3),$AN:$AO,2,FALSE)))))</f>
        <v>76.099999999999994</v>
      </c>
      <c r="AJ286" s="173" t="str">
        <f>IF(W286="via USD",IF(S286="EUR",S286&amp;"USD","USD"&amp;S286),IFERROR(VLOOKUP(K286&amp;S286,'FX RATES'!$H$2:$H$20,1,FALSE),S286&amp;K286))</f>
        <v>AEDRUB</v>
      </c>
      <c r="AK286" s="175">
        <f>IF(LEFT(AJ286,3)=RIGHT(AJ286,3),0,IFERROR(INDEX(CLIENTS!$A$1:$O$649,MATCH(P286,CLIENTS!$A$1:$A$649,0),MATCH(AJ286,CLIENTS!$A$1:$O$1,0)),0))</f>
        <v>0</v>
      </c>
      <c r="AL286" s="176"/>
      <c r="AM286" s="177" t="str">
        <f>IF(W286="VENDOR","",IF(AL286="",AP286+AK286,AL286+AK286))</f>
        <v/>
      </c>
      <c r="AN286" s="177" t="str">
        <f>E286&amp;AJ286</f>
        <v>46051AEDRUB</v>
      </c>
      <c r="AO286" s="176"/>
      <c r="AP286" s="178">
        <f ca="1">IF(LEFT(AJ286,3)=RIGHT(AJ286,3),1,VLOOKUP(AJ286,'FX RATES'!$H$1:$I$20,2,FALSE))</f>
        <v>20.8843</v>
      </c>
      <c r="AQ286" s="178">
        <f>IF(OR(AJ286="USDAED",LEFT(AJ286,3)=RIGHT(AJ286,3)),AP286,IF(LEFT(AJ286)="USD",AO286,IF(RIGHT(AJ286,3)="USD",1,IFERROR(VLOOKUP(E286&amp;"USD"&amp;RIGHT(AJ286,3),$AN:$AO,2,FALSE),VLOOKUP(E286&amp;"USD"&amp;RIGHT(AB286,3),$AF:$AG,2,FALSE)))))</f>
        <v>76</v>
      </c>
      <c r="AR286" s="179">
        <f>-Q286*(1-Z286)/(1+X286)*IF(W286="CLIENT",IF(S286=RIGHT(AJ286,3),1/AM286,AM286),IF(W286="VENDOR",IF(S286=RIGHT(AJ286,3),1/AE286,AE286),AE286^(VLOOKUP(AB286,'FX RATES'!$H$1:$J$26,3,FALSE))/AM286^(VLOOKUP(AJ286,'FX RATES'!$H$1:$J$26,3,FALSE))))</f>
        <v>0</v>
      </c>
      <c r="AS286" s="179">
        <f>-I286*(1+X286)/(1-Z286)*IF(W286="VENDOR",IF(K286=RIGHT(AB286,3),1/AE286,AE286),IF(W286="CLIENT",IF(K286=RIGHT(AB286,3),1/AM286,AM286),AM286^(VLOOKUP(AJ286,'FX RATES'!$H$1:$J$26,3,FALSE))/AE286^(VLOOKUP(AB286,'FX RATES'!$H$1:$J$26,3,FALSE))))</f>
        <v>528385.54216867476</v>
      </c>
      <c r="AT286" s="170">
        <f ca="1">IF(AB286&lt;&gt;AJ286,J286/IF(K286=RIGHT(AB286,3),AE286,1/AE286),IF(S286="USD",J286/IF(K286=RIGHT(AB286,3),IF(W286="CLIENT",AM286,AE286),1/IF(W286="CLIENT",AM286,AE286)),J286*VLOOKUP(K286,'FX RATES'!$E$1:$F$10,2,FALSE)))</f>
        <v>-142908.34913745348</v>
      </c>
      <c r="AU286" s="170">
        <f ca="1">IF(AB286&lt;&gt;AJ286,R286/IF(S286=RIGHT(AJ286,3),AM286,1/AM286),IF(K286="USD",R286/IF(S286=RIGHT(AJ286,3),IF(W286="CLIENT",AM286,AE286),1/IF(W286="CLIENT",AM286,AE286)),R286*VLOOKUP(S286,'FX RATES'!$E$1:$F$10,2,FALSE)))</f>
        <v>143872.33626549985</v>
      </c>
      <c r="AV286" s="170">
        <f ca="1">AT286+AU286</f>
        <v>963.98712804637034</v>
      </c>
      <c r="AW286" s="169"/>
      <c r="AX286" s="170">
        <f ca="1">IF(AND(ISERROR(SEARCH("INVOICE",T286)),ISERROR(SEARCH("SWITCH",T286)),ISERROR(SEARCH("FOREX",T286)),ISERROR(SEARCH("REFUND",A286)),ISERROR(SEARCH("CANCELLED",A286))),IF(AW286="",-AT286*X286+AU286*Z286,AW286),0)</f>
        <v>0</v>
      </c>
      <c r="AY286" s="170">
        <f>IF(AZ286="USD",AT286,IF(AZ286=K286,J286,-R286))</f>
        <v>-528385.54216867476</v>
      </c>
      <c r="AZ286" s="170" t="str">
        <f>LEFT(AB286,3)</f>
        <v>AED</v>
      </c>
      <c r="BA286" s="542">
        <f>IF(OR(A286="REFUND",A286="CANCELLED"),0,IFERROR((IF(OR(AB286="USDAED",LEFT(AB286,3)=RIGHT(AB286,3)),AI286,AG286)-AE286)*-AY286*VLOOKUP(AB286,'FX RATES'!$H$1:$J$26,3,FALSE),0))</f>
        <v>-29431.074698796048</v>
      </c>
      <c r="BB286" s="170" t="str">
        <f>RIGHT(AB286,3)</f>
        <v>RUB</v>
      </c>
      <c r="BC286" s="542">
        <f>IF(BA286=0,0,IFERROR(BA286/IF(BB286&lt;&gt;"USD",AI286,1),"???"))</f>
        <v>-386.74211167931736</v>
      </c>
      <c r="BD286" s="170">
        <f>IFERROR(-AC286/(IF(OR(AB286="USDAED",LEFT(AB286,3)=RIGHT(AB286,3)),AH286,AG286)-AE286)*BC286,0)</f>
        <v>0</v>
      </c>
      <c r="BE286" s="542">
        <f>BC286-BD286</f>
        <v>-386.74211167931736</v>
      </c>
      <c r="BF286" s="170">
        <f>IF(BG286="USD",AU286,IF(BG286=S286,R286,-J286))</f>
        <v>528385.54216867476</v>
      </c>
      <c r="BG286" s="170" t="str">
        <f>LEFT(AJ286,3)</f>
        <v>AED</v>
      </c>
      <c r="BH286" s="542">
        <f>IF(OR(A286="REFUND",A286="CANCELLED"),0,IFERROR((IF(OR(AJ286="USDAED",LEFT(AJ286,3)=RIGHT(AJ286,3)),AQ286,AO286)-AM286)*-BF286*VLOOKUP(AJ286,'FX RATES'!$H$1:$J$26,3,FALSE),0))</f>
        <v>0</v>
      </c>
      <c r="BI286" s="170" t="str">
        <f>RIGHT(AJ286,3)</f>
        <v>RUB</v>
      </c>
      <c r="BJ286" s="542">
        <f>IF(BH286=0,0,IFERROR(BH286/IF(BI286&lt;&gt;"USD",AQ286,1),"???"))</f>
        <v>0</v>
      </c>
      <c r="BK286" s="170">
        <f>IFERROR(-AK286/(IF(OR(AJ286="USDAED",LEFT(AJ286,3)=RIGHT(AJ286,3)),AP286,AO286)-AM286)*BJ286,0)</f>
        <v>0</v>
      </c>
      <c r="BL286" s="542">
        <f>BJ286-BK286</f>
        <v>0</v>
      </c>
      <c r="BM286" s="170">
        <f>IF(AND(ISERROR(SEARCH("REFUND",A286)),ISERROR(SEARCH("CANCELLED",A286))),BD286+BK286,0)</f>
        <v>0</v>
      </c>
      <c r="BN286" s="542">
        <f>IF(AND(ISERROR(SEARCH("REFUND",A286)),ISERROR(SEARCH("CANCELLED",A286))),BE286+BL286,0)</f>
        <v>-386.74211167931736</v>
      </c>
    </row>
    <row r="287" spans="1:66" ht="19.5" customHeight="1">
      <c r="J287" s="450"/>
    </row>
    <row r="288" spans="1:66" ht="19.5" customHeight="1">
      <c r="A288" s="167" t="s">
        <v>366</v>
      </c>
      <c r="B288" s="225" t="s">
        <v>42</v>
      </c>
      <c r="C288" s="225" t="s">
        <v>367</v>
      </c>
      <c r="D288" s="225" t="s">
        <v>368</v>
      </c>
      <c r="E288" s="226">
        <v>46051</v>
      </c>
      <c r="F288" s="226"/>
      <c r="G288" s="225" t="s">
        <v>42</v>
      </c>
      <c r="H288" s="225" t="s">
        <v>386</v>
      </c>
      <c r="I288" s="227">
        <v>-5800000</v>
      </c>
      <c r="J288" s="170">
        <f>IF(I288="",AR288,I288)</f>
        <v>-5800000</v>
      </c>
      <c r="K288" s="225" t="s">
        <v>7</v>
      </c>
      <c r="L288" s="226" t="s">
        <v>387</v>
      </c>
      <c r="M288" s="225" t="s">
        <v>22</v>
      </c>
      <c r="N288" s="167" t="s">
        <v>371</v>
      </c>
      <c r="O288" s="225" t="s">
        <v>52</v>
      </c>
      <c r="P288" s="225" t="s">
        <v>388</v>
      </c>
      <c r="Q288" s="227"/>
      <c r="R288" s="170">
        <f>IF(Q288="",AS288,Q288)</f>
        <v>63510000</v>
      </c>
      <c r="S288" s="225" t="s">
        <v>9</v>
      </c>
      <c r="T288" s="226" t="s">
        <v>20</v>
      </c>
      <c r="U288" s="226" t="s">
        <v>20</v>
      </c>
      <c r="V288" s="167" t="s">
        <v>371</v>
      </c>
      <c r="W288" s="230" t="s">
        <v>389</v>
      </c>
      <c r="X288" s="173">
        <f>IF(Y288="",VLOOKUP(H288,CLIENTS!$A$1:$O$649,5,FALSE),Y288)</f>
        <v>0</v>
      </c>
      <c r="Y288" s="234">
        <v>0</v>
      </c>
      <c r="Z288" s="173">
        <f>IF(AA288="",VLOOKUP(P288,CLIENTS!$A$1:$O$649,5,FALSE),AA288)</f>
        <v>4.0000000000000001E-3</v>
      </c>
      <c r="AA288" s="234">
        <v>4.0000000000000001E-3</v>
      </c>
      <c r="AB288" s="173" t="str">
        <f>IF(W288="via USD",IF(K288="EUR",K288&amp;"USD","USD"&amp;K288),IFERROR(VLOOKUP(K288&amp;S288,'FX RATES'!$H$2:$H$20,1,FALSE),S288&amp;K288))</f>
        <v>CNYRUB</v>
      </c>
      <c r="AC288" s="175">
        <f>IF(LEFT(AB288,3)=RIGHT(AB288,3),0,IFERROR(INDEX(CLIENTS!$A$1:$O$649,MATCH(H288,CLIENTS!$A$1:$A$649,0),MATCH(AB288,CLIENTS!$A$1:$O$1,0)),0))</f>
        <v>0</v>
      </c>
      <c r="AD288" s="176"/>
      <c r="AE288" s="177" t="str">
        <f>IF(W288="CLIENT","",IF(AD288="",AH288+AC288,AD288+AC288))</f>
        <v/>
      </c>
      <c r="AF288" s="177" t="str">
        <f>E288&amp;AB288</f>
        <v>46051CNYRUB</v>
      </c>
      <c r="AG288" s="176"/>
      <c r="AH288" s="178">
        <f ca="1">IF(LEFT(AB288,3)=RIGHT(AB288,3),1,VLOOKUP(AB288,'FX RATES'!$H$1:$I$20,2,FALSE))</f>
        <v>11.103899999999999</v>
      </c>
      <c r="AI288" s="178">
        <f>IF(OR(AB288="USDAED",LEFT(AB288,3)=RIGHT(AB288,3)),AH288,IF(LEFT(AB288)="USD",AG288,IF(RIGHT(AB288,3)="USD",1,IFERROR(VLOOKUP(E288&amp;"USD"&amp;RIGHT(AB288,3),$AF:$AG,2,FALSE),VLOOKUP(E288&amp;"USD"&amp;RIGHT(AJ288,3),$AN:$AO,2,FALSE)))))</f>
        <v>76.099999999999994</v>
      </c>
      <c r="AJ288" s="173" t="str">
        <f>IF(W288="via USD",IF(S288="EUR",S288&amp;"USD","USD"&amp;S288),IFERROR(VLOOKUP(K288&amp;S288,'FX RATES'!$H$2:$H$20,1,FALSE),S288&amp;K288))</f>
        <v>CNYRUB</v>
      </c>
      <c r="AK288" s="175">
        <f>IF(LEFT(AJ288,3)=RIGHT(AJ288,3),0,IFERROR(INDEX(CLIENTS!$A$1:$O$649,MATCH(P288,CLIENTS!$A$1:$A$649,0),MATCH(AJ288,CLIENTS!$A$1:$O$1,0)),0))</f>
        <v>0</v>
      </c>
      <c r="AL288" s="176">
        <v>10.9062</v>
      </c>
      <c r="AM288" s="177">
        <f>IF(W288="VENDOR","",IF(AL288="",AP288+AK288,AL288+AK288))</f>
        <v>10.9062</v>
      </c>
      <c r="AN288" s="177" t="str">
        <f>E288&amp;AJ288</f>
        <v>46051CNYRUB</v>
      </c>
      <c r="AO288" s="176">
        <v>10.95</v>
      </c>
      <c r="AP288" s="178">
        <f ca="1">IF(LEFT(AJ288,3)=RIGHT(AJ288,3),1,VLOOKUP(AJ288,'FX RATES'!$H$1:$I$20,2,FALSE))</f>
        <v>11.103899999999999</v>
      </c>
      <c r="AQ288" s="178">
        <f>IF(OR(AJ288="USDAED",LEFT(AJ288,3)=RIGHT(AJ288,3)),AP288,IF(LEFT(AJ288)="USD",AO288,IF(RIGHT(AJ288,3)="USD",1,IFERROR(VLOOKUP(E288&amp;"USD"&amp;RIGHT(AJ288,3),$AN:$AO,2,FALSE),VLOOKUP(E288&amp;"USD"&amp;RIGHT(AB288,3),$AF:$AG,2,FALSE)))))</f>
        <v>76</v>
      </c>
      <c r="AR288" s="179">
        <f>-Q288*(1-Z288)/(1+X288)*IF(W288="CLIENT",IF(S288=RIGHT(AJ288,3),1/AM288,AM288),IF(W288="VENDOR",IF(S288=RIGHT(AJ288,3),1/AE288,AE288),AE288^(VLOOKUP(AB288,'FX RATES'!$H$1:$J$26,3,FALSE))/AM288^(VLOOKUP(AJ288,'FX RATES'!$H$1:$J$26,3,FALSE))))</f>
        <v>0</v>
      </c>
      <c r="AS288" s="179">
        <f>-I288*(1+X288)/(1-Z288)*IF(W288="VENDOR",IF(K288=RIGHT(AB288,3),1/AE288,AE288),IF(W288="CLIENT",IF(K288=RIGHT(AB288,3),1/AM288,AM288),AM288^(VLOOKUP(AJ288,'FX RATES'!$H$1:$J$26,3,FALSE))/AE288^(VLOOKUP(AB288,'FX RATES'!$H$1:$J$26,3,FALSE))))</f>
        <v>63510000</v>
      </c>
      <c r="AT288" s="170">
        <f ca="1">IF(AB288&lt;&gt;AJ288,J288/IF(K288=RIGHT(AB288,3),AE288,1/AE288),IF(S288="USD",J288/IF(K288=RIGHT(AB288,3),IF(W288="CLIENT",AM288,AE288),1/IF(W288="CLIENT",AM288,AE288)),J288*VLOOKUP(K288,'FX RATES'!$E$1:$F$10,2,FALSE)))</f>
        <v>-839606.25361899252</v>
      </c>
      <c r="AU288" s="170">
        <f ca="1">IF(AB288&lt;&gt;AJ288,R288/IF(S288=RIGHT(AJ288,3),AM288,1/AM288),IF(K288="USD",R288/IF(S288=RIGHT(AJ288,3),IF(W288="CLIENT",AM288,AE288),1/IF(W288="CLIENT",AM288,AE288)),R288*VLOOKUP(S288,'FX RATES'!$E$1:$F$10,2,FALSE)))</f>
        <v>827810.03773437347</v>
      </c>
      <c r="AV288" s="170">
        <f ca="1">AT288+AU288</f>
        <v>-11796.215884619043</v>
      </c>
      <c r="AW288" s="227"/>
      <c r="AX288" s="170">
        <f ca="1">IF(AND(ISERROR(SEARCH("INVOICE",T288)),ISERROR(SEARCH("SWITCH",T288)),ISERROR(SEARCH("FOREX",T288)),ISERROR(SEARCH("REFUND",A288)),ISERROR(SEARCH("CANCELLED",A288))),IF(AW288="",-AT288*X288+AU288*Z288,AW288),0)</f>
        <v>3311.240150937494</v>
      </c>
      <c r="AY288" s="170">
        <f>IF(AZ288="USD",AT288,IF(AZ288=K288,J288,-R288))</f>
        <v>-5800000</v>
      </c>
      <c r="AZ288" s="170" t="str">
        <f>LEFT(AB288,3)</f>
        <v>CNY</v>
      </c>
      <c r="BA288" s="542">
        <f>IF(OR(A288="REFUND",A288="CANCELLED"),0,IFERROR((IF(OR(AB288="USDAED",LEFT(AB288,3)=RIGHT(AB288,3)),AI288,AG288)-AE288)*-AY288*VLOOKUP(AB288,'FX RATES'!$H$1:$J$26,3,FALSE),0))</f>
        <v>0</v>
      </c>
      <c r="BB288" s="170" t="str">
        <f>RIGHT(AB288,3)</f>
        <v>RUB</v>
      </c>
      <c r="BC288" s="542">
        <f>IF(BA288=0,0,IFERROR(BA288/IF(BB288&lt;&gt;"USD",AI288,1),"???"))</f>
        <v>0</v>
      </c>
      <c r="BD288" s="170">
        <f>IFERROR(-AC288/(IF(OR(AB288="USDAED",LEFT(AB288,3)=RIGHT(AB288,3)),AH288,AG288)-AE288)*BC288,0)</f>
        <v>0</v>
      </c>
      <c r="BE288" s="542">
        <f>BC288-BD288</f>
        <v>0</v>
      </c>
      <c r="BF288" s="170">
        <f>IF(BG288="USD",AU288,IF(BG288=S288,R288,-J288))</f>
        <v>5800000</v>
      </c>
      <c r="BG288" s="170" t="str">
        <f>LEFT(AJ288,3)</f>
        <v>CNY</v>
      </c>
      <c r="BH288" s="542">
        <f>IF(OR(A288="REFUND",A288="CANCELLED"),0,IFERROR((IF(OR(AJ288="USDAED",LEFT(AJ288,3)=RIGHT(AJ288,3)),AQ288,AO288)-AM288)*-BF288*VLOOKUP(AJ288,'FX RATES'!$H$1:$J$26,3,FALSE),0))</f>
        <v>-254039.9999999952</v>
      </c>
      <c r="BI288" s="170" t="str">
        <f>RIGHT(AJ288,3)</f>
        <v>RUB</v>
      </c>
      <c r="BJ288" s="542">
        <f>IF(BH288=0,0,IFERROR(BH288/IF(BI288&lt;&gt;"USD",AQ288,1),"???"))</f>
        <v>-3342.6315789473051</v>
      </c>
      <c r="BK288" s="170">
        <f>IFERROR(-AK288/(IF(OR(AJ288="USDAED",LEFT(AJ288,3)=RIGHT(AJ288,3)),AP288,AO288)-AM288)*BJ288,0)</f>
        <v>0</v>
      </c>
      <c r="BL288" s="542">
        <f>BJ288-BK288</f>
        <v>-3342.6315789473051</v>
      </c>
      <c r="BM288" s="170">
        <f>IF(AND(ISERROR(SEARCH("REFUND",A288)),ISERROR(SEARCH("CANCELLED",A288))),BD288+BK288,0)</f>
        <v>0</v>
      </c>
      <c r="BN288" s="542">
        <f>IF(AND(ISERROR(SEARCH("REFUND",A288)),ISERROR(SEARCH("CANCELLED",A288))),BE288+BL288,0)</f>
        <v>-3342.6315789473051</v>
      </c>
    </row>
    <row r="289" spans="1:66" ht="19.5" customHeight="1">
      <c r="A289" s="167" t="s">
        <v>366</v>
      </c>
      <c r="B289" s="225" t="s">
        <v>39</v>
      </c>
      <c r="C289" s="225" t="s">
        <v>383</v>
      </c>
      <c r="D289" s="225" t="s">
        <v>368</v>
      </c>
      <c r="E289" s="226">
        <v>46051</v>
      </c>
      <c r="F289" s="226"/>
      <c r="G289" s="225" t="s">
        <v>52</v>
      </c>
      <c r="H289" s="228" t="s">
        <v>390</v>
      </c>
      <c r="I289" s="227">
        <f>-R288</f>
        <v>-63510000</v>
      </c>
      <c r="J289" s="170">
        <f>IF(I289="",AR289,I289)</f>
        <v>-63510000</v>
      </c>
      <c r="K289" s="225" t="s">
        <v>9</v>
      </c>
      <c r="L289" s="226" t="s">
        <v>391</v>
      </c>
      <c r="M289" s="225" t="s">
        <v>25</v>
      </c>
      <c r="N289" s="167" t="s">
        <v>371</v>
      </c>
      <c r="O289" s="225" t="s">
        <v>42</v>
      </c>
      <c r="P289" s="225" t="s">
        <v>392</v>
      </c>
      <c r="Q289" s="227"/>
      <c r="R289" s="170">
        <f>IF(Q289="",AS289,Q289)</f>
        <v>5826605.5045871558</v>
      </c>
      <c r="S289" s="225" t="s">
        <v>7</v>
      </c>
      <c r="T289" s="226" t="s">
        <v>22</v>
      </c>
      <c r="U289" s="225" t="s">
        <v>22</v>
      </c>
      <c r="V289" s="167" t="s">
        <v>371</v>
      </c>
      <c r="W289" s="230" t="s">
        <v>382</v>
      </c>
      <c r="X289" s="173">
        <f>IF(Y289="",VLOOKUP(H289,CLIENTS!$A$1:$O$649,5,FALSE),Y289)</f>
        <v>0</v>
      </c>
      <c r="Y289" s="234"/>
      <c r="Z289" s="173">
        <f>IF(AA289="",VLOOKUP(P289,CLIENTS!$A$1:$O$649,5,FALSE),AA289)</f>
        <v>0</v>
      </c>
      <c r="AA289" s="234"/>
      <c r="AB289" s="173" t="str">
        <f>IF(W289="via USD",IF(K289="EUR",K289&amp;"USD","USD"&amp;K289),IFERROR(VLOOKUP(K289&amp;S289,'FX RATES'!$H$2:$H$20,1,FALSE),S289&amp;K289))</f>
        <v>CNYRUB</v>
      </c>
      <c r="AC289" s="175">
        <f>IF(LEFT(AB289,3)=RIGHT(AB289,3),0,IFERROR(INDEX(CLIENTS!$A$1:$O$649,MATCH(H289,CLIENTS!$A$1:$A$649,0),MATCH(AB289,CLIENTS!$A$1:$O$1,0)),0))</f>
        <v>0</v>
      </c>
      <c r="AD289" s="176">
        <v>10.9</v>
      </c>
      <c r="AE289" s="177">
        <f>IF(W289="CLIENT","",IF(AD289="",AH289+AC289,AD289+AC289))</f>
        <v>10.9</v>
      </c>
      <c r="AF289" s="177" t="str">
        <f>E289&amp;AB289</f>
        <v>46051CNYRUB</v>
      </c>
      <c r="AG289" s="176">
        <v>10.95</v>
      </c>
      <c r="AH289" s="178">
        <f ca="1">IF(LEFT(AB289,3)=RIGHT(AB289,3),1,VLOOKUP(AB289,'FX RATES'!$H$1:$I$20,2,FALSE))</f>
        <v>11.103899999999999</v>
      </c>
      <c r="AI289" s="178">
        <f>IF(OR(AB289="USDAED",LEFT(AB289,3)=RIGHT(AB289,3)),AH289,IF(LEFT(AB289)="USD",AG289,IF(RIGHT(AB289,3)="USD",1,IFERROR(VLOOKUP(E289&amp;"USD"&amp;RIGHT(AB289,3),$AF:$AG,2,FALSE),VLOOKUP(E289&amp;"USD"&amp;RIGHT(AJ289,3),$AN:$AO,2,FALSE)))))</f>
        <v>76.099999999999994</v>
      </c>
      <c r="AJ289" s="173" t="str">
        <f>IF(W289="via USD",IF(S289="EUR",S289&amp;"USD","USD"&amp;S289),IFERROR(VLOOKUP(K289&amp;S289,'FX RATES'!$H$2:$H$20,1,FALSE),S289&amp;K289))</f>
        <v>CNYRUB</v>
      </c>
      <c r="AK289" s="175">
        <f>IF(LEFT(AJ289,3)=RIGHT(AJ289,3),0,IFERROR(INDEX(CLIENTS!$A$1:$O$649,MATCH(P289,CLIENTS!$A$1:$A$649,0),MATCH(AJ289,CLIENTS!$A$1:$O$1,0)),0))</f>
        <v>0</v>
      </c>
      <c r="AL289" s="176"/>
      <c r="AM289" s="177" t="str">
        <f>IF(W289="VENDOR","",IF(AL289="",AP289+AK289,AL289+AK289))</f>
        <v/>
      </c>
      <c r="AN289" s="177" t="str">
        <f>E289&amp;AJ289</f>
        <v>46051CNYRUB</v>
      </c>
      <c r="AO289" s="176"/>
      <c r="AP289" s="178">
        <f ca="1">IF(LEFT(AJ289,3)=RIGHT(AJ289,3),1,VLOOKUP(AJ289,'FX RATES'!$H$1:$I$20,2,FALSE))</f>
        <v>11.103899999999999</v>
      </c>
      <c r="AQ289" s="178">
        <f>IF(OR(AJ289="USDAED",LEFT(AJ289,3)=RIGHT(AJ289,3)),AP289,IF(LEFT(AJ289)="USD",AO289,IF(RIGHT(AJ289,3)="USD",1,IFERROR(VLOOKUP(E289&amp;"USD"&amp;RIGHT(AJ289,3),$AN:$AO,2,FALSE),VLOOKUP(E289&amp;"USD"&amp;RIGHT(AB289,3),$AF:$AG,2,FALSE)))))</f>
        <v>76</v>
      </c>
      <c r="AR289" s="179">
        <f>-Q289*(1-Z289)/(1+X289)*IF(W289="CLIENT",IF(S289=RIGHT(AJ289,3),1/AM289,AM289),IF(W289="VENDOR",IF(S289=RIGHT(AJ289,3),1/AE289,AE289),AE289^(VLOOKUP(AB289,'FX RATES'!$H$1:$J$26,3,FALSE))/AM289^(VLOOKUP(AJ289,'FX RATES'!$H$1:$J$26,3,FALSE))))</f>
        <v>0</v>
      </c>
      <c r="AS289" s="179">
        <f>-I289*(1+X289)/(1-Z289)*IF(W289="VENDOR",IF(K289=RIGHT(AB289,3),1/AE289,AE289),IF(W289="CLIENT",IF(K289=RIGHT(AB289,3),1/AM289,AM289),AM289^(VLOOKUP(AJ289,'FX RATES'!$H$1:$J$26,3,FALSE))/AE289^(VLOOKUP(AB289,'FX RATES'!$H$1:$J$26,3,FALSE))))</f>
        <v>5826605.5045871558</v>
      </c>
      <c r="AT289" s="170">
        <f ca="1">IF(AB289&lt;&gt;AJ289,J289/IF(K289=RIGHT(AB289,3),AE289,1/AE289),IF(S289="USD",J289/IF(K289=RIGHT(AB289,3),IF(W289="CLIENT",AM289,AE289),1/IF(W289="CLIENT",AM289,AE289)),J289*VLOOKUP(K289,'FX RATES'!$E$1:$F$10,2,FALSE)))</f>
        <v>-827810.03773437347</v>
      </c>
      <c r="AU289" s="170">
        <f ca="1">IF(AB289&lt;&gt;AJ289,R289/IF(S289=RIGHT(AJ289,3),AM289,1/AM289),IF(K289="USD",R289/IF(S289=RIGHT(AJ289,3),IF(W289="CLIENT",AM289,AE289),1/IF(W289="CLIENT",AM289,AE289)),R289*VLOOKUP(S289,'FX RATES'!$E$1:$F$10,2,FALSE)))</f>
        <v>843457.65845210711</v>
      </c>
      <c r="AV289" s="170">
        <f ca="1">AT289+AU289</f>
        <v>15647.620717733633</v>
      </c>
      <c r="AW289" s="227"/>
      <c r="AX289" s="170">
        <f ca="1">IF(AND(ISERROR(SEARCH("INVOICE",T289)),ISERROR(SEARCH("SWITCH",T289)),ISERROR(SEARCH("FOREX",T289)),ISERROR(SEARCH("REFUND",A289)),ISERROR(SEARCH("CANCELLED",A289))),IF(AW289="",-AT289*X289+AU289*Z289,AW289),0)</f>
        <v>0</v>
      </c>
      <c r="AY289" s="170">
        <f>IF(AZ289="USD",AT289,IF(AZ289=K289,J289,-R289))</f>
        <v>-5826605.5045871558</v>
      </c>
      <c r="AZ289" s="170" t="str">
        <f>LEFT(AB289,3)</f>
        <v>CNY</v>
      </c>
      <c r="BA289" s="542">
        <f>IF(OR(A289="REFUND",A289="CANCELLED"),0,IFERROR((IF(OR(AB289="USDAED",LEFT(AB289,3)=RIGHT(AB289,3)),AI289,AG289)-AE289)*-AY289*VLOOKUP(AB289,'FX RATES'!$H$1:$J$26,3,FALSE),0))</f>
        <v>291330.2752293516</v>
      </c>
      <c r="BB289" s="170" t="str">
        <f>RIGHT(AB289,3)</f>
        <v>RUB</v>
      </c>
      <c r="BC289" s="542">
        <f>IF(BA289=0,0,IFERROR(BA289/IF(BB289&lt;&gt;"USD",AI289,1),"???"))</f>
        <v>3828.2559162858292</v>
      </c>
      <c r="BD289" s="170">
        <f>IFERROR(-AC289/(IF(OR(AB289="USDAED",LEFT(AB289,3)=RIGHT(AB289,3)),AH289,AG289)-AE289)*BC289,0)</f>
        <v>0</v>
      </c>
      <c r="BE289" s="542">
        <f>BC289-BD289</f>
        <v>3828.2559162858292</v>
      </c>
      <c r="BF289" s="170">
        <f>IF(BG289="USD",AU289,IF(BG289=S289,R289,-J289))</f>
        <v>5826605.5045871558</v>
      </c>
      <c r="BG289" s="170" t="str">
        <f>LEFT(AJ289,3)</f>
        <v>CNY</v>
      </c>
      <c r="BH289" s="542">
        <f>IF(OR(A289="REFUND",A289="CANCELLED"),0,IFERROR((IF(OR(AJ289="USDAED",LEFT(AJ289,3)=RIGHT(AJ289,3)),AQ289,AO289)-AM289)*-BF289*VLOOKUP(AJ289,'FX RATES'!$H$1:$J$26,3,FALSE),0))</f>
        <v>0</v>
      </c>
      <c r="BI289" s="170" t="str">
        <f>RIGHT(AJ289,3)</f>
        <v>RUB</v>
      </c>
      <c r="BJ289" s="542">
        <f>IF(BH289=0,0,IFERROR(BH289/IF(BI289&lt;&gt;"USD",AQ289,1),"???"))</f>
        <v>0</v>
      </c>
      <c r="BK289" s="170">
        <f>IFERROR(-AK289/(IF(OR(AJ289="USDAED",LEFT(AJ289,3)=RIGHT(AJ289,3)),AP289,AO289)-AM289)*BJ289,0)</f>
        <v>0</v>
      </c>
      <c r="BL289" s="542">
        <f>BJ289-BK289</f>
        <v>0</v>
      </c>
      <c r="BM289" s="170">
        <f>IF(AND(ISERROR(SEARCH("REFUND",A289)),ISERROR(SEARCH("CANCELLED",A289))),BD289+BK289,0)</f>
        <v>0</v>
      </c>
      <c r="BN289" s="542">
        <f>IF(AND(ISERROR(SEARCH("REFUND",A289)),ISERROR(SEARCH("CANCELLED",A289))),BE289+BL289,0)</f>
        <v>3828.2559162858292</v>
      </c>
    </row>
    <row r="290" spans="1:66" ht="19.5" customHeight="1">
      <c r="J290" s="450"/>
    </row>
    <row r="291" spans="1:66" ht="19.5" customHeight="1">
      <c r="A291" s="167" t="s">
        <v>366</v>
      </c>
      <c r="B291" s="225" t="s">
        <v>42</v>
      </c>
      <c r="C291" s="225" t="s">
        <v>367</v>
      </c>
      <c r="D291" s="225" t="s">
        <v>368</v>
      </c>
      <c r="E291" s="226">
        <v>46051</v>
      </c>
      <c r="F291" s="226"/>
      <c r="G291" s="225" t="s">
        <v>42</v>
      </c>
      <c r="H291" s="225" t="s">
        <v>527</v>
      </c>
      <c r="I291" s="227">
        <v>-14000000</v>
      </c>
      <c r="J291" s="170">
        <f>IF(I291="",AR291,I291)</f>
        <v>-14000000</v>
      </c>
      <c r="K291" s="225" t="s">
        <v>7</v>
      </c>
      <c r="L291" s="226" t="s">
        <v>22</v>
      </c>
      <c r="M291" s="225" t="s">
        <v>22</v>
      </c>
      <c r="N291" s="167" t="s">
        <v>371</v>
      </c>
      <c r="O291" s="225" t="s">
        <v>52</v>
      </c>
      <c r="P291" s="225" t="s">
        <v>416</v>
      </c>
      <c r="Q291" s="227"/>
      <c r="R291" s="170">
        <f>IF(Q291="",AS291,Q291)</f>
        <v>153620862.58776328</v>
      </c>
      <c r="S291" s="225" t="s">
        <v>9</v>
      </c>
      <c r="T291" s="226" t="s">
        <v>414</v>
      </c>
      <c r="U291" s="225" t="s">
        <v>25</v>
      </c>
      <c r="V291" s="167" t="s">
        <v>371</v>
      </c>
      <c r="W291" s="230" t="s">
        <v>389</v>
      </c>
      <c r="X291" s="173">
        <f>IF(Y291="",VLOOKUP(H291,CLIENTS!$A$1:$O$649,5,FALSE),Y291)</f>
        <v>0</v>
      </c>
      <c r="Y291" s="234">
        <v>0</v>
      </c>
      <c r="Z291" s="173">
        <f>IF(AA291="",VLOOKUP(P291,CLIENTS!$A$1:$O$649,5,FALSE),AA291)</f>
        <v>3.0000000000000001E-3</v>
      </c>
      <c r="AA291" s="234">
        <v>3.0000000000000001E-3</v>
      </c>
      <c r="AB291" s="173" t="str">
        <f>IF(W291="via USD",IF(K291="EUR",K291&amp;"USD","USD"&amp;K291),IFERROR(VLOOKUP(K291&amp;S291,'FX RATES'!$H$2:$H$20,1,FALSE),S291&amp;K291))</f>
        <v>CNYRUB</v>
      </c>
      <c r="AC291" s="175">
        <f>IF(LEFT(AB291,3)=RIGHT(AB291,3),0,IFERROR(INDEX(CLIENTS!$A$1:$O$649,MATCH(H291,CLIENTS!$A$1:$A$649,0),MATCH(AB291,CLIENTS!$A$1:$O$1,0)),0))</f>
        <v>0</v>
      </c>
      <c r="AD291" s="176"/>
      <c r="AE291" s="177" t="str">
        <f>IF(W291="CLIENT","",IF(AD291="",AH291+AC291,AD291+AC291))</f>
        <v/>
      </c>
      <c r="AF291" s="177" t="str">
        <f>E291&amp;AB291</f>
        <v>46051CNYRUB</v>
      </c>
      <c r="AG291" s="176"/>
      <c r="AH291" s="178">
        <f ca="1">IF(LEFT(AB291,3)=RIGHT(AB291,3),1,VLOOKUP(AB291,'FX RATES'!$H$1:$I$20,2,FALSE))</f>
        <v>11.103899999999999</v>
      </c>
      <c r="AI291" s="178">
        <f>IF(OR(AB291="USDAED",LEFT(AB291,3)=RIGHT(AB291,3)),AH291,IF(LEFT(AB291)="USD",AG291,IF(RIGHT(AB291,3)="USD",1,IFERROR(VLOOKUP(E291&amp;"USD"&amp;RIGHT(AB291,3),$AF:$AG,2,FALSE),VLOOKUP(E291&amp;"USD"&amp;RIGHT(AJ291,3),$AN:$AO,2,FALSE)))))</f>
        <v>76.099999999999994</v>
      </c>
      <c r="AJ291" s="173" t="str">
        <f>IF(W291="via USD",IF(S291="EUR",S291&amp;"USD","USD"&amp;S291),IFERROR(VLOOKUP(K291&amp;S291,'FX RATES'!$H$2:$H$20,1,FALSE),S291&amp;K291))</f>
        <v>CNYRUB</v>
      </c>
      <c r="AK291" s="175">
        <f>IF(LEFT(AJ291,3)=RIGHT(AJ291,3),0,IFERROR(INDEX(CLIENTS!$A$1:$O$649,MATCH(P291,CLIENTS!$A$1:$A$649,0),MATCH(AJ291,CLIENTS!$A$1:$O$1,0)),0))</f>
        <v>0</v>
      </c>
      <c r="AL291" s="176">
        <v>10.94</v>
      </c>
      <c r="AM291" s="177">
        <f>IF(W291="VENDOR","",IF(AL291="",AP291+AK291,AL291+AK291))</f>
        <v>10.94</v>
      </c>
      <c r="AN291" s="177" t="str">
        <f>E291&amp;AJ291</f>
        <v>46051CNYRUB</v>
      </c>
      <c r="AO291" s="176">
        <v>10.95</v>
      </c>
      <c r="AP291" s="178">
        <f ca="1">IF(LEFT(AJ291,3)=RIGHT(AJ291,3),1,VLOOKUP(AJ291,'FX RATES'!$H$1:$I$20,2,FALSE))</f>
        <v>11.103899999999999</v>
      </c>
      <c r="AQ291" s="178">
        <f>IF(OR(AJ291="USDAED",LEFT(AJ291,3)=RIGHT(AJ291,3)),AP291,IF(LEFT(AJ291)="USD",AO291,IF(RIGHT(AJ291,3)="USD",1,IFERROR(VLOOKUP(E291&amp;"USD"&amp;RIGHT(AJ291,3),$AN:$AO,2,FALSE),VLOOKUP(E291&amp;"USD"&amp;RIGHT(AB291,3),$AF:$AG,2,FALSE)))))</f>
        <v>76</v>
      </c>
      <c r="AR291" s="179">
        <f>-Q291*(1-Z291)/(1+X291)*IF(W291="CLIENT",IF(S291=RIGHT(AJ291,3),1/AM291,AM291),IF(W291="VENDOR",IF(S291=RIGHT(AJ291,3),1/AE291,AE291),AE291^(VLOOKUP(AB291,'FX RATES'!$H$1:$J$26,3,FALSE))/AM291^(VLOOKUP(AJ291,'FX RATES'!$H$1:$J$26,3,FALSE))))</f>
        <v>0</v>
      </c>
      <c r="AS291" s="179">
        <f>-I291*(1+X291)/(1-Z291)*IF(W291="VENDOR",IF(K291=RIGHT(AB291,3),1/AE291,AE291),IF(W291="CLIENT",IF(K291=RIGHT(AB291,3),1/AM291,AM291),AM291^(VLOOKUP(AJ291,'FX RATES'!$H$1:$J$26,3,FALSE))/AE291^(VLOOKUP(AB291,'FX RATES'!$H$1:$J$26,3,FALSE))))</f>
        <v>153620862.58776328</v>
      </c>
      <c r="AT291" s="170">
        <f ca="1">IF(AB291&lt;&gt;AJ291,J291/IF(K291=RIGHT(AB291,3),AE291,1/AE291),IF(S291="USD",J291/IF(K291=RIGHT(AB291,3),IF(W291="CLIENT",AM291,AE291),1/IF(W291="CLIENT",AM291,AE291)),J291*VLOOKUP(K291,'FX RATES'!$E$1:$F$10,2,FALSE)))</f>
        <v>-2026635.784597568</v>
      </c>
      <c r="AU291" s="170">
        <f ca="1">IF(AB291&lt;&gt;AJ291,R291/IF(S291=RIGHT(AJ291,3),AM291,1/AM291),IF(K291="USD",R291/IF(S291=RIGHT(AJ291,3),IF(W291="CLIENT",AM291,AE291),1/IF(W291="CLIENT",AM291,AE291)),R291*VLOOKUP(S291,'FX RATES'!$E$1:$F$10,2,FALSE)))</f>
        <v>2002344.3875856295</v>
      </c>
      <c r="AV291" s="170">
        <f ca="1">AT291+AU291</f>
        <v>-24291.397011938505</v>
      </c>
      <c r="AW291" s="227"/>
      <c r="AX291" s="170">
        <f ca="1">IF(AND(ISERROR(SEARCH("INVOICE",T291)),ISERROR(SEARCH("SWITCH",T291)),ISERROR(SEARCH("FOREX",T291)),ISERROR(SEARCH("REFUND",A291)),ISERROR(SEARCH("CANCELLED",A291))),IF(AW291="",-AT291*X291+AU291*Z291,AW291),0)</f>
        <v>6007.0331627568885</v>
      </c>
      <c r="AY291" s="170">
        <f>IF(AZ291="USD",AT291,IF(AZ291=K291,J291,-R291))</f>
        <v>-14000000</v>
      </c>
      <c r="AZ291" s="170" t="str">
        <f>LEFT(AB291,3)</f>
        <v>CNY</v>
      </c>
      <c r="BA291" s="542">
        <f>IF(OR(A291="REFUND",A291="CANCELLED"),0,IFERROR((IF(OR(AB291="USDAED",LEFT(AB291,3)=RIGHT(AB291,3)),AI291,AG291)-AE291)*-AY291*VLOOKUP(AB291,'FX RATES'!$H$1:$J$26,3,FALSE),0))</f>
        <v>0</v>
      </c>
      <c r="BB291" s="170" t="str">
        <f>RIGHT(AB291,3)</f>
        <v>RUB</v>
      </c>
      <c r="BC291" s="542">
        <f>IF(BA291=0,0,IFERROR(BA291/IF(BB291&lt;&gt;"USD",AI291,1),"???"))</f>
        <v>0</v>
      </c>
      <c r="BD291" s="170">
        <f>IFERROR(-AC291/(IF(OR(AB291="USDAED",LEFT(AB291,3)=RIGHT(AB291,3)),AH291,AG291)-AE291)*BC291,0)</f>
        <v>0</v>
      </c>
      <c r="BE291" s="542">
        <f>BC291-BD291</f>
        <v>0</v>
      </c>
      <c r="BF291" s="170">
        <f>IF(BG291="USD",AU291,IF(BG291=S291,R291,-J291))</f>
        <v>14000000</v>
      </c>
      <c r="BG291" s="170" t="str">
        <f>LEFT(AJ291,3)</f>
        <v>CNY</v>
      </c>
      <c r="BH291" s="542">
        <f>IF(OR(A291="REFUND",A291="CANCELLED"),0,IFERROR((IF(OR(AJ291="USDAED",LEFT(AJ291,3)=RIGHT(AJ291,3)),AQ291,AO291)-AM291)*-BF291*VLOOKUP(AJ291,'FX RATES'!$H$1:$J$26,3,FALSE),0))</f>
        <v>-139999.999999997</v>
      </c>
      <c r="BI291" s="170" t="str">
        <f>RIGHT(AJ291,3)</f>
        <v>RUB</v>
      </c>
      <c r="BJ291" s="542">
        <f>IF(BH291=0,0,IFERROR(BH291/IF(BI291&lt;&gt;"USD",AQ291,1),"???"))</f>
        <v>-1842.1052631578552</v>
      </c>
      <c r="BK291" s="170">
        <f>IFERROR(-AK291/(IF(OR(AJ291="USDAED",LEFT(AJ291,3)=RIGHT(AJ291,3)),AP291,AO291)-AM291)*BJ291,0)</f>
        <v>0</v>
      </c>
      <c r="BL291" s="542">
        <f>BJ291-BK291</f>
        <v>-1842.1052631578552</v>
      </c>
      <c r="BM291" s="170">
        <f>IF(AND(ISERROR(SEARCH("REFUND",A291)),ISERROR(SEARCH("CANCELLED",A291))),BD291+BK291,0)</f>
        <v>0</v>
      </c>
      <c r="BN291" s="542">
        <f>IF(AND(ISERROR(SEARCH("REFUND",A291)),ISERROR(SEARCH("CANCELLED",A291))),BE291+BL291,0)</f>
        <v>-1842.1052631578552</v>
      </c>
    </row>
    <row r="292" spans="1:66" ht="19.5" customHeight="1">
      <c r="A292" s="167" t="s">
        <v>366</v>
      </c>
      <c r="B292" s="225" t="s">
        <v>52</v>
      </c>
      <c r="C292" s="225" t="s">
        <v>381</v>
      </c>
      <c r="D292" s="225" t="s">
        <v>128</v>
      </c>
      <c r="E292" s="226">
        <v>46051</v>
      </c>
      <c r="F292" s="226"/>
      <c r="G292" s="225" t="s">
        <v>52</v>
      </c>
      <c r="H292" s="225" t="s">
        <v>52</v>
      </c>
      <c r="I292" s="227"/>
      <c r="J292" s="170">
        <f>IF(I292="",AR292,I292)</f>
        <v>-28260.858236730099</v>
      </c>
      <c r="K292" s="225" t="s">
        <v>9</v>
      </c>
      <c r="L292" s="225" t="s">
        <v>25</v>
      </c>
      <c r="M292" s="225" t="s">
        <v>25</v>
      </c>
      <c r="N292" s="167" t="s">
        <v>371</v>
      </c>
      <c r="O292" s="225" t="s">
        <v>52</v>
      </c>
      <c r="P292" s="225" t="s">
        <v>52</v>
      </c>
      <c r="Q292" s="227">
        <f>-(R291+J293)</f>
        <v>28260.858236730099</v>
      </c>
      <c r="R292" s="170">
        <f>IF(Q292="",AS292,Q292)</f>
        <v>28260.858236730099</v>
      </c>
      <c r="S292" s="225" t="s">
        <v>9</v>
      </c>
      <c r="T292" s="225" t="s">
        <v>25</v>
      </c>
      <c r="U292" s="225" t="s">
        <v>25</v>
      </c>
      <c r="V292" s="167" t="s">
        <v>371</v>
      </c>
      <c r="W292" s="230" t="s">
        <v>382</v>
      </c>
      <c r="X292" s="173">
        <f>IF(Y292="",VLOOKUP(H292,CLIENTS!$A$1:$O$649,5,FALSE),Y292)</f>
        <v>0</v>
      </c>
      <c r="Y292" s="234"/>
      <c r="Z292" s="173">
        <f>IF(AA292="",VLOOKUP(P292,CLIENTS!$A$1:$O$649,5,FALSE),AA292)</f>
        <v>0</v>
      </c>
      <c r="AA292" s="234"/>
      <c r="AB292" s="173" t="str">
        <f>IF(W292="via USD",IF(K292="EUR",K292&amp;"USD","USD"&amp;K292),IFERROR(VLOOKUP(K292&amp;S292,'FX RATES'!$H$2:$H$20,1,FALSE),S292&amp;K292))</f>
        <v>RUBRUB</v>
      </c>
      <c r="AC292" s="175">
        <f>IF(LEFT(AB292,3)=RIGHT(AB292,3),0,IFERROR(INDEX(CLIENTS!$A$1:$O$649,MATCH(H292,CLIENTS!$A$1:$A$649,0),MATCH(AB292,CLIENTS!$A$1:$O$1,0)),0))</f>
        <v>0</v>
      </c>
      <c r="AD292" s="176"/>
      <c r="AE292" s="177">
        <f>IF(W292="CLIENT","",IF(AD292="",AH292+AC292,AD292+AC292))</f>
        <v>1</v>
      </c>
      <c r="AF292" s="177" t="str">
        <f>E292&amp;AB292</f>
        <v>46051RUBRUB</v>
      </c>
      <c r="AG292" s="176"/>
      <c r="AH292" s="178">
        <f>IF(LEFT(AB292,3)=RIGHT(AB292,3),1,VLOOKUP(AB292,'FX RATES'!$H$1:$I$20,2,FALSE))</f>
        <v>1</v>
      </c>
      <c r="AI292" s="178">
        <f>IF(OR(AB292="USDAED",LEFT(AB292,3)=RIGHT(AB292,3)),AH292,IF(LEFT(AB292)="USD",AG292,IF(RIGHT(AB292,3)="USD",1,IFERROR(VLOOKUP(E292&amp;"USD"&amp;RIGHT(AB292,3),$AF:$AG,2,FALSE),VLOOKUP(E292&amp;"USD"&amp;RIGHT(AJ292,3),$AN:$AO,2,FALSE)))))</f>
        <v>1</v>
      </c>
      <c r="AJ292" s="173" t="str">
        <f>IF(W292="via USD",IF(S292="EUR",S292&amp;"USD","USD"&amp;S292),IFERROR(VLOOKUP(K292&amp;S292,'FX RATES'!$H$2:$H$20,1,FALSE),S292&amp;K292))</f>
        <v>RUBRUB</v>
      </c>
      <c r="AK292" s="175">
        <f>IF(LEFT(AJ292,3)=RIGHT(AJ292,3),0,IFERROR(INDEX(CLIENTS!$A$1:$O$649,MATCH(P292,CLIENTS!$A$1:$A$649,0),MATCH(AJ292,CLIENTS!$A$1:$O$1,0)),0))</f>
        <v>0</v>
      </c>
      <c r="AL292" s="176"/>
      <c r="AM292" s="177" t="str">
        <f>IF(W292="VENDOR","",IF(AL292="",AP292+AK292,AL292+AK292))</f>
        <v/>
      </c>
      <c r="AN292" s="177" t="str">
        <f>E292&amp;AJ292</f>
        <v>46051RUBRUB</v>
      </c>
      <c r="AO292" s="176"/>
      <c r="AP292" s="178">
        <f>IF(LEFT(AJ292,3)=RIGHT(AJ292,3),1,VLOOKUP(AJ292,'FX RATES'!$H$1:$I$20,2,FALSE))</f>
        <v>1</v>
      </c>
      <c r="AQ292" s="178">
        <f>IF(OR(AJ292="USDAED",LEFT(AJ292,3)=RIGHT(AJ292,3)),AP292,IF(LEFT(AJ292)="USD",AO292,IF(RIGHT(AJ292,3)="USD",1,IFERROR(VLOOKUP(E292&amp;"USD"&amp;RIGHT(AJ292,3),$AN:$AO,2,FALSE),VLOOKUP(E292&amp;"USD"&amp;RIGHT(AB292,3),$AF:$AG,2,FALSE)))))</f>
        <v>1</v>
      </c>
      <c r="AR292" s="179">
        <f>-Q292*(1-Z292)/(1+X292)*IF(W292="CLIENT",IF(S292=RIGHT(AJ292,3),1/AM292,AM292),IF(W292="VENDOR",IF(S292=RIGHT(AJ292,3),1/AE292,AE292),AE292^(VLOOKUP(AB292,'FX RATES'!$H$1:$J$26,3,FALSE))/AM292^(VLOOKUP(AJ292,'FX RATES'!$H$1:$J$26,3,FALSE))))</f>
        <v>-28260.858236730099</v>
      </c>
      <c r="AS292" s="179">
        <f>-I292*(1+X292)/(1-Z292)*IF(W292="VENDOR",IF(K292=RIGHT(AB292,3),1/AE292,AE292),IF(W292="CLIENT",IF(K292=RIGHT(AB292,3),1/AM292,AM292),AM292^(VLOOKUP(AJ292,'FX RATES'!$H$1:$J$26,3,FALSE))/AE292^(VLOOKUP(AB292,'FX RATES'!$H$1:$J$26,3,FALSE))))</f>
        <v>0</v>
      </c>
      <c r="AT292" s="170">
        <f ca="1">IF(AB292&lt;&gt;AJ292,J292/IF(K292=RIGHT(AB292,3),AE292,1/AE292),IF(S292="USD",J292/IF(K292=RIGHT(AB292,3),IF(W292="CLIENT",AM292,AE292),1/IF(W292="CLIENT",AM292,AE292)),J292*VLOOKUP(K292,'FX RATES'!$E$1:$F$10,2,FALSE)))</f>
        <v>-368.36123639353366</v>
      </c>
      <c r="AU292" s="170">
        <f ca="1">IF(AB292&lt;&gt;AJ292,R292/IF(S292=RIGHT(AJ292,3),AM292,1/AM292),IF(K292="USD",R292/IF(S292=RIGHT(AJ292,3),IF(W292="CLIENT",AM292,AE292),1/IF(W292="CLIENT",AM292,AE292)),R292*VLOOKUP(S292,'FX RATES'!$E$1:$F$10,2,FALSE)))</f>
        <v>368.36123639353366</v>
      </c>
      <c r="AV292" s="170">
        <f ca="1">AT292+AU292</f>
        <v>0</v>
      </c>
      <c r="AW292" s="227"/>
      <c r="AX292" s="170">
        <f ca="1">IF(AND(ISERROR(SEARCH("INVOICE",T292)),ISERROR(SEARCH("SWITCH",T292)),ISERROR(SEARCH("FOREX",T292)),ISERROR(SEARCH("REFUND",A292)),ISERROR(SEARCH("CANCELLED",A292))),IF(AW292="",-AT292*X292+AU292*Z292,AW292),0)</f>
        <v>0</v>
      </c>
      <c r="AY292" s="170">
        <f>IF(AZ292="USD",AT292,IF(AZ292=K292,J292,-R292))</f>
        <v>-28260.858236730099</v>
      </c>
      <c r="AZ292" s="170" t="str">
        <f>LEFT(AB292,3)</f>
        <v>RUB</v>
      </c>
      <c r="BA292" s="542">
        <f>IF(OR(A292="REFUND",A292="CANCELLED"),0,IFERROR((IF(OR(AB292="USDAED",LEFT(AB292,3)=RIGHT(AB292,3)),AI292,AG292)-AE292)*-AY292*VLOOKUP(AB292,'FX RATES'!$H$1:$J$26,3,FALSE),0))</f>
        <v>0</v>
      </c>
      <c r="BB292" s="170" t="str">
        <f>RIGHT(AB292,3)</f>
        <v>RUB</v>
      </c>
      <c r="BC292" s="542">
        <f>IF(BA292=0,0,IFERROR(BA292/IF(BB292&lt;&gt;"USD",AI292,1),"???"))</f>
        <v>0</v>
      </c>
      <c r="BD292" s="170">
        <f>IFERROR(-AC292/(IF(OR(AB292="USDAED",LEFT(AB292,3)=RIGHT(AB292,3)),AH292,AG292)-AE292)*BC292,0)</f>
        <v>0</v>
      </c>
      <c r="BE292" s="542">
        <f>BC292-BD292</f>
        <v>0</v>
      </c>
      <c r="BF292" s="170">
        <f>IF(BG292="USD",AU292,IF(BG292=S292,R292,-J292))</f>
        <v>28260.858236730099</v>
      </c>
      <c r="BG292" s="170" t="str">
        <f>LEFT(AJ292,3)</f>
        <v>RUB</v>
      </c>
      <c r="BH292" s="542">
        <f>IF(OR(A292="REFUND",A292="CANCELLED"),0,IFERROR((IF(OR(AJ292="USDAED",LEFT(AJ292,3)=RIGHT(AJ292,3)),AQ292,AO292)-AM292)*-BF292*VLOOKUP(AJ292,'FX RATES'!$H$1:$J$26,3,FALSE),0))</f>
        <v>0</v>
      </c>
      <c r="BI292" s="170" t="str">
        <f>RIGHT(AJ292,3)</f>
        <v>RUB</v>
      </c>
      <c r="BJ292" s="542">
        <f>IF(BH292=0,0,IFERROR(BH292/IF(BI292&lt;&gt;"USD",AQ292,1),"???"))</f>
        <v>0</v>
      </c>
      <c r="BK292" s="170">
        <f>IFERROR(-AK292/(IF(OR(AJ292="USDAED",LEFT(AJ292,3)=RIGHT(AJ292,3)),AP292,AO292)-AM292)*BJ292,0)</f>
        <v>0</v>
      </c>
      <c r="BL292" s="542">
        <f>BJ292-BK292</f>
        <v>0</v>
      </c>
      <c r="BM292" s="170">
        <f>IF(AND(ISERROR(SEARCH("REFUND",A292)),ISERROR(SEARCH("CANCELLED",A292))),BD292+BK292,0)</f>
        <v>0</v>
      </c>
      <c r="BN292" s="542">
        <f>IF(AND(ISERROR(SEARCH("REFUND",A292)),ISERROR(SEARCH("CANCELLED",A292))),BE292+BL292,0)</f>
        <v>0</v>
      </c>
    </row>
    <row r="293" spans="1:66" ht="19.5" customHeight="1">
      <c r="A293" s="167" t="s">
        <v>366</v>
      </c>
      <c r="B293" s="225" t="s">
        <v>39</v>
      </c>
      <c r="C293" s="225" t="s">
        <v>383</v>
      </c>
      <c r="D293" s="225" t="s">
        <v>368</v>
      </c>
      <c r="E293" s="226">
        <v>46051</v>
      </c>
      <c r="F293" s="226"/>
      <c r="G293" s="225" t="s">
        <v>52</v>
      </c>
      <c r="H293" s="228" t="s">
        <v>390</v>
      </c>
      <c r="I293" s="227"/>
      <c r="J293" s="170">
        <f>IF(I293="",AR293,I293)</f>
        <v>-153649123.44600001</v>
      </c>
      <c r="K293" s="225" t="s">
        <v>9</v>
      </c>
      <c r="L293" s="226" t="s">
        <v>391</v>
      </c>
      <c r="M293" s="225" t="s">
        <v>25</v>
      </c>
      <c r="N293" s="167" t="s">
        <v>371</v>
      </c>
      <c r="O293" s="225" t="s">
        <v>42</v>
      </c>
      <c r="P293" s="225" t="s">
        <v>392</v>
      </c>
      <c r="Q293" s="227">
        <v>14070432.550000001</v>
      </c>
      <c r="R293" s="170">
        <f>IF(Q293="",AS293,Q293)</f>
        <v>14070432.550000001</v>
      </c>
      <c r="S293" s="225" t="s">
        <v>7</v>
      </c>
      <c r="T293" s="226" t="s">
        <v>22</v>
      </c>
      <c r="U293" s="225" t="s">
        <v>22</v>
      </c>
      <c r="V293" s="167" t="s">
        <v>371</v>
      </c>
      <c r="W293" s="230" t="s">
        <v>382</v>
      </c>
      <c r="X293" s="173">
        <f>IF(Y293="",VLOOKUP(H293,CLIENTS!$A$1:$O$649,5,FALSE),Y293)</f>
        <v>0</v>
      </c>
      <c r="Y293" s="234"/>
      <c r="Z293" s="173">
        <f>IF(AA293="",VLOOKUP(P293,CLIENTS!$A$1:$O$649,5,FALSE),AA293)</f>
        <v>0</v>
      </c>
      <c r="AA293" s="234"/>
      <c r="AB293" s="173" t="str">
        <f>IF(W293="via USD",IF(K293="EUR",K293&amp;"USD","USD"&amp;K293),IFERROR(VLOOKUP(K293&amp;S293,'FX RATES'!$H$2:$H$20,1,FALSE),S293&amp;K293))</f>
        <v>CNYRUB</v>
      </c>
      <c r="AC293" s="175">
        <f>IF(LEFT(AB293,3)=RIGHT(AB293,3),0,IFERROR(INDEX(CLIENTS!$A$1:$O$649,MATCH(H293,CLIENTS!$A$1:$A$649,0),MATCH(AB293,CLIENTS!$A$1:$O$1,0)),0))</f>
        <v>0</v>
      </c>
      <c r="AD293" s="176">
        <v>10.92</v>
      </c>
      <c r="AE293" s="177">
        <f>IF(W293="CLIENT","",IF(AD293="",AH293+AC293,AD293+AC293))</f>
        <v>10.92</v>
      </c>
      <c r="AF293" s="177" t="str">
        <f>E293&amp;AB293</f>
        <v>46051CNYRUB</v>
      </c>
      <c r="AG293" s="176">
        <v>10.95</v>
      </c>
      <c r="AH293" s="178">
        <f ca="1">IF(LEFT(AB293,3)=RIGHT(AB293,3),1,VLOOKUP(AB293,'FX RATES'!$H$1:$I$20,2,FALSE))</f>
        <v>11.103899999999999</v>
      </c>
      <c r="AI293" s="178">
        <f>IF(OR(AB293="USDAED",LEFT(AB293,3)=RIGHT(AB293,3)),AH293,IF(LEFT(AB293)="USD",AG293,IF(RIGHT(AB293,3)="USD",1,IFERROR(VLOOKUP(E293&amp;"USD"&amp;RIGHT(AB293,3),$AF:$AG,2,FALSE),VLOOKUP(E293&amp;"USD"&amp;RIGHT(AJ293,3),$AN:$AO,2,FALSE)))))</f>
        <v>76.099999999999994</v>
      </c>
      <c r="AJ293" s="173" t="str">
        <f>IF(W293="via USD",IF(S293="EUR",S293&amp;"USD","USD"&amp;S293),IFERROR(VLOOKUP(K293&amp;S293,'FX RATES'!$H$2:$H$20,1,FALSE),S293&amp;K293))</f>
        <v>CNYRUB</v>
      </c>
      <c r="AK293" s="175">
        <f>IF(LEFT(AJ293,3)=RIGHT(AJ293,3),0,IFERROR(INDEX(CLIENTS!$A$1:$O$649,MATCH(P293,CLIENTS!$A$1:$A$649,0),MATCH(AJ293,CLIENTS!$A$1:$O$1,0)),0))</f>
        <v>0</v>
      </c>
      <c r="AL293" s="176"/>
      <c r="AM293" s="177" t="str">
        <f>IF(W293="VENDOR","",IF(AL293="",AP293+AK293,AL293+AK293))</f>
        <v/>
      </c>
      <c r="AN293" s="177" t="str">
        <f>E293&amp;AJ293</f>
        <v>46051CNYRUB</v>
      </c>
      <c r="AO293" s="176"/>
      <c r="AP293" s="178">
        <f ca="1">IF(LEFT(AJ293,3)=RIGHT(AJ293,3),1,VLOOKUP(AJ293,'FX RATES'!$H$1:$I$20,2,FALSE))</f>
        <v>11.103899999999999</v>
      </c>
      <c r="AQ293" s="178">
        <f>IF(OR(AJ293="USDAED",LEFT(AJ293,3)=RIGHT(AJ293,3)),AP293,IF(LEFT(AJ293)="USD",AO293,IF(RIGHT(AJ293,3)="USD",1,IFERROR(VLOOKUP(E293&amp;"USD"&amp;RIGHT(AJ293,3),$AN:$AO,2,FALSE),VLOOKUP(E293&amp;"USD"&amp;RIGHT(AB293,3),$AF:$AG,2,FALSE)))))</f>
        <v>76</v>
      </c>
      <c r="AR293" s="179">
        <f>-Q293*(1-Z293)/(1+X293)*IF(W293="CLIENT",IF(S293=RIGHT(AJ293,3),1/AM293,AM293),IF(W293="VENDOR",IF(S293=RIGHT(AJ293,3),1/AE293,AE293),AE293^(VLOOKUP(AB293,'FX RATES'!$H$1:$J$26,3,FALSE))/AM293^(VLOOKUP(AJ293,'FX RATES'!$H$1:$J$26,3,FALSE))))</f>
        <v>-153649123.44600001</v>
      </c>
      <c r="AS293" s="179">
        <f>-I293*(1+X293)/(1-Z293)*IF(W293="VENDOR",IF(K293=RIGHT(AB293,3),1/AE293,AE293),IF(W293="CLIENT",IF(K293=RIGHT(AB293,3),1/AM293,AM293),AM293^(VLOOKUP(AJ293,'FX RATES'!$H$1:$J$26,3,FALSE))/AE293^(VLOOKUP(AB293,'FX RATES'!$H$1:$J$26,3,FALSE))))</f>
        <v>0</v>
      </c>
      <c r="AT293" s="170">
        <f ca="1">IF(AB293&lt;&gt;AJ293,J293/IF(K293=RIGHT(AB293,3),AE293,1/AE293),IF(S293="USD",J293/IF(K293=RIGHT(AB293,3),IF(W293="CLIENT",AM293,AE293),1/IF(W293="CLIENT",AM293,AE293)),J293*VLOOKUP(K293,'FX RATES'!$E$1:$F$10,2,FALSE)))</f>
        <v>-2002712.7488220229</v>
      </c>
      <c r="AU293" s="170">
        <f ca="1">IF(AB293&lt;&gt;AJ293,R293/IF(S293=RIGHT(AJ293,3),AM293,1/AM293),IF(K293="USD",R293/IF(S293=RIGHT(AJ293,3),IF(W293="CLIENT",AM293,AE293),1/IF(W293="CLIENT",AM293,AE293)),R293*VLOOKUP(S293,'FX RATES'!$E$1:$F$10,2,FALSE)))</f>
        <v>2036831.5793283151</v>
      </c>
      <c r="AV293" s="170">
        <f ca="1">AT293+AU293</f>
        <v>34118.830506292172</v>
      </c>
      <c r="AW293" s="227"/>
      <c r="AX293" s="170">
        <f ca="1">IF(AND(ISERROR(SEARCH("INVOICE",T293)),ISERROR(SEARCH("SWITCH",T293)),ISERROR(SEARCH("FOREX",T293)),ISERROR(SEARCH("REFUND",A293)),ISERROR(SEARCH("CANCELLED",A293))),IF(AW293="",-AT293*X293+AU293*Z293,AW293),0)</f>
        <v>0</v>
      </c>
      <c r="AY293" s="170">
        <f>IF(AZ293="USD",AT293,IF(AZ293=K293,J293,-R293))</f>
        <v>-14070432.550000001</v>
      </c>
      <c r="AZ293" s="170" t="str">
        <f>LEFT(AB293,3)</f>
        <v>CNY</v>
      </c>
      <c r="BA293" s="542">
        <f>IF(OR(A293="REFUND",A293="CANCELLED"),0,IFERROR((IF(OR(AB293="USDAED",LEFT(AB293,3)=RIGHT(AB293,3)),AI293,AG293)-AE293)*-AY293*VLOOKUP(AB293,'FX RATES'!$H$1:$J$26,3,FALSE),0))</f>
        <v>422112.97649999103</v>
      </c>
      <c r="BB293" s="170" t="str">
        <f>RIGHT(AB293,3)</f>
        <v>RUB</v>
      </c>
      <c r="BC293" s="542">
        <f>IF(BA293=0,0,IFERROR(BA293/IF(BB293&lt;&gt;"USD",AI293,1),"???"))</f>
        <v>5546.8196649144684</v>
      </c>
      <c r="BD293" s="170">
        <f>IFERROR(-AC293/(IF(OR(AB293="USDAED",LEFT(AB293,3)=RIGHT(AB293,3)),AH293,AG293)-AE293)*BC293,0)</f>
        <v>0</v>
      </c>
      <c r="BE293" s="542">
        <f>BC293-BD293</f>
        <v>5546.8196649144684</v>
      </c>
      <c r="BF293" s="170">
        <f>IF(BG293="USD",AU293,IF(BG293=S293,R293,-J293))</f>
        <v>14070432.550000001</v>
      </c>
      <c r="BG293" s="170" t="str">
        <f>LEFT(AJ293,3)</f>
        <v>CNY</v>
      </c>
      <c r="BH293" s="542">
        <f>IF(OR(A293="REFUND",A293="CANCELLED"),0,IFERROR((IF(OR(AJ293="USDAED",LEFT(AJ293,3)=RIGHT(AJ293,3)),AQ293,AO293)-AM293)*-BF293*VLOOKUP(AJ293,'FX RATES'!$H$1:$J$26,3,FALSE),0))</f>
        <v>0</v>
      </c>
      <c r="BI293" s="170" t="str">
        <f>RIGHT(AJ293,3)</f>
        <v>RUB</v>
      </c>
      <c r="BJ293" s="542">
        <f>IF(BH293=0,0,IFERROR(BH293/IF(BI293&lt;&gt;"USD",AQ293,1),"???"))</f>
        <v>0</v>
      </c>
      <c r="BK293" s="170">
        <f>IFERROR(-AK293/(IF(OR(AJ293="USDAED",LEFT(AJ293,3)=RIGHT(AJ293,3)),AP293,AO293)-AM293)*BJ293,0)</f>
        <v>0</v>
      </c>
      <c r="BL293" s="542">
        <f>BJ293-BK293</f>
        <v>0</v>
      </c>
      <c r="BM293" s="170">
        <f>IF(AND(ISERROR(SEARCH("REFUND",A293)),ISERROR(SEARCH("CANCELLED",A293))),BD293+BK293,0)</f>
        <v>0</v>
      </c>
      <c r="BN293" s="542">
        <f>IF(AND(ISERROR(SEARCH("REFUND",A293)),ISERROR(SEARCH("CANCELLED",A293))),BE293+BL293,0)</f>
        <v>5546.8196649144684</v>
      </c>
    </row>
    <row r="294" spans="1:66" ht="19.5" customHeight="1">
      <c r="J294" s="450"/>
    </row>
    <row r="295" spans="1:66" ht="19.5" customHeight="1">
      <c r="A295" s="167" t="s">
        <v>366</v>
      </c>
      <c r="B295" s="168" t="s">
        <v>39</v>
      </c>
      <c r="C295" s="168" t="s">
        <v>367</v>
      </c>
      <c r="D295" s="181" t="s">
        <v>418</v>
      </c>
      <c r="E295" s="171">
        <v>46051</v>
      </c>
      <c r="F295" s="171"/>
      <c r="G295" s="168" t="s">
        <v>39</v>
      </c>
      <c r="H295" s="181" t="s">
        <v>437</v>
      </c>
      <c r="I295" s="169">
        <v>-723460</v>
      </c>
      <c r="J295" s="170">
        <f>IF(I295="",AR295,I295)</f>
        <v>-723460</v>
      </c>
      <c r="K295" s="168" t="s">
        <v>8</v>
      </c>
      <c r="L295" s="168" t="s">
        <v>438</v>
      </c>
      <c r="M295" s="168" t="s">
        <v>14</v>
      </c>
      <c r="N295" s="167" t="s">
        <v>371</v>
      </c>
      <c r="O295" s="168" t="s">
        <v>52</v>
      </c>
      <c r="P295" s="168" t="s">
        <v>439</v>
      </c>
      <c r="Q295" s="169"/>
      <c r="R295" s="170">
        <f>IF(Q295="",AS295,Q295)</f>
        <v>15166676.65</v>
      </c>
      <c r="S295" s="168" t="s">
        <v>9</v>
      </c>
      <c r="T295" s="171" t="s">
        <v>439</v>
      </c>
      <c r="U295" s="171" t="s">
        <v>439</v>
      </c>
      <c r="V295" s="167" t="s">
        <v>371</v>
      </c>
      <c r="W295" s="172" t="s">
        <v>389</v>
      </c>
      <c r="X295" s="173">
        <f>IF(Y295="",VLOOKUP(H295,CLIENTS!$A$1:$O$649,5,FALSE),Y295)</f>
        <v>9.50000035170517E-3</v>
      </c>
      <c r="Y295" s="174">
        <v>9.50000035170517E-3</v>
      </c>
      <c r="Z295" s="173">
        <f>IF(AA295="",VLOOKUP(P295,CLIENTS!$A$1:$O$649,5,FALSE),AA295)</f>
        <v>0</v>
      </c>
      <c r="AA295" s="174">
        <v>0</v>
      </c>
      <c r="AB295" s="173" t="str">
        <f>IF(W295="via USD",IF(K295="EUR",K295&amp;"USD","USD"&amp;K295),IFERROR(VLOOKUP(K295&amp;S295,'FX RATES'!$H$2:$H$20,1,FALSE),S295&amp;K295))</f>
        <v>AEDRUB</v>
      </c>
      <c r="AC295" s="175">
        <f>IF(LEFT(AB295,3)=RIGHT(AB295,3),0,IFERROR(INDEX(CLIENTS!$A$1:$O$649,MATCH(H295,CLIENTS!$A$1:$A$649,0),MATCH(AB295,CLIENTS!$A$1:$O$1,0)),0))</f>
        <v>0</v>
      </c>
      <c r="AD295" s="176"/>
      <c r="AE295" s="177" t="str">
        <f>IF(W295="CLIENT","",IF(AD295="",AH295+AC295,AD295+AC295))</f>
        <v/>
      </c>
      <c r="AF295" s="177" t="str">
        <f>E295&amp;AB295</f>
        <v>46051AEDRUB</v>
      </c>
      <c r="AG295" s="176"/>
      <c r="AH295" s="178">
        <f ca="1">IF(LEFT(AB295,3)=RIGHT(AB295,3),1,VLOOKUP(AB295,'FX RATES'!$H$1:$I$20,2,FALSE))</f>
        <v>20.8843</v>
      </c>
      <c r="AI295" s="178">
        <f>IF(OR(AB295="USDAED",LEFT(AB295,3)=RIGHT(AB295,3)),AH295,IF(LEFT(AB295)="USD",AG295,IF(RIGHT(AB295,3)="USD",1,IFERROR(VLOOKUP(E295&amp;"USD"&amp;RIGHT(AB295,3),$AF:$AG,2,FALSE),VLOOKUP(E295&amp;"USD"&amp;RIGHT(AJ295,3),$AN:$AO,2,FALSE)))))</f>
        <v>76.099999999999994</v>
      </c>
      <c r="AJ295" s="173" t="str">
        <f>IF(W295="via USD",IF(S295="EUR",S295&amp;"USD","USD"&amp;S295),IFERROR(VLOOKUP(K295&amp;S295,'FX RATES'!$H$2:$H$20,1,FALSE),S295&amp;K295))</f>
        <v>AEDRUB</v>
      </c>
      <c r="AK295" s="175">
        <f>IF(LEFT(AJ295,3)=RIGHT(AJ295,3),0,IFERROR(INDEX(CLIENTS!$A$1:$O$649,MATCH(P295,CLIENTS!$A$1:$A$649,0),MATCH(AJ295,CLIENTS!$A$1:$O$1,0)),0))</f>
        <v>0</v>
      </c>
      <c r="AL295" s="176">
        <v>20.7668</v>
      </c>
      <c r="AM295" s="177">
        <f>IF(W295="VENDOR","",IF(AL295="",AP295+AK295,AL295+AK295))</f>
        <v>20.7668</v>
      </c>
      <c r="AN295" s="177" t="str">
        <f>E295&amp;AJ295</f>
        <v>46051AEDRUB</v>
      </c>
      <c r="AO295" s="176">
        <v>20.694299999999998</v>
      </c>
      <c r="AP295" s="178">
        <f ca="1">IF(LEFT(AJ295,3)=RIGHT(AJ295,3),1,VLOOKUP(AJ295,'FX RATES'!$H$1:$I$20,2,FALSE))</f>
        <v>20.8843</v>
      </c>
      <c r="AQ295" s="178">
        <f>IF(OR(AJ295="USDAED",LEFT(AJ295,3)=RIGHT(AJ295,3)),AP295,IF(LEFT(AJ295)="USD",AO295,IF(RIGHT(AJ295,3)="USD",1,IFERROR(VLOOKUP(E295&amp;"USD"&amp;RIGHT(AJ295,3),$AN:$AO,2,FALSE),VLOOKUP(E295&amp;"USD"&amp;RIGHT(AB295,3),$AF:$AG,2,FALSE)))))</f>
        <v>76</v>
      </c>
      <c r="AR295" s="179">
        <f>-Q295*(1-Z295)/(1+X295)*IF(W295="CLIENT",IF(S295=RIGHT(AJ295,3),1/AM295,AM295),IF(W295="VENDOR",IF(S295=RIGHT(AJ295,3),1/AE295,AE295),AE295^(VLOOKUP(AB295,'FX RATES'!$H$1:$J$26,3,FALSE))/AM295^(VLOOKUP(AJ295,'FX RATES'!$H$1:$J$26,3,FALSE))))</f>
        <v>0</v>
      </c>
      <c r="AS295" s="179">
        <f>-I295*(1+X295)/(1-Z295)*IF(W295="VENDOR",IF(K295=RIGHT(AB295,3),1/AE295,AE295),IF(W295="CLIENT",IF(K295=RIGHT(AB295,3),1/AM295,AM295),AM295^(VLOOKUP(AJ295,'FX RATES'!$H$1:$J$26,3,FALSE))/AE295^(VLOOKUP(AB295,'FX RATES'!$H$1:$J$26,3,FALSE))))</f>
        <v>15166676.65</v>
      </c>
      <c r="AT295" s="170">
        <f ca="1">IF(AB295&lt;&gt;AJ295,J295/IF(K295=RIGHT(AB295,3),AE295,1/AE295),IF(S295="USD",J295/IF(K295=RIGHT(AB295,3),IF(W295="CLIENT",AM295,AE295),1/IF(W295="CLIENT",AM295,AE295)),J295*VLOOKUP(K295,'FX RATES'!$E$1:$F$10,2,FALSE)))</f>
        <v>-196988.50950280455</v>
      </c>
      <c r="AU295" s="170">
        <f ca="1">IF(AB295&lt;&gt;AJ295,R295/IF(S295=RIGHT(AJ295,3),AM295,1/AM295),IF(K295="USD",R295/IF(S295=RIGHT(AJ295,3),IF(W295="CLIENT",AM295,AE295),1/IF(W295="CLIENT",AM295,AE295)),R295*VLOOKUP(S295,'FX RATES'!$E$1:$F$10,2,FALSE)))</f>
        <v>197687.40623431807</v>
      </c>
      <c r="AV295" s="170">
        <f ca="1">AT295+AU295</f>
        <v>698.89673151352326</v>
      </c>
      <c r="AW295" s="169"/>
      <c r="AX295" s="170">
        <f ca="1">IF(AND(ISERROR(SEARCH("INVOICE",T295)),ISERROR(SEARCH("SWITCH",T295)),ISERROR(SEARCH("FOREX",T295)),ISERROR(SEARCH("REFUND",A295)),ISERROR(SEARCH("CANCELLED",A295))),IF(AW295="",-AT295*X295+AU295*Z295,AW295),0)</f>
        <v>1871.3909095585204</v>
      </c>
      <c r="AY295" s="170">
        <f>IF(AZ295="USD",AT295,IF(AZ295=K295,J295,-R295))</f>
        <v>-723460</v>
      </c>
      <c r="AZ295" s="170" t="str">
        <f>LEFT(AB295,3)</f>
        <v>AED</v>
      </c>
      <c r="BA295" s="542">
        <f>IF(OR(A295="REFUND",A295="CANCELLED"),0,IFERROR((IF(OR(AB295="USDAED",LEFT(AB295,3)=RIGHT(AB295,3)),AI295,AG295)-AE295)*-AY295*VLOOKUP(AB295,'FX RATES'!$H$1:$J$26,3,FALSE),0))</f>
        <v>0</v>
      </c>
      <c r="BB295" s="170" t="str">
        <f>RIGHT(AB295,3)</f>
        <v>RUB</v>
      </c>
      <c r="BC295" s="542">
        <f>IF(BA295=0,0,IFERROR(BA295/IF(BB295&lt;&gt;"USD",AI295,1),"???"))</f>
        <v>0</v>
      </c>
      <c r="BD295" s="170">
        <f>IFERROR(-AC295/(IF(OR(AB295="USDAED",LEFT(AB295,3)=RIGHT(AB295,3)),AH295,AG295)-AE295)*BC295,0)</f>
        <v>0</v>
      </c>
      <c r="BE295" s="542">
        <f>BC295-BD295</f>
        <v>0</v>
      </c>
      <c r="BF295" s="170">
        <f>IF(BG295="USD",AU295,IF(BG295=S295,R295,-J295))</f>
        <v>723460</v>
      </c>
      <c r="BG295" s="170" t="str">
        <f>LEFT(AJ295,3)</f>
        <v>AED</v>
      </c>
      <c r="BH295" s="542">
        <f>IF(OR(A295="REFUND",A295="CANCELLED"),0,IFERROR((IF(OR(AJ295="USDAED",LEFT(AJ295,3)=RIGHT(AJ295,3)),AQ295,AO295)-AM295)*-BF295*VLOOKUP(AJ295,'FX RATES'!$H$1:$J$26,3,FALSE),0))</f>
        <v>52450.850000001134</v>
      </c>
      <c r="BI295" s="170" t="str">
        <f>RIGHT(AJ295,3)</f>
        <v>RUB</v>
      </c>
      <c r="BJ295" s="542">
        <f>IF(BH295=0,0,IFERROR(BH295/IF(BI295&lt;&gt;"USD",AQ295,1),"???"))</f>
        <v>690.1427631579096</v>
      </c>
      <c r="BK295" s="170">
        <f>IFERROR(-AK295/(IF(OR(AJ295="USDAED",LEFT(AJ295,3)=RIGHT(AJ295,3)),AP295,AO295)-AM295)*BJ295,0)</f>
        <v>0</v>
      </c>
      <c r="BL295" s="542">
        <f>BJ295-BK295</f>
        <v>690.1427631579096</v>
      </c>
      <c r="BM295" s="170">
        <f>IF(AND(ISERROR(SEARCH("REFUND",A295)),ISERROR(SEARCH("CANCELLED",A295))),BD295+BK295,0)</f>
        <v>0</v>
      </c>
      <c r="BN295" s="542">
        <f>IF(AND(ISERROR(SEARCH("REFUND",A295)),ISERROR(SEARCH("CANCELLED",A295))),BE295+BL295,0)</f>
        <v>690.1427631579096</v>
      </c>
    </row>
    <row r="296" spans="1:66" ht="19.5" customHeight="1">
      <c r="A296" s="167" t="s">
        <v>366</v>
      </c>
      <c r="B296" s="168" t="s">
        <v>52</v>
      </c>
      <c r="C296" s="168" t="s">
        <v>383</v>
      </c>
      <c r="D296" s="168" t="s">
        <v>128</v>
      </c>
      <c r="E296" s="171">
        <v>46051</v>
      </c>
      <c r="F296" s="171"/>
      <c r="G296" s="168" t="s">
        <v>52</v>
      </c>
      <c r="H296" s="181" t="s">
        <v>439</v>
      </c>
      <c r="I296" s="169">
        <f>-R295</f>
        <v>-15166676.65</v>
      </c>
      <c r="J296" s="170">
        <f>IF(I296="",AR296,I296)</f>
        <v>-15166676.65</v>
      </c>
      <c r="K296" s="168" t="s">
        <v>9</v>
      </c>
      <c r="L296" s="171" t="s">
        <v>439</v>
      </c>
      <c r="M296" s="168" t="s">
        <v>439</v>
      </c>
      <c r="N296" s="167" t="s">
        <v>371</v>
      </c>
      <c r="O296" s="168" t="s">
        <v>39</v>
      </c>
      <c r="P296" s="168" t="s">
        <v>39</v>
      </c>
      <c r="Q296" s="169"/>
      <c r="R296" s="170">
        <f>IF(Q296="",AS296,Q296)</f>
        <v>727423.17754426762</v>
      </c>
      <c r="S296" s="168" t="s">
        <v>8</v>
      </c>
      <c r="T296" s="171" t="s">
        <v>440</v>
      </c>
      <c r="U296" s="168" t="s">
        <v>20</v>
      </c>
      <c r="V296" s="167" t="s">
        <v>371</v>
      </c>
      <c r="W296" s="172" t="s">
        <v>382</v>
      </c>
      <c r="X296" s="173">
        <f>IF(Y296="",VLOOKUP(H296,CLIENTS!$A$1:$O$649,5,FALSE),Y296)</f>
        <v>0</v>
      </c>
      <c r="Y296" s="174">
        <v>0</v>
      </c>
      <c r="Z296" s="173">
        <f>IF(AA296="",VLOOKUP(P296,CLIENTS!$A$1:$O$649,5,FALSE),AA296)</f>
        <v>-4.0000000000000001E-3</v>
      </c>
      <c r="AA296" s="174">
        <v>-4.0000000000000001E-3</v>
      </c>
      <c r="AB296" s="173" t="str">
        <f>IF(W296="via USD",IF(K296="EUR",K296&amp;"USD","USD"&amp;K296),IFERROR(VLOOKUP(K296&amp;S296,'FX RATES'!$H$2:$H$20,1,FALSE),S296&amp;K296))</f>
        <v>AEDRUB</v>
      </c>
      <c r="AC296" s="175">
        <f>IF(LEFT(AB296,3)=RIGHT(AB296,3),0,IFERROR(INDEX(CLIENTS!$A$1:$O$649,MATCH(H296,CLIENTS!$A$1:$A$649,0),MATCH(AB296,CLIENTS!$A$1:$O$1,0)),0))</f>
        <v>0</v>
      </c>
      <c r="AD296" s="176">
        <v>20.7668</v>
      </c>
      <c r="AE296" s="177">
        <f>IF(W296="CLIENT","",IF(AD296="",AH296+AC296,AD296+AC296))</f>
        <v>20.7668</v>
      </c>
      <c r="AF296" s="177" t="str">
        <f>E296&amp;AB296</f>
        <v>46051AEDRUB</v>
      </c>
      <c r="AG296" s="176">
        <v>20.694299999999998</v>
      </c>
      <c r="AH296" s="178">
        <f ca="1">IF(LEFT(AB296,3)=RIGHT(AB296,3),1,VLOOKUP(AB296,'FX RATES'!$H$1:$I$20,2,FALSE))</f>
        <v>20.8843</v>
      </c>
      <c r="AI296" s="178">
        <f>IF(OR(AB296="USDAED",LEFT(AB296,3)=RIGHT(AB296,3)),AH296,IF(LEFT(AB296)="USD",AG296,IF(RIGHT(AB296,3)="USD",1,IFERROR(VLOOKUP(E296&amp;"USD"&amp;RIGHT(AB296,3),$AF:$AG,2,FALSE),VLOOKUP(E296&amp;"USD"&amp;RIGHT(AJ296,3),$AN:$AO,2,FALSE)))))</f>
        <v>76.099999999999994</v>
      </c>
      <c r="AJ296" s="173" t="str">
        <f>IF(W296="via USD",IF(S296="EUR",S296&amp;"USD","USD"&amp;S296),IFERROR(VLOOKUP(K296&amp;S296,'FX RATES'!$H$2:$H$20,1,FALSE),S296&amp;K296))</f>
        <v>AEDRUB</v>
      </c>
      <c r="AK296" s="175">
        <f>IF(LEFT(AJ296,3)=RIGHT(AJ296,3),0,IFERROR(INDEX(CLIENTS!$A$1:$O$649,MATCH(P296,CLIENTS!$A$1:$A$649,0),MATCH(AJ296,CLIENTS!$A$1:$O$1,0)),0))</f>
        <v>0</v>
      </c>
      <c r="AL296" s="176"/>
      <c r="AM296" s="177" t="str">
        <f>IF(W296="VENDOR","",IF(AL296="",AP296+AK296,AL296+AK296))</f>
        <v/>
      </c>
      <c r="AN296" s="177" t="str">
        <f>E296&amp;AJ296</f>
        <v>46051AEDRUB</v>
      </c>
      <c r="AO296" s="176"/>
      <c r="AP296" s="178">
        <f ca="1">IF(LEFT(AJ296,3)=RIGHT(AJ296,3),1,VLOOKUP(AJ296,'FX RATES'!$H$1:$I$20,2,FALSE))</f>
        <v>20.8843</v>
      </c>
      <c r="AQ296" s="178">
        <f>IF(OR(AJ296="USDAED",LEFT(AJ296,3)=RIGHT(AJ296,3)),AP296,IF(LEFT(AJ296)="USD",AO296,IF(RIGHT(AJ296,3)="USD",1,IFERROR(VLOOKUP(E296&amp;"USD"&amp;RIGHT(AJ296,3),$AN:$AO,2,FALSE),VLOOKUP(E296&amp;"USD"&amp;RIGHT(AB296,3),$AF:$AG,2,FALSE)))))</f>
        <v>76</v>
      </c>
      <c r="AR296" s="179">
        <f>-Q296*(1-Z296)/(1+X296)*IF(W296="CLIENT",IF(S296=RIGHT(AJ296,3),1/AM296,AM296),IF(W296="VENDOR",IF(S296=RIGHT(AJ296,3),1/AE296,AE296),AE296^(VLOOKUP(AB296,'FX RATES'!$H$1:$J$26,3,FALSE))/AM296^(VLOOKUP(AJ296,'FX RATES'!$H$1:$J$26,3,FALSE))))</f>
        <v>0</v>
      </c>
      <c r="AS296" s="179">
        <f>-I296*(1+X296)/(1-Z296)*IF(W296="VENDOR",IF(K296=RIGHT(AB296,3),1/AE296,AE296),IF(W296="CLIENT",IF(K296=RIGHT(AB296,3),1/AM296,AM296),AM296^(VLOOKUP(AJ296,'FX RATES'!$H$1:$J$26,3,FALSE))/AE296^(VLOOKUP(AB296,'FX RATES'!$H$1:$J$26,3,FALSE))))</f>
        <v>727423.17754426762</v>
      </c>
      <c r="AT296" s="170">
        <f ca="1">IF(AB296&lt;&gt;AJ296,J296/IF(K296=RIGHT(AB296,3),AE296,1/AE296),IF(S296="USD",J296/IF(K296=RIGHT(AB296,3),IF(W296="CLIENT",AM296,AE296),1/IF(W296="CLIENT",AM296,AE296)),J296*VLOOKUP(K296,'FX RATES'!$E$1:$F$10,2,FALSE)))</f>
        <v>-197687.40623431807</v>
      </c>
      <c r="AU296" s="170">
        <f ca="1">IF(AB296&lt;&gt;AJ296,R296/IF(S296=RIGHT(AJ296,3),AM296,1/AM296),IF(K296="USD",R296/IF(S296=RIGHT(AJ296,3),IF(W296="CLIENT",AM296,AE296),1/IF(W296="CLIENT",AM296,AE296)),R296*VLOOKUP(S296,'FX RATES'!$E$1:$F$10,2,FALSE)))</f>
        <v>198067.62989279191</v>
      </c>
      <c r="AV296" s="170">
        <f ca="1">AT296+AU296</f>
        <v>380.22365847384208</v>
      </c>
      <c r="AW296" s="169"/>
      <c r="AX296" s="170">
        <f ca="1">IF(AND(ISERROR(SEARCH("INVOICE",T296)),ISERROR(SEARCH("SWITCH",T296)),ISERROR(SEARCH("FOREX",T296)),ISERROR(SEARCH("REFUND",A296)),ISERROR(SEARCH("CANCELLED",A296))),IF(AW296="",-AT296*X296+AU296*Z296,AW296),0)</f>
        <v>-792.27051957116771</v>
      </c>
      <c r="AY296" s="170">
        <f>IF(AZ296="USD",AT296,IF(AZ296=K296,J296,-R296))</f>
        <v>-727423.17754426762</v>
      </c>
      <c r="AZ296" s="170" t="str">
        <f>LEFT(AB296,3)</f>
        <v>AED</v>
      </c>
      <c r="BA296" s="542">
        <f>IF(OR(A296="REFUND",A296="CANCELLED"),0,IFERROR((IF(OR(AB296="USDAED",LEFT(AB296,3)=RIGHT(AB296,3)),AI296,AG296)-AE296)*-AY296*VLOOKUP(AB296,'FX RATES'!$H$1:$J$26,3,FALSE),0))</f>
        <v>-52738.180371960538</v>
      </c>
      <c r="BB296" s="170" t="str">
        <f>RIGHT(AB296,3)</f>
        <v>RUB</v>
      </c>
      <c r="BC296" s="542">
        <f>IF(BA296=0,0,IFERROR(BA296/IF(BB296&lt;&gt;"USD",AI296,1),"???"))</f>
        <v>-693.01156861971799</v>
      </c>
      <c r="BD296" s="170">
        <f>IFERROR(-AC296/(IF(OR(AB296="USDAED",LEFT(AB296,3)=RIGHT(AB296,3)),AH296,AG296)-AE296)*BC296,0)</f>
        <v>0</v>
      </c>
      <c r="BE296" s="542">
        <f>BC296-BD296</f>
        <v>-693.01156861971799</v>
      </c>
      <c r="BF296" s="170">
        <f>IF(BG296="USD",AU296,IF(BG296=S296,R296,-J296))</f>
        <v>727423.17754426762</v>
      </c>
      <c r="BG296" s="170" t="str">
        <f>LEFT(AJ296,3)</f>
        <v>AED</v>
      </c>
      <c r="BH296" s="542">
        <f>IF(OR(A296="REFUND",A296="CANCELLED"),0,IFERROR((IF(OR(AJ296="USDAED",LEFT(AJ296,3)=RIGHT(AJ296,3)),AQ296,AO296)-AM296)*-BF296*VLOOKUP(AJ296,'FX RATES'!$H$1:$J$26,3,FALSE),0))</f>
        <v>0</v>
      </c>
      <c r="BI296" s="170" t="str">
        <f>RIGHT(AJ296,3)</f>
        <v>RUB</v>
      </c>
      <c r="BJ296" s="542">
        <f>IF(BH296=0,0,IFERROR(BH296/IF(BI296&lt;&gt;"USD",AQ296,1),"???"))</f>
        <v>0</v>
      </c>
      <c r="BK296" s="170">
        <f>IFERROR(-AK296/(IF(OR(AJ296="USDAED",LEFT(AJ296,3)=RIGHT(AJ296,3)),AP296,AO296)-AM296)*BJ296,0)</f>
        <v>0</v>
      </c>
      <c r="BL296" s="542">
        <f>BJ296-BK296</f>
        <v>0</v>
      </c>
      <c r="BM296" s="170">
        <f>IF(AND(ISERROR(SEARCH("REFUND",A296)),ISERROR(SEARCH("CANCELLED",A296))),BD296+BK296,0)</f>
        <v>0</v>
      </c>
      <c r="BN296" s="542">
        <f>IF(AND(ISERROR(SEARCH("REFUND",A296)),ISERROR(SEARCH("CANCELLED",A296))),BE296+BL296,0)</f>
        <v>-693.01156861971799</v>
      </c>
    </row>
    <row r="297" spans="1:66" ht="19.5" customHeight="1">
      <c r="J297" s="450"/>
    </row>
    <row r="298" spans="1:66" ht="19.5" customHeight="1">
      <c r="A298" s="167" t="s">
        <v>366</v>
      </c>
      <c r="B298" s="168" t="s">
        <v>45</v>
      </c>
      <c r="C298" s="168" t="s">
        <v>367</v>
      </c>
      <c r="D298" s="168" t="s">
        <v>368</v>
      </c>
      <c r="E298" s="171">
        <v>46051</v>
      </c>
      <c r="F298" s="171"/>
      <c r="G298" s="168" t="s">
        <v>45</v>
      </c>
      <c r="H298" s="168" t="s">
        <v>412</v>
      </c>
      <c r="I298" s="169"/>
      <c r="J298" s="170">
        <f>IF(I298="",AR298,I298)</f>
        <v>-281086.03580013162</v>
      </c>
      <c r="K298" s="168" t="s">
        <v>5</v>
      </c>
      <c r="L298" s="171" t="s">
        <v>22</v>
      </c>
      <c r="M298" s="168" t="s">
        <v>49</v>
      </c>
      <c r="N298" s="167" t="s">
        <v>371</v>
      </c>
      <c r="O298" s="168" t="s">
        <v>39</v>
      </c>
      <c r="P298" s="168" t="s">
        <v>417</v>
      </c>
      <c r="Q298" s="169">
        <v>21566764.41</v>
      </c>
      <c r="R298" s="170">
        <f>IF(Q298="",AS298,Q298)</f>
        <v>21566764.41</v>
      </c>
      <c r="S298" s="168" t="s">
        <v>9</v>
      </c>
      <c r="T298" s="171" t="s">
        <v>414</v>
      </c>
      <c r="U298" s="168" t="s">
        <v>374</v>
      </c>
      <c r="V298" s="167" t="s">
        <v>371</v>
      </c>
      <c r="W298" s="172" t="s">
        <v>375</v>
      </c>
      <c r="X298" s="173">
        <f>IF(Y298="",VLOOKUP(H298,CLIENTS!$A$1:$O$649,5,FALSE),Y298)</f>
        <v>0</v>
      </c>
      <c r="Y298" s="174">
        <v>0</v>
      </c>
      <c r="Z298" s="173">
        <f>IF(AA298="",VLOOKUP(P298,CLIENTS!$A$1:$O$649,5,FALSE),AA298)</f>
        <v>6.0000000000000001E-3</v>
      </c>
      <c r="AA298" s="174">
        <v>6.0000000000000001E-3</v>
      </c>
      <c r="AB298" s="173" t="str">
        <f>IF(W298="via USD",IF(K298="EUR",K298&amp;"USD","USD"&amp;K298),IFERROR(VLOOKUP(K298&amp;S298,'FX RATES'!$H$2:$H$20,1,FALSE),S298&amp;K298))</f>
        <v>USDUSD</v>
      </c>
      <c r="AC298" s="175">
        <f>IF(LEFT(AB298,3)=RIGHT(AB298,3),0,IFERROR(INDEX(CLIENTS!$A$1:$O$649,MATCH(H298,CLIENTS!$A$1:$A$649,0),MATCH(AB298,CLIENTS!$A$1:$O$1,0)),0))</f>
        <v>0</v>
      </c>
      <c r="AD298" s="176"/>
      <c r="AE298" s="177">
        <f>IF(W298="CLIENT","",IF(AD298="",AH298+AC298,AD298+AC298))</f>
        <v>1</v>
      </c>
      <c r="AF298" s="177" t="str">
        <f>E298&amp;AB298</f>
        <v>46051USDUSD</v>
      </c>
      <c r="AG298" s="176"/>
      <c r="AH298" s="178">
        <f>IF(LEFT(AB298,3)=RIGHT(AB298,3),1,VLOOKUP(AB298,'FX RATES'!$H$1:$I$20,2,FALSE))</f>
        <v>1</v>
      </c>
      <c r="AI298" s="178">
        <f>IF(OR(AB298="USDAED",LEFT(AB298,3)=RIGHT(AB298,3)),AH298,IF(LEFT(AB298)="USD",AG298,IF(RIGHT(AB298,3)="USD",1,IFERROR(VLOOKUP(E298&amp;"USD"&amp;RIGHT(AB298,3),$AF:$AG,2,FALSE),VLOOKUP(E298&amp;"USD"&amp;RIGHT(AJ298,3),$AN:$AO,2,FALSE)))))</f>
        <v>1</v>
      </c>
      <c r="AJ298" s="173" t="str">
        <f>IF(W298="via USD",IF(S298="EUR",S298&amp;"USD","USD"&amp;S298),IFERROR(VLOOKUP(K298&amp;S298,'FX RATES'!$H$2:$H$20,1,FALSE),S298&amp;K298))</f>
        <v>USDRUB</v>
      </c>
      <c r="AK298" s="175">
        <f>IF(LEFT(AJ298,3)=RIGHT(AJ298,3),0,IFERROR(INDEX(CLIENTS!$A$1:$O$649,MATCH(P298,CLIENTS!$A$1:$A$649,0),MATCH(AJ298,CLIENTS!$A$1:$O$1,0)),0))</f>
        <v>0</v>
      </c>
      <c r="AL298" s="176">
        <v>76.266199999999998</v>
      </c>
      <c r="AM298" s="177">
        <f>IF(W298="VENDOR","",IF(AL298="",AP298+AK298,AL298+AK298))</f>
        <v>76.266199999999998</v>
      </c>
      <c r="AN298" s="177" t="str">
        <f>E298&amp;AJ298</f>
        <v>46051USDRUB</v>
      </c>
      <c r="AO298" s="176">
        <v>76</v>
      </c>
      <c r="AP298" s="178">
        <f ca="1">IF(LEFT(AJ298,3)=RIGHT(AJ298,3),1,VLOOKUP(AJ298,'FX RATES'!$H$1:$I$20,2,FALSE))</f>
        <v>76.720500000000001</v>
      </c>
      <c r="AQ298" s="178">
        <f>IF(OR(AJ298="USDAED",LEFT(AJ298,3)=RIGHT(AJ298,3)),AP298,IF(LEFT(AJ298)="USD",AO298,IF(RIGHT(AJ298,3)="USD",1,IFERROR(VLOOKUP(E298&amp;"USD"&amp;RIGHT(AJ298,3),$AN:$AO,2,FALSE),VLOOKUP(E298&amp;"USD"&amp;RIGHT(AB298,3),$AF:$AG,2,FALSE)))))</f>
        <v>76</v>
      </c>
      <c r="AR298" s="179">
        <f>-Q298*(1-Z298)/(1+X298)*IF(W298="CLIENT",IF(S298=RIGHT(AJ298,3),1/AM298,AM298),IF(W298="VENDOR",IF(S298=RIGHT(AJ298,3),1/AE298,AE298),AE298^(VLOOKUP(AB298,'FX RATES'!$H$1:$J$26,3,FALSE))/AM298^(VLOOKUP(AJ298,'FX RATES'!$H$1:$J$26,3,FALSE))))</f>
        <v>-281086.03580013162</v>
      </c>
      <c r="AS298" s="179">
        <f>-I298*(1+X298)/(1-Z298)*IF(W298="VENDOR",IF(K298=RIGHT(AB298,3),1/AE298,AE298),IF(W298="CLIENT",IF(K298=RIGHT(AB298,3),1/AM298,AM298),AM298^(VLOOKUP(AJ298,'FX RATES'!$H$1:$J$26,3,FALSE))/AE298^(VLOOKUP(AB298,'FX RATES'!$H$1:$J$26,3,FALSE))))</f>
        <v>0</v>
      </c>
      <c r="AT298" s="170">
        <f>IF(AB298&lt;&gt;AJ298,J298/IF(K298=RIGHT(AB298,3),AE298,1/AE298),IF(S298="USD",J298/IF(K298=RIGHT(AB298,3),IF(W298="CLIENT",AM298,AE298),1/IF(W298="CLIENT",AM298,AE298)),J298*VLOOKUP(K298,'FX RATES'!$E$1:$F$10,2,FALSE)))</f>
        <v>-281086.03580013162</v>
      </c>
      <c r="AU298" s="170">
        <f>IF(AB298&lt;&gt;AJ298,R298/IF(S298=RIGHT(AJ298,3),AM298,1/AM298),IF(K298="USD",R298/IF(S298=RIGHT(AJ298,3),IF(W298="CLIENT",AM298,AE298),1/IF(W298="CLIENT",AM298,AE298)),R298*VLOOKUP(S298,'FX RATES'!$E$1:$F$10,2,FALSE)))</f>
        <v>282782.73219329142</v>
      </c>
      <c r="AV298" s="170">
        <f>AT298+AU298</f>
        <v>1696.6963931598002</v>
      </c>
      <c r="AW298" s="169"/>
      <c r="AX298" s="170">
        <f>IF(AND(ISERROR(SEARCH("INVOICE",T298)),ISERROR(SEARCH("SWITCH",T298)),ISERROR(SEARCH("FOREX",T298)),ISERROR(SEARCH("REFUND",A298)),ISERROR(SEARCH("CANCELLED",A298))),IF(AW298="",-AT298*X298+AU298*Z298,AW298),0)</f>
        <v>1696.6963931597486</v>
      </c>
      <c r="AY298" s="170">
        <f>IF(AZ298="USD",AT298,IF(AZ298=K298,J298,-R298))</f>
        <v>-281086.03580013162</v>
      </c>
      <c r="AZ298" s="170" t="str">
        <f>LEFT(AB298,3)</f>
        <v>USD</v>
      </c>
      <c r="BA298" s="542">
        <f>IF(OR(A298="REFUND",A298="CANCELLED"),0,IFERROR((IF(OR(AB298="USDAED",LEFT(AB298,3)=RIGHT(AB298,3)),AI298,AG298)-AE298)*-AY298*VLOOKUP(AB298,'FX RATES'!$H$1:$J$26,3,FALSE),0))</f>
        <v>0</v>
      </c>
      <c r="BB298" s="170" t="str">
        <f>RIGHT(AB298,3)</f>
        <v>USD</v>
      </c>
      <c r="BC298" s="542">
        <f>IF(BA298=0,0,IFERROR(BA298/IF(BB298&lt;&gt;"USD",AI298,1),"???"))</f>
        <v>0</v>
      </c>
      <c r="BD298" s="170">
        <f>IFERROR(-AC298/(IF(OR(AB298="USDAED",LEFT(AB298,3)=RIGHT(AB298,3)),AH298,AG298)-AE298)*BC298,0)</f>
        <v>0</v>
      </c>
      <c r="BE298" s="542">
        <f>BC298-BD298</f>
        <v>0</v>
      </c>
      <c r="BF298" s="170">
        <f>IF(BG298="USD",AU298,IF(BG298=S298,R298,-J298))</f>
        <v>282782.73219329142</v>
      </c>
      <c r="BG298" s="170" t="str">
        <f>LEFT(AJ298,3)</f>
        <v>USD</v>
      </c>
      <c r="BH298" s="542">
        <f>IF(OR(A298="REFUND",A298="CANCELLED"),0,IFERROR((IF(OR(AJ298="USDAED",LEFT(AJ298,3)=RIGHT(AJ298,3)),AQ298,AO298)-AM298)*-BF298*VLOOKUP(AJ298,'FX RATES'!$H$1:$J$26,3,FALSE),0))</f>
        <v>75276.763309853544</v>
      </c>
      <c r="BI298" s="170" t="str">
        <f>RIGHT(AJ298,3)</f>
        <v>RUB</v>
      </c>
      <c r="BJ298" s="542">
        <f>IF(BH298=0,0,IFERROR(BH298/IF(BI298&lt;&gt;"USD",AQ298,1),"???"))</f>
        <v>990.48372776123085</v>
      </c>
      <c r="BK298" s="170">
        <f>IFERROR(-AK298/(IF(OR(AJ298="USDAED",LEFT(AJ298,3)=RIGHT(AJ298,3)),AP298,AO298)-AM298)*BJ298,0)</f>
        <v>0</v>
      </c>
      <c r="BL298" s="542">
        <f>BJ298-BK298</f>
        <v>990.48372776123085</v>
      </c>
      <c r="BM298" s="170">
        <f>IF(AND(ISERROR(SEARCH("REFUND",A298)),ISERROR(SEARCH("CANCELLED",A298))),BD298+BK298,0)</f>
        <v>0</v>
      </c>
      <c r="BN298" s="542">
        <f>IF(AND(ISERROR(SEARCH("REFUND",A298)),ISERROR(SEARCH("CANCELLED",A298))),BE298+BL298,0)</f>
        <v>990.48372776123085</v>
      </c>
    </row>
    <row r="299" spans="1:66" ht="19.5" customHeight="1">
      <c r="A299" s="167" t="s">
        <v>366</v>
      </c>
      <c r="B299" s="168" t="s">
        <v>45</v>
      </c>
      <c r="C299" s="168" t="s">
        <v>367</v>
      </c>
      <c r="D299" s="168" t="s">
        <v>368</v>
      </c>
      <c r="E299" s="171">
        <v>46051</v>
      </c>
      <c r="F299" s="171"/>
      <c r="G299" s="168" t="s">
        <v>45</v>
      </c>
      <c r="H299" s="168" t="s">
        <v>412</v>
      </c>
      <c r="I299" s="169"/>
      <c r="J299" s="170">
        <f>IF(I299="",AR299,I299)</f>
        <v>-298895.65989206225</v>
      </c>
      <c r="K299" s="168" t="s">
        <v>5</v>
      </c>
      <c r="L299" s="171" t="s">
        <v>22</v>
      </c>
      <c r="M299" s="168" t="s">
        <v>49</v>
      </c>
      <c r="N299" s="167" t="s">
        <v>371</v>
      </c>
      <c r="O299" s="168" t="s">
        <v>39</v>
      </c>
      <c r="P299" s="168" t="s">
        <v>417</v>
      </c>
      <c r="Q299" s="169">
        <v>22933235.59</v>
      </c>
      <c r="R299" s="170">
        <f>IF(Q299="",AS299,Q299)</f>
        <v>22933235.59</v>
      </c>
      <c r="S299" s="168" t="s">
        <v>9</v>
      </c>
      <c r="T299" s="171" t="s">
        <v>414</v>
      </c>
      <c r="U299" s="168" t="s">
        <v>374</v>
      </c>
      <c r="V299" s="167" t="s">
        <v>371</v>
      </c>
      <c r="W299" s="172" t="s">
        <v>375</v>
      </c>
      <c r="X299" s="173">
        <f>IF(Y299="",VLOOKUP(H299,CLIENTS!$A$1:$O$649,5,FALSE),Y299)</f>
        <v>0</v>
      </c>
      <c r="Y299" s="174">
        <v>0</v>
      </c>
      <c r="Z299" s="173">
        <f>IF(AA299="",VLOOKUP(P299,CLIENTS!$A$1:$O$649,5,FALSE),AA299)</f>
        <v>6.0000000000000001E-3</v>
      </c>
      <c r="AA299" s="174">
        <v>6.0000000000000001E-3</v>
      </c>
      <c r="AB299" s="173" t="str">
        <f>IF(W299="via USD",IF(K299="EUR",K299&amp;"USD","USD"&amp;K299),IFERROR(VLOOKUP(K299&amp;S299,'FX RATES'!$H$2:$H$20,1,FALSE),S299&amp;K299))</f>
        <v>USDUSD</v>
      </c>
      <c r="AC299" s="175">
        <f>IF(LEFT(AB299,3)=RIGHT(AB299,3),0,IFERROR(INDEX(CLIENTS!$A$1:$O$649,MATCH(H299,CLIENTS!$A$1:$A$649,0),MATCH(AB299,CLIENTS!$A$1:$O$1,0)),0))</f>
        <v>0</v>
      </c>
      <c r="AD299" s="176"/>
      <c r="AE299" s="177">
        <f>IF(W299="CLIENT","",IF(AD299="",AH299+AC299,AD299+AC299))</f>
        <v>1</v>
      </c>
      <c r="AF299" s="177" t="str">
        <f>E299&amp;AB299</f>
        <v>46051USDUSD</v>
      </c>
      <c r="AG299" s="176"/>
      <c r="AH299" s="178">
        <f>IF(LEFT(AB299,3)=RIGHT(AB299,3),1,VLOOKUP(AB299,'FX RATES'!$H$1:$I$20,2,FALSE))</f>
        <v>1</v>
      </c>
      <c r="AI299" s="178">
        <f>IF(OR(AB299="USDAED",LEFT(AB299,3)=RIGHT(AB299,3)),AH299,IF(LEFT(AB299)="USD",AG299,IF(RIGHT(AB299,3)="USD",1,IFERROR(VLOOKUP(E299&amp;"USD"&amp;RIGHT(AB299,3),$AF:$AG,2,FALSE),VLOOKUP(E299&amp;"USD"&amp;RIGHT(AJ299,3),$AN:$AO,2,FALSE)))))</f>
        <v>1</v>
      </c>
      <c r="AJ299" s="173" t="str">
        <f>IF(W299="via USD",IF(S299="EUR",S299&amp;"USD","USD"&amp;S299),IFERROR(VLOOKUP(K299&amp;S299,'FX RATES'!$H$2:$H$20,1,FALSE),S299&amp;K299))</f>
        <v>USDRUB</v>
      </c>
      <c r="AK299" s="175">
        <f>IF(LEFT(AJ299,3)=RIGHT(AJ299,3),0,IFERROR(INDEX(CLIENTS!$A$1:$O$649,MATCH(P299,CLIENTS!$A$1:$A$649,0),MATCH(AJ299,CLIENTS!$A$1:$O$1,0)),0))</f>
        <v>0</v>
      </c>
      <c r="AL299" s="176">
        <v>76.266199999999998</v>
      </c>
      <c r="AM299" s="177">
        <f>IF(W299="VENDOR","",IF(AL299="",AP299+AK299,AL299+AK299))</f>
        <v>76.266199999999998</v>
      </c>
      <c r="AN299" s="177" t="str">
        <f>E299&amp;AJ299</f>
        <v>46051USDRUB</v>
      </c>
      <c r="AO299" s="176">
        <v>76</v>
      </c>
      <c r="AP299" s="178">
        <f ca="1">IF(LEFT(AJ299,3)=RIGHT(AJ299,3),1,VLOOKUP(AJ299,'FX RATES'!$H$1:$I$20,2,FALSE))</f>
        <v>76.720500000000001</v>
      </c>
      <c r="AQ299" s="178">
        <f>IF(OR(AJ299="USDAED",LEFT(AJ299,3)=RIGHT(AJ299,3)),AP299,IF(LEFT(AJ299)="USD",AO299,IF(RIGHT(AJ299,3)="USD",1,IFERROR(VLOOKUP(E299&amp;"USD"&amp;RIGHT(AJ299,3),$AN:$AO,2,FALSE),VLOOKUP(E299&amp;"USD"&amp;RIGHT(AB299,3),$AF:$AG,2,FALSE)))))</f>
        <v>76</v>
      </c>
      <c r="AR299" s="179">
        <f>-Q299*(1-Z299)/(1+X299)*IF(W299="CLIENT",IF(S299=RIGHT(AJ299,3),1/AM299,AM299),IF(W299="VENDOR",IF(S299=RIGHT(AJ299,3),1/AE299,AE299),AE299^(VLOOKUP(AB299,'FX RATES'!$H$1:$J$26,3,FALSE))/AM299^(VLOOKUP(AJ299,'FX RATES'!$H$1:$J$26,3,FALSE))))</f>
        <v>-298895.65989206225</v>
      </c>
      <c r="AS299" s="179">
        <f>-I299*(1+X299)/(1-Z299)*IF(W299="VENDOR",IF(K299=RIGHT(AB299,3),1/AE299,AE299),IF(W299="CLIENT",IF(K299=RIGHT(AB299,3),1/AM299,AM299),AM299^(VLOOKUP(AJ299,'FX RATES'!$H$1:$J$26,3,FALSE))/AE299^(VLOOKUP(AB299,'FX RATES'!$H$1:$J$26,3,FALSE))))</f>
        <v>0</v>
      </c>
      <c r="AT299" s="170">
        <f>IF(AB299&lt;&gt;AJ299,J299/IF(K299=RIGHT(AB299,3),AE299,1/AE299),IF(S299="USD",J299/IF(K299=RIGHT(AB299,3),IF(W299="CLIENT",AM299,AE299),1/IF(W299="CLIENT",AM299,AE299)),J299*VLOOKUP(K299,'FX RATES'!$E$1:$F$10,2,FALSE)))</f>
        <v>-298895.65989206225</v>
      </c>
      <c r="AU299" s="170">
        <f>IF(AB299&lt;&gt;AJ299,R299/IF(S299=RIGHT(AJ299,3),AM299,1/AM299),IF(K299="USD",R299/IF(S299=RIGHT(AJ299,3),IF(W299="CLIENT",AM299,AE299),1/IF(W299="CLIENT",AM299,AE299)),R299*VLOOKUP(S299,'FX RATES'!$E$1:$F$10,2,FALSE)))</f>
        <v>300699.85904634034</v>
      </c>
      <c r="AV299" s="170">
        <f>AT299+AU299</f>
        <v>1804.1991542780888</v>
      </c>
      <c r="AW299" s="169"/>
      <c r="AX299" s="170">
        <f>IF(AND(ISERROR(SEARCH("INVOICE",T299)),ISERROR(SEARCH("SWITCH",T299)),ISERROR(SEARCH("FOREX",T299)),ISERROR(SEARCH("REFUND",A299)),ISERROR(SEARCH("CANCELLED",A299))),IF(AW299="",-AT299*X299+AU299*Z299,AW299),0)</f>
        <v>1804.199154278042</v>
      </c>
      <c r="AY299" s="170">
        <f>IF(AZ299="USD",AT299,IF(AZ299=K299,J299,-R299))</f>
        <v>-298895.65989206225</v>
      </c>
      <c r="AZ299" s="170" t="str">
        <f>LEFT(AB299,3)</f>
        <v>USD</v>
      </c>
      <c r="BA299" s="542">
        <f>IF(OR(A299="REFUND",A299="CANCELLED"),0,IFERROR((IF(OR(AB299="USDAED",LEFT(AB299,3)=RIGHT(AB299,3)),AI299,AG299)-AE299)*-AY299*VLOOKUP(AB299,'FX RATES'!$H$1:$J$26,3,FALSE),0))</f>
        <v>0</v>
      </c>
      <c r="BB299" s="170" t="str">
        <f>RIGHT(AB299,3)</f>
        <v>USD</v>
      </c>
      <c r="BC299" s="542">
        <f>IF(BA299=0,0,IFERROR(BA299/IF(BB299&lt;&gt;"USD",AI299,1),"???"))</f>
        <v>0</v>
      </c>
      <c r="BD299" s="170">
        <f>IFERROR(-AC299/(IF(OR(AB299="USDAED",LEFT(AB299,3)=RIGHT(AB299,3)),AH299,AG299)-AE299)*BC299,0)</f>
        <v>0</v>
      </c>
      <c r="BE299" s="542">
        <f>BC299-BD299</f>
        <v>0</v>
      </c>
      <c r="BF299" s="170">
        <f>IF(BG299="USD",AU299,IF(BG299=S299,R299,-J299))</f>
        <v>300699.85904634034</v>
      </c>
      <c r="BG299" s="170" t="str">
        <f>LEFT(AJ299,3)</f>
        <v>USD</v>
      </c>
      <c r="BH299" s="542">
        <f>IF(OR(A299="REFUND",A299="CANCELLED"),0,IFERROR((IF(OR(AJ299="USDAED",LEFT(AJ299,3)=RIGHT(AJ299,3)),AQ299,AO299)-AM299)*-BF299*VLOOKUP(AJ299,'FX RATES'!$H$1:$J$26,3,FALSE),0))</f>
        <v>80046.302478135127</v>
      </c>
      <c r="BI299" s="170" t="str">
        <f>RIGHT(AJ299,3)</f>
        <v>RUB</v>
      </c>
      <c r="BJ299" s="542">
        <f>IF(BH299=0,0,IFERROR(BH299/IF(BI299&lt;&gt;"USD",AQ299,1),"???"))</f>
        <v>1053.2408220807254</v>
      </c>
      <c r="BK299" s="170">
        <f>IFERROR(-AK299/(IF(OR(AJ299="USDAED",LEFT(AJ299,3)=RIGHT(AJ299,3)),AP299,AO299)-AM299)*BJ299,0)</f>
        <v>0</v>
      </c>
      <c r="BL299" s="542">
        <f>BJ299-BK299</f>
        <v>1053.2408220807254</v>
      </c>
      <c r="BM299" s="170">
        <f>IF(AND(ISERROR(SEARCH("REFUND",A299)),ISERROR(SEARCH("CANCELLED",A299))),BD299+BK299,0)</f>
        <v>0</v>
      </c>
      <c r="BN299" s="542">
        <f>IF(AND(ISERROR(SEARCH("REFUND",A299)),ISERROR(SEARCH("CANCELLED",A299))),BE299+BL299,0)</f>
        <v>1053.2408220807254</v>
      </c>
    </row>
    <row r="300" spans="1:66" ht="19.5" customHeight="1">
      <c r="A300" s="167" t="s">
        <v>366</v>
      </c>
      <c r="B300" s="168" t="s">
        <v>39</v>
      </c>
      <c r="C300" s="168" t="s">
        <v>383</v>
      </c>
      <c r="D300" s="168" t="s">
        <v>128</v>
      </c>
      <c r="E300" s="171">
        <v>46051</v>
      </c>
      <c r="F300" s="171"/>
      <c r="G300" s="168" t="s">
        <v>39</v>
      </c>
      <c r="H300" s="168" t="s">
        <v>384</v>
      </c>
      <c r="I300" s="169">
        <f>-R298-R299</f>
        <v>-44500000</v>
      </c>
      <c r="J300" s="170">
        <f>IF(I300="",AR300,I300)</f>
        <v>-44500000</v>
      </c>
      <c r="K300" s="168" t="s">
        <v>9</v>
      </c>
      <c r="L300" s="171" t="s">
        <v>374</v>
      </c>
      <c r="M300" s="168" t="s">
        <v>25</v>
      </c>
      <c r="N300" s="167" t="s">
        <v>371</v>
      </c>
      <c r="O300" s="168" t="s">
        <v>39</v>
      </c>
      <c r="P300" s="349" t="s">
        <v>384</v>
      </c>
      <c r="Q300" s="169"/>
      <c r="R300" s="170">
        <f>IF(Q300="",AS300,Q300)</f>
        <v>2148720.4249154995</v>
      </c>
      <c r="S300" s="168" t="s">
        <v>8</v>
      </c>
      <c r="T300" s="171" t="s">
        <v>385</v>
      </c>
      <c r="U300" s="168" t="s">
        <v>20</v>
      </c>
      <c r="V300" s="462" t="s">
        <v>371</v>
      </c>
      <c r="W300" s="172" t="s">
        <v>382</v>
      </c>
      <c r="X300" s="173">
        <f>IF(Y300="",VLOOKUP(H300,CLIENTS!$A$1:$O$649,5,FALSE),Y300)</f>
        <v>0</v>
      </c>
      <c r="Y300" s="174">
        <v>0</v>
      </c>
      <c r="Z300" s="173">
        <f>IF(AA300="",VLOOKUP(P300,CLIENTS!$A$1:$O$649,5,FALSE),AA300)</f>
        <v>0</v>
      </c>
      <c r="AA300" s="174">
        <v>0</v>
      </c>
      <c r="AB300" s="173" t="str">
        <f>IF(W300="via USD",IF(K300="EUR",K300&amp;"USD","USD"&amp;K300),IFERROR(VLOOKUP(K300&amp;S300,'FX RATES'!$H$2:$H$20,1,FALSE),S300&amp;K300))</f>
        <v>AEDRUB</v>
      </c>
      <c r="AC300" s="175">
        <f>IF(LEFT(AB300,3)=RIGHT(AB300,3),0,IFERROR(INDEX(CLIENTS!$A$1:$O$649,MATCH(H300,CLIENTS!$A$1:$A$649,0),MATCH(AB300,CLIENTS!$A$1:$O$1,0)),0))</f>
        <v>0</v>
      </c>
      <c r="AD300" s="176">
        <v>20.71</v>
      </c>
      <c r="AE300" s="177">
        <f>IF(W300="CLIENT","",IF(AD300="",AH300+AC300,AD300+AC300))</f>
        <v>20.71</v>
      </c>
      <c r="AF300" s="177" t="str">
        <f>E300&amp;AB300</f>
        <v>46051AEDRUB</v>
      </c>
      <c r="AG300" s="176">
        <v>20.694299999999998</v>
      </c>
      <c r="AH300" s="178">
        <f ca="1">IF(LEFT(AB300,3)=RIGHT(AB300,3),1,VLOOKUP(AB300,'FX RATES'!$H$1:$I$20,2,FALSE))</f>
        <v>20.8843</v>
      </c>
      <c r="AI300" s="178">
        <f>IF(OR(AB300="USDAED",LEFT(AB300,3)=RIGHT(AB300,3)),AH300,IF(LEFT(AB300)="USD",AG300,IF(RIGHT(AB300,3)="USD",1,IFERROR(VLOOKUP(E300&amp;"USD"&amp;RIGHT(AB300,3),$AF:$AG,2,FALSE),VLOOKUP(E300&amp;"USD"&amp;RIGHT(AJ300,3),$AN:$AO,2,FALSE)))))</f>
        <v>76.099999999999994</v>
      </c>
      <c r="AJ300" s="173" t="str">
        <f>IF(W300="via USD",IF(S300="EUR",S300&amp;"USD","USD"&amp;S300),IFERROR(VLOOKUP(K300&amp;S300,'FX RATES'!$H$2:$H$20,1,FALSE),S300&amp;K300))</f>
        <v>AEDRUB</v>
      </c>
      <c r="AK300" s="175">
        <f>IF(LEFT(AJ300,3)=RIGHT(AJ300,3),0,IFERROR(INDEX(CLIENTS!$A$1:$O$649,MATCH(P300,CLIENTS!$A$1:$A$649,0),MATCH(AJ300,CLIENTS!$A$1:$O$1,0)),0))</f>
        <v>0</v>
      </c>
      <c r="AL300" s="176"/>
      <c r="AM300" s="177" t="str">
        <f>IF(W300="VENDOR","",IF(AL300="",AP300+AK300,AL300+AK300))</f>
        <v/>
      </c>
      <c r="AN300" s="177" t="str">
        <f>E300&amp;AJ300</f>
        <v>46051AEDRUB</v>
      </c>
      <c r="AO300" s="176"/>
      <c r="AP300" s="178">
        <f ca="1">IF(LEFT(AJ300,3)=RIGHT(AJ300,3),1,VLOOKUP(AJ300,'FX RATES'!$H$1:$I$20,2,FALSE))</f>
        <v>20.8843</v>
      </c>
      <c r="AQ300" s="178">
        <f>IF(OR(AJ300="USDAED",LEFT(AJ300,3)=RIGHT(AJ300,3)),AP300,IF(LEFT(AJ300)="USD",AO300,IF(RIGHT(AJ300,3)="USD",1,IFERROR(VLOOKUP(E300&amp;"USD"&amp;RIGHT(AJ300,3),$AN:$AO,2,FALSE),VLOOKUP(E300&amp;"USD"&amp;RIGHT(AB300,3),$AF:$AG,2,FALSE)))))</f>
        <v>76</v>
      </c>
      <c r="AR300" s="179">
        <f>-Q300*(1-Z300)/(1+X300)*IF(W300="CLIENT",IF(S300=RIGHT(AJ300,3),1/AM300,AM300),IF(W300="VENDOR",IF(S300=RIGHT(AJ300,3),1/AE300,AE300),AE300^(VLOOKUP(AB300,'FX RATES'!$H$1:$J$26,3,FALSE))/AM300^(VLOOKUP(AJ300,'FX RATES'!$H$1:$J$26,3,FALSE))))</f>
        <v>0</v>
      </c>
      <c r="AS300" s="179">
        <f>-I300*(1+X300)/(1-Z300)*IF(W300="VENDOR",IF(K300=RIGHT(AB300,3),1/AE300,AE300),IF(W300="CLIENT",IF(K300=RIGHT(AB300,3),1/AM300,AM300),AM300^(VLOOKUP(AJ300,'FX RATES'!$H$1:$J$26,3,FALSE))/AE300^(VLOOKUP(AB300,'FX RATES'!$H$1:$J$26,3,FALSE))))</f>
        <v>2148720.4249154995</v>
      </c>
      <c r="AT300" s="170">
        <f ca="1">IF(AB300&lt;&gt;AJ300,J300/IF(K300=RIGHT(AB300,3),AE300,1/AE300),IF(S300="USD",J300/IF(K300=RIGHT(AB300,3),IF(W300="CLIENT",AM300,AE300),1/IF(W300="CLIENT",AM300,AE300)),J300*VLOOKUP(K300,'FX RATES'!$E$1:$F$10,2,FALSE)))</f>
        <v>-580027.50242764316</v>
      </c>
      <c r="AU300" s="170">
        <f ca="1">IF(AB300&lt;&gt;AJ300,R300/IF(S300=RIGHT(AJ300,3),AM300,1/AM300),IF(K300="USD",R300/IF(S300=RIGHT(AJ300,3),IF(W300="CLIENT",AM300,AE300),1/IF(W300="CLIENT",AM300,AE300)),R300*VLOOKUP(S300,'FX RATES'!$E$1:$F$10,2,FALSE)))</f>
        <v>585067.91507800994</v>
      </c>
      <c r="AV300" s="170">
        <f ca="1">AT300+AU300</f>
        <v>5040.4126503667794</v>
      </c>
      <c r="AW300" s="169"/>
      <c r="AX300" s="170">
        <f ca="1">IF(AND(ISERROR(SEARCH("INVOICE",T300)),ISERROR(SEARCH("SWITCH",T300)),ISERROR(SEARCH("FOREX",T300)),ISERROR(SEARCH("REFUND",A300)),ISERROR(SEARCH("CANCELLED",A300))),IF(AW300="",-AT300*X300+AU300*Z300,AW300),0)</f>
        <v>0</v>
      </c>
      <c r="AY300" s="170">
        <f>IF(AZ300="USD",AT300,IF(AZ300=K300,J300,-R300))</f>
        <v>-2148720.4249154995</v>
      </c>
      <c r="AZ300" s="170" t="str">
        <f>LEFT(AB300,3)</f>
        <v>AED</v>
      </c>
      <c r="BA300" s="542">
        <f>IF(OR(A300="REFUND",A300="CANCELLED"),0,IFERROR((IF(OR(AB300="USDAED",LEFT(AB300,3)=RIGHT(AB300,3)),AI300,AG300)-AE300)*-AY300*VLOOKUP(AB300,'FX RATES'!$H$1:$J$26,3,FALSE),0))</f>
        <v>-33734.910671178695</v>
      </c>
      <c r="BB300" s="170" t="str">
        <f>RIGHT(AB300,3)</f>
        <v>RUB</v>
      </c>
      <c r="BC300" s="542">
        <f>IF(BA300=0,0,IFERROR(BA300/IF(BB300&lt;&gt;"USD",AI300,1),"???"))</f>
        <v>-443.29711788671085</v>
      </c>
      <c r="BD300" s="170">
        <f>IFERROR(-AC300/(IF(OR(AB300="USDAED",LEFT(AB300,3)=RIGHT(AB300,3)),AH300,AG300)-AE300)*BC300,0)</f>
        <v>0</v>
      </c>
      <c r="BE300" s="542">
        <f>BC300-BD300</f>
        <v>-443.29711788671085</v>
      </c>
      <c r="BF300" s="170">
        <f>IF(BG300="USD",AU300,IF(BG300=S300,R300,-J300))</f>
        <v>2148720.4249154995</v>
      </c>
      <c r="BG300" s="170" t="str">
        <f>LEFT(AJ300,3)</f>
        <v>AED</v>
      </c>
      <c r="BH300" s="542">
        <f>IF(OR(A300="REFUND",A300="CANCELLED"),0,IFERROR((IF(OR(AJ300="USDAED",LEFT(AJ300,3)=RIGHT(AJ300,3)),AQ300,AO300)-AM300)*-BF300*VLOOKUP(AJ300,'FX RATES'!$H$1:$J$26,3,FALSE),0))</f>
        <v>0</v>
      </c>
      <c r="BI300" s="170" t="str">
        <f>RIGHT(AJ300,3)</f>
        <v>RUB</v>
      </c>
      <c r="BJ300" s="542">
        <f>IF(BH300=0,0,IFERROR(BH300/IF(BI300&lt;&gt;"USD",AQ300,1),"???"))</f>
        <v>0</v>
      </c>
      <c r="BK300" s="170">
        <f>IFERROR(-AK300/(IF(OR(AJ300="USDAED",LEFT(AJ300,3)=RIGHT(AJ300,3)),AP300,AO300)-AM300)*BJ300,0)</f>
        <v>0</v>
      </c>
      <c r="BL300" s="542">
        <f>BJ300-BK300</f>
        <v>0</v>
      </c>
      <c r="BM300" s="170">
        <f>IF(AND(ISERROR(SEARCH("REFUND",A300)),ISERROR(SEARCH("CANCELLED",A300))),BD300+BK300,0)</f>
        <v>0</v>
      </c>
      <c r="BN300" s="542">
        <f>IF(AND(ISERROR(SEARCH("REFUND",A300)),ISERROR(SEARCH("CANCELLED",A300))),BE300+BL300,0)</f>
        <v>-443.29711788671085</v>
      </c>
    </row>
    <row r="301" spans="1:66" ht="19.5" customHeight="1">
      <c r="J301" s="450"/>
    </row>
    <row r="302" spans="1:66" ht="19.5" customHeight="1">
      <c r="A302" s="167" t="s">
        <v>366</v>
      </c>
      <c r="B302" s="168" t="s">
        <v>102</v>
      </c>
      <c r="C302" s="168" t="s">
        <v>367</v>
      </c>
      <c r="D302" s="168" t="s">
        <v>143</v>
      </c>
      <c r="E302" s="171">
        <v>46051</v>
      </c>
      <c r="F302" s="171"/>
      <c r="G302" s="168" t="s">
        <v>102</v>
      </c>
      <c r="H302" s="181" t="s">
        <v>552</v>
      </c>
      <c r="I302" s="169">
        <v>-45057.13</v>
      </c>
      <c r="J302" s="170">
        <f t="shared" ref="J302:J308" si="339">IF(I302="",AR302,I302)</f>
        <v>-45057.13</v>
      </c>
      <c r="K302" s="168" t="s">
        <v>5</v>
      </c>
      <c r="L302" s="171" t="s">
        <v>448</v>
      </c>
      <c r="M302" s="168" t="s">
        <v>54</v>
      </c>
      <c r="N302" s="167" t="s">
        <v>371</v>
      </c>
      <c r="O302" s="168" t="s">
        <v>52</v>
      </c>
      <c r="P302" s="168" t="s">
        <v>449</v>
      </c>
      <c r="Q302" s="169"/>
      <c r="R302" s="170">
        <f t="shared" ref="R302:R308" si="340">IF(Q302="",AS302,Q302)</f>
        <v>3516114.6846625763</v>
      </c>
      <c r="S302" s="168" t="s">
        <v>9</v>
      </c>
      <c r="T302" s="171" t="s">
        <v>450</v>
      </c>
      <c r="U302" s="168" t="s">
        <v>25</v>
      </c>
      <c r="V302" s="389" t="s">
        <v>371</v>
      </c>
      <c r="W302" s="172" t="s">
        <v>375</v>
      </c>
      <c r="X302" s="173">
        <f>IF(Y302="",VLOOKUP(H302,CLIENTS!$A$1:$O$649,5,FALSE),Y302)</f>
        <v>0</v>
      </c>
      <c r="Y302" s="174">
        <v>0</v>
      </c>
      <c r="Z302" s="173">
        <f>IF(AA302="",VLOOKUP(P302,CLIENTS!$A$1:$O$649,5,FALSE),AA302)</f>
        <v>2.1999999999999999E-2</v>
      </c>
      <c r="AA302" s="174">
        <v>2.1999999999999999E-2</v>
      </c>
      <c r="AB302" s="173" t="str">
        <f>IF(W302="via USD",IF(K302="EUR",K302&amp;"USD","USD"&amp;K302),IFERROR(VLOOKUP(K302&amp;S302,'FX RATES'!$H$2:$H$20,1,FALSE),S302&amp;K302))</f>
        <v>USDUSD</v>
      </c>
      <c r="AC302" s="175">
        <f>IF(LEFT(AB302,3)=RIGHT(AB302,3),0,IFERROR(INDEX(CLIENTS!$A$1:$O$649,MATCH(H302,CLIENTS!$A$1:$A$649,0),MATCH(AB302,CLIENTS!$A$1:$O$1,0)),0))</f>
        <v>0</v>
      </c>
      <c r="AD302" s="176"/>
      <c r="AE302" s="177">
        <f t="shared" ref="AE302:AE308" si="341">IF(W302="CLIENT","",IF(AD302="",AH302+AC302,AD302+AC302))</f>
        <v>1</v>
      </c>
      <c r="AF302" s="177" t="str">
        <f t="shared" ref="AF302:AF308" si="342">E302&amp;AB302</f>
        <v>46051USDUSD</v>
      </c>
      <c r="AG302" s="176"/>
      <c r="AH302" s="178">
        <f>IF(LEFT(AB302,3)=RIGHT(AB302,3),1,VLOOKUP(AB302,'FX RATES'!$H$1:$I$20,2,FALSE))</f>
        <v>1</v>
      </c>
      <c r="AI302" s="178">
        <f>IF(OR(AB302="USDAED",LEFT(AB302,3)=RIGHT(AB302,3)),AH302,IF(LEFT(AB302)="USD",AG302,IF(RIGHT(AB302,3)="USD",1,IFERROR(VLOOKUP(E302&amp;"USD"&amp;RIGHT(AB302,3),$AF:$AG,2,FALSE),VLOOKUP(E302&amp;"USD"&amp;RIGHT(AJ302,3),$AN:$AO,2,FALSE)))))</f>
        <v>1</v>
      </c>
      <c r="AJ302" s="173" t="str">
        <f>IF(W302="via USD",IF(S302="EUR",S302&amp;"USD","USD"&amp;S302),IFERROR(VLOOKUP(K302&amp;S302,'FX RATES'!$H$2:$H$20,1,FALSE),S302&amp;K302))</f>
        <v>USDRUB</v>
      </c>
      <c r="AK302" s="175">
        <f>IF(LEFT(AJ302,3)=RIGHT(AJ302,3),0,IFERROR(INDEX(CLIENTS!$A$1:$O$649,MATCH(P302,CLIENTS!$A$1:$A$649,0),MATCH(AJ302,CLIENTS!$A$1:$O$1,0)),0))</f>
        <v>0</v>
      </c>
      <c r="AL302" s="176">
        <v>76.319999999999993</v>
      </c>
      <c r="AM302" s="177">
        <f t="shared" ref="AM302:AM308" si="343">IF(W302="VENDOR","",IF(AL302="",AP302+AK302,AL302+AK302))</f>
        <v>76.319999999999993</v>
      </c>
      <c r="AN302" s="177" t="str">
        <f t="shared" ref="AN302:AN308" si="344">E302&amp;AJ302</f>
        <v>46051USDRUB</v>
      </c>
      <c r="AO302" s="176">
        <v>76</v>
      </c>
      <c r="AP302" s="178">
        <f ca="1">IF(LEFT(AJ302,3)=RIGHT(AJ302,3),1,VLOOKUP(AJ302,'FX RATES'!$H$1:$I$20,2,FALSE))</f>
        <v>76.720500000000001</v>
      </c>
      <c r="AQ302" s="178">
        <f>IF(OR(AJ302="USDAED",LEFT(AJ302,3)=RIGHT(AJ302,3)),AP302,IF(LEFT(AJ302)="USD",AO302,IF(RIGHT(AJ302,3)="USD",1,IFERROR(VLOOKUP(E302&amp;"USD"&amp;RIGHT(AJ302,3),$AN:$AO,2,FALSE),VLOOKUP(E302&amp;"USD"&amp;RIGHT(AB302,3),$AF:$AG,2,FALSE)))))</f>
        <v>76</v>
      </c>
      <c r="AR302" s="179">
        <f>-Q302*(1-Z302)/(1+X302)*IF(W302="CLIENT",IF(S302=RIGHT(AJ302,3),1/AM302,AM302),IF(W302="VENDOR",IF(S302=RIGHT(AJ302,3),1/AE302,AE302),AE302^(VLOOKUP(AB302,'FX RATES'!$H$1:$J$26,3,FALSE))/AM302^(VLOOKUP(AJ302,'FX RATES'!$H$1:$J$26,3,FALSE))))</f>
        <v>0</v>
      </c>
      <c r="AS302" s="179">
        <f>-I302*(1+X302)/(1-Z302)*IF(W302="VENDOR",IF(K302=RIGHT(AB302,3),1/AE302,AE302),IF(W302="CLIENT",IF(K302=RIGHT(AB302,3),1/AM302,AM302),AM302^(VLOOKUP(AJ302,'FX RATES'!$H$1:$J$26,3,FALSE))/AE302^(VLOOKUP(AB302,'FX RATES'!$H$1:$J$26,3,FALSE))))</f>
        <v>3516114.6846625763</v>
      </c>
      <c r="AT302" s="170">
        <f>IF(AB302&lt;&gt;AJ302,J302/IF(K302=RIGHT(AB302,3),AE302,1/AE302),IF(S302="USD",J302/IF(K302=RIGHT(AB302,3),IF(W302="CLIENT",AM302,AE302),1/IF(W302="CLIENT",AM302,AE302)),J302*VLOOKUP(K302,'FX RATES'!$E$1:$F$10,2,FALSE)))</f>
        <v>-45057.13</v>
      </c>
      <c r="AU302" s="170">
        <f>IF(AB302&lt;&gt;AJ302,R302/IF(S302=RIGHT(AJ302,3),AM302,1/AM302),IF(K302="USD",R302/IF(S302=RIGHT(AJ302,3),IF(W302="CLIENT",AM302,AE302),1/IF(W302="CLIENT",AM302,AE302)),R302*VLOOKUP(S302,'FX RATES'!$E$1:$F$10,2,FALSE)))</f>
        <v>46070.68507157464</v>
      </c>
      <c r="AV302" s="170">
        <f t="shared" ref="AV302:AV308" si="345">AT302+AU302</f>
        <v>1013.5550715746431</v>
      </c>
      <c r="AW302" s="169"/>
      <c r="AX302" s="170">
        <f t="shared" ref="AX302:AX308" si="346">IF(AND(ISERROR(SEARCH("INVOICE",T302)),ISERROR(SEARCH("SWITCH",T302)),ISERROR(SEARCH("FOREX",T302)),ISERROR(SEARCH("REFUND",A302)),ISERROR(SEARCH("CANCELLED",A302))),IF(AW302="",-AT302*X302+AU302*Z302,AW302),0)</f>
        <v>1013.5550715746421</v>
      </c>
      <c r="AY302" s="170">
        <f t="shared" ref="AY302:AY308" si="347">IF(AZ302="USD",AT302,IF(AZ302=K302,J302,-R302))</f>
        <v>-45057.13</v>
      </c>
      <c r="AZ302" s="170" t="str">
        <f t="shared" ref="AZ302:AZ308" si="348">LEFT(AB302,3)</f>
        <v>USD</v>
      </c>
      <c r="BA302" s="542">
        <f>IF(OR(A302="REFUND",A302="CANCELLED"),0,IFERROR((IF(OR(AB302="USDAED",LEFT(AB302,3)=RIGHT(AB302,3)),AI302,AG302)-AE302)*-AY302*VLOOKUP(AB302,'FX RATES'!$H$1:$J$26,3,FALSE),0))</f>
        <v>0</v>
      </c>
      <c r="BB302" s="170" t="str">
        <f>RIGHT(AB302,3)</f>
        <v>USD</v>
      </c>
      <c r="BC302" s="542">
        <f t="shared" ref="BC302:BC308" si="349">IF(BA302=0,0,IFERROR(BA302/IF(BB302&lt;&gt;"USD",AI302,1),"???"))</f>
        <v>0</v>
      </c>
      <c r="BD302" s="170">
        <f t="shared" ref="BD302:BD308" si="350">IFERROR(-AC302/(IF(OR(AB302="USDAED",LEFT(AB302,3)=RIGHT(AB302,3)),AH302,AG302)-AE302)*BC302,0)</f>
        <v>0</v>
      </c>
      <c r="BE302" s="542">
        <f t="shared" ref="BE302:BE308" si="351">BC302-BD302</f>
        <v>0</v>
      </c>
      <c r="BF302" s="170">
        <f t="shared" ref="BF302:BF308" si="352">IF(BG302="USD",AU302,IF(BG302=S302,R302,-J302))</f>
        <v>46070.68507157464</v>
      </c>
      <c r="BG302" s="170" t="str">
        <f t="shared" ref="BG302:BG308" si="353">LEFT(AJ302,3)</f>
        <v>USD</v>
      </c>
      <c r="BH302" s="542">
        <f>IF(OR(A302="REFUND",A302="CANCELLED"),0,IFERROR((IF(OR(AJ302="USDAED",LEFT(AJ302,3)=RIGHT(AJ302,3)),AQ302,AO302)-AM302)*-BF302*VLOOKUP(AJ302,'FX RATES'!$H$1:$J$26,3,FALSE),0))</f>
        <v>14742.619222903571</v>
      </c>
      <c r="BI302" s="170" t="str">
        <f t="shared" ref="BI302:BI308" si="354">RIGHT(AJ302,3)</f>
        <v>RUB</v>
      </c>
      <c r="BJ302" s="542">
        <f t="shared" ref="BJ302:BJ308" si="355">IF(BH302=0,0,IFERROR(BH302/IF(BI302&lt;&gt;"USD",AQ302,1),"???"))</f>
        <v>193.98183188031015</v>
      </c>
      <c r="BK302" s="170">
        <f t="shared" ref="BK302:BK308" si="356">IFERROR(-AK302/(IF(OR(AJ302="USDAED",LEFT(AJ302,3)=RIGHT(AJ302,3)),AP302,AO302)-AM302)*BJ302,0)</f>
        <v>0</v>
      </c>
      <c r="BL302" s="542">
        <f t="shared" ref="BL302:BL308" si="357">BJ302-BK302</f>
        <v>193.98183188031015</v>
      </c>
      <c r="BM302" s="170">
        <f t="shared" ref="BM302:BM308" si="358">IF(AND(ISERROR(SEARCH("REFUND",A302)),ISERROR(SEARCH("CANCELLED",A302))),BD302+BK302,0)</f>
        <v>0</v>
      </c>
      <c r="BN302" s="542">
        <f t="shared" ref="BN302:BN308" si="359">IF(AND(ISERROR(SEARCH("REFUND",A302)),ISERROR(SEARCH("CANCELLED",A302))),BE302+BL302,0)</f>
        <v>193.98183188031015</v>
      </c>
    </row>
    <row r="303" spans="1:66" ht="19.5" customHeight="1">
      <c r="A303" s="167" t="s">
        <v>366</v>
      </c>
      <c r="B303" s="172" t="s">
        <v>102</v>
      </c>
      <c r="C303" s="172" t="s">
        <v>102</v>
      </c>
      <c r="D303" s="172" t="s">
        <v>451</v>
      </c>
      <c r="E303" s="171">
        <v>46051</v>
      </c>
      <c r="F303" s="171"/>
      <c r="G303" s="172" t="s">
        <v>102</v>
      </c>
      <c r="H303" s="172" t="s">
        <v>105</v>
      </c>
      <c r="I303" s="169"/>
      <c r="J303" s="170">
        <f t="shared" si="339"/>
        <v>-45238.082329317265</v>
      </c>
      <c r="K303" s="172" t="s">
        <v>53</v>
      </c>
      <c r="L303" s="172" t="s">
        <v>420</v>
      </c>
      <c r="M303" s="172" t="s">
        <v>54</v>
      </c>
      <c r="N303" s="167" t="s">
        <v>371</v>
      </c>
      <c r="O303" s="172" t="s">
        <v>102</v>
      </c>
      <c r="P303" s="172" t="s">
        <v>105</v>
      </c>
      <c r="Q303" s="169">
        <f>-J302</f>
        <v>45057.13</v>
      </c>
      <c r="R303" s="170">
        <f t="shared" si="340"/>
        <v>45057.13</v>
      </c>
      <c r="S303" s="172" t="s">
        <v>5</v>
      </c>
      <c r="T303" s="171" t="s">
        <v>420</v>
      </c>
      <c r="U303" s="172" t="s">
        <v>54</v>
      </c>
      <c r="V303" s="167" t="s">
        <v>553</v>
      </c>
      <c r="W303" s="172" t="s">
        <v>375</v>
      </c>
      <c r="X303" s="173">
        <f>IF(Y303="",VLOOKUP(H303,CLIENTS!$A$1:$O$649,5,FALSE),Y303)</f>
        <v>-4.0000000000000001E-3</v>
      </c>
      <c r="Y303" s="174">
        <v>-4.0000000000000001E-3</v>
      </c>
      <c r="Z303" s="173">
        <f>IF(AA303="",VLOOKUP(P303,CLIENTS!$A$1:$O$649,5,FALSE),AA303)</f>
        <v>0</v>
      </c>
      <c r="AA303" s="174">
        <v>0</v>
      </c>
      <c r="AB303" s="173" t="str">
        <f>IF(W303="via USD",IF(K303="EUR",K303&amp;"USD","USD"&amp;K303),IFERROR(VLOOKUP(K303&amp;S303,'FX RATES'!$H$2:$H$55,1,FALSE),S303&amp;K303))</f>
        <v>USDUSDT</v>
      </c>
      <c r="AC303" s="175">
        <f>IF(LEFT(AB303,3)=RIGHT(AB303,3),0,IFERROR(INDEX(CLIENTS!$A$1:$O$649,MATCH(H303,CLIENTS!$A$1:$A$649,0),MATCH(AB303,CLIENTS!$A$1:$O$1,0)),0))</f>
        <v>0</v>
      </c>
      <c r="AD303" s="176"/>
      <c r="AE303" s="177">
        <f t="shared" si="341"/>
        <v>1</v>
      </c>
      <c r="AF303" s="177" t="str">
        <f t="shared" si="342"/>
        <v>46051USDUSDT</v>
      </c>
      <c r="AG303" s="176">
        <v>1</v>
      </c>
      <c r="AH303" s="178">
        <f>IF(OR(LEFT(AB303,3)=RIGHT(AB303,3),OR(AB303="USDUSDT",AB303="USDTUSD")),1,VLOOKUP(AB303,'FX RATES'!$H$1:$I$20,2,FALSE))</f>
        <v>1</v>
      </c>
      <c r="AI303" s="178">
        <f>IF(OR(AB303="USDAED",LEFT(AB303,3)=RIGHT(AB303,3)),AH303,IF(LEFT(AB303)="USD",AG303,IF(OR(RIGHT(AB303,3)="USD",RIGHT(AB303,4)="USDT"),1,IFERROR(VLOOKUP(E303&amp;"USD"&amp;RIGHT(AB303,3),$AF:$AG,2,FALSE),VLOOKUP(E303&amp;"USD"&amp;RIGHT(AJ303,3),$AN:$AO,2,FALSE)))))</f>
        <v>1</v>
      </c>
      <c r="AJ303" s="173" t="str">
        <f>IF(W303="via USD",IF(S303="EUR",S303&amp;"USD","USD"&amp;S303),IFERROR(VLOOKUP(K303&amp;S303,'FX RATES'!$H$2:$H$20,1,FALSE),S303&amp;K303))</f>
        <v>USDUSD</v>
      </c>
      <c r="AK303" s="175">
        <f>IF(LEFT(AJ303,3)=RIGHT(AJ303,3),0,IFERROR(INDEX(CLIENTS!$A$1:$O$649,MATCH(P303,CLIENTS!$A$1:$A$649,0),MATCH(AJ303,CLIENTS!$A$1:$O$1,0)),0))</f>
        <v>0</v>
      </c>
      <c r="AL303" s="176"/>
      <c r="AM303" s="177">
        <f t="shared" si="343"/>
        <v>1</v>
      </c>
      <c r="AN303" s="177" t="str">
        <f t="shared" si="344"/>
        <v>46051USDUSD</v>
      </c>
      <c r="AO303" s="176"/>
      <c r="AP303" s="178">
        <f>IF(OR(LEFT(AJ303,3)=RIGHT(AJ303,3),AND(OR(AB303="USDUSDT",AB303="USDTUSD"),OR(AJ303="USDUSDT",AJ303="USDTUSD"))),1,VLOOKUP(AJ303,'FX RATES'!$H$1:$I$20,2,FALSE))</f>
        <v>1</v>
      </c>
      <c r="AQ303" s="178">
        <f>IF(OR(AJ303="USDAED",LEFT(AJ303,3)=RIGHT(AJ303,3)),AP303,IF(LEFT(AJ303)="USD",AO303,IF(OR(RIGHT(AB303,3)="USD",RIGHT(AB303,4)="USDT"),1,IFERROR(VLOOKUP(E303&amp;"USD"&amp;RIGHT(AJ303,3),$AN:$AO,2,FALSE),VLOOKUP(E303&amp;"USD"&amp;RIGHT(AB303,3),$AF:$AG,2,FALSE)))))</f>
        <v>1</v>
      </c>
      <c r="AR303" s="179">
        <f>-Q303*(1-Z303)/(1+X303)*IF(W303="CLIENT",IF(S303=RIGHT(AJ303,3),1/AM303,AM303),IF(W303="VENDOR",IF(S303=RIGHT(AJ303,3),1/AE303,AE303),AE303^(VLOOKUP(AB303,'FX RATES'!$H$1:$J$26,3,FALSE))/AM303^(VLOOKUP(AJ303,'FX RATES'!$H$1:$J$26,3,FALSE))))</f>
        <v>-45238.082329317265</v>
      </c>
      <c r="AS303" s="179">
        <f>-I303*(1+X303)/(1-Z303)*IF(W303="VENDOR",IF(K303=RIGHT(AB303,3),1/AE303,AE303),IF(W303="CLIENT",IF(K303=RIGHT(AB303,3),1/AM303,AM303),AM303^(VLOOKUP(AJ303,'FX RATES'!$H$1:$J$26,3,FALSE))/AE303^(VLOOKUP(AB303,'FX RATES'!$H$1:$J$26,3,FALSE))))</f>
        <v>0</v>
      </c>
      <c r="AT303" s="170">
        <f>IF(AB303&lt;&gt;AJ303,J303/IF(K303=RIGHT(AB303,3),AE303,1/AE303),IF(S303="USD",J303/IF(K303=RIGHT(AB303,3),IF(W303="CLIENT",AM303,AE303),1/IF(W303="CLIENT",AM303,AE303)),J303*VLOOKUP(K303,'FX RATES'!$E$1:$F$10,2,FALSE)))</f>
        <v>-45238.082329317265</v>
      </c>
      <c r="AU303" s="170">
        <f>IF(AB303&lt;&gt;AJ303,R303/IF(S303=RIGHT(AJ303,3),AM303,1/AM303),IF(K303="USD",R303/IF(S303=RIGHT(AJ303,3),IF(W303="CLIENT",AM303,AE303),1/IF(W303="CLIENT",AM303,AE303)),R303*VLOOKUP(S303,'FX RATES'!$E$1:$F$10,2,FALSE)))</f>
        <v>45057.13</v>
      </c>
      <c r="AV303" s="170">
        <f t="shared" si="345"/>
        <v>-180.95232931726787</v>
      </c>
      <c r="AW303" s="169"/>
      <c r="AX303" s="170">
        <f t="shared" si="346"/>
        <v>-180.95232931726906</v>
      </c>
      <c r="AY303" s="170">
        <f t="shared" si="347"/>
        <v>-45238.082329317265</v>
      </c>
      <c r="AZ303" s="170" t="str">
        <f t="shared" si="348"/>
        <v>USD</v>
      </c>
      <c r="BA303" s="542">
        <f>IF(OR(A303="REFUND",A303="CANCELLED"),0,IFERROR((IF(OR(AB303="USDAED",LEFT(AB303,3)=RIGHT(AB303,3)),AI303,AG303)-AE303)*-AY303*VLOOKUP(AB303,'FX RATES'!$H$1:$J$26,3,FALSE),0))</f>
        <v>0</v>
      </c>
      <c r="BB303" s="170" t="str">
        <f>RIGHT(AB303,4)</f>
        <v>USDT</v>
      </c>
      <c r="BC303" s="542">
        <f t="shared" si="349"/>
        <v>0</v>
      </c>
      <c r="BD303" s="170">
        <f t="shared" si="350"/>
        <v>0</v>
      </c>
      <c r="BE303" s="542">
        <f t="shared" si="351"/>
        <v>0</v>
      </c>
      <c r="BF303" s="170">
        <f t="shared" si="352"/>
        <v>45057.13</v>
      </c>
      <c r="BG303" s="170" t="str">
        <f t="shared" si="353"/>
        <v>USD</v>
      </c>
      <c r="BH303" s="542">
        <f>IF(OR(A303="REFUND",A303="CANCELLED"),0,IFERROR((IF(OR(AJ303="USDAED",LEFT(AJ303,3)=RIGHT(AJ303,3)),AQ303,AO303)-AM303)*-BF303*VLOOKUP(AJ303,'FX RATES'!$H$1:$J$26,3,FALSE),0))</f>
        <v>0</v>
      </c>
      <c r="BI303" s="170" t="str">
        <f t="shared" si="354"/>
        <v>USD</v>
      </c>
      <c r="BJ303" s="542">
        <f t="shared" si="355"/>
        <v>0</v>
      </c>
      <c r="BK303" s="170">
        <f t="shared" si="356"/>
        <v>0</v>
      </c>
      <c r="BL303" s="542">
        <f t="shared" si="357"/>
        <v>0</v>
      </c>
      <c r="BM303" s="170">
        <f t="shared" si="358"/>
        <v>0</v>
      </c>
      <c r="BN303" s="542">
        <f t="shared" si="359"/>
        <v>0</v>
      </c>
    </row>
    <row r="304" spans="1:66" ht="19.5" customHeight="1">
      <c r="A304" s="167" t="s">
        <v>366</v>
      </c>
      <c r="B304" s="168" t="s">
        <v>102</v>
      </c>
      <c r="C304" s="168" t="s">
        <v>367</v>
      </c>
      <c r="D304" s="168" t="s">
        <v>368</v>
      </c>
      <c r="E304" s="171">
        <v>46051</v>
      </c>
      <c r="F304" s="171"/>
      <c r="G304" s="168" t="s">
        <v>102</v>
      </c>
      <c r="H304" s="168" t="s">
        <v>419</v>
      </c>
      <c r="I304" s="169"/>
      <c r="J304" s="170">
        <f t="shared" si="339"/>
        <v>-797050.65359477128</v>
      </c>
      <c r="K304" s="168" t="s">
        <v>5</v>
      </c>
      <c r="L304" s="171" t="s">
        <v>378</v>
      </c>
      <c r="M304" s="168" t="s">
        <v>20</v>
      </c>
      <c r="N304" s="167" t="s">
        <v>371</v>
      </c>
      <c r="O304" s="168" t="s">
        <v>39</v>
      </c>
      <c r="P304" s="168" t="s">
        <v>421</v>
      </c>
      <c r="Q304" s="169">
        <v>61250000</v>
      </c>
      <c r="R304" s="170">
        <f t="shared" si="340"/>
        <v>61250000</v>
      </c>
      <c r="S304" s="168" t="s">
        <v>9</v>
      </c>
      <c r="T304" s="171" t="s">
        <v>502</v>
      </c>
      <c r="U304" s="168" t="s">
        <v>374</v>
      </c>
      <c r="V304" s="167" t="s">
        <v>371</v>
      </c>
      <c r="W304" s="172" t="s">
        <v>375</v>
      </c>
      <c r="X304" s="173">
        <f>IF(Y304="",VLOOKUP(H304,CLIENTS!$A$1:$O$649,5,FALSE),Y304)</f>
        <v>0</v>
      </c>
      <c r="Y304" s="174">
        <v>0</v>
      </c>
      <c r="Z304" s="173">
        <f>IF(AA304="",VLOOKUP(P304,CLIENTS!$A$1:$O$649,5,FALSE),AA304)</f>
        <v>4.4999999999999997E-3</v>
      </c>
      <c r="AA304" s="174">
        <v>4.4999999999999997E-3</v>
      </c>
      <c r="AB304" s="173" t="str">
        <f>IF(W304="via USD",IF(K304="EUR",K304&amp;"USD","USD"&amp;K304),IFERROR(VLOOKUP(K304&amp;S304,'FX RATES'!$H$2:$H$20,1,FALSE),S304&amp;K304))</f>
        <v>USDUSD</v>
      </c>
      <c r="AC304" s="175">
        <f>IF(LEFT(AB304,3)=RIGHT(AB304,3),0,IFERROR(INDEX(CLIENTS!$A$1:$O$649,MATCH(H304,CLIENTS!$A$1:$A$649,0),MATCH(AB304,CLIENTS!$A$1:$O$1,0)),0))</f>
        <v>0</v>
      </c>
      <c r="AD304" s="176"/>
      <c r="AE304" s="177">
        <f t="shared" si="341"/>
        <v>1</v>
      </c>
      <c r="AF304" s="177" t="str">
        <f t="shared" si="342"/>
        <v>46051USDUSD</v>
      </c>
      <c r="AG304" s="176"/>
      <c r="AH304" s="178">
        <f>IF(LEFT(AB304,3)=RIGHT(AB304,3),1,VLOOKUP(AB304,'FX RATES'!$H$1:$I$20,2,FALSE))</f>
        <v>1</v>
      </c>
      <c r="AI304" s="178">
        <f>IF(OR(AB304="USDAED",LEFT(AB304,3)=RIGHT(AB304,3)),AH304,IF(LEFT(AB304)="USD",AG304,IF(RIGHT(AB304,3)="USD",1,IFERROR(VLOOKUP(E304&amp;"USD"&amp;RIGHT(AB304,3),$AF:$AG,2,FALSE),VLOOKUP(E304&amp;"USD"&amp;RIGHT(AJ304,3),$AN:$AO,2,FALSE)))))</f>
        <v>1</v>
      </c>
      <c r="AJ304" s="173" t="str">
        <f>IF(W304="via USD",IF(S304="EUR",S304&amp;"USD","USD"&amp;S304),IFERROR(VLOOKUP(K304&amp;S304,'FX RATES'!$H$2:$H$20,1,FALSE),S304&amp;K304))</f>
        <v>USDRUB</v>
      </c>
      <c r="AK304" s="175">
        <f>IF(LEFT(AJ304,3)=RIGHT(AJ304,3),0,IFERROR(INDEX(CLIENTS!$A$1:$O$649,MATCH(P304,CLIENTS!$A$1:$A$649,0),MATCH(AJ304,CLIENTS!$A$1:$O$1,0)),0))</f>
        <v>0</v>
      </c>
      <c r="AL304" s="176">
        <v>76.5</v>
      </c>
      <c r="AM304" s="177">
        <f t="shared" si="343"/>
        <v>76.5</v>
      </c>
      <c r="AN304" s="177" t="str">
        <f t="shared" si="344"/>
        <v>46051USDRUB</v>
      </c>
      <c r="AO304" s="176">
        <v>76</v>
      </c>
      <c r="AP304" s="178">
        <f ca="1">IF(LEFT(AJ304,3)=RIGHT(AJ304,3),1,VLOOKUP(AJ304,'FX RATES'!$H$1:$I$20,2,FALSE))</f>
        <v>76.720500000000001</v>
      </c>
      <c r="AQ304" s="178">
        <f>IF(OR(AJ304="USDAED",LEFT(AJ304,3)=RIGHT(AJ304,3)),AP304,IF(LEFT(AJ304)="USD",AO304,IF(RIGHT(AJ304,3)="USD",1,IFERROR(VLOOKUP(E304&amp;"USD"&amp;RIGHT(AJ304,3),$AN:$AO,2,FALSE),VLOOKUP(E304&amp;"USD"&amp;RIGHT(AB304,3),$AF:$AG,2,FALSE)))))</f>
        <v>76</v>
      </c>
      <c r="AR304" s="179">
        <f>-Q304*(1-Z304)/(1+X304)*IF(W304="CLIENT",IF(S304=RIGHT(AJ304,3),1/AM304,AM304),IF(W304="VENDOR",IF(S304=RIGHT(AJ304,3),1/AE304,AE304),AE304^(VLOOKUP(AB304,'FX RATES'!$H$1:$J$26,3,FALSE))/AM304^(VLOOKUP(AJ304,'FX RATES'!$H$1:$J$26,3,FALSE))))</f>
        <v>-797050.65359477128</v>
      </c>
      <c r="AS304" s="179">
        <f>-I304*(1+X304)/(1-Z304)*IF(W304="VENDOR",IF(K304=RIGHT(AB304,3),1/AE304,AE304),IF(W304="CLIENT",IF(K304=RIGHT(AB304,3),1/AM304,AM304),AM304^(VLOOKUP(AJ304,'FX RATES'!$H$1:$J$26,3,FALSE))/AE304^(VLOOKUP(AB304,'FX RATES'!$H$1:$J$26,3,FALSE))))</f>
        <v>0</v>
      </c>
      <c r="AT304" s="170">
        <f>IF(AB304&lt;&gt;AJ304,J304/IF(K304=RIGHT(AB304,3),AE304,1/AE304),IF(S304="USD",J304/IF(K304=RIGHT(AB304,3),IF(W304="CLIENT",AM304,AE304),1/IF(W304="CLIENT",AM304,AE304)),J304*VLOOKUP(K304,'FX RATES'!$E$1:$F$10,2,FALSE)))</f>
        <v>-797050.65359477128</v>
      </c>
      <c r="AU304" s="170">
        <f>IF(AB304&lt;&gt;AJ304,R304/IF(S304=RIGHT(AJ304,3),AM304,1/AM304),IF(K304="USD",R304/IF(S304=RIGHT(AJ304,3),IF(W304="CLIENT",AM304,AE304),1/IF(W304="CLIENT",AM304,AE304)),R304*VLOOKUP(S304,'FX RATES'!$E$1:$F$10,2,FALSE)))</f>
        <v>800653.59477124189</v>
      </c>
      <c r="AV304" s="170">
        <f t="shared" si="345"/>
        <v>3602.9411764706019</v>
      </c>
      <c r="AW304" s="169"/>
      <c r="AX304" s="170">
        <f t="shared" si="346"/>
        <v>3602.9411764705883</v>
      </c>
      <c r="AY304" s="170">
        <f t="shared" si="347"/>
        <v>-797050.65359477128</v>
      </c>
      <c r="AZ304" s="170" t="str">
        <f t="shared" si="348"/>
        <v>USD</v>
      </c>
      <c r="BA304" s="542">
        <f>IF(OR(A304="REFUND",A304="CANCELLED"),0,IFERROR((IF(OR(AB304="USDAED",LEFT(AB304,3)=RIGHT(AB304,3)),AI304,AG304)-AE304)*-AY304*VLOOKUP(AB304,'FX RATES'!$H$1:$J$26,3,FALSE),0))</f>
        <v>0</v>
      </c>
      <c r="BB304" s="170" t="str">
        <f>RIGHT(AB304,3)</f>
        <v>USD</v>
      </c>
      <c r="BC304" s="542">
        <f t="shared" si="349"/>
        <v>0</v>
      </c>
      <c r="BD304" s="170">
        <f t="shared" si="350"/>
        <v>0</v>
      </c>
      <c r="BE304" s="542">
        <f t="shared" si="351"/>
        <v>0</v>
      </c>
      <c r="BF304" s="170">
        <f t="shared" si="352"/>
        <v>800653.59477124189</v>
      </c>
      <c r="BG304" s="170" t="str">
        <f t="shared" si="353"/>
        <v>USD</v>
      </c>
      <c r="BH304" s="542">
        <f>IF(OR(A304="REFUND",A304="CANCELLED"),0,IFERROR((IF(OR(AJ304="USDAED",LEFT(AJ304,3)=RIGHT(AJ304,3)),AQ304,AO304)-AM304)*-BF304*VLOOKUP(AJ304,'FX RATES'!$H$1:$J$26,3,FALSE),0))</f>
        <v>400326.79738562094</v>
      </c>
      <c r="BI304" s="170" t="str">
        <f t="shared" si="354"/>
        <v>RUB</v>
      </c>
      <c r="BJ304" s="542">
        <f t="shared" si="355"/>
        <v>5267.4578603371174</v>
      </c>
      <c r="BK304" s="170">
        <f t="shared" si="356"/>
        <v>0</v>
      </c>
      <c r="BL304" s="542">
        <f t="shared" si="357"/>
        <v>5267.4578603371174</v>
      </c>
      <c r="BM304" s="170">
        <f t="shared" si="358"/>
        <v>0</v>
      </c>
      <c r="BN304" s="542">
        <f t="shared" si="359"/>
        <v>5267.4578603371174</v>
      </c>
    </row>
    <row r="305" spans="1:66" ht="19.5" customHeight="1">
      <c r="A305" s="167" t="s">
        <v>366</v>
      </c>
      <c r="B305" s="172" t="s">
        <v>102</v>
      </c>
      <c r="C305" s="172" t="s">
        <v>102</v>
      </c>
      <c r="D305" s="181" t="s">
        <v>368</v>
      </c>
      <c r="E305" s="171">
        <v>46051</v>
      </c>
      <c r="F305" s="171"/>
      <c r="G305" s="172" t="s">
        <v>102</v>
      </c>
      <c r="H305" s="172" t="s">
        <v>104</v>
      </c>
      <c r="I305" s="169"/>
      <c r="J305" s="170">
        <f t="shared" si="339"/>
        <v>-800079.44607843144</v>
      </c>
      <c r="K305" s="172" t="s">
        <v>53</v>
      </c>
      <c r="L305" s="172" t="s">
        <v>420</v>
      </c>
      <c r="M305" s="172" t="s">
        <v>54</v>
      </c>
      <c r="N305" s="167" t="s">
        <v>371</v>
      </c>
      <c r="O305" s="172" t="s">
        <v>102</v>
      </c>
      <c r="P305" s="172" t="s">
        <v>104</v>
      </c>
      <c r="Q305" s="169">
        <f>-J304</f>
        <v>797050.65359477128</v>
      </c>
      <c r="R305" s="170">
        <f t="shared" si="340"/>
        <v>797050.65359477128</v>
      </c>
      <c r="S305" s="172" t="s">
        <v>5</v>
      </c>
      <c r="T305" s="171" t="s">
        <v>420</v>
      </c>
      <c r="U305" s="172" t="s">
        <v>54</v>
      </c>
      <c r="V305" s="167" t="s">
        <v>371</v>
      </c>
      <c r="W305" s="172" t="s">
        <v>375</v>
      </c>
      <c r="X305" s="173">
        <f>IF(Y305="",VLOOKUP(H305,CLIENTS!$A$1:$O$649,5,FALSE),Y305)</f>
        <v>0</v>
      </c>
      <c r="Y305" s="174">
        <v>0</v>
      </c>
      <c r="Z305" s="173">
        <f>IF(AA305="",VLOOKUP(P305,CLIENTS!$A$1:$O$649,5,FALSE),AA305)</f>
        <v>-3.8E-3</v>
      </c>
      <c r="AA305" s="174">
        <v>-3.8E-3</v>
      </c>
      <c r="AB305" s="173" t="str">
        <f>IF(W305="via USD",IF(K305="EUR",K305&amp;"USD","USD"&amp;K305),IFERROR(VLOOKUP(K305&amp;S305,'FX RATES'!$H$2:$H$55,1,FALSE),S305&amp;K305))</f>
        <v>USDUSDT</v>
      </c>
      <c r="AC305" s="175">
        <f>IF(LEFT(AB305,3)=RIGHT(AB305,3),0,IFERROR(INDEX(CLIENTS!$A$1:$O$649,MATCH(H305,CLIENTS!$A$1:$A$649,0),MATCH(AB305,CLIENTS!$A$1:$O$1,0)),0))</f>
        <v>0</v>
      </c>
      <c r="AD305" s="176"/>
      <c r="AE305" s="177">
        <f t="shared" si="341"/>
        <v>1</v>
      </c>
      <c r="AF305" s="177" t="str">
        <f t="shared" si="342"/>
        <v>46051USDUSDT</v>
      </c>
      <c r="AG305" s="176">
        <v>1</v>
      </c>
      <c r="AH305" s="178">
        <f>IF(OR(LEFT(AB305,3)=RIGHT(AB305,3),OR(AB305="USDUSDT",AB305="USDTUSD")),1,VLOOKUP(AB305,'FX RATES'!$H$1:$I$20,2,FALSE))</f>
        <v>1</v>
      </c>
      <c r="AI305" s="178">
        <f>IF(OR(AB305="USDAED",LEFT(AB305,3)=RIGHT(AB305,3)),AH305,IF(LEFT(AB305)="USD",AG305,IF(OR(RIGHT(AB305,3)="USD",RIGHT(AB305,4)="USDT"),1,IFERROR(VLOOKUP(E305&amp;"USD"&amp;RIGHT(AB305,3),$AF:$AG,2,FALSE),VLOOKUP(E305&amp;"USD"&amp;RIGHT(AJ305,3),$AN:$AO,2,FALSE)))))</f>
        <v>1</v>
      </c>
      <c r="AJ305" s="173" t="str">
        <f>IF(W305="via USD",IF(S305="EUR",S305&amp;"USD","USD"&amp;S305),IFERROR(VLOOKUP(K305&amp;S305,'FX RATES'!$H$2:$H$20,1,FALSE),S305&amp;K305))</f>
        <v>USDUSD</v>
      </c>
      <c r="AK305" s="175">
        <f>IF(LEFT(AJ305,3)=RIGHT(AJ305,3),0,IFERROR(INDEX(CLIENTS!$A$1:$O$649,MATCH(P305,CLIENTS!$A$1:$A$649,0),MATCH(AJ305,CLIENTS!$A$1:$O$1,0)),0))</f>
        <v>0</v>
      </c>
      <c r="AL305" s="176"/>
      <c r="AM305" s="177">
        <f t="shared" si="343"/>
        <v>1</v>
      </c>
      <c r="AN305" s="177" t="str">
        <f t="shared" si="344"/>
        <v>46051USDUSD</v>
      </c>
      <c r="AO305" s="176"/>
      <c r="AP305" s="178">
        <f>IF(OR(LEFT(AJ305,3)=RIGHT(AJ305,3),AND(OR(AB305="USDUSDT",AB305="USDTUSD"),OR(AJ305="USDUSDT",AJ305="USDTUSD"))),1,VLOOKUP(AJ305,'FX RATES'!$H$1:$I$20,2,FALSE))</f>
        <v>1</v>
      </c>
      <c r="AQ305" s="178">
        <f>IF(OR(AJ305="USDAED",LEFT(AJ305,3)=RIGHT(AJ305,3)),AP305,IF(LEFT(AJ305)="USD",AO305,IF(OR(RIGHT(AB305,3)="USD",RIGHT(AB305,4)="USDT"),1,IFERROR(VLOOKUP(E305&amp;"USD"&amp;RIGHT(AJ305,3),$AN:$AO,2,FALSE),VLOOKUP(E305&amp;"USD"&amp;RIGHT(AB305,3),$AF:$AG,2,FALSE)))))</f>
        <v>1</v>
      </c>
      <c r="AR305" s="179">
        <f>-Q305*(1-Z305)/(1+X305)*IF(W305="CLIENT",IF(S305=RIGHT(AJ305,3),1/AM305,AM305),IF(W305="VENDOR",IF(S305=RIGHT(AJ305,3),1/AE305,AE305),AE305^(VLOOKUP(AB305,'FX RATES'!$H$1:$J$26,3,FALSE))/AM305^(VLOOKUP(AJ305,'FX RATES'!$H$1:$J$26,3,FALSE))))</f>
        <v>-800079.44607843144</v>
      </c>
      <c r="AS305" s="179">
        <f>-I305*(1+X305)/(1-Z305)*IF(W305="VENDOR",IF(K305=RIGHT(AB305,3),1/AE305,AE305),IF(W305="CLIENT",IF(K305=RIGHT(AB305,3),1/AM305,AM305),AM305^(VLOOKUP(AJ305,'FX RATES'!$H$1:$J$26,3,FALSE))/AE305^(VLOOKUP(AB305,'FX RATES'!$H$1:$J$26,3,FALSE))))</f>
        <v>0</v>
      </c>
      <c r="AT305" s="170">
        <f>IF(AB305&lt;&gt;AJ305,J305/IF(K305=RIGHT(AB305,3),AE305,1/AE305),IF(S305="USD",J305/IF(K305=RIGHT(AB305,3),IF(W305="CLIENT",AM305,AE305),1/IF(W305="CLIENT",AM305,AE305)),J305*VLOOKUP(K305,'FX RATES'!$E$1:$F$10,2,FALSE)))</f>
        <v>-800079.44607843144</v>
      </c>
      <c r="AU305" s="170">
        <f>IF(AB305&lt;&gt;AJ305,R305/IF(S305=RIGHT(AJ305,3),AM305,1/AM305),IF(K305="USD",R305/IF(S305=RIGHT(AJ305,3),IF(W305="CLIENT",AM305,AE305),1/IF(W305="CLIENT",AM305,AE305)),R305*VLOOKUP(S305,'FX RATES'!$E$1:$F$10,2,FALSE)))</f>
        <v>797050.65359477128</v>
      </c>
      <c r="AV305" s="170">
        <f t="shared" si="345"/>
        <v>-3028.7924836601596</v>
      </c>
      <c r="AW305" s="169"/>
      <c r="AX305" s="170">
        <f t="shared" si="346"/>
        <v>-3028.792483660131</v>
      </c>
      <c r="AY305" s="170">
        <f t="shared" si="347"/>
        <v>-800079.44607843144</v>
      </c>
      <c r="AZ305" s="170" t="str">
        <f t="shared" si="348"/>
        <v>USD</v>
      </c>
      <c r="BA305" s="542">
        <f>IF(OR(A305="REFUND",A305="CANCELLED"),0,IFERROR((IF(OR(AB305="USDAED",LEFT(AB305,3)=RIGHT(AB305,3)),AI305,AG305)-AE305)*-AY305*VLOOKUP(AB305,'FX RATES'!$H$1:$J$26,3,FALSE),0))</f>
        <v>0</v>
      </c>
      <c r="BB305" s="170" t="str">
        <f>RIGHT(AB305,4)</f>
        <v>USDT</v>
      </c>
      <c r="BC305" s="542">
        <f t="shared" si="349"/>
        <v>0</v>
      </c>
      <c r="BD305" s="170">
        <f t="shared" si="350"/>
        <v>0</v>
      </c>
      <c r="BE305" s="542">
        <f t="shared" si="351"/>
        <v>0</v>
      </c>
      <c r="BF305" s="170">
        <f t="shared" si="352"/>
        <v>797050.65359477128</v>
      </c>
      <c r="BG305" s="170" t="str">
        <f t="shared" si="353"/>
        <v>USD</v>
      </c>
      <c r="BH305" s="542">
        <f>IF(OR(A305="REFUND",A305="CANCELLED"),0,IFERROR((IF(OR(AJ305="USDAED",LEFT(AJ305,3)=RIGHT(AJ305,3)),AQ305,AO305)-AM305)*-BF305*VLOOKUP(AJ305,'FX RATES'!$H$1:$J$26,3,FALSE),0))</f>
        <v>0</v>
      </c>
      <c r="BI305" s="170" t="str">
        <f t="shared" si="354"/>
        <v>USD</v>
      </c>
      <c r="BJ305" s="542">
        <f t="shared" si="355"/>
        <v>0</v>
      </c>
      <c r="BK305" s="170">
        <f t="shared" si="356"/>
        <v>0</v>
      </c>
      <c r="BL305" s="542">
        <f t="shared" si="357"/>
        <v>0</v>
      </c>
      <c r="BM305" s="170">
        <f t="shared" si="358"/>
        <v>0</v>
      </c>
      <c r="BN305" s="542">
        <f t="shared" si="359"/>
        <v>0</v>
      </c>
    </row>
    <row r="306" spans="1:66" ht="19.5" customHeight="1">
      <c r="A306" s="167" t="s">
        <v>366</v>
      </c>
      <c r="B306" s="168" t="s">
        <v>39</v>
      </c>
      <c r="C306" s="168" t="s">
        <v>383</v>
      </c>
      <c r="D306" s="168" t="s">
        <v>128</v>
      </c>
      <c r="E306" s="171">
        <v>46051</v>
      </c>
      <c r="F306" s="171"/>
      <c r="G306" s="168" t="s">
        <v>39</v>
      </c>
      <c r="H306" s="168" t="s">
        <v>384</v>
      </c>
      <c r="I306" s="169">
        <v>-23420000</v>
      </c>
      <c r="J306" s="170">
        <f t="shared" si="339"/>
        <v>-23420000</v>
      </c>
      <c r="K306" s="168" t="s">
        <v>9</v>
      </c>
      <c r="L306" s="171" t="s">
        <v>374</v>
      </c>
      <c r="M306" s="168" t="s">
        <v>25</v>
      </c>
      <c r="N306" s="167" t="s">
        <v>371</v>
      </c>
      <c r="O306" s="168" t="s">
        <v>39</v>
      </c>
      <c r="P306" s="349" t="s">
        <v>384</v>
      </c>
      <c r="Q306" s="169"/>
      <c r="R306" s="170">
        <f t="shared" si="340"/>
        <v>1130854.6595847416</v>
      </c>
      <c r="S306" s="168" t="s">
        <v>8</v>
      </c>
      <c r="T306" s="171" t="s">
        <v>385</v>
      </c>
      <c r="U306" s="168" t="s">
        <v>20</v>
      </c>
      <c r="V306" s="462" t="s">
        <v>371</v>
      </c>
      <c r="W306" s="172" t="s">
        <v>382</v>
      </c>
      <c r="X306" s="173">
        <f>IF(Y306="",VLOOKUP(H306,CLIENTS!$A$1:$O$649,5,FALSE),Y306)</f>
        <v>0</v>
      </c>
      <c r="Y306" s="174">
        <v>0</v>
      </c>
      <c r="Z306" s="173">
        <f>IF(AA306="",VLOOKUP(P306,CLIENTS!$A$1:$O$649,5,FALSE),AA306)</f>
        <v>0</v>
      </c>
      <c r="AA306" s="174">
        <v>0</v>
      </c>
      <c r="AB306" s="173" t="str">
        <f>IF(W306="via USD",IF(K306="EUR",K306&amp;"USD","USD"&amp;K306),IFERROR(VLOOKUP(K306&amp;S306,'FX RATES'!$H$2:$H$20,1,FALSE),S306&amp;K306))</f>
        <v>AEDRUB</v>
      </c>
      <c r="AC306" s="175">
        <f>IF(LEFT(AB306,3)=RIGHT(AB306,3),0,IFERROR(INDEX(CLIENTS!$A$1:$O$649,MATCH(H306,CLIENTS!$A$1:$A$649,0),MATCH(AB306,CLIENTS!$A$1:$O$1,0)),0))</f>
        <v>0</v>
      </c>
      <c r="AD306" s="176">
        <v>20.71</v>
      </c>
      <c r="AE306" s="177">
        <f t="shared" si="341"/>
        <v>20.71</v>
      </c>
      <c r="AF306" s="177" t="str">
        <f t="shared" si="342"/>
        <v>46051AEDRUB</v>
      </c>
      <c r="AG306" s="176">
        <v>20.694299999999998</v>
      </c>
      <c r="AH306" s="178">
        <f ca="1">IF(LEFT(AB306,3)=RIGHT(AB306,3),1,VLOOKUP(AB306,'FX RATES'!$H$1:$I$20,2,FALSE))</f>
        <v>20.8843</v>
      </c>
      <c r="AI306" s="178">
        <f>IF(OR(AB306="USDAED",LEFT(AB306,3)=RIGHT(AB306,3)),AH306,IF(LEFT(AB306)="USD",AG306,IF(RIGHT(AB306,3)="USD",1,IFERROR(VLOOKUP(E306&amp;"USD"&amp;RIGHT(AB306,3),$AF:$AG,2,FALSE),VLOOKUP(E306&amp;"USD"&amp;RIGHT(AJ306,3),$AN:$AO,2,FALSE)))))</f>
        <v>76.099999999999994</v>
      </c>
      <c r="AJ306" s="173" t="str">
        <f>IF(W306="via USD",IF(S306="EUR",S306&amp;"USD","USD"&amp;S306),IFERROR(VLOOKUP(K306&amp;S306,'FX RATES'!$H$2:$H$20,1,FALSE),S306&amp;K306))</f>
        <v>AEDRUB</v>
      </c>
      <c r="AK306" s="175">
        <f>IF(LEFT(AJ306,3)=RIGHT(AJ306,3),0,IFERROR(INDEX(CLIENTS!$A$1:$O$649,MATCH(P306,CLIENTS!$A$1:$A$649,0),MATCH(AJ306,CLIENTS!$A$1:$O$1,0)),0))</f>
        <v>0</v>
      </c>
      <c r="AL306" s="176"/>
      <c r="AM306" s="177" t="str">
        <f t="shared" si="343"/>
        <v/>
      </c>
      <c r="AN306" s="177" t="str">
        <f t="shared" si="344"/>
        <v>46051AEDRUB</v>
      </c>
      <c r="AO306" s="176"/>
      <c r="AP306" s="178">
        <f ca="1">IF(LEFT(AJ306,3)=RIGHT(AJ306,3),1,VLOOKUP(AJ306,'FX RATES'!$H$1:$I$20,2,FALSE))</f>
        <v>20.8843</v>
      </c>
      <c r="AQ306" s="178">
        <f>IF(OR(AJ306="USDAED",LEFT(AJ306,3)=RIGHT(AJ306,3)),AP306,IF(LEFT(AJ306)="USD",AO306,IF(RIGHT(AJ306,3)="USD",1,IFERROR(VLOOKUP(E306&amp;"USD"&amp;RIGHT(AJ306,3),$AN:$AO,2,FALSE),VLOOKUP(E306&amp;"USD"&amp;RIGHT(AB306,3),$AF:$AG,2,FALSE)))))</f>
        <v>76</v>
      </c>
      <c r="AR306" s="179">
        <f>-Q306*(1-Z306)/(1+X306)*IF(W306="CLIENT",IF(S306=RIGHT(AJ306,3),1/AM306,AM306),IF(W306="VENDOR",IF(S306=RIGHT(AJ306,3),1/AE306,AE306),AE306^(VLOOKUP(AB306,'FX RATES'!$H$1:$J$26,3,FALSE))/AM306^(VLOOKUP(AJ306,'FX RATES'!$H$1:$J$26,3,FALSE))))</f>
        <v>0</v>
      </c>
      <c r="AS306" s="179">
        <f>-I306*(1+X306)/(1-Z306)*IF(W306="VENDOR",IF(K306=RIGHT(AB306,3),1/AE306,AE306),IF(W306="CLIENT",IF(K306=RIGHT(AB306,3),1/AM306,AM306),AM306^(VLOOKUP(AJ306,'FX RATES'!$H$1:$J$26,3,FALSE))/AE306^(VLOOKUP(AB306,'FX RATES'!$H$1:$J$26,3,FALSE))))</f>
        <v>1130854.6595847416</v>
      </c>
      <c r="AT306" s="170">
        <f ca="1">IF(AB306&lt;&gt;AJ306,J306/IF(K306=RIGHT(AB306,3),AE306,1/AE306),IF(S306="USD",J306/IF(K306=RIGHT(AB306,3),IF(W306="CLIENT",AM306,AE306),1/IF(W306="CLIENT",AM306,AE306)),J306*VLOOKUP(K306,'FX RATES'!$E$1:$F$10,2,FALSE)))</f>
        <v>-305263.91251360456</v>
      </c>
      <c r="AU306" s="170">
        <f ca="1">IF(AB306&lt;&gt;AJ306,R306/IF(S306=RIGHT(AJ306,3),AM306,1/AM306),IF(K306="USD",R306/IF(S306=RIGHT(AJ306,3),IF(W306="CLIENT",AM306,AE306),1/IF(W306="CLIENT",AM306,AE306)),R306*VLOOKUP(S306,'FX RATES'!$E$1:$F$10,2,FALSE)))</f>
        <v>307916.64204779762</v>
      </c>
      <c r="AV306" s="170">
        <f t="shared" ca="1" si="345"/>
        <v>2652.7295341930585</v>
      </c>
      <c r="AW306" s="169"/>
      <c r="AX306" s="170">
        <f t="shared" ca="1" si="346"/>
        <v>0</v>
      </c>
      <c r="AY306" s="170">
        <f t="shared" si="347"/>
        <v>-1130854.6595847416</v>
      </c>
      <c r="AZ306" s="170" t="str">
        <f t="shared" si="348"/>
        <v>AED</v>
      </c>
      <c r="BA306" s="542">
        <f>IF(OR(A306="REFUND",A306="CANCELLED"),0,IFERROR((IF(OR(AB306="USDAED",LEFT(AB306,3)=RIGHT(AB306,3)),AI306,AG306)-AE306)*-AY306*VLOOKUP(AB306,'FX RATES'!$H$1:$J$26,3,FALSE),0))</f>
        <v>-17754.418155483258</v>
      </c>
      <c r="BB306" s="170" t="str">
        <f>RIGHT(AB306,3)</f>
        <v>RUB</v>
      </c>
      <c r="BC306" s="542">
        <f t="shared" si="349"/>
        <v>-233.30378653723074</v>
      </c>
      <c r="BD306" s="170">
        <f t="shared" si="350"/>
        <v>0</v>
      </c>
      <c r="BE306" s="542">
        <f t="shared" si="351"/>
        <v>-233.30378653723074</v>
      </c>
      <c r="BF306" s="170">
        <f t="shared" si="352"/>
        <v>1130854.6595847416</v>
      </c>
      <c r="BG306" s="170" t="str">
        <f t="shared" si="353"/>
        <v>AED</v>
      </c>
      <c r="BH306" s="542">
        <f>IF(OR(A306="REFUND",A306="CANCELLED"),0,IFERROR((IF(OR(AJ306="USDAED",LEFT(AJ306,3)=RIGHT(AJ306,3)),AQ306,AO306)-AM306)*-BF306*VLOOKUP(AJ306,'FX RATES'!$H$1:$J$26,3,FALSE),0))</f>
        <v>0</v>
      </c>
      <c r="BI306" s="170" t="str">
        <f t="shared" si="354"/>
        <v>RUB</v>
      </c>
      <c r="BJ306" s="542">
        <f t="shared" si="355"/>
        <v>0</v>
      </c>
      <c r="BK306" s="170">
        <f t="shared" si="356"/>
        <v>0</v>
      </c>
      <c r="BL306" s="542">
        <f t="shared" si="357"/>
        <v>0</v>
      </c>
      <c r="BM306" s="170">
        <f t="shared" si="358"/>
        <v>0</v>
      </c>
      <c r="BN306" s="542">
        <f t="shared" si="359"/>
        <v>-233.30378653723074</v>
      </c>
    </row>
    <row r="307" spans="1:66" ht="19.5" customHeight="1">
      <c r="A307" s="167" t="s">
        <v>366</v>
      </c>
      <c r="B307" s="168" t="s">
        <v>0</v>
      </c>
      <c r="C307" s="168" t="s">
        <v>383</v>
      </c>
      <c r="D307" s="168" t="s">
        <v>121</v>
      </c>
      <c r="E307" s="171">
        <v>46051</v>
      </c>
      <c r="F307" s="171"/>
      <c r="G307" s="168" t="s">
        <v>39</v>
      </c>
      <c r="H307" s="181" t="s">
        <v>476</v>
      </c>
      <c r="I307" s="169"/>
      <c r="J307" s="170">
        <f t="shared" si="339"/>
        <v>-37830000</v>
      </c>
      <c r="K307" s="168" t="s">
        <v>9</v>
      </c>
      <c r="L307" s="171" t="s">
        <v>25</v>
      </c>
      <c r="M307" s="168" t="s">
        <v>374</v>
      </c>
      <c r="N307" s="167" t="s">
        <v>371</v>
      </c>
      <c r="O307" s="168" t="s">
        <v>0</v>
      </c>
      <c r="P307" s="168" t="s">
        <v>0</v>
      </c>
      <c r="Q307" s="169">
        <v>500000</v>
      </c>
      <c r="R307" s="170">
        <f t="shared" si="340"/>
        <v>500000</v>
      </c>
      <c r="S307" s="168" t="s">
        <v>5</v>
      </c>
      <c r="T307" s="171" t="s">
        <v>477</v>
      </c>
      <c r="U307" s="168" t="s">
        <v>14</v>
      </c>
      <c r="V307" s="167" t="s">
        <v>371</v>
      </c>
      <c r="W307" s="172" t="s">
        <v>382</v>
      </c>
      <c r="X307" s="173">
        <f>IF(Y307="",VLOOKUP(H307,CLIENTS!$A$1:$O$649,5,FALSE),Y307)</f>
        <v>0</v>
      </c>
      <c r="Y307" s="174"/>
      <c r="Z307" s="173">
        <f>IF(AA307="",VLOOKUP(P307,CLIENTS!$A$1:$O$649,5,FALSE),AA307)</f>
        <v>0</v>
      </c>
      <c r="AA307" s="174"/>
      <c r="AB307" s="173" t="str">
        <f>IF(W307="via USD",IF(K307="EUR",K307&amp;"USD","USD"&amp;K307),IFERROR(VLOOKUP(K307&amp;S307,'FX RATES'!$H$2:$H$20,1,FALSE),S307&amp;K307))</f>
        <v>USDRUB</v>
      </c>
      <c r="AC307" s="175">
        <f>IF(LEFT(AB307,3)=RIGHT(AB307,3),0,IFERROR(INDEX(CLIENTS!$A$1:$O$649,MATCH(H307,CLIENTS!$A$1:$A$649,0),MATCH(AB307,CLIENTS!$A$1:$O$1,0)),0))+0.07</f>
        <v>0</v>
      </c>
      <c r="AD307" s="176">
        <v>75.66</v>
      </c>
      <c r="AE307" s="177">
        <f t="shared" si="341"/>
        <v>75.66</v>
      </c>
      <c r="AF307" s="177" t="str">
        <f t="shared" si="342"/>
        <v>46051USDRUB</v>
      </c>
      <c r="AG307" s="176">
        <v>76</v>
      </c>
      <c r="AH307" s="178">
        <f ca="1">IF(LEFT(AB307,3)=RIGHT(AB307,3),1,VLOOKUP(AB307,'FX RATES'!$H$1:$I$20,2,FALSE))</f>
        <v>76.720500000000001</v>
      </c>
      <c r="AI307" s="178">
        <f>IF(OR(AB307="USDAED",LEFT(AB307,3)=RIGHT(AB307,3)),AH307,IF(LEFT(AB307)="USD",AG307,IF(RIGHT(AB307,3)="USD",1,IFERROR(VLOOKUP(E307&amp;"USD"&amp;RIGHT(AB307,3),$AF:$AG,2,FALSE),VLOOKUP(E307&amp;"USD"&amp;RIGHT(AJ307,3),$AN:$AO,2,FALSE)))))</f>
        <v>76.099999999999994</v>
      </c>
      <c r="AJ307" s="173" t="str">
        <f>IF(W307="via USD",IF(S307="EUR",S307&amp;"USD","USD"&amp;S307),IFERROR(VLOOKUP(K307&amp;S307,'FX RATES'!$H$2:$H$20,1,FALSE),S307&amp;K307))</f>
        <v>USDRUB</v>
      </c>
      <c r="AK307" s="175">
        <f>IF(LEFT(AJ307,3)=RIGHT(AJ307,3),0,IFERROR(INDEX(CLIENTS!$A$1:$O$649,MATCH(P307,CLIENTS!$A$1:$A$649,0),MATCH(AJ307,CLIENTS!$A$1:$O$1,0)),0))</f>
        <v>0</v>
      </c>
      <c r="AL307" s="176"/>
      <c r="AM307" s="177" t="str">
        <f t="shared" si="343"/>
        <v/>
      </c>
      <c r="AN307" s="177" t="str">
        <f t="shared" si="344"/>
        <v>46051USDRUB</v>
      </c>
      <c r="AO307" s="176"/>
      <c r="AP307" s="178">
        <f ca="1">IF(LEFT(AJ307,3)=RIGHT(AJ307,3),1,VLOOKUP(AJ307,'FX RATES'!$H$1:$I$20,2,FALSE))</f>
        <v>76.720500000000001</v>
      </c>
      <c r="AQ307" s="178">
        <f>IF(OR(AJ307="USDAED",LEFT(AJ307,3)=RIGHT(AJ307,3)),AP307,IF(LEFT(AJ307)="USD",AO307,IF(RIGHT(AJ307,3)="USD",1,IFERROR(VLOOKUP(E307&amp;"USD"&amp;RIGHT(AJ307,3),$AN:$AO,2,FALSE),VLOOKUP(E307&amp;"USD"&amp;RIGHT(AB307,3),$AF:$AG,2,FALSE)))))</f>
        <v>76</v>
      </c>
      <c r="AR307" s="179">
        <f>-Q307*(1-Z307)/(1+X307)*IF(W307="CLIENT",IF(S307=RIGHT(AJ307,3),1/AM307,AM307),IF(W307="VENDOR",IF(S307=RIGHT(AJ307,3),1/AE307,AE307),AE307^(VLOOKUP(AB307,'FX RATES'!$H$1:$J$26,3,FALSE))/AM307^(VLOOKUP(AJ307,'FX RATES'!$H$1:$J$26,3,FALSE))))</f>
        <v>-37830000</v>
      </c>
      <c r="AS307" s="179">
        <f>-I307*(1+X307)/(1-Z307)*IF(W307="VENDOR",IF(K307=RIGHT(AB307,3),1/AE307,AE307),IF(W307="CLIENT",IF(K307=RIGHT(AB307,3),1/AM307,AM307),AM307^(VLOOKUP(AJ307,'FX RATES'!$H$1:$J$26,3,FALSE))/AE307^(VLOOKUP(AB307,'FX RATES'!$H$1:$J$26,3,FALSE))))</f>
        <v>0</v>
      </c>
      <c r="AT307" s="170">
        <f>IF(AB307&lt;&gt;AJ307,J307/IF(K307=RIGHT(AB307,3),AE307,1/AE307),IF(S307="USD",J307/IF(K307=RIGHT(AB307,3),IF(W307="CLIENT",AM307,AE307),1/IF(W307="CLIENT",AM307,AE307)),J307*VLOOKUP(K307,'FX RATES'!$E$1:$F$10,2,FALSE)))</f>
        <v>-500000</v>
      </c>
      <c r="AU307" s="170">
        <f>IF(AB307&lt;&gt;AJ307,R307/IF(S307=RIGHT(AJ307,3),AM307,1/AM307),IF(K307="USD",R307/IF(S307=RIGHT(AJ307,3),IF(W307="CLIENT",AM307,AE307),1/IF(W307="CLIENT",AM307,AE307)),R307*VLOOKUP(S307,'FX RATES'!$E$1:$F$10,2,FALSE)))</f>
        <v>500000</v>
      </c>
      <c r="AV307" s="170">
        <f t="shared" si="345"/>
        <v>0</v>
      </c>
      <c r="AW307" s="169"/>
      <c r="AX307" s="170">
        <f t="shared" si="346"/>
        <v>0</v>
      </c>
      <c r="AY307" s="170">
        <f t="shared" si="347"/>
        <v>-500000</v>
      </c>
      <c r="AZ307" s="170" t="str">
        <f t="shared" si="348"/>
        <v>USD</v>
      </c>
      <c r="BA307" s="542">
        <f>IF(OR(A307="REFUND",A307="CANCELLED"),0,IFERROR((IF(OR(AB307="USDAED",LEFT(AB307,3)=RIGHT(AB307,3)),AI307,AG307)-AE307)*-AY307*VLOOKUP(AB307,'FX RATES'!$H$1:$J$26,3,FALSE),0))</f>
        <v>170000.00000000172</v>
      </c>
      <c r="BB307" s="170" t="str">
        <f>RIGHT(AB307,3)</f>
        <v>RUB</v>
      </c>
      <c r="BC307" s="542">
        <f t="shared" si="349"/>
        <v>2233.9027595269608</v>
      </c>
      <c r="BD307" s="170">
        <f t="shared" si="350"/>
        <v>0</v>
      </c>
      <c r="BE307" s="542">
        <f t="shared" si="351"/>
        <v>2233.9027595269608</v>
      </c>
      <c r="BF307" s="170">
        <f t="shared" si="352"/>
        <v>500000</v>
      </c>
      <c r="BG307" s="170" t="str">
        <f t="shared" si="353"/>
        <v>USD</v>
      </c>
      <c r="BH307" s="542">
        <f>IF(OR(A307="REFUND",A307="CANCELLED"),0,IFERROR((IF(OR(AJ307="USDAED",LEFT(AJ307,3)=RIGHT(AJ307,3)),AQ307,AO307)-AM307)*-BF307*VLOOKUP(AJ307,'FX RATES'!$H$1:$J$26,3,FALSE),0))</f>
        <v>0</v>
      </c>
      <c r="BI307" s="170" t="str">
        <f t="shared" si="354"/>
        <v>RUB</v>
      </c>
      <c r="BJ307" s="542">
        <f t="shared" si="355"/>
        <v>0</v>
      </c>
      <c r="BK307" s="170">
        <f t="shared" si="356"/>
        <v>0</v>
      </c>
      <c r="BL307" s="542">
        <f t="shared" si="357"/>
        <v>0</v>
      </c>
      <c r="BM307" s="170">
        <f t="shared" si="358"/>
        <v>0</v>
      </c>
      <c r="BN307" s="542">
        <f t="shared" si="359"/>
        <v>2233.9027595269608</v>
      </c>
    </row>
    <row r="308" spans="1:66" ht="19.5" customHeight="1">
      <c r="A308" s="167" t="s">
        <v>366</v>
      </c>
      <c r="B308" s="168" t="s">
        <v>0</v>
      </c>
      <c r="C308" s="168" t="s">
        <v>383</v>
      </c>
      <c r="D308" s="168" t="s">
        <v>121</v>
      </c>
      <c r="E308" s="171">
        <v>46051</v>
      </c>
      <c r="F308" s="171"/>
      <c r="G308" s="168" t="s">
        <v>52</v>
      </c>
      <c r="H308" s="181" t="s">
        <v>476</v>
      </c>
      <c r="I308" s="169">
        <f>-R302</f>
        <v>-3516114.6846625763</v>
      </c>
      <c r="J308" s="170">
        <f t="shared" si="339"/>
        <v>-3516114.6846625763</v>
      </c>
      <c r="K308" s="168" t="s">
        <v>9</v>
      </c>
      <c r="L308" s="171" t="s">
        <v>25</v>
      </c>
      <c r="M308" s="168" t="s">
        <v>25</v>
      </c>
      <c r="N308" s="167" t="s">
        <v>371</v>
      </c>
      <c r="O308" s="168" t="s">
        <v>0</v>
      </c>
      <c r="P308" s="168" t="s">
        <v>0</v>
      </c>
      <c r="Q308" s="169"/>
      <c r="R308" s="170">
        <f t="shared" si="340"/>
        <v>46472.570508360775</v>
      </c>
      <c r="S308" s="168" t="s">
        <v>5</v>
      </c>
      <c r="T308" s="171" t="s">
        <v>477</v>
      </c>
      <c r="U308" s="168" t="s">
        <v>14</v>
      </c>
      <c r="V308" s="167" t="s">
        <v>371</v>
      </c>
      <c r="W308" s="172" t="s">
        <v>382</v>
      </c>
      <c r="X308" s="173">
        <f>IF(Y308="",VLOOKUP(H308,CLIENTS!$A$1:$O$649,5,FALSE),Y308)</f>
        <v>0</v>
      </c>
      <c r="Y308" s="174"/>
      <c r="Z308" s="173">
        <f>IF(AA308="",VLOOKUP(P308,CLIENTS!$A$1:$O$649,5,FALSE),AA308)</f>
        <v>0</v>
      </c>
      <c r="AA308" s="174"/>
      <c r="AB308" s="173" t="str">
        <f>IF(W308="via USD",IF(K308="EUR",K308&amp;"USD","USD"&amp;K308),IFERROR(VLOOKUP(K308&amp;S308,'FX RATES'!$H$2:$H$20,1,FALSE),S308&amp;K308))</f>
        <v>USDRUB</v>
      </c>
      <c r="AC308" s="175">
        <f>IF(LEFT(AB308,3)=RIGHT(AB308,3),0,IFERROR(INDEX(CLIENTS!$A$1:$O$649,MATCH(H308,CLIENTS!$A$1:$A$649,0),MATCH(AB308,CLIENTS!$A$1:$O$1,0)),0))+0.07</f>
        <v>0</v>
      </c>
      <c r="AD308" s="176">
        <v>75.66</v>
      </c>
      <c r="AE308" s="177">
        <f t="shared" si="341"/>
        <v>75.66</v>
      </c>
      <c r="AF308" s="177" t="str">
        <f t="shared" si="342"/>
        <v>46051USDRUB</v>
      </c>
      <c r="AG308" s="176">
        <v>76</v>
      </c>
      <c r="AH308" s="178">
        <f ca="1">IF(LEFT(AB308,3)=RIGHT(AB308,3),1,VLOOKUP(AB308,'FX RATES'!$H$1:$I$20,2,FALSE))</f>
        <v>76.720500000000001</v>
      </c>
      <c r="AI308" s="178">
        <f>IF(OR(AB308="USDAED",LEFT(AB308,3)=RIGHT(AB308,3)),AH308,IF(LEFT(AB308)="USD",AG308,IF(RIGHT(AB308,3)="USD",1,IFERROR(VLOOKUP(E308&amp;"USD"&amp;RIGHT(AB308,3),$AF:$AG,2,FALSE),VLOOKUP(E308&amp;"USD"&amp;RIGHT(AJ308,3),$AN:$AO,2,FALSE)))))</f>
        <v>76.099999999999994</v>
      </c>
      <c r="AJ308" s="173" t="str">
        <f>IF(W308="via USD",IF(S308="EUR",S308&amp;"USD","USD"&amp;S308),IFERROR(VLOOKUP(K308&amp;S308,'FX RATES'!$H$2:$H$20,1,FALSE),S308&amp;K308))</f>
        <v>USDRUB</v>
      </c>
      <c r="AK308" s="175">
        <f>IF(LEFT(AJ308,3)=RIGHT(AJ308,3),0,IFERROR(INDEX(CLIENTS!$A$1:$O$649,MATCH(P308,CLIENTS!$A$1:$A$649,0),MATCH(AJ308,CLIENTS!$A$1:$O$1,0)),0))</f>
        <v>0</v>
      </c>
      <c r="AL308" s="176"/>
      <c r="AM308" s="177" t="str">
        <f t="shared" si="343"/>
        <v/>
      </c>
      <c r="AN308" s="177" t="str">
        <f t="shared" si="344"/>
        <v>46051USDRUB</v>
      </c>
      <c r="AO308" s="176"/>
      <c r="AP308" s="178">
        <f ca="1">IF(LEFT(AJ308,3)=RIGHT(AJ308,3),1,VLOOKUP(AJ308,'FX RATES'!$H$1:$I$20,2,FALSE))</f>
        <v>76.720500000000001</v>
      </c>
      <c r="AQ308" s="178">
        <f>IF(OR(AJ308="USDAED",LEFT(AJ308,3)=RIGHT(AJ308,3)),AP308,IF(LEFT(AJ308)="USD",AO308,IF(RIGHT(AJ308,3)="USD",1,IFERROR(VLOOKUP(E308&amp;"USD"&amp;RIGHT(AJ308,3),$AN:$AO,2,FALSE),VLOOKUP(E308&amp;"USD"&amp;RIGHT(AB308,3),$AF:$AG,2,FALSE)))))</f>
        <v>76</v>
      </c>
      <c r="AR308" s="179">
        <f>-Q308*(1-Z308)/(1+X308)*IF(W308="CLIENT",IF(S308=RIGHT(AJ308,3),1/AM308,AM308),IF(W308="VENDOR",IF(S308=RIGHT(AJ308,3),1/AE308,AE308),AE308^(VLOOKUP(AB308,'FX RATES'!$H$1:$J$26,3,FALSE))/AM308^(VLOOKUP(AJ308,'FX RATES'!$H$1:$J$26,3,FALSE))))</f>
        <v>0</v>
      </c>
      <c r="AS308" s="179">
        <f>-I308*(1+X308)/(1-Z308)*IF(W308="VENDOR",IF(K308=RIGHT(AB308,3),1/AE308,AE308),IF(W308="CLIENT",IF(K308=RIGHT(AB308,3),1/AM308,AM308),AM308^(VLOOKUP(AJ308,'FX RATES'!$H$1:$J$26,3,FALSE))/AE308^(VLOOKUP(AB308,'FX RATES'!$H$1:$J$26,3,FALSE))))</f>
        <v>46472.570508360775</v>
      </c>
      <c r="AT308" s="170">
        <f>IF(AB308&lt;&gt;AJ308,J308/IF(K308=RIGHT(AB308,3),AE308,1/AE308),IF(S308="USD",J308/IF(K308=RIGHT(AB308,3),IF(W308="CLIENT",AM308,AE308),1/IF(W308="CLIENT",AM308,AE308)),J308*VLOOKUP(K308,'FX RATES'!$E$1:$F$10,2,FALSE)))</f>
        <v>-46472.570508360775</v>
      </c>
      <c r="AU308" s="170">
        <f>IF(AB308&lt;&gt;AJ308,R308/IF(S308=RIGHT(AJ308,3),AM308,1/AM308),IF(K308="USD",R308/IF(S308=RIGHT(AJ308,3),IF(W308="CLIENT",AM308,AE308),1/IF(W308="CLIENT",AM308,AE308)),R308*VLOOKUP(S308,'FX RATES'!$E$1:$F$10,2,FALSE)))</f>
        <v>46472.570508360775</v>
      </c>
      <c r="AV308" s="170">
        <f t="shared" si="345"/>
        <v>0</v>
      </c>
      <c r="AW308" s="169"/>
      <c r="AX308" s="170">
        <f t="shared" si="346"/>
        <v>0</v>
      </c>
      <c r="AY308" s="170">
        <f t="shared" si="347"/>
        <v>-46472.570508360775</v>
      </c>
      <c r="AZ308" s="170" t="str">
        <f t="shared" si="348"/>
        <v>USD</v>
      </c>
      <c r="BA308" s="542">
        <f>IF(OR(A308="REFUND",A308="CANCELLED"),0,IFERROR((IF(OR(AB308="USDAED",LEFT(AB308,3)=RIGHT(AB308,3)),AI308,AG308)-AE308)*-AY308*VLOOKUP(AB308,'FX RATES'!$H$1:$J$26,3,FALSE),0))</f>
        <v>15800.673972842822</v>
      </c>
      <c r="BB308" s="170" t="str">
        <f>RIGHT(AB308,3)</f>
        <v>RUB</v>
      </c>
      <c r="BC308" s="542">
        <f t="shared" si="349"/>
        <v>207.63040700187679</v>
      </c>
      <c r="BD308" s="170">
        <f t="shared" si="350"/>
        <v>0</v>
      </c>
      <c r="BE308" s="542">
        <f t="shared" si="351"/>
        <v>207.63040700187679</v>
      </c>
      <c r="BF308" s="170">
        <f t="shared" si="352"/>
        <v>46472.570508360775</v>
      </c>
      <c r="BG308" s="170" t="str">
        <f t="shared" si="353"/>
        <v>USD</v>
      </c>
      <c r="BH308" s="542">
        <f>IF(OR(A308="REFUND",A308="CANCELLED"),0,IFERROR((IF(OR(AJ308="USDAED",LEFT(AJ308,3)=RIGHT(AJ308,3)),AQ308,AO308)-AM308)*-BF308*VLOOKUP(AJ308,'FX RATES'!$H$1:$J$26,3,FALSE),0))</f>
        <v>0</v>
      </c>
      <c r="BI308" s="170" t="str">
        <f t="shared" si="354"/>
        <v>RUB</v>
      </c>
      <c r="BJ308" s="542">
        <f t="shared" si="355"/>
        <v>0</v>
      </c>
      <c r="BK308" s="170">
        <f t="shared" si="356"/>
        <v>0</v>
      </c>
      <c r="BL308" s="542">
        <f t="shared" si="357"/>
        <v>0</v>
      </c>
      <c r="BM308" s="170">
        <f t="shared" si="358"/>
        <v>0</v>
      </c>
      <c r="BN308" s="542">
        <f t="shared" si="359"/>
        <v>207.63040700187679</v>
      </c>
    </row>
    <row r="310" spans="1:66" ht="19.5" customHeight="1">
      <c r="A310" s="167" t="s">
        <v>366</v>
      </c>
      <c r="B310" s="168" t="s">
        <v>102</v>
      </c>
      <c r="C310" s="181" t="s">
        <v>367</v>
      </c>
      <c r="D310" s="181" t="s">
        <v>418</v>
      </c>
      <c r="E310" s="171">
        <v>46051</v>
      </c>
      <c r="F310" s="171"/>
      <c r="G310" s="168" t="s">
        <v>102</v>
      </c>
      <c r="H310" s="168" t="s">
        <v>419</v>
      </c>
      <c r="I310" s="169"/>
      <c r="J310" s="170">
        <f>IF(I310="",AR310,I310)</f>
        <v>-209154.55000000002</v>
      </c>
      <c r="K310" s="168" t="s">
        <v>5</v>
      </c>
      <c r="L310" s="168" t="s">
        <v>420</v>
      </c>
      <c r="M310" s="168" t="s">
        <v>420</v>
      </c>
      <c r="N310" s="167" t="s">
        <v>371</v>
      </c>
      <c r="O310" s="168" t="s">
        <v>52</v>
      </c>
      <c r="P310" s="168" t="s">
        <v>421</v>
      </c>
      <c r="Q310" s="169">
        <v>210100</v>
      </c>
      <c r="R310" s="170">
        <f>IF(Q310="",AS310,Q310)</f>
        <v>210100</v>
      </c>
      <c r="S310" s="168" t="s">
        <v>53</v>
      </c>
      <c r="T310" s="168" t="s">
        <v>420</v>
      </c>
      <c r="U310" s="168" t="s">
        <v>54</v>
      </c>
      <c r="V310" s="167" t="s">
        <v>371</v>
      </c>
      <c r="W310" s="172" t="s">
        <v>375</v>
      </c>
      <c r="X310" s="173">
        <f>IF(Y310="",VLOOKUP(H310,CLIENTS!$A$1:$O$649,5,FALSE),Y310)</f>
        <v>0</v>
      </c>
      <c r="Y310" s="174">
        <v>0</v>
      </c>
      <c r="Z310" s="173">
        <f>IF(AA310="",VLOOKUP(P310,CLIENTS!$A$1:$O$649,5,FALSE),AA310)</f>
        <v>4.4999999999999997E-3</v>
      </c>
      <c r="AA310" s="174">
        <v>4.4999999999999997E-3</v>
      </c>
      <c r="AB310" s="173" t="str">
        <f>IF(W310="via USD",IF(K310="EUR",K310&amp;"USD","USD"&amp;K310),IFERROR(VLOOKUP(K310&amp;S310,'FX RATES'!$H$2:$H$20,1,FALSE),S310&amp;K310))</f>
        <v>USDUSD</v>
      </c>
      <c r="AC310" s="175">
        <f>IF(LEFT(AB310,3)=RIGHT(AB310,3),0,IFERROR(INDEX(CLIENTS!$A$1:$O$649,MATCH(H310,CLIENTS!$A$1:$A$649,0),MATCH(AB310,CLIENTS!$A$1:$O$1,0)),0))</f>
        <v>0</v>
      </c>
      <c r="AD310" s="176"/>
      <c r="AE310" s="177">
        <f>IF(W310="CLIENT","",IF(AD310="",AH310+AC310,AD310+AC310))</f>
        <v>1</v>
      </c>
      <c r="AF310" s="177" t="str">
        <f>E310&amp;AB310</f>
        <v>46051USDUSD</v>
      </c>
      <c r="AG310" s="176"/>
      <c r="AH310" s="178">
        <f>IF(LEFT(AB310,3)=RIGHT(AB310,3),1,VLOOKUP(AB310,'FX RATES'!$H$1:$I$20,2,FALSE))</f>
        <v>1</v>
      </c>
      <c r="AI310" s="178">
        <f>IF(OR(AB310="USDAED",LEFT(AB310,3)=RIGHT(AB310,3)),AH310,IF(LEFT(AB310)="USD",AG310,IF(RIGHT(AB310,3)="USD",1,IFERROR(VLOOKUP(E310&amp;"USD"&amp;RIGHT(AB310,3),$AF:$AG,2,FALSE),VLOOKUP(E310&amp;"USD"&amp;RIGHT(AJ310,3),$AN:$AO,2,FALSE)))))</f>
        <v>1</v>
      </c>
      <c r="AJ310" s="173" t="str">
        <f>IF(W310="via USD",IF(S310="EUR",S310&amp;"USD","USD"&amp;S310),IFERROR(VLOOKUP(K310&amp;S310,'FX RATES'!$H$2:$H$20,1,FALSE),S310&amp;K310))</f>
        <v>USDUSDT</v>
      </c>
      <c r="AK310" s="175">
        <f>IF(LEFT(AJ310,3)=RIGHT(AJ310,3),0,IFERROR(INDEX(CLIENTS!$A$1:$O$649,MATCH(P310,CLIENTS!$A$1:$A$649,0),MATCH(AJ310,CLIENTS!$A$1:$O$1,0)),0))</f>
        <v>0</v>
      </c>
      <c r="AL310" s="176"/>
      <c r="AM310" s="177">
        <f>IF(W310="VENDOR","",IF(AL310="",AP310+AK310,AL310+AK310))</f>
        <v>1</v>
      </c>
      <c r="AN310" s="177" t="str">
        <f>E310&amp;AJ310</f>
        <v>46051USDUSDT</v>
      </c>
      <c r="AO310" s="176"/>
      <c r="AP310" s="178">
        <f>IF(LEFT(AJ310,3)=RIGHT(AJ310,3),1,VLOOKUP(AJ310,'FX RATES'!$H$1:$I$50,2,FALSE))</f>
        <v>1</v>
      </c>
      <c r="AQ310" s="178">
        <f>IF(OR(AJ310="USDAED",LEFT(AJ310,3)=RIGHT(AJ310,3),AJ310="USDUSDT",AJ310="USDTUSD"),AP310,IF(LEFT(AJ310)="USD",AO310,IF(RIGHT(AJ310,3)="USD",1,IFERROR(VLOOKUP(E310&amp;"USD"&amp;RIGHT(AJ310,3),$AN:$AO,2,FALSE),VLOOKUP(E310&amp;"USD"&amp;RIGHT(AB310,3),$AF:$AG,2,FALSE)))))</f>
        <v>1</v>
      </c>
      <c r="AR310" s="179">
        <f>-Q310*(1-Z310)/(1+X310)*IF(W310="CLIENT",IF(S310=RIGHT(AJ310,3),1/AM310,AM310),IF(W310="VENDOR",IF(S310=RIGHT(AJ310,3),1/AE310,AE310),AE310^(VLOOKUP(AB310,'FX RATES'!$H$1:$J$26,3,FALSE))/AM310^(VLOOKUP(AJ310,'FX RATES'!$H$1:$J$26,3,FALSE))))</f>
        <v>-209154.55000000002</v>
      </c>
      <c r="AS310" s="179">
        <f>-I310*(1+X310)/(1-Z310)*IF(W310="VENDOR",IF(K310=RIGHT(AB310,3),1/AE310,AE310),IF(W310="CLIENT",IF(K310=RIGHT(AB310,3),1/AM310,AM310),AM310^(VLOOKUP(AJ310,'FX RATES'!$H$1:$J$26,3,FALSE))/AE310^(VLOOKUP(AB310,'FX RATES'!$H$1:$J$26,3,FALSE))))</f>
        <v>0</v>
      </c>
      <c r="AT310" s="170">
        <f>IF(AB310&lt;&gt;AJ310,J310/IF(K310=RIGHT(AB310,3),AE310,1/AE310),IF(S310="USD",J310/IF(K310=RIGHT(AB310,3),IF(W310="CLIENT",AM310,AE310),1/IF(W310="CLIENT",AM310,AE310)),J310*VLOOKUP(K310,'FX RATES'!$E$1:$F$10,2,FALSE)))</f>
        <v>-209154.55000000002</v>
      </c>
      <c r="AU310" s="170">
        <f>IF(AB310&lt;&gt;AJ310,R310/IF(S310=RIGHT(AJ310,3),AM310,1/AM310),IF(K310="USD",R310/IF(S310=RIGHT(AJ310,3),IF(W310="CLIENT",AM310,AE310),1/IF(W310="CLIENT",AM310,AE310)),R310*VLOOKUP(S310,'FX RATES'!$E$1:$F$10,2,FALSE)))</f>
        <v>210100</v>
      </c>
      <c r="AV310" s="170">
        <f>AT310+AU310</f>
        <v>945.44999999998254</v>
      </c>
      <c r="AW310" s="169"/>
      <c r="AX310" s="170">
        <f>IF(AND(ISERROR(SEARCH("INVOICE",T310)),ISERROR(SEARCH("SWITCH",T310)),ISERROR(SEARCH("FOREX",T310)),ISERROR(SEARCH("REFUND",A310)),ISERROR(SEARCH("CANCELLED",A310))),IF(AW310="",-AT310*X310+AU310*Z310,AW310),0)</f>
        <v>945.44999999999993</v>
      </c>
      <c r="AY310" s="170">
        <f>IF(AZ310="USD",AT310,IF(AZ310=K310,J310,-R310))</f>
        <v>-209154.55000000002</v>
      </c>
      <c r="AZ310" s="170" t="str">
        <f>LEFT(AB310,3)</f>
        <v>USD</v>
      </c>
      <c r="BA310" s="542">
        <f>IF(OR(A310="REFUND",A310="CANCELLED"),0,IFERROR((IF(OR(AB310="USDAED",LEFT(AB310,3)=RIGHT(AB310,3)),AI310,AG310)-AE310)*-AY310*VLOOKUP(AB310,'FX RATES'!$H$1:$J$26,3,FALSE),0))</f>
        <v>0</v>
      </c>
      <c r="BB310" s="170" t="str">
        <f>RIGHT(AB310,3)</f>
        <v>USD</v>
      </c>
      <c r="BC310" s="542">
        <f>IF(BA310=0,0,IFERROR(BA310/IF(BB310&lt;&gt;"USD",AI310,1),"???"))</f>
        <v>0</v>
      </c>
      <c r="BD310" s="170">
        <f>IFERROR(-AC310/(IF(OR(AB310="USDAED",LEFT(AB310,3)=RIGHT(AB310,3)),AH310,AG310)-AE310)*BC310,0)</f>
        <v>0</v>
      </c>
      <c r="BE310" s="542">
        <f>BC310-BD310</f>
        <v>0</v>
      </c>
      <c r="BF310" s="170">
        <f>IF(BG310="USD",AU310,IF(BG310=S310,R310,-J310))</f>
        <v>210100</v>
      </c>
      <c r="BG310" s="170" t="str">
        <f>LEFT(AJ310,3)</f>
        <v>USD</v>
      </c>
      <c r="BH310" s="542">
        <f>IF(OR(A310="REFUND",A310="CANCELLED"),0,IFERROR((IF(OR(AJ310="USDAED",LEFT(AJ310,3)=RIGHT(AJ310,3),AJ310="USDUSDT",AJ310="USDTUSD"),AQ310,AO310)-AM310)*-BF310*VLOOKUP(AJ310,'FX RATES'!$H$1:$J$26,3,FALSE),0))</f>
        <v>0</v>
      </c>
      <c r="BI310" s="170" t="str">
        <f>RIGHT(AJ310,4)</f>
        <v>USDT</v>
      </c>
      <c r="BJ310" s="542">
        <f>IF(BH310=0,0,IFERROR(BH310/IF(BI310&lt;&gt;"USD",AQ310,1),"???"))</f>
        <v>0</v>
      </c>
      <c r="BK310" s="170">
        <f>IFERROR(-AK310/(IF(OR(AJ310="USDAED",LEFT(AJ310,3)=RIGHT(AJ310,3)),AP310,AO310)-AM310)*BJ310,0)</f>
        <v>0</v>
      </c>
      <c r="BL310" s="542">
        <f>BJ310-BK310</f>
        <v>0</v>
      </c>
      <c r="BM310" s="170">
        <f>IF(AND(ISERROR(SEARCH("REFUND",A310)),ISERROR(SEARCH("CANCELLED",A310))),BD310+BK310,0)</f>
        <v>0</v>
      </c>
      <c r="BN310" s="542">
        <f>IF(AND(ISERROR(SEARCH("REFUND",A310)),ISERROR(SEARCH("CANCELLED",A310))),BE310+BL310,0)</f>
        <v>0</v>
      </c>
    </row>
    <row r="311" spans="1:66" ht="19.5" customHeight="1">
      <c r="A311" s="167" t="s">
        <v>366</v>
      </c>
      <c r="B311" s="172" t="s">
        <v>102</v>
      </c>
      <c r="C311" s="172" t="s">
        <v>102</v>
      </c>
      <c r="D311" s="181" t="s">
        <v>368</v>
      </c>
      <c r="E311" s="171">
        <v>46051</v>
      </c>
      <c r="F311" s="171"/>
      <c r="G311" s="172" t="s">
        <v>102</v>
      </c>
      <c r="H311" s="172" t="s">
        <v>104</v>
      </c>
      <c r="I311" s="169"/>
      <c r="J311" s="170">
        <f>IF(I311="",AR311,I311)</f>
        <v>-209949.33729000002</v>
      </c>
      <c r="K311" s="172" t="s">
        <v>53</v>
      </c>
      <c r="L311" s="172" t="s">
        <v>420</v>
      </c>
      <c r="M311" s="172" t="s">
        <v>54</v>
      </c>
      <c r="N311" s="167" t="s">
        <v>371</v>
      </c>
      <c r="O311" s="172" t="s">
        <v>102</v>
      </c>
      <c r="P311" s="172" t="s">
        <v>104</v>
      </c>
      <c r="Q311" s="169">
        <f>-J310</f>
        <v>209154.55000000002</v>
      </c>
      <c r="R311" s="170">
        <f>IF(Q311="",AS311,Q311)</f>
        <v>209154.55000000002</v>
      </c>
      <c r="S311" s="172" t="s">
        <v>5</v>
      </c>
      <c r="T311" s="171" t="s">
        <v>420</v>
      </c>
      <c r="U311" s="172" t="s">
        <v>54</v>
      </c>
      <c r="V311" s="167" t="s">
        <v>371</v>
      </c>
      <c r="W311" s="172" t="s">
        <v>375</v>
      </c>
      <c r="X311" s="173">
        <f>IF(Y311="",VLOOKUP(H311,CLIENTS!$A$1:$O$649,5,FALSE),Y311)</f>
        <v>0</v>
      </c>
      <c r="Y311" s="174">
        <v>0</v>
      </c>
      <c r="Z311" s="173">
        <f>IF(AA311="",VLOOKUP(P311,CLIENTS!$A$1:$O$649,5,FALSE),AA311)</f>
        <v>-3.8E-3</v>
      </c>
      <c r="AA311" s="174">
        <v>-3.8E-3</v>
      </c>
      <c r="AB311" s="173" t="str">
        <f>IF(W311="via USD",IF(K311="EUR",K311&amp;"USD","USD"&amp;K311),IFERROR(VLOOKUP(K311&amp;S311,'FX RATES'!$H$2:$H$55,1,FALSE),S311&amp;K311))</f>
        <v>USDUSDT</v>
      </c>
      <c r="AC311" s="175">
        <f>IF(LEFT(AB311,3)=RIGHT(AB311,3),0,IFERROR(INDEX(CLIENTS!$A$1:$O$649,MATCH(H311,CLIENTS!$A$1:$A$649,0),MATCH(AB311,CLIENTS!$A$1:$O$1,0)),0))</f>
        <v>0</v>
      </c>
      <c r="AD311" s="176"/>
      <c r="AE311" s="177">
        <f>IF(W311="CLIENT","",IF(AD311="",AH311+AC311,AD311+AC311))</f>
        <v>1</v>
      </c>
      <c r="AF311" s="177" t="str">
        <f>E311&amp;AB311</f>
        <v>46051USDUSDT</v>
      </c>
      <c r="AG311" s="176">
        <v>1</v>
      </c>
      <c r="AH311" s="178">
        <f>IF(OR(LEFT(AB311,3)=RIGHT(AB311,3),OR(AB311="USDUSDT",AB311="USDTUSD")),1,VLOOKUP(AB311,'FX RATES'!$H$1:$I$20,2,FALSE))</f>
        <v>1</v>
      </c>
      <c r="AI311" s="178">
        <f>IF(OR(AB311="USDAED",LEFT(AB311,3)=RIGHT(AB311,3)),AH311,IF(LEFT(AB311)="USD",AG311,IF(OR(RIGHT(AB311,3)="USD",RIGHT(AB311,4)="USDT"),1,IFERROR(VLOOKUP(E311&amp;"USD"&amp;RIGHT(AB311,3),$AF:$AG,2,FALSE),VLOOKUP(E311&amp;"USD"&amp;RIGHT(AJ311,3),$AN:$AO,2,FALSE)))))</f>
        <v>1</v>
      </c>
      <c r="AJ311" s="173" t="str">
        <f>IF(W311="via USD",IF(S311="EUR",S311&amp;"USD","USD"&amp;S311),IFERROR(VLOOKUP(K311&amp;S311,'FX RATES'!$H$2:$H$20,1,FALSE),S311&amp;K311))</f>
        <v>USDUSD</v>
      </c>
      <c r="AK311" s="175">
        <f>IF(LEFT(AJ311,3)=RIGHT(AJ311,3),0,IFERROR(INDEX(CLIENTS!$A$1:$O$649,MATCH(P311,CLIENTS!$A$1:$A$649,0),MATCH(AJ311,CLIENTS!$A$1:$O$1,0)),0))</f>
        <v>0</v>
      </c>
      <c r="AL311" s="176"/>
      <c r="AM311" s="177">
        <f>IF(W311="VENDOR","",IF(AL311="",AP311+AK311,AL311+AK311))</f>
        <v>1</v>
      </c>
      <c r="AN311" s="177" t="str">
        <f>E311&amp;AJ311</f>
        <v>46051USDUSD</v>
      </c>
      <c r="AO311" s="176"/>
      <c r="AP311" s="178">
        <f>IF(OR(LEFT(AJ311,3)=RIGHT(AJ311,3),AND(OR(AB311="USDUSDT",AB311="USDTUSD"),OR(AJ311="USDUSDT",AJ311="USDTUSD"))),1,VLOOKUP(AJ311,'FX RATES'!$H$1:$I$20,2,FALSE))</f>
        <v>1</v>
      </c>
      <c r="AQ311" s="178">
        <f>IF(OR(AJ311="USDAED",LEFT(AJ311,3)=RIGHT(AJ311,3)),AP311,IF(LEFT(AJ311)="USD",AO311,IF(OR(RIGHT(AB311,3)="USD",RIGHT(AB311,4)="USDT"),1,IFERROR(VLOOKUP(E311&amp;"USD"&amp;RIGHT(AJ311,3),$AN:$AO,2,FALSE),VLOOKUP(E311&amp;"USD"&amp;RIGHT(AB311,3),$AF:$AG,2,FALSE)))))</f>
        <v>1</v>
      </c>
      <c r="AR311" s="179">
        <f>-Q311*(1-Z311)/(1+X311)*IF(W311="CLIENT",IF(S311=RIGHT(AJ311,3),1/AM311,AM311),IF(W311="VENDOR",IF(S311=RIGHT(AJ311,3),1/AE311,AE311),AE311^(VLOOKUP(AB311,'FX RATES'!$H$1:$J$26,3,FALSE))/AM311^(VLOOKUP(AJ311,'FX RATES'!$H$1:$J$26,3,FALSE))))</f>
        <v>-209949.33729000002</v>
      </c>
      <c r="AS311" s="179">
        <f>-I311*(1+X311)/(1-Z311)*IF(W311="VENDOR",IF(K311=RIGHT(AB311,3),1/AE311,AE311),IF(W311="CLIENT",IF(K311=RIGHT(AB311,3),1/AM311,AM311),AM311^(VLOOKUP(AJ311,'FX RATES'!$H$1:$J$26,3,FALSE))/AE311^(VLOOKUP(AB311,'FX RATES'!$H$1:$J$26,3,FALSE))))</f>
        <v>0</v>
      </c>
      <c r="AT311" s="170">
        <f>IF(AB311&lt;&gt;AJ311,J311/IF(K311=RIGHT(AB311,3),AE311,1/AE311),IF(S311="USD",J311/IF(K311=RIGHT(AB311,3),IF(W311="CLIENT",AM311,AE311),1/IF(W311="CLIENT",AM311,AE311)),J311*VLOOKUP(K311,'FX RATES'!$E$1:$F$10,2,FALSE)))</f>
        <v>-209949.33729000002</v>
      </c>
      <c r="AU311" s="170">
        <f>IF(AB311&lt;&gt;AJ311,R311/IF(S311=RIGHT(AJ311,3),AM311,1/AM311),IF(K311="USD",R311/IF(S311=RIGHT(AJ311,3),IF(W311="CLIENT",AM311,AE311),1/IF(W311="CLIENT",AM311,AE311)),R311*VLOOKUP(S311,'FX RATES'!$E$1:$F$10,2,FALSE)))</f>
        <v>209154.55000000002</v>
      </c>
      <c r="AV311" s="170">
        <f>AT311+AU311</f>
        <v>-794.78729000000749</v>
      </c>
      <c r="AW311" s="169"/>
      <c r="AX311" s="170">
        <f>IF(AND(ISERROR(SEARCH("INVOICE",T311)),ISERROR(SEARCH("SWITCH",T311)),ISERROR(SEARCH("FOREX",T311)),ISERROR(SEARCH("REFUND",A311)),ISERROR(SEARCH("CANCELLED",A311))),IF(AW311="",-AT311*X311+AU311*Z311,AW311),0)</f>
        <v>-794.7872900000001</v>
      </c>
      <c r="AY311" s="170">
        <f>IF(AZ311="USD",AT311,IF(AZ311=K311,J311,-R311))</f>
        <v>-209949.33729000002</v>
      </c>
      <c r="AZ311" s="170" t="str">
        <f>LEFT(AB311,3)</f>
        <v>USD</v>
      </c>
      <c r="BA311" s="542">
        <f>IF(OR(A311="REFUND",A311="CANCELLED"),0,IFERROR((IF(OR(AB311="USDAED",LEFT(AB311,3)=RIGHT(AB311,3)),AI311,AG311)-AE311)*-AY311*VLOOKUP(AB311,'FX RATES'!$H$1:$J$26,3,FALSE),0))</f>
        <v>0</v>
      </c>
      <c r="BB311" s="170" t="str">
        <f>RIGHT(AB311,4)</f>
        <v>USDT</v>
      </c>
      <c r="BC311" s="542">
        <f>IF(BA311=0,0,IFERROR(BA311/IF(BB311&lt;&gt;"USD",AI311,1),"???"))</f>
        <v>0</v>
      </c>
      <c r="BD311" s="170">
        <f>IFERROR(-AC311/(IF(OR(AB311="USDAED",LEFT(AB311,3)=RIGHT(AB311,3)),AH311,AG311)-AE311)*BC311,0)</f>
        <v>0</v>
      </c>
      <c r="BE311" s="542">
        <f>BC311-BD311</f>
        <v>0</v>
      </c>
      <c r="BF311" s="170">
        <f>IF(BG311="USD",AU311,IF(BG311=S311,R311,-J311))</f>
        <v>209154.55000000002</v>
      </c>
      <c r="BG311" s="170" t="str">
        <f>LEFT(AJ311,3)</f>
        <v>USD</v>
      </c>
      <c r="BH311" s="542">
        <f>IF(OR(A311="REFUND",A311="CANCELLED"),0,IFERROR((IF(OR(AJ311="USDAED",LEFT(AJ311,3)=RIGHT(AJ311,3)),AQ311,AO311)-AM311)*-BF311*VLOOKUP(AJ311,'FX RATES'!$H$1:$J$26,3,FALSE),0))</f>
        <v>0</v>
      </c>
      <c r="BI311" s="170" t="str">
        <f>RIGHT(AJ311,3)</f>
        <v>USD</v>
      </c>
      <c r="BJ311" s="542">
        <f>IF(BH311=0,0,IFERROR(BH311/IF(BI311&lt;&gt;"USD",AQ311,1),"???"))</f>
        <v>0</v>
      </c>
      <c r="BK311" s="170">
        <f>IFERROR(-AK311/(IF(OR(AJ311="USDAED",LEFT(AJ311,3)=RIGHT(AJ311,3)),AP311,AO311)-AM311)*BJ311,0)</f>
        <v>0</v>
      </c>
      <c r="BL311" s="542">
        <f>BJ311-BK311</f>
        <v>0</v>
      </c>
      <c r="BM311" s="170">
        <f>IF(AND(ISERROR(SEARCH("REFUND",A311)),ISERROR(SEARCH("CANCELLED",A311))),BD311+BK311,0)</f>
        <v>0</v>
      </c>
      <c r="BN311" s="542">
        <f>IF(AND(ISERROR(SEARCH("REFUND",A311)),ISERROR(SEARCH("CANCELLED",A311))),BE311+BL311,0)</f>
        <v>0</v>
      </c>
    </row>
    <row r="312" spans="1:66" ht="19.5" customHeight="1">
      <c r="I312" s="450"/>
      <c r="J312" s="450"/>
    </row>
    <row r="313" spans="1:66" ht="19.5" customHeight="1">
      <c r="A313" s="167" t="s">
        <v>366</v>
      </c>
      <c r="B313" s="168" t="s">
        <v>102</v>
      </c>
      <c r="C313" s="181" t="s">
        <v>367</v>
      </c>
      <c r="D313" s="181" t="s">
        <v>418</v>
      </c>
      <c r="E313" s="171">
        <v>46051</v>
      </c>
      <c r="F313" s="171"/>
      <c r="G313" s="168" t="s">
        <v>102</v>
      </c>
      <c r="H313" s="168" t="s">
        <v>419</v>
      </c>
      <c r="I313" s="169">
        <f>-500000-J310</f>
        <v>-290845.44999999995</v>
      </c>
      <c r="J313" s="170">
        <f>IF(I313="",AR313,I313)</f>
        <v>-290845.44999999995</v>
      </c>
      <c r="K313" s="168" t="s">
        <v>5</v>
      </c>
      <c r="L313" s="168" t="s">
        <v>420</v>
      </c>
      <c r="M313" s="168" t="s">
        <v>420</v>
      </c>
      <c r="N313" s="167" t="s">
        <v>371</v>
      </c>
      <c r="O313" s="168" t="s">
        <v>52</v>
      </c>
      <c r="P313" s="168" t="s">
        <v>421</v>
      </c>
      <c r="Q313" s="169"/>
      <c r="R313" s="170">
        <f>IF(Q313="",AS313,Q313)</f>
        <v>292160.17076845799</v>
      </c>
      <c r="S313" s="168" t="s">
        <v>53</v>
      </c>
      <c r="T313" s="168" t="s">
        <v>420</v>
      </c>
      <c r="U313" s="168" t="s">
        <v>54</v>
      </c>
      <c r="V313" s="167" t="s">
        <v>371</v>
      </c>
      <c r="W313" s="172" t="s">
        <v>375</v>
      </c>
      <c r="X313" s="173">
        <f>IF(Y313="",VLOOKUP(H313,CLIENTS!$A$1:$O$649,5,FALSE),Y313)</f>
        <v>0</v>
      </c>
      <c r="Y313" s="174">
        <v>0</v>
      </c>
      <c r="Z313" s="173">
        <f>IF(AA313="",VLOOKUP(P313,CLIENTS!$A$1:$O$649,5,FALSE),AA313)</f>
        <v>4.4999999999999997E-3</v>
      </c>
      <c r="AA313" s="174">
        <v>4.4999999999999997E-3</v>
      </c>
      <c r="AB313" s="173" t="str">
        <f>IF(W313="via USD",IF(K313="EUR",K313&amp;"USD","USD"&amp;K313),IFERROR(VLOOKUP(K313&amp;S313,'FX RATES'!$H$2:$H$20,1,FALSE),S313&amp;K313))</f>
        <v>USDUSD</v>
      </c>
      <c r="AC313" s="175">
        <f>IF(LEFT(AB313,3)=RIGHT(AB313,3),0,IFERROR(INDEX(CLIENTS!$A$1:$O$649,MATCH(H313,CLIENTS!$A$1:$A$649,0),MATCH(AB313,CLIENTS!$A$1:$O$1,0)),0))</f>
        <v>0</v>
      </c>
      <c r="AD313" s="176"/>
      <c r="AE313" s="177">
        <f>IF(W313="CLIENT","",IF(AD313="",AH313+AC313,AD313+AC313))</f>
        <v>1</v>
      </c>
      <c r="AF313" s="177" t="str">
        <f>E313&amp;AB313</f>
        <v>46051USDUSD</v>
      </c>
      <c r="AG313" s="176"/>
      <c r="AH313" s="178">
        <f>IF(LEFT(AB313,3)=RIGHT(AB313,3),1,VLOOKUP(AB313,'FX RATES'!$H$1:$I$20,2,FALSE))</f>
        <v>1</v>
      </c>
      <c r="AI313" s="178">
        <f>IF(OR(AB313="USDAED",LEFT(AB313,3)=RIGHT(AB313,3)),AH313,IF(LEFT(AB313)="USD",AG313,IF(RIGHT(AB313,3)="USD",1,IFERROR(VLOOKUP(E313&amp;"USD"&amp;RIGHT(AB313,3),$AF:$AG,2,FALSE),VLOOKUP(E313&amp;"USD"&amp;RIGHT(AJ313,3),$AN:$AO,2,FALSE)))))</f>
        <v>1</v>
      </c>
      <c r="AJ313" s="173" t="str">
        <f>IF(W313="via USD",IF(S313="EUR",S313&amp;"USD","USD"&amp;S313),IFERROR(VLOOKUP(K313&amp;S313,'FX RATES'!$H$2:$H$20,1,FALSE),S313&amp;K313))</f>
        <v>USDUSDT</v>
      </c>
      <c r="AK313" s="175">
        <f>IF(LEFT(AJ313,3)=RIGHT(AJ313,3),0,IFERROR(INDEX(CLIENTS!$A$1:$O$649,MATCH(P313,CLIENTS!$A$1:$A$649,0),MATCH(AJ313,CLIENTS!$A$1:$O$1,0)),0))</f>
        <v>0</v>
      </c>
      <c r="AL313" s="176"/>
      <c r="AM313" s="177">
        <f>IF(W313="VENDOR","",IF(AL313="",AP313+AK313,AL313+AK313))</f>
        <v>1</v>
      </c>
      <c r="AN313" s="177" t="str">
        <f>E313&amp;AJ313</f>
        <v>46051USDUSDT</v>
      </c>
      <c r="AO313" s="176"/>
      <c r="AP313" s="178">
        <f>IF(LEFT(AJ313,3)=RIGHT(AJ313,3),1,VLOOKUP(AJ313,'FX RATES'!$H$1:$I$50,2,FALSE))</f>
        <v>1</v>
      </c>
      <c r="AQ313" s="178">
        <f>IF(OR(AJ313="USDAED",LEFT(AJ313,3)=RIGHT(AJ313,3),AJ313="USDUSDT",AJ313="USDTUSD"),AP313,IF(LEFT(AJ313)="USD",AO313,IF(RIGHT(AJ313,3)="USD",1,IFERROR(VLOOKUP(E313&amp;"USD"&amp;RIGHT(AJ313,3),$AN:$AO,2,FALSE),VLOOKUP(E313&amp;"USD"&amp;RIGHT(AB313,3),$AF:$AG,2,FALSE)))))</f>
        <v>1</v>
      </c>
      <c r="AR313" s="179">
        <f>-Q313*(1-Z313)/(1+X313)*IF(W313="CLIENT",IF(S313=RIGHT(AJ313,3),1/AM313,AM313),IF(W313="VENDOR",IF(S313=RIGHT(AJ313,3),1/AE313,AE313),AE313^(VLOOKUP(AB313,'FX RATES'!$H$1:$J$26,3,FALSE))/AM313^(VLOOKUP(AJ313,'FX RATES'!$H$1:$J$26,3,FALSE))))</f>
        <v>0</v>
      </c>
      <c r="AS313" s="179">
        <f>-I313*(1+X313)/(1-Z313)*IF(W313="VENDOR",IF(K313=RIGHT(AB313,3),1/AE313,AE313),IF(W313="CLIENT",IF(K313=RIGHT(AB313,3),1/AM313,AM313),AM313^(VLOOKUP(AJ313,'FX RATES'!$H$1:$J$26,3,FALSE))/AE313^(VLOOKUP(AB313,'FX RATES'!$H$1:$J$26,3,FALSE))))</f>
        <v>292160.17076845799</v>
      </c>
      <c r="AT313" s="170">
        <f>IF(AB313&lt;&gt;AJ313,J313/IF(K313=RIGHT(AB313,3),AE313,1/AE313),IF(S313="USD",J313/IF(K313=RIGHT(AB313,3),IF(W313="CLIENT",AM313,AE313),1/IF(W313="CLIENT",AM313,AE313)),J313*VLOOKUP(K313,'FX RATES'!$E$1:$F$10,2,FALSE)))</f>
        <v>-290845.44999999995</v>
      </c>
      <c r="AU313" s="170">
        <f>IF(AB313&lt;&gt;AJ313,R313/IF(S313=RIGHT(AJ313,3),AM313,1/AM313),IF(K313="USD",R313/IF(S313=RIGHT(AJ313,3),IF(W313="CLIENT",AM313,AE313),1/IF(W313="CLIENT",AM313,AE313)),R313*VLOOKUP(S313,'FX RATES'!$E$1:$F$10,2,FALSE)))</f>
        <v>292160.17076845799</v>
      </c>
      <c r="AV313" s="170">
        <f>AT313+AU313</f>
        <v>1314.7207684580353</v>
      </c>
      <c r="AW313" s="169"/>
      <c r="AX313" s="170">
        <f>IF(AND(ISERROR(SEARCH("INVOICE",T313)),ISERROR(SEARCH("SWITCH",T313)),ISERROR(SEARCH("FOREX",T313)),ISERROR(SEARCH("REFUND",A313)),ISERROR(SEARCH("CANCELLED",A313))),IF(AW313="",-AT313*X313+AU313*Z313,AW313),0)</f>
        <v>1314.7207684580608</v>
      </c>
      <c r="AY313" s="170">
        <f>IF(AZ313="USD",AT313,IF(AZ313=K313,J313,-R313))</f>
        <v>-290845.44999999995</v>
      </c>
      <c r="AZ313" s="170" t="str">
        <f>LEFT(AB313,3)</f>
        <v>USD</v>
      </c>
      <c r="BA313" s="542">
        <f>IF(OR(A313="REFUND",A313="CANCELLED"),0,IFERROR((IF(OR(AB313="USDAED",LEFT(AB313,3)=RIGHT(AB313,3)),AI313,AG313)-AE313)*-AY313*VLOOKUP(AB313,'FX RATES'!$H$1:$J$26,3,FALSE),0))</f>
        <v>0</v>
      </c>
      <c r="BB313" s="170" t="str">
        <f>RIGHT(AB313,3)</f>
        <v>USD</v>
      </c>
      <c r="BC313" s="542">
        <f>IF(BA313=0,0,IFERROR(BA313/IF(BB313&lt;&gt;"USD",AI313,1),"???"))</f>
        <v>0</v>
      </c>
      <c r="BD313" s="170">
        <f>IFERROR(-AC313/(IF(OR(AB313="USDAED",LEFT(AB313,3)=RIGHT(AB313,3)),AH313,AG313)-AE313)*BC313,0)</f>
        <v>0</v>
      </c>
      <c r="BE313" s="542">
        <f>BC313-BD313</f>
        <v>0</v>
      </c>
      <c r="BF313" s="170">
        <f>IF(BG313="USD",AU313,IF(BG313=S313,R313,-J313))</f>
        <v>292160.17076845799</v>
      </c>
      <c r="BG313" s="170" t="str">
        <f>LEFT(AJ313,3)</f>
        <v>USD</v>
      </c>
      <c r="BH313" s="542">
        <f>IF(OR(A313="REFUND",A313="CANCELLED"),0,IFERROR((IF(OR(AJ313="USDAED",LEFT(AJ313,3)=RIGHT(AJ313,3),AJ313="USDUSDT",AJ313="USDTUSD"),AQ313,AO313)-AM313)*-BF313*VLOOKUP(AJ313,'FX RATES'!$H$1:$J$26,3,FALSE),0))</f>
        <v>0</v>
      </c>
      <c r="BI313" s="170" t="str">
        <f>RIGHT(AJ313,4)</f>
        <v>USDT</v>
      </c>
      <c r="BJ313" s="542">
        <f>IF(BH313=0,0,IFERROR(BH313/IF(BI313&lt;&gt;"USD",AQ313,1),"???"))</f>
        <v>0</v>
      </c>
      <c r="BK313" s="170">
        <f>IFERROR(-AK313/(IF(OR(AJ313="USDAED",LEFT(AJ313,3)=RIGHT(AJ313,3)),AP313,AO313)-AM313)*BJ313,0)</f>
        <v>0</v>
      </c>
      <c r="BL313" s="542">
        <f>BJ313-BK313</f>
        <v>0</v>
      </c>
      <c r="BM313" s="170">
        <f>IF(AND(ISERROR(SEARCH("REFUND",A313)),ISERROR(SEARCH("CANCELLED",A313))),BD313+BK313,0)</f>
        <v>0</v>
      </c>
      <c r="BN313" s="542">
        <f>IF(AND(ISERROR(SEARCH("REFUND",A313)),ISERROR(SEARCH("CANCELLED",A313))),BE313+BL313,0)</f>
        <v>0</v>
      </c>
    </row>
    <row r="314" spans="1:66" ht="19.5" customHeight="1">
      <c r="A314" s="167" t="s">
        <v>366</v>
      </c>
      <c r="B314" s="172" t="s">
        <v>102</v>
      </c>
      <c r="C314" s="172" t="s">
        <v>102</v>
      </c>
      <c r="D314" s="181" t="s">
        <v>368</v>
      </c>
      <c r="E314" s="171">
        <v>46051</v>
      </c>
      <c r="F314" s="171"/>
      <c r="G314" s="172" t="s">
        <v>102</v>
      </c>
      <c r="H314" s="172" t="s">
        <v>104</v>
      </c>
      <c r="I314" s="169"/>
      <c r="J314" s="170">
        <f>IF(I314="",AR314,I314)</f>
        <v>-292008.83179999993</v>
      </c>
      <c r="K314" s="172" t="s">
        <v>53</v>
      </c>
      <c r="L314" s="172" t="s">
        <v>420</v>
      </c>
      <c r="M314" s="172" t="s">
        <v>54</v>
      </c>
      <c r="N314" s="167" t="s">
        <v>371</v>
      </c>
      <c r="O314" s="172" t="s">
        <v>102</v>
      </c>
      <c r="P314" s="172" t="s">
        <v>104</v>
      </c>
      <c r="Q314" s="169">
        <f>-J313</f>
        <v>290845.44999999995</v>
      </c>
      <c r="R314" s="170">
        <f>IF(Q314="",AS314,Q314)</f>
        <v>290845.44999999995</v>
      </c>
      <c r="S314" s="172" t="s">
        <v>5</v>
      </c>
      <c r="T314" s="171" t="s">
        <v>420</v>
      </c>
      <c r="U314" s="172" t="s">
        <v>54</v>
      </c>
      <c r="V314" s="167" t="s">
        <v>371</v>
      </c>
      <c r="W314" s="172" t="s">
        <v>375</v>
      </c>
      <c r="X314" s="173">
        <f>IF(Y314="",VLOOKUP(H314,CLIENTS!$A$1:$O$649,5,FALSE),Y314)</f>
        <v>0</v>
      </c>
      <c r="Y314" s="174">
        <v>0</v>
      </c>
      <c r="Z314" s="173">
        <f>IF(AA314="",VLOOKUP(P314,CLIENTS!$A$1:$O$649,5,FALSE),AA314)</f>
        <v>-4.0000000000000001E-3</v>
      </c>
      <c r="AA314" s="174">
        <v>-4.0000000000000001E-3</v>
      </c>
      <c r="AB314" s="173" t="str">
        <f>IF(W314="via USD",IF(K314="EUR",K314&amp;"USD","USD"&amp;K314),IFERROR(VLOOKUP(K314&amp;S314,'FX RATES'!$H$2:$H$55,1,FALSE),S314&amp;K314))</f>
        <v>USDUSDT</v>
      </c>
      <c r="AC314" s="175">
        <f>IF(LEFT(AB314,3)=RIGHT(AB314,3),0,IFERROR(INDEX(CLIENTS!$A$1:$O$649,MATCH(H314,CLIENTS!$A$1:$A$649,0),MATCH(AB314,CLIENTS!$A$1:$O$1,0)),0))</f>
        <v>0</v>
      </c>
      <c r="AD314" s="176"/>
      <c r="AE314" s="177">
        <f>IF(W314="CLIENT","",IF(AD314="",AH314+AC314,AD314+AC314))</f>
        <v>1</v>
      </c>
      <c r="AF314" s="177" t="str">
        <f>E314&amp;AB314</f>
        <v>46051USDUSDT</v>
      </c>
      <c r="AG314" s="176">
        <v>1</v>
      </c>
      <c r="AH314" s="178">
        <f>IF(OR(LEFT(AB314,3)=RIGHT(AB314,3),OR(AB314="USDUSDT",AB314="USDTUSD")),1,VLOOKUP(AB314,'FX RATES'!$H$1:$I$20,2,FALSE))</f>
        <v>1</v>
      </c>
      <c r="AI314" s="178">
        <f>IF(OR(AB314="USDAED",LEFT(AB314,3)=RIGHT(AB314,3)),AH314,IF(LEFT(AB314)="USD",AG314,IF(OR(RIGHT(AB314,3)="USD",RIGHT(AB314,4)="USDT"),1,IFERROR(VLOOKUP(E314&amp;"USD"&amp;RIGHT(AB314,3),$AF:$AG,2,FALSE),VLOOKUP(E314&amp;"USD"&amp;RIGHT(AJ314,3),$AN:$AO,2,FALSE)))))</f>
        <v>1</v>
      </c>
      <c r="AJ314" s="173" t="str">
        <f>IF(W314="via USD",IF(S314="EUR",S314&amp;"USD","USD"&amp;S314),IFERROR(VLOOKUP(K314&amp;S314,'FX RATES'!$H$2:$H$20,1,FALSE),S314&amp;K314))</f>
        <v>USDUSD</v>
      </c>
      <c r="AK314" s="175">
        <f>IF(LEFT(AJ314,3)=RIGHT(AJ314,3),0,IFERROR(INDEX(CLIENTS!$A$1:$O$649,MATCH(P314,CLIENTS!$A$1:$A$649,0),MATCH(AJ314,CLIENTS!$A$1:$O$1,0)),0))</f>
        <v>0</v>
      </c>
      <c r="AL314" s="176"/>
      <c r="AM314" s="177">
        <f>IF(W314="VENDOR","",IF(AL314="",AP314+AK314,AL314+AK314))</f>
        <v>1</v>
      </c>
      <c r="AN314" s="177" t="str">
        <f>E314&amp;AJ314</f>
        <v>46051USDUSD</v>
      </c>
      <c r="AO314" s="176"/>
      <c r="AP314" s="178">
        <f>IF(OR(LEFT(AJ314,3)=RIGHT(AJ314,3),AND(OR(AB314="USDUSDT",AB314="USDTUSD"),OR(AJ314="USDUSDT",AJ314="USDTUSD"))),1,VLOOKUP(AJ314,'FX RATES'!$H$1:$I$20,2,FALSE))</f>
        <v>1</v>
      </c>
      <c r="AQ314" s="178">
        <f>IF(OR(AJ314="USDAED",LEFT(AJ314,3)=RIGHT(AJ314,3)),AP314,IF(LEFT(AJ314)="USD",AO314,IF(OR(RIGHT(AB314,3)="USD",RIGHT(AB314,4)="USDT"),1,IFERROR(VLOOKUP(E314&amp;"USD"&amp;RIGHT(AJ314,3),$AN:$AO,2,FALSE),VLOOKUP(E314&amp;"USD"&amp;RIGHT(AB314,3),$AF:$AG,2,FALSE)))))</f>
        <v>1</v>
      </c>
      <c r="AR314" s="179">
        <f>-Q314*(1-Z314)/(1+X314)*IF(W314="CLIENT",IF(S314=RIGHT(AJ314,3),1/AM314,AM314),IF(W314="VENDOR",IF(S314=RIGHT(AJ314,3),1/AE314,AE314),AE314^(VLOOKUP(AB314,'FX RATES'!$H$1:$J$26,3,FALSE))/AM314^(VLOOKUP(AJ314,'FX RATES'!$H$1:$J$26,3,FALSE))))</f>
        <v>-292008.83179999993</v>
      </c>
      <c r="AS314" s="179">
        <f>-I314*(1+X314)/(1-Z314)*IF(W314="VENDOR",IF(K314=RIGHT(AB314,3),1/AE314,AE314),IF(W314="CLIENT",IF(K314=RIGHT(AB314,3),1/AM314,AM314),AM314^(VLOOKUP(AJ314,'FX RATES'!$H$1:$J$26,3,FALSE))/AE314^(VLOOKUP(AB314,'FX RATES'!$H$1:$J$26,3,FALSE))))</f>
        <v>0</v>
      </c>
      <c r="AT314" s="170">
        <f>IF(AB314&lt;&gt;AJ314,J314/IF(K314=RIGHT(AB314,3),AE314,1/AE314),IF(S314="USD",J314/IF(K314=RIGHT(AB314,3),IF(W314="CLIENT",AM314,AE314),1/IF(W314="CLIENT",AM314,AE314)),J314*VLOOKUP(K314,'FX RATES'!$E$1:$F$10,2,FALSE)))</f>
        <v>-292008.83179999993</v>
      </c>
      <c r="AU314" s="170">
        <f>IF(AB314&lt;&gt;AJ314,R314/IF(S314=RIGHT(AJ314,3),AM314,1/AM314),IF(K314="USD",R314/IF(S314=RIGHT(AJ314,3),IF(W314="CLIENT",AM314,AE314),1/IF(W314="CLIENT",AM314,AE314)),R314*VLOOKUP(S314,'FX RATES'!$E$1:$F$10,2,FALSE)))</f>
        <v>290845.44999999995</v>
      </c>
      <c r="AV314" s="170">
        <f>AT314+AU314</f>
        <v>-1163.3817999999737</v>
      </c>
      <c r="AW314" s="169"/>
      <c r="AX314" s="170">
        <f>IF(AND(ISERROR(SEARCH("INVOICE",T314)),ISERROR(SEARCH("SWITCH",T314)),ISERROR(SEARCH("FOREX",T314)),ISERROR(SEARCH("REFUND",A314)),ISERROR(SEARCH("CANCELLED",A314))),IF(AW314="",-AT314*X314+AU314*Z314,AW314),0)</f>
        <v>-1163.3817999999999</v>
      </c>
      <c r="AY314" s="170">
        <f>IF(AZ314="USD",AT314,IF(AZ314=K314,J314,-R314))</f>
        <v>-292008.83179999993</v>
      </c>
      <c r="AZ314" s="170" t="str">
        <f>LEFT(AB314,3)</f>
        <v>USD</v>
      </c>
      <c r="BA314" s="542">
        <f>IF(OR(A314="REFUND",A314="CANCELLED"),0,IFERROR((IF(OR(AB314="USDAED",LEFT(AB314,3)=RIGHT(AB314,3)),AI314,AG314)-AE314)*-AY314*VLOOKUP(AB314,'FX RATES'!$H$1:$J$26,3,FALSE),0))</f>
        <v>0</v>
      </c>
      <c r="BB314" s="170" t="str">
        <f>RIGHT(AB314,4)</f>
        <v>USDT</v>
      </c>
      <c r="BC314" s="542">
        <f>IF(BA314=0,0,IFERROR(BA314/IF(BB314&lt;&gt;"USD",AI314,1),"???"))</f>
        <v>0</v>
      </c>
      <c r="BD314" s="170">
        <f>IFERROR(-AC314/(IF(OR(AB314="USDAED",LEFT(AB314,3)=RIGHT(AB314,3)),AH314,AG314)-AE314)*BC314,0)</f>
        <v>0</v>
      </c>
      <c r="BE314" s="542">
        <f>BC314-BD314</f>
        <v>0</v>
      </c>
      <c r="BF314" s="170">
        <f>IF(BG314="USD",AU314,IF(BG314=S314,R314,-J314))</f>
        <v>290845.44999999995</v>
      </c>
      <c r="BG314" s="170" t="str">
        <f>LEFT(AJ314,3)</f>
        <v>USD</v>
      </c>
      <c r="BH314" s="542">
        <f>IF(OR(A314="REFUND",A314="CANCELLED"),0,IFERROR((IF(OR(AJ314="USDAED",LEFT(AJ314,3)=RIGHT(AJ314,3)),AQ314,AO314)-AM314)*-BF314*VLOOKUP(AJ314,'FX RATES'!$H$1:$J$26,3,FALSE),0))</f>
        <v>0</v>
      </c>
      <c r="BI314" s="170" t="str">
        <f>RIGHT(AJ314,3)</f>
        <v>USD</v>
      </c>
      <c r="BJ314" s="542">
        <f>IF(BH314=0,0,IFERROR(BH314/IF(BI314&lt;&gt;"USD",AQ314,1),"???"))</f>
        <v>0</v>
      </c>
      <c r="BK314" s="170">
        <f>IFERROR(-AK314/(IF(OR(AJ314="USDAED",LEFT(AJ314,3)=RIGHT(AJ314,3)),AP314,AO314)-AM314)*BJ314,0)</f>
        <v>0</v>
      </c>
      <c r="BL314" s="542">
        <f>BJ314-BK314</f>
        <v>0</v>
      </c>
      <c r="BM314" s="170">
        <f>IF(AND(ISERROR(SEARCH("REFUND",A314)),ISERROR(SEARCH("CANCELLED",A314))),BD314+BK314,0)</f>
        <v>0</v>
      </c>
      <c r="BN314" s="542">
        <f>IF(AND(ISERROR(SEARCH("REFUND",A314)),ISERROR(SEARCH("CANCELLED",A314))),BE314+BL314,0)</f>
        <v>0</v>
      </c>
    </row>
    <row r="315" spans="1:66" ht="19.5" customHeight="1">
      <c r="J315" s="450"/>
    </row>
    <row r="316" spans="1:66" ht="19.5" customHeight="1">
      <c r="A316" s="167" t="s">
        <v>366</v>
      </c>
      <c r="B316" s="168" t="s">
        <v>39</v>
      </c>
      <c r="C316" s="168" t="s">
        <v>367</v>
      </c>
      <c r="D316" s="168" t="s">
        <v>368</v>
      </c>
      <c r="E316" s="171">
        <v>46052</v>
      </c>
      <c r="F316" s="171"/>
      <c r="G316" s="168" t="s">
        <v>39</v>
      </c>
      <c r="H316" s="168" t="s">
        <v>506</v>
      </c>
      <c r="I316" s="169">
        <v>-700000</v>
      </c>
      <c r="J316" s="170">
        <f>IF(I316="",AR316,I316)</f>
        <v>-700000</v>
      </c>
      <c r="K316" s="168" t="s">
        <v>5</v>
      </c>
      <c r="L316" s="171" t="s">
        <v>507</v>
      </c>
      <c r="M316" s="168" t="s">
        <v>20</v>
      </c>
      <c r="N316" s="167" t="s">
        <v>371</v>
      </c>
      <c r="O316" s="168" t="s">
        <v>39</v>
      </c>
      <c r="P316" s="168" t="s">
        <v>506</v>
      </c>
      <c r="Q316" s="169"/>
      <c r="R316" s="170">
        <f>IF(Q316="",AS316,Q316)</f>
        <v>53291457.286432162</v>
      </c>
      <c r="S316" s="168" t="s">
        <v>9</v>
      </c>
      <c r="T316" s="171" t="s">
        <v>439</v>
      </c>
      <c r="U316" s="168" t="s">
        <v>374</v>
      </c>
      <c r="V316" s="167" t="s">
        <v>371</v>
      </c>
      <c r="W316" s="172" t="s">
        <v>389</v>
      </c>
      <c r="X316" s="173">
        <f>IF(Y316="",VLOOKUP(H316,CLIENTS!$A$1:$O$649,5,FALSE),Y316)</f>
        <v>0</v>
      </c>
      <c r="Y316" s="174">
        <v>0</v>
      </c>
      <c r="Z316" s="173">
        <f>IF(AA316="",VLOOKUP(P316,CLIENTS!$A$1:$O$649,5,FALSE),AA316)</f>
        <v>5.0000000000000001E-3</v>
      </c>
      <c r="AA316" s="174">
        <v>5.0000000000000001E-3</v>
      </c>
      <c r="AB316" s="173" t="str">
        <f>IF(W316="via USD",IF(K316="EUR",K316&amp;"USD","USD"&amp;K316),IFERROR(VLOOKUP(K316&amp;S316,'FX RATES'!$H$2:$H$20,1,FALSE),S316&amp;K316))</f>
        <v>USDRUB</v>
      </c>
      <c r="AC316" s="175">
        <f>IF(LEFT(AB316,3)=RIGHT(AB316,3),0,IFERROR(INDEX(CLIENTS!$A$1:$O$649,MATCH(H316,CLIENTS!$A$1:$A$649,0),MATCH(AB316,CLIENTS!$A$1:$O$1,0)),0))</f>
        <v>0</v>
      </c>
      <c r="AD316" s="176"/>
      <c r="AE316" s="177" t="str">
        <f>IF(W316="CLIENT","",IF(AD316="",AH316+AC316,AD316+AC316))</f>
        <v/>
      </c>
      <c r="AF316" s="177" t="str">
        <f>E316&amp;AB316</f>
        <v>46052USDRUB</v>
      </c>
      <c r="AG316" s="176">
        <v>75.7</v>
      </c>
      <c r="AH316" s="178">
        <f ca="1">IF(LEFT(AB316,3)=RIGHT(AB316,3),1,VLOOKUP(AB316,'FX RATES'!$H$1:$I$20,2,FALSE))</f>
        <v>76.720500000000001</v>
      </c>
      <c r="AI316" s="178">
        <f>IF(OR(AB316="USDAED",LEFT(AB316,3)=RIGHT(AB316,3)),AH316,IF(LEFT(AB316)="USD",AG316,IF(RIGHT(AB316,3)="USD",1,IFERROR(VLOOKUP(E316&amp;"USD"&amp;RIGHT(AB316,3),$AF:$AG,2,FALSE),VLOOKUP(E316&amp;"USD"&amp;RIGHT(AJ316,3),$AN:$AO,2,FALSE)))))</f>
        <v>75.7</v>
      </c>
      <c r="AJ316" s="173" t="str">
        <f>IF(W316="via USD",IF(S316="EUR",S316&amp;"USD","USD"&amp;S316),IFERROR(VLOOKUP(K316&amp;S316,'FX RATES'!$H$2:$H$20,1,FALSE),S316&amp;K316))</f>
        <v>USDRUB</v>
      </c>
      <c r="AK316" s="175">
        <f>IF(LEFT(AJ316,3)=RIGHT(AJ316,3),0,IFERROR(INDEX(CLIENTS!$A$1:$O$649,MATCH(P316,CLIENTS!$A$1:$A$649,0),MATCH(AJ316,CLIENTS!$A$1:$O$1,0)),0))</f>
        <v>0</v>
      </c>
      <c r="AL316" s="176">
        <v>75.75</v>
      </c>
      <c r="AM316" s="177">
        <f>IF(W316="VENDOR","",IF(AL316="",AP316+AK316,AL316+AK316))</f>
        <v>75.75</v>
      </c>
      <c r="AN316" s="177" t="str">
        <f>E316&amp;AJ316</f>
        <v>46052USDRUB</v>
      </c>
      <c r="AO316" s="176">
        <v>75.7</v>
      </c>
      <c r="AP316" s="178">
        <f ca="1">IF(LEFT(AJ316,3)=RIGHT(AJ316,3),1,VLOOKUP(AJ316,'FX RATES'!$H$1:$I$20,2,FALSE))</f>
        <v>76.720500000000001</v>
      </c>
      <c r="AQ316" s="178">
        <f>IF(OR(AJ316="USDAED",LEFT(AJ316,3)=RIGHT(AJ316,3)),AP316,IF(LEFT(AJ316)="USD",AO316,IF(RIGHT(AJ316,3)="USD",1,IFERROR(VLOOKUP(E316&amp;"USD"&amp;RIGHT(AJ316,3),$AN:$AO,2,FALSE),VLOOKUP(E316&amp;"USD"&amp;RIGHT(AB316,3),$AF:$AG,2,FALSE)))))</f>
        <v>75.7</v>
      </c>
      <c r="AR316" s="179">
        <f>-Q316*(1-Z316)/(1+X316)*IF(W316="CLIENT",IF(S316=RIGHT(AJ316,3),1/AM316,AM316),IF(W316="VENDOR",IF(S316=RIGHT(AJ316,3),1/AE316,AE316),AE316^(VLOOKUP(AB316,'FX RATES'!$H$1:$J$26,3,FALSE))/AM316^(VLOOKUP(AJ316,'FX RATES'!$H$1:$J$26,3,FALSE))))</f>
        <v>0</v>
      </c>
      <c r="AS316" s="179">
        <f>-I316*(1+X316)/(1-Z316)*IF(W316="VENDOR",IF(K316=RIGHT(AB316,3),1/AE316,AE316),IF(W316="CLIENT",IF(K316=RIGHT(AB316,3),1/AM316,AM316),AM316^(VLOOKUP(AJ316,'FX RATES'!$H$1:$J$26,3,FALSE))/AE316^(VLOOKUP(AB316,'FX RATES'!$H$1:$J$26,3,FALSE))))</f>
        <v>53291457.286432162</v>
      </c>
      <c r="AT316" s="170">
        <f>IF(AB316&lt;&gt;AJ316,J316/IF(K316=RIGHT(AB316,3),AE316,1/AE316),IF(S316="USD",J316/IF(K316=RIGHT(AB316,3),IF(W316="CLIENT",AM316,AE316),1/IF(W316="CLIENT",AM316,AE316)),J316*VLOOKUP(K316,'FX RATES'!$E$1:$F$10,2,FALSE)))</f>
        <v>-700000</v>
      </c>
      <c r="AU316" s="170">
        <f>IF(AB316&lt;&gt;AJ316,R316/IF(S316=RIGHT(AJ316,3),AM316,1/AM316),IF(K316="USD",R316/IF(S316=RIGHT(AJ316,3),IF(W316="CLIENT",AM316,AE316),1/IF(W316="CLIENT",AM316,AE316)),R316*VLOOKUP(S316,'FX RATES'!$E$1:$F$10,2,FALSE)))</f>
        <v>703517.58793969848</v>
      </c>
      <c r="AV316" s="170">
        <f>AT316+AU316</f>
        <v>3517.5879396984819</v>
      </c>
      <c r="AW316" s="169"/>
      <c r="AX316" s="170">
        <f>IF(AND(ISERROR(SEARCH("INVOICE",T316)),ISERROR(SEARCH("SWITCH",T316)),ISERROR(SEARCH("FOREX",T316)),ISERROR(SEARCH("REFUND",A316)),ISERROR(SEARCH("CANCELLED",A316))),IF(AW316="",-AT316*X316+AU316*Z316,AW316),0)</f>
        <v>3517.5879396984924</v>
      </c>
      <c r="AY316" s="170">
        <f>IF(AZ316="USD",AT316,IF(AZ316=K316,J316,-R316))</f>
        <v>-700000</v>
      </c>
      <c r="AZ316" s="170" t="str">
        <f>LEFT(AB316,3)</f>
        <v>USD</v>
      </c>
      <c r="BA316" s="542">
        <f>IF(OR(A316="REFUND",A316="CANCELLED"),0,IFERROR((IF(OR(AB316="USDAED",LEFT(AB316,3)=RIGHT(AB316,3)),AI316,AG316)-AE316)*-AY316*VLOOKUP(AB316,'FX RATES'!$H$1:$J$26,3,FALSE),0))</f>
        <v>0</v>
      </c>
      <c r="BB316" s="170" t="str">
        <f>RIGHT(AB316,3)</f>
        <v>RUB</v>
      </c>
      <c r="BC316" s="542">
        <f>IF(BA316=0,0,IFERROR(BA316/IF(BB316&lt;&gt;"USD",AI316,1),"???"))</f>
        <v>0</v>
      </c>
      <c r="BD316" s="170">
        <f>IFERROR(-AC316/(IF(OR(AB316="USDAED",LEFT(AB316,3)=RIGHT(AB316,3)),AH316,AG316)-AE316)*BC316,0)</f>
        <v>0</v>
      </c>
      <c r="BE316" s="542">
        <f>BC316-BD316</f>
        <v>0</v>
      </c>
      <c r="BF316" s="170">
        <f>IF(BG316="USD",AU316,IF(BG316=S316,R316,-J316))</f>
        <v>703517.58793969848</v>
      </c>
      <c r="BG316" s="170" t="str">
        <f>LEFT(AJ316,3)</f>
        <v>USD</v>
      </c>
      <c r="BH316" s="542">
        <f>IF(OR(A316="REFUND",A316="CANCELLED"),0,IFERROR((IF(OR(AJ316="USDAED",LEFT(AJ316,3)=RIGHT(AJ316,3)),AQ316,AO316)-AM316)*-BF316*VLOOKUP(AJ316,'FX RATES'!$H$1:$J$26,3,FALSE),0))</f>
        <v>35175.879396982928</v>
      </c>
      <c r="BI316" s="170" t="str">
        <f>RIGHT(AJ316,3)</f>
        <v>RUB</v>
      </c>
      <c r="BJ316" s="542">
        <f>IF(BH316=0,0,IFERROR(BH316/IF(BI316&lt;&gt;"USD",AQ316,1),"???"))</f>
        <v>464.67476085842702</v>
      </c>
      <c r="BK316" s="170">
        <f>IFERROR(-AK316/(IF(OR(AJ316="USDAED",LEFT(AJ316,3)=RIGHT(AJ316,3)),AP316,AO316)-AM316)*BJ316,0)</f>
        <v>0</v>
      </c>
      <c r="BL316" s="542">
        <f>BJ316-BK316</f>
        <v>464.67476085842702</v>
      </c>
      <c r="BM316" s="170">
        <f>IF(AND(ISERROR(SEARCH("REFUND",A316)),ISERROR(SEARCH("CANCELLED",A316))),BD316+BK316,0)</f>
        <v>0</v>
      </c>
      <c r="BN316" s="542">
        <f>IF(AND(ISERROR(SEARCH("REFUND",A316)),ISERROR(SEARCH("CANCELLED",A316))),BE316+BL316,0)</f>
        <v>464.67476085842702</v>
      </c>
    </row>
    <row r="317" spans="1:66" ht="19.5" customHeight="1">
      <c r="A317" s="167" t="s">
        <v>366</v>
      </c>
      <c r="B317" s="168" t="s">
        <v>39</v>
      </c>
      <c r="C317" s="168" t="s">
        <v>367</v>
      </c>
      <c r="D317" s="168" t="s">
        <v>368</v>
      </c>
      <c r="E317" s="171">
        <v>46052</v>
      </c>
      <c r="F317" s="171"/>
      <c r="G317" s="168" t="s">
        <v>39</v>
      </c>
      <c r="H317" s="168" t="s">
        <v>393</v>
      </c>
      <c r="I317" s="169">
        <f>-11790.7401863332-2020.2</f>
        <v>-13810.9401863332</v>
      </c>
      <c r="J317" s="170">
        <f>IF(I317="",AR317,I317)</f>
        <v>-13810.9401863332</v>
      </c>
      <c r="K317" s="168" t="s">
        <v>5</v>
      </c>
      <c r="L317" s="171" t="s">
        <v>378</v>
      </c>
      <c r="M317" s="168" t="s">
        <v>20</v>
      </c>
      <c r="N317" s="167" t="s">
        <v>371</v>
      </c>
      <c r="O317" s="168" t="s">
        <v>39</v>
      </c>
      <c r="P317" s="168" t="s">
        <v>554</v>
      </c>
      <c r="Q317" s="169">
        <v>902711.18</v>
      </c>
      <c r="R317" s="170">
        <f>IF(Q317="",AS317,Q317)</f>
        <v>902711.18</v>
      </c>
      <c r="S317" s="168" t="s">
        <v>9</v>
      </c>
      <c r="T317" s="171" t="s">
        <v>25</v>
      </c>
      <c r="U317" s="168" t="s">
        <v>374</v>
      </c>
      <c r="V317" s="167" t="s">
        <v>371</v>
      </c>
      <c r="W317" s="172" t="s">
        <v>389</v>
      </c>
      <c r="X317" s="173">
        <f>IF(Y317="",VLOOKUP(H317,CLIENTS!$A$1:$O$649,5,FALSE),Y317)</f>
        <v>0</v>
      </c>
      <c r="Y317" s="174">
        <v>0</v>
      </c>
      <c r="Z317" s="173">
        <f>IF(AA317="",VLOOKUP(P317,CLIENTS!$A$1:$O$649,5,FALSE),AA317)</f>
        <v>7.0000000000000001E-3</v>
      </c>
      <c r="AA317" s="174">
        <v>7.0000000000000001E-3</v>
      </c>
      <c r="AB317" s="173" t="str">
        <f>IF(W317="via USD",IF(K317="EUR",K317&amp;"USD","USD"&amp;K317),IFERROR(VLOOKUP(K317&amp;S317,'FX RATES'!$H$2:$H$20,1,FALSE),S317&amp;K317))</f>
        <v>USDRUB</v>
      </c>
      <c r="AC317" s="175">
        <f>IF(LEFT(AB317,3)=RIGHT(AB317,3),0,IFERROR(INDEX(CLIENTS!$A$1:$O$649,MATCH(H317,CLIENTS!$A$1:$A$649,0),MATCH(AB317,CLIENTS!$A$1:$O$1,0)),0))</f>
        <v>0</v>
      </c>
      <c r="AD317" s="176"/>
      <c r="AE317" s="177" t="str">
        <f>IF(W317="CLIENT","",IF(AD317="",AH317+AC317,AD317+AC317))</f>
        <v/>
      </c>
      <c r="AF317" s="177" t="str">
        <f>E317&amp;AB317</f>
        <v>46052USDRUB</v>
      </c>
      <c r="AG317" s="176"/>
      <c r="AH317" s="178">
        <f ca="1">IF(LEFT(AB317,3)=RIGHT(AB317,3),1,VLOOKUP(AB317,'FX RATES'!$H$1:$I$20,2,FALSE))</f>
        <v>76.720500000000001</v>
      </c>
      <c r="AI317" s="178">
        <f>IF(OR(AB317="USDAED",LEFT(AB317,3)=RIGHT(AB317,3)),AH317,IF(LEFT(AB317)="USD",AG317,IF(RIGHT(AB317,3)="USD",1,IFERROR(VLOOKUP(E317&amp;"USD"&amp;RIGHT(AB317,3),$AF:$AG,2,FALSE),VLOOKUP(E317&amp;"USD"&amp;RIGHT(AJ317,3),$AN:$AO,2,FALSE)))))</f>
        <v>75.7</v>
      </c>
      <c r="AJ317" s="173" t="str">
        <f>IF(W317="via USD",IF(S317="EUR",S317&amp;"USD","USD"&amp;S317),IFERROR(VLOOKUP(K317&amp;S317,'FX RATES'!$H$2:$H$20,1,FALSE),S317&amp;K317))</f>
        <v>USDRUB</v>
      </c>
      <c r="AK317" s="175">
        <f>IF(LEFT(AJ317,3)=RIGHT(AJ317,3),0,IFERROR(INDEX(CLIENTS!$A$1:$O$649,MATCH(P317,CLIENTS!$A$1:$A$649,0),MATCH(AJ317,CLIENTS!$A$1:$O$1,0)),0))</f>
        <v>0</v>
      </c>
      <c r="AL317" s="176">
        <v>76.025099999999995</v>
      </c>
      <c r="AM317" s="177">
        <f>IF(W317="VENDOR","",IF(AL317="",AP317+AK317,AL317+AK317))</f>
        <v>76.025099999999995</v>
      </c>
      <c r="AN317" s="177" t="str">
        <f>E317&amp;AJ317</f>
        <v>46052USDRUB</v>
      </c>
      <c r="AO317" s="176">
        <v>75.7</v>
      </c>
      <c r="AP317" s="178">
        <f ca="1">IF(LEFT(AJ317,3)=RIGHT(AJ317,3),1,VLOOKUP(AJ317,'FX RATES'!$H$1:$I$20,2,FALSE))</f>
        <v>76.720500000000001</v>
      </c>
      <c r="AQ317" s="178">
        <f>IF(OR(AJ317="USDAED",LEFT(AJ317,3)=RIGHT(AJ317,3)),AP317,IF(LEFT(AJ317)="USD",AO317,IF(RIGHT(AJ317,3)="USD",1,IFERROR(VLOOKUP(E317&amp;"USD"&amp;RIGHT(AJ317,3),$AN:$AO,2,FALSE),VLOOKUP(E317&amp;"USD"&amp;RIGHT(AB317,3),$AF:$AG,2,FALSE)))))</f>
        <v>75.7</v>
      </c>
      <c r="AR317" s="179">
        <f>-Q317*(1-Z317)/(1+X317)*IF(W317="CLIENT",IF(S317=RIGHT(AJ317,3),1/AM317,AM317),IF(W317="VENDOR",IF(S317=RIGHT(AJ317,3),1/AE317,AE317),AE317^(VLOOKUP(AB317,'FX RATES'!$H$1:$J$26,3,FALSE))/AM317^(VLOOKUP(AJ317,'FX RATES'!$H$1:$J$26,3,FALSE))))</f>
        <v>-11790.7401863332</v>
      </c>
      <c r="AS317" s="179">
        <f>-I317*(1+X317)/(1-Z317)*IF(W317="VENDOR",IF(K317=RIGHT(AB317,3),1/AE317,AE317),IF(W317="CLIENT",IF(K317=RIGHT(AB317,3),1/AM317,AM317),AM317^(VLOOKUP(AJ317,'FX RATES'!$H$1:$J$26,3,FALSE))/AE317^(VLOOKUP(AB317,'FX RATES'!$H$1:$J$26,3,FALSE))))</f>
        <v>1057379.7671299095</v>
      </c>
      <c r="AT317" s="170">
        <f>IF(AB317&lt;&gt;AJ317,J317/IF(K317=RIGHT(AB317,3),AE317,1/AE317),IF(S317="USD",J317/IF(K317=RIGHT(AB317,3),IF(W317="CLIENT",AM317,AE317),1/IF(W317="CLIENT",AM317,AE317)),J317*VLOOKUP(K317,'FX RATES'!$E$1:$F$10,2,FALSE)))</f>
        <v>-13810.9401863332</v>
      </c>
      <c r="AU317" s="170">
        <f>IF(AB317&lt;&gt;AJ317,R317/IF(S317=RIGHT(AJ317,3),AM317,1/AM317),IF(K317="USD",R317/IF(S317=RIGHT(AJ317,3),IF(W317="CLIENT",AM317,AE317),1/IF(W317="CLIENT",AM317,AE317)),R317*VLOOKUP(S317,'FX RATES'!$E$1:$F$10,2,FALSE)))</f>
        <v>11873.857186639678</v>
      </c>
      <c r="AV317" s="170">
        <f>AT317+AU317</f>
        <v>-1937.0829996935227</v>
      </c>
      <c r="AW317" s="169"/>
      <c r="AX317" s="170">
        <f>IF(AND(ISERROR(SEARCH("INVOICE",T317)),ISERROR(SEARCH("SWITCH",T317)),ISERROR(SEARCH("FOREX",T317)),ISERROR(SEARCH("REFUND",A317)),ISERROR(SEARCH("CANCELLED",A317))),IF(AW317="",-AT317*X317+AU317*Z317,AW317),0)</f>
        <v>83.117000306477749</v>
      </c>
      <c r="AY317" s="170">
        <f>IF(AZ317="USD",AT317,IF(AZ317=K317,J317,-R317))</f>
        <v>-13810.9401863332</v>
      </c>
      <c r="AZ317" s="170" t="str">
        <f>LEFT(AB317,3)</f>
        <v>USD</v>
      </c>
      <c r="BA317" s="542">
        <f>IF(OR(A317="REFUND",A317="CANCELLED"),0,IFERROR((IF(OR(AB317="USDAED",LEFT(AB317,3)=RIGHT(AB317,3)),AI317,AG317)-AE317)*-AY317*VLOOKUP(AB317,'FX RATES'!$H$1:$J$26,3,FALSE),0))</f>
        <v>0</v>
      </c>
      <c r="BB317" s="170" t="str">
        <f>RIGHT(AB317,3)</f>
        <v>RUB</v>
      </c>
      <c r="BC317" s="542">
        <f>IF(BA317=0,0,IFERROR(BA317/IF(BB317&lt;&gt;"USD",AI317,1),"???"))</f>
        <v>0</v>
      </c>
      <c r="BD317" s="170">
        <f>IFERROR(-AC317/(IF(OR(AB317="USDAED",LEFT(AB317,3)=RIGHT(AB317,3)),AH317,AG317)-AE317)*BC317,0)</f>
        <v>0</v>
      </c>
      <c r="BE317" s="542">
        <f>BC317-BD317</f>
        <v>0</v>
      </c>
      <c r="BF317" s="170">
        <f>IF(BG317="USD",AU317,IF(BG317=S317,R317,-J317))</f>
        <v>11873.857186639678</v>
      </c>
      <c r="BG317" s="170" t="str">
        <f>LEFT(AJ317,3)</f>
        <v>USD</v>
      </c>
      <c r="BH317" s="542">
        <f>IF(OR(A317="REFUND",A317="CANCELLED"),0,IFERROR((IF(OR(AJ317="USDAED",LEFT(AJ317,3)=RIGHT(AJ317,3)),AQ317,AO317)-AM317)*-BF317*VLOOKUP(AJ317,'FX RATES'!$H$1:$J$26,3,FALSE),0))</f>
        <v>3860.1909713764635</v>
      </c>
      <c r="BI317" s="170" t="str">
        <f>RIGHT(AJ317,3)</f>
        <v>RUB</v>
      </c>
      <c r="BJ317" s="542">
        <f>IF(BH317=0,0,IFERROR(BH317/IF(BI317&lt;&gt;"USD",AQ317,1),"???"))</f>
        <v>50.993275711710218</v>
      </c>
      <c r="BK317" s="170">
        <f>IFERROR(-AK317/(IF(OR(AJ317="USDAED",LEFT(AJ317,3)=RIGHT(AJ317,3)),AP317,AO317)-AM317)*BJ317,0)</f>
        <v>0</v>
      </c>
      <c r="BL317" s="542">
        <f>BJ317-BK317</f>
        <v>50.993275711710218</v>
      </c>
      <c r="BM317" s="170">
        <f>IF(AND(ISERROR(SEARCH("REFUND",A317)),ISERROR(SEARCH("CANCELLED",A317))),BD317+BK317,0)</f>
        <v>0</v>
      </c>
      <c r="BN317" s="542">
        <f>IF(AND(ISERROR(SEARCH("REFUND",A317)),ISERROR(SEARCH("CANCELLED",A317))),BE317+BL317,0)</f>
        <v>50.993275711710218</v>
      </c>
    </row>
    <row r="318" spans="1:66" ht="19.5" customHeight="1">
      <c r="A318" s="167" t="s">
        <v>366</v>
      </c>
      <c r="B318" s="181" t="s">
        <v>39</v>
      </c>
      <c r="C318" s="181" t="s">
        <v>367</v>
      </c>
      <c r="D318" s="181" t="s">
        <v>418</v>
      </c>
      <c r="E318" s="171">
        <v>46052</v>
      </c>
      <c r="F318" s="171"/>
      <c r="G318" s="181" t="s">
        <v>39</v>
      </c>
      <c r="H318" s="181" t="s">
        <v>428</v>
      </c>
      <c r="I318" s="169"/>
      <c r="J318" s="170">
        <f>IF(I318="",AR318,I318)</f>
        <v>-680664.9076517151</v>
      </c>
      <c r="K318" s="168" t="s">
        <v>5</v>
      </c>
      <c r="L318" s="168" t="s">
        <v>378</v>
      </c>
      <c r="M318" s="168" t="s">
        <v>20</v>
      </c>
      <c r="N318" s="167" t="s">
        <v>371</v>
      </c>
      <c r="O318" s="168" t="s">
        <v>39</v>
      </c>
      <c r="P318" s="168" t="s">
        <v>429</v>
      </c>
      <c r="Q318" s="169">
        <v>52000000</v>
      </c>
      <c r="R318" s="170">
        <f>IF(Q318="",AS318,Q318)</f>
        <v>52000000</v>
      </c>
      <c r="S318" s="168" t="s">
        <v>9</v>
      </c>
      <c r="T318" s="168" t="s">
        <v>391</v>
      </c>
      <c r="U318" s="168" t="s">
        <v>25</v>
      </c>
      <c r="V318" s="167" t="s">
        <v>371</v>
      </c>
      <c r="W318" s="172" t="s">
        <v>375</v>
      </c>
      <c r="X318" s="173">
        <f>IF(Y318="",VLOOKUP(H318,CLIENTS!$A$1:$O$649,5,FALSE),Y318)</f>
        <v>0</v>
      </c>
      <c r="Y318" s="174">
        <v>0</v>
      </c>
      <c r="Z318" s="173">
        <f>IF(AA318="",VLOOKUP(P318,CLIENTS!$A$1:$O$649,5,FALSE),AA318)</f>
        <v>7.7999999999999996E-3</v>
      </c>
      <c r="AA318" s="174">
        <v>7.7999999999999996E-3</v>
      </c>
      <c r="AB318" s="173" t="str">
        <f>IF(W318="via USD",IF(K318="EUR",K318&amp;"USD","USD"&amp;K318),IFERROR(VLOOKUP(K318&amp;S318,'FX RATES'!$H$2:$H$20,1,FALSE),S318&amp;K318))</f>
        <v>USDUSD</v>
      </c>
      <c r="AC318" s="175">
        <f>IF(LEFT(AB318,3)=RIGHT(AB318,3),0,IFERROR(INDEX(CLIENTS!$A$1:$O$649,MATCH(H318,CLIENTS!$A$1:$A$649,0),MATCH(AB318,CLIENTS!$A$1:$O$1,0)),0))</f>
        <v>0</v>
      </c>
      <c r="AD318" s="176"/>
      <c r="AE318" s="177">
        <f>IF(W318="CLIENT","",IF(AD318="",AH318+AC318,AD318+AC318))</f>
        <v>1</v>
      </c>
      <c r="AF318" s="177" t="str">
        <f>E318&amp;AB318</f>
        <v>46052USDUSD</v>
      </c>
      <c r="AG318" s="176"/>
      <c r="AH318" s="178">
        <f>IF(LEFT(AB318,3)=RIGHT(AB318,3),1,VLOOKUP(AB318,'FX RATES'!$H$1:$I$20,2,FALSE))</f>
        <v>1</v>
      </c>
      <c r="AI318" s="178">
        <f>IF(OR(AB318="USDAED",LEFT(AB318,3)=RIGHT(AB318,3)),AH318,IF(LEFT(AB318)="USD",AG318,IF(RIGHT(AB318,3)="USD",1,IFERROR(VLOOKUP(E318&amp;"USD"&amp;RIGHT(AB318,3),$AF:$AG,2,FALSE),VLOOKUP(E318&amp;"USD"&amp;RIGHT(AJ318,3),$AN:$AO,2,FALSE)))))</f>
        <v>1</v>
      </c>
      <c r="AJ318" s="173" t="str">
        <f>IF(W318="via USD",IF(S318="EUR",S318&amp;"USD","USD"&amp;S318),IFERROR(VLOOKUP(K318&amp;S318,'FX RATES'!$H$2:$H$20,1,FALSE),S318&amp;K318))</f>
        <v>USDRUB</v>
      </c>
      <c r="AK318" s="175">
        <f>IF(LEFT(AJ318,3)=RIGHT(AJ318,3),0,IFERROR(INDEX(CLIENTS!$A$1:$O$649,MATCH(P318,CLIENTS!$A$1:$A$649,0),MATCH(AJ318,CLIENTS!$A$1:$O$1,0)),0))</f>
        <v>0</v>
      </c>
      <c r="AL318" s="176">
        <v>75.8</v>
      </c>
      <c r="AM318" s="177">
        <f>IF(W318="VENDOR","",IF(AL318="",AP318+AK318,AL318+AK318))</f>
        <v>75.8</v>
      </c>
      <c r="AN318" s="177" t="str">
        <f>E318&amp;AJ318</f>
        <v>46052USDRUB</v>
      </c>
      <c r="AO318" s="176">
        <v>75.7</v>
      </c>
      <c r="AP318" s="178">
        <f ca="1">IF(LEFT(AJ318,3)=RIGHT(AJ318,3),1,VLOOKUP(AJ318,'FX RATES'!$H$1:$I$50,2,FALSE))</f>
        <v>76.720500000000001</v>
      </c>
      <c r="AQ318" s="178">
        <f>IF(OR(AJ318="USDAED",LEFT(AJ318,3)=RIGHT(AJ318,3),AJ318="USDUSDT",AJ318="USDTUSD"),AP318,IF(LEFT(AJ318)="USD",AO318,IF(RIGHT(AJ318,3)="USD",1,IFERROR(VLOOKUP(E318&amp;"USD"&amp;RIGHT(AJ318,3),$AN:$AO,2,FALSE),VLOOKUP(E318&amp;"USD"&amp;RIGHT(AB318,3),$AF:$AG,2,FALSE)))))</f>
        <v>75.7</v>
      </c>
      <c r="AR318" s="179">
        <f>-Q318*(1-Z318)/(1+X318)*IF(W318="CLIENT",IF(S318=RIGHT(AJ318,3),1/AM318,AM318),IF(W318="VENDOR",IF(S318=RIGHT(AJ318,3),1/AE318,AE318),AE318^(VLOOKUP(AB318,'FX RATES'!$H$1:$J$26,3,FALSE))/AM318^(VLOOKUP(AJ318,'FX RATES'!$H$1:$J$26,3,FALSE))))</f>
        <v>-680664.9076517151</v>
      </c>
      <c r="AS318" s="179">
        <f>-I318*(1+X318)/(1-Z318)*IF(W318="VENDOR",IF(K318=RIGHT(AB318,3),1/AE318,AE318),IF(W318="CLIENT",IF(K318=RIGHT(AB318,3),1/AM318,AM318),AM318^(VLOOKUP(AJ318,'FX RATES'!$H$1:$J$26,3,FALSE))/AE318^(VLOOKUP(AB318,'FX RATES'!$H$1:$J$26,3,FALSE))))</f>
        <v>0</v>
      </c>
      <c r="AT318" s="170">
        <f>IF(AB318&lt;&gt;AJ318,J318/IF(K318=RIGHT(AB318,3),AE318,1/AE318),IF(S318="USD",J318/IF(K318=RIGHT(AB318,3),IF(W318="CLIENT",AM318,AE318),1/IF(W318="CLIENT",AM318,AE318)),J318*VLOOKUP(K318,'FX RATES'!$E$1:$F$10,2,FALSE)))</f>
        <v>-680664.9076517151</v>
      </c>
      <c r="AU318" s="170">
        <f>IF(AB318&lt;&gt;AJ318,R318/IF(S318=RIGHT(AJ318,3),AM318,1/AM318),IF(K318="USD",R318/IF(S318=RIGHT(AJ318,3),IF(W318="CLIENT",AM318,AE318),1/IF(W318="CLIENT",AM318,AE318)),R318*VLOOKUP(S318,'FX RATES'!$E$1:$F$10,2,FALSE)))</f>
        <v>686015.83113456471</v>
      </c>
      <c r="AV318" s="170">
        <f>AT318+AU318</f>
        <v>5350.9234828496119</v>
      </c>
      <c r="AW318" s="169"/>
      <c r="AX318" s="170">
        <f>IF(AND(ISERROR(SEARCH("INVOICE",T318)),ISERROR(SEARCH("SWITCH",T318)),ISERROR(SEARCH("FOREX",T318)),ISERROR(SEARCH("REFUND",A318)),ISERROR(SEARCH("CANCELLED",A318))),IF(AW318="",-AT318*X318+AU318*Z318,AW318),0)</f>
        <v>5350.9234828496046</v>
      </c>
      <c r="AY318" s="170">
        <f>IF(AZ318="USD",AT318,IF(AZ318=K318,J318,-R318))</f>
        <v>-680664.9076517151</v>
      </c>
      <c r="AZ318" s="170" t="str">
        <f>LEFT(AB318,3)</f>
        <v>USD</v>
      </c>
      <c r="BA318" s="542">
        <f>IF(OR(A318="REFUND",A318="CANCELLED"),0,IFERROR((IF(OR(AB318="USDAED",LEFT(AB318,3)=RIGHT(AB318,3)),AI318,AG318)-AE318)*-AY318*VLOOKUP(AB318,'FX RATES'!$H$1:$J$26,3,FALSE),0))</f>
        <v>0</v>
      </c>
      <c r="BB318" s="170" t="str">
        <f>RIGHT(AB318,3)</f>
        <v>USD</v>
      </c>
      <c r="BC318" s="542">
        <f>IF(BA318=0,0,IFERROR(BA318/IF(BB318&lt;&gt;"USD",AI318,1),"???"))</f>
        <v>0</v>
      </c>
      <c r="BD318" s="170">
        <f>IFERROR(-AC318/(IF(OR(AB318="USDAED",LEFT(AB318,3)=RIGHT(AB318,3)),AH318,AG318)-AE318)*BC318,0)</f>
        <v>0</v>
      </c>
      <c r="BE318" s="542">
        <f>BC318-BD318</f>
        <v>0</v>
      </c>
      <c r="BF318" s="170">
        <f>IF(BG318="USD",AU318,IF(BG318=S318,R318,-J318))</f>
        <v>686015.83113456471</v>
      </c>
      <c r="BG318" s="170" t="str">
        <f>LEFT(AJ318,3)</f>
        <v>USD</v>
      </c>
      <c r="BH318" s="542">
        <f>IF(OR(A318="REFUND",A318="CANCELLED"),0,IFERROR((IF(OR(AJ318="USDAED",LEFT(AJ318,3)=RIGHT(AJ318,3),AJ318="USDUSDT",AJ318="USDTUSD"),AQ318,AO318)-AM318)*-BF318*VLOOKUP(AJ318,'FX RATES'!$H$1:$J$26,3,FALSE),0))</f>
        <v>68601.583113452565</v>
      </c>
      <c r="BI318" s="170" t="str">
        <f>RIGHT(AJ318,3)</f>
        <v>RUB</v>
      </c>
      <c r="BJ318" s="542">
        <f>IF(BH318=0,0,IFERROR(BH318/IF(BI318&lt;&gt;"USD",AQ318,1),"???"))</f>
        <v>906.22963161760322</v>
      </c>
      <c r="BK318" s="170">
        <f>IFERROR(-AK318/(IF(OR(AJ318="USDAED",LEFT(AJ318,3)=RIGHT(AJ318,3)),AP318,AO318)-AM318)*BJ318,0)</f>
        <v>0</v>
      </c>
      <c r="BL318" s="542">
        <f>BJ318-BK318</f>
        <v>906.22963161760322</v>
      </c>
      <c r="BM318" s="170">
        <f>IF(AND(ISERROR(SEARCH("REFUND",A318)),ISERROR(SEARCH("CANCELLED",A318))),BD318+BK318,0)</f>
        <v>0</v>
      </c>
      <c r="BN318" s="542">
        <f>IF(AND(ISERROR(SEARCH("REFUND",A318)),ISERROR(SEARCH("CANCELLED",A318))),BE318+BL318,0)</f>
        <v>906.22963161760322</v>
      </c>
    </row>
    <row r="319" spans="1:66" ht="19.5" customHeight="1">
      <c r="A319" s="167" t="s">
        <v>366</v>
      </c>
      <c r="B319" s="168" t="s">
        <v>39</v>
      </c>
      <c r="C319" s="168" t="s">
        <v>383</v>
      </c>
      <c r="D319" s="168" t="s">
        <v>128</v>
      </c>
      <c r="E319" s="171">
        <v>46052</v>
      </c>
      <c r="F319" s="171"/>
      <c r="G319" s="168" t="s">
        <v>39</v>
      </c>
      <c r="H319" s="168" t="s">
        <v>384</v>
      </c>
      <c r="I319" s="169">
        <v>-106194000</v>
      </c>
      <c r="J319" s="170">
        <f>IF(I319="",AR319,I319)</f>
        <v>-106194000</v>
      </c>
      <c r="K319" s="168" t="s">
        <v>9</v>
      </c>
      <c r="L319" s="171" t="s">
        <v>374</v>
      </c>
      <c r="M319" s="168" t="s">
        <v>374</v>
      </c>
      <c r="N319" s="167" t="s">
        <v>371</v>
      </c>
      <c r="O319" s="168" t="s">
        <v>39</v>
      </c>
      <c r="P319" s="349" t="s">
        <v>384</v>
      </c>
      <c r="Q319" s="169"/>
      <c r="R319" s="170">
        <f>IF(Q319="",AS319,Q319)</f>
        <v>5152547.3071324602</v>
      </c>
      <c r="S319" s="168" t="s">
        <v>8</v>
      </c>
      <c r="T319" s="171" t="s">
        <v>385</v>
      </c>
      <c r="U319" s="168" t="s">
        <v>20</v>
      </c>
      <c r="V319" s="167" t="s">
        <v>371</v>
      </c>
      <c r="W319" s="172" t="s">
        <v>382</v>
      </c>
      <c r="X319" s="173">
        <f>IF(Y319="",VLOOKUP(H319,CLIENTS!$A$1:$O$649,5,FALSE),Y319)</f>
        <v>0</v>
      </c>
      <c r="Y319" s="174">
        <v>0</v>
      </c>
      <c r="Z319" s="173">
        <f>IF(AA319="",VLOOKUP(P319,CLIENTS!$A$1:$O$649,5,FALSE),AA319)</f>
        <v>0</v>
      </c>
      <c r="AA319" s="174">
        <v>0</v>
      </c>
      <c r="AB319" s="173" t="str">
        <f>IF(W319="via USD",IF(K319="EUR",K319&amp;"USD","USD"&amp;K319),IFERROR(VLOOKUP(K319&amp;S319,'FX RATES'!$H$2:$H$20,1,FALSE),S319&amp;K319))</f>
        <v>AEDRUB</v>
      </c>
      <c r="AC319" s="175">
        <f>IF(LEFT(AB319,3)=RIGHT(AB319,3),0,IFERROR(INDEX(CLIENTS!$A$1:$O$649,MATCH(H319,CLIENTS!$A$1:$A$649,0),MATCH(AB319,CLIENTS!$A$1:$O$1,0)),0))</f>
        <v>0</v>
      </c>
      <c r="AD319" s="176">
        <v>20.61</v>
      </c>
      <c r="AE319" s="177">
        <f>IF(W319="CLIENT","",IF(AD319="",AH319+AC319,AD319+AC319))</f>
        <v>20.61</v>
      </c>
      <c r="AF319" s="177" t="str">
        <f>E319&amp;AB319</f>
        <v>46052AEDRUB</v>
      </c>
      <c r="AG319" s="176">
        <v>20.6126</v>
      </c>
      <c r="AH319" s="178">
        <f ca="1">IF(LEFT(AB319,3)=RIGHT(AB319,3),1,VLOOKUP(AB319,'FX RATES'!$H$1:$I$20,2,FALSE))</f>
        <v>20.8843</v>
      </c>
      <c r="AI319" s="178">
        <f>IF(OR(AB319="USDAED",LEFT(AB319,3)=RIGHT(AB319,3)),AH319,IF(LEFT(AB319)="USD",AG319,IF(RIGHT(AB319,3)="USD",1,IFERROR(VLOOKUP(E319&amp;"USD"&amp;RIGHT(AB319,3),$AF:$AG,2,FALSE),VLOOKUP(E319&amp;"USD"&amp;RIGHT(AJ319,3),$AN:$AO,2,FALSE)))))</f>
        <v>75.7</v>
      </c>
      <c r="AJ319" s="173" t="str">
        <f>IF(W319="via USD",IF(S319="EUR",S319&amp;"USD","USD"&amp;S319),IFERROR(VLOOKUP(K319&amp;S319,'FX RATES'!$H$2:$H$20,1,FALSE),S319&amp;K319))</f>
        <v>AEDRUB</v>
      </c>
      <c r="AK319" s="175">
        <f>IF(LEFT(AJ319,3)=RIGHT(AJ319,3),0,IFERROR(INDEX(CLIENTS!$A$1:$O$649,MATCH(P319,CLIENTS!$A$1:$A$649,0),MATCH(AJ319,CLIENTS!$A$1:$O$1,0)),0))</f>
        <v>0</v>
      </c>
      <c r="AL319" s="176"/>
      <c r="AM319" s="177" t="str">
        <f>IF(W319="VENDOR","",IF(AL319="",AP319+AK319,AL319+AK319))</f>
        <v/>
      </c>
      <c r="AN319" s="177" t="str">
        <f>E319&amp;AJ319</f>
        <v>46052AEDRUB</v>
      </c>
      <c r="AO319" s="176"/>
      <c r="AP319" s="178">
        <f ca="1">IF(LEFT(AJ319,3)=RIGHT(AJ319,3),1,VLOOKUP(AJ319,'FX RATES'!$H$1:$I$20,2,FALSE))</f>
        <v>20.8843</v>
      </c>
      <c r="AQ319" s="178">
        <f>IF(OR(AJ319="USDAED",LEFT(AJ319,3)=RIGHT(AJ319,3)),AP319,IF(LEFT(AJ319)="USD",AO319,IF(RIGHT(AJ319,3)="USD",1,IFERROR(VLOOKUP(E319&amp;"USD"&amp;RIGHT(AJ319,3),$AN:$AO,2,FALSE),VLOOKUP(E319&amp;"USD"&amp;RIGHT(AB319,3),$AF:$AG,2,FALSE)))))</f>
        <v>75.7</v>
      </c>
      <c r="AR319" s="179">
        <f>-Q319*(1-Z319)/(1+X319)*IF(W319="CLIENT",IF(S319=RIGHT(AJ319,3),1/AM319,AM319),IF(W319="VENDOR",IF(S319=RIGHT(AJ319,3),1/AE319,AE319),AE319^(VLOOKUP(AB319,'FX RATES'!$H$1:$J$26,3,FALSE))/AM319^(VLOOKUP(AJ319,'FX RATES'!$H$1:$J$26,3,FALSE))))</f>
        <v>0</v>
      </c>
      <c r="AS319" s="179">
        <f>-I319*(1+X319)/(1-Z319)*IF(W319="VENDOR",IF(K319=RIGHT(AB319,3),1/AE319,AE319),IF(W319="CLIENT",IF(K319=RIGHT(AB319,3),1/AM319,AM319),AM319^(VLOOKUP(AJ319,'FX RATES'!$H$1:$J$26,3,FALSE))/AE319^(VLOOKUP(AB319,'FX RATES'!$H$1:$J$26,3,FALSE))))</f>
        <v>5152547.3071324602</v>
      </c>
      <c r="AT319" s="170">
        <f ca="1">IF(AB319&lt;&gt;AJ319,J319/IF(K319=RIGHT(AB319,3),AE319,1/AE319),IF(S319="USD",J319/IF(K319=RIGHT(AB319,3),IF(W319="CLIENT",AM319,AE319),1/IF(W319="CLIENT",AM319,AE319)),J319*VLOOKUP(K319,'FX RATES'!$E$1:$F$10,2,FALSE)))</f>
        <v>-1384167.2043326099</v>
      </c>
      <c r="AU319" s="170">
        <f ca="1">IF(AB319&lt;&gt;AJ319,R319/IF(S319=RIGHT(AJ319,3),AM319,1/AM319),IF(K319="USD",R319/IF(S319=RIGHT(AJ319,3),IF(W319="CLIENT",AM319,AE319),1/IF(W319="CLIENT",AM319,AE319)),R319*VLOOKUP(S319,'FX RATES'!$E$1:$F$10,2,FALSE)))</f>
        <v>1402969.9142657681</v>
      </c>
      <c r="AV319" s="170">
        <f ca="1">AT319+AU319</f>
        <v>18802.709933158243</v>
      </c>
      <c r="AW319" s="169"/>
      <c r="AX319" s="170">
        <f ca="1">IF(AND(ISERROR(SEARCH("INVOICE",T319)),ISERROR(SEARCH("SWITCH",T319)),ISERROR(SEARCH("FOREX",T319)),ISERROR(SEARCH("REFUND",A319)),ISERROR(SEARCH("CANCELLED",A319))),IF(AW319="",-AT319*X319+AU319*Z319,AW319),0)</f>
        <v>0</v>
      </c>
      <c r="AY319" s="170">
        <f>IF(AZ319="USD",AT319,IF(AZ319=K319,J319,-R319))</f>
        <v>-5152547.3071324602</v>
      </c>
      <c r="AZ319" s="170" t="str">
        <f>LEFT(AB319,3)</f>
        <v>AED</v>
      </c>
      <c r="BA319" s="542">
        <f>IF(OR(A319="REFUND",A319="CANCELLED"),0,IFERROR((IF(OR(AB319="USDAED",LEFT(AB319,3)=RIGHT(AB319,3)),AI319,AG319)-AE319)*-AY319*VLOOKUP(AB319,'FX RATES'!$H$1:$J$26,3,FALSE),0))</f>
        <v>13396.622998549785</v>
      </c>
      <c r="BB319" s="170" t="str">
        <f>RIGHT(AB319,3)</f>
        <v>RUB</v>
      </c>
      <c r="BC319" s="542">
        <f>IF(BA319=0,0,IFERROR(BA319/IF(BB319&lt;&gt;"USD",AI319,1),"???"))</f>
        <v>176.96992072060482</v>
      </c>
      <c r="BD319" s="170">
        <f>IFERROR(-AC319/(IF(OR(AB319="USDAED",LEFT(AB319,3)=RIGHT(AB319,3)),AH319,AG319)-AE319)*BC319,0)</f>
        <v>0</v>
      </c>
      <c r="BE319" s="542">
        <f>BC319-BD319</f>
        <v>176.96992072060482</v>
      </c>
      <c r="BF319" s="170">
        <f>IF(BG319="USD",AU319,IF(BG319=S319,R319,-J319))</f>
        <v>5152547.3071324602</v>
      </c>
      <c r="BG319" s="170" t="str">
        <f>LEFT(AJ319,3)</f>
        <v>AED</v>
      </c>
      <c r="BH319" s="542">
        <f>IF(OR(A319="REFUND",A319="CANCELLED"),0,IFERROR((IF(OR(AJ319="USDAED",LEFT(AJ319,3)=RIGHT(AJ319,3)),AQ319,AO319)-AM319)*-BF319*VLOOKUP(AJ319,'FX RATES'!$H$1:$J$26,3,FALSE),0))</f>
        <v>0</v>
      </c>
      <c r="BI319" s="170" t="str">
        <f>RIGHT(AJ319,3)</f>
        <v>RUB</v>
      </c>
      <c r="BJ319" s="542">
        <f>IF(BH319=0,0,IFERROR(BH319/IF(BI319&lt;&gt;"USD",AQ319,1),"???"))</f>
        <v>0</v>
      </c>
      <c r="BK319" s="170">
        <f>IFERROR(-AK319/(IF(OR(AJ319="USDAED",LEFT(AJ319,3)=RIGHT(AJ319,3)),AP319,AO319)-AM319)*BJ319,0)</f>
        <v>0</v>
      </c>
      <c r="BL319" s="542">
        <f>BJ319-BK319</f>
        <v>0</v>
      </c>
      <c r="BM319" s="170">
        <f>IF(AND(ISERROR(SEARCH("REFUND",A319)),ISERROR(SEARCH("CANCELLED",A319))),BD319+BK319,0)</f>
        <v>0</v>
      </c>
      <c r="BN319" s="542">
        <f>IF(AND(ISERROR(SEARCH("REFUND",A319)),ISERROR(SEARCH("CANCELLED",A319))),BE319+BL319,0)</f>
        <v>176.96992072060482</v>
      </c>
    </row>
    <row r="320" spans="1:66" ht="19.5" customHeight="1">
      <c r="A320" s="180"/>
      <c r="E320" s="180"/>
      <c r="F320" s="182"/>
      <c r="L320" s="180"/>
      <c r="M320" s="180"/>
      <c r="N320" s="180"/>
      <c r="O320" s="180"/>
      <c r="P320" s="180"/>
      <c r="V320" s="180"/>
      <c r="W320" s="180"/>
    </row>
    <row r="321" spans="1:66" ht="19.5" customHeight="1">
      <c r="A321" s="167" t="s">
        <v>366</v>
      </c>
      <c r="B321" s="168" t="s">
        <v>39</v>
      </c>
      <c r="C321" s="168" t="s">
        <v>367</v>
      </c>
      <c r="D321" s="168" t="s">
        <v>368</v>
      </c>
      <c r="E321" s="171">
        <v>46052</v>
      </c>
      <c r="F321" s="171"/>
      <c r="G321" s="168" t="s">
        <v>39</v>
      </c>
      <c r="H321" s="168" t="s">
        <v>480</v>
      </c>
      <c r="I321" s="169">
        <v>-500000</v>
      </c>
      <c r="J321" s="170">
        <f>IF(I321="",AR321,I321)</f>
        <v>-500000</v>
      </c>
      <c r="K321" s="168" t="s">
        <v>5</v>
      </c>
      <c r="L321" s="171" t="s">
        <v>511</v>
      </c>
      <c r="M321" s="168" t="s">
        <v>20</v>
      </c>
      <c r="N321" s="167" t="s">
        <v>371</v>
      </c>
      <c r="O321" s="168" t="s">
        <v>39</v>
      </c>
      <c r="P321" s="168" t="s">
        <v>482</v>
      </c>
      <c r="Q321" s="169">
        <v>38396515.149999999</v>
      </c>
      <c r="R321" s="170">
        <f>IF(Q321="",AS321,Q321)</f>
        <v>38396515.149999999</v>
      </c>
      <c r="S321" s="168" t="s">
        <v>9</v>
      </c>
      <c r="T321" s="171" t="s">
        <v>25</v>
      </c>
      <c r="U321" s="168" t="s">
        <v>374</v>
      </c>
      <c r="V321" s="167" t="s">
        <v>371</v>
      </c>
      <c r="W321" s="172" t="s">
        <v>389</v>
      </c>
      <c r="X321" s="173">
        <f>IF(Y321="",VLOOKUP(H321,CLIENTS!$A$1:$O$649,5,FALSE),Y321)</f>
        <v>0</v>
      </c>
      <c r="Y321" s="174">
        <v>0</v>
      </c>
      <c r="Z321" s="173">
        <f>IF(AA321="",VLOOKUP(P321,CLIENTS!$A$1:$O$649,5,FALSE),AA321)</f>
        <v>6.0000000000000001E-3</v>
      </c>
      <c r="AA321" s="174">
        <v>6.0000000000000001E-3</v>
      </c>
      <c r="AB321" s="173" t="str">
        <f>IF(W321="via USD",IF(K321="EUR",K321&amp;"USD","USD"&amp;K321),IFERROR(VLOOKUP(K321&amp;S321,'FX RATES'!$H$2:$H$20,1,FALSE),S321&amp;K321))</f>
        <v>USDRUB</v>
      </c>
      <c r="AC321" s="175">
        <f>IF(LEFT(AB321,3)=RIGHT(AB321,3),0,IFERROR(INDEX(CLIENTS!$A$1:$O$649,MATCH(H321,CLIENTS!$A$1:$A$649,0),MATCH(AB321,CLIENTS!$A$1:$O$1,0)),0))</f>
        <v>0</v>
      </c>
      <c r="AD321" s="176"/>
      <c r="AE321" s="177" t="str">
        <f>IF(W321="CLIENT","",IF(AD321="",AH321+AC321,AD321+AC321))</f>
        <v/>
      </c>
      <c r="AF321" s="177" t="str">
        <f>E321&amp;AB321</f>
        <v>46052USDRUB</v>
      </c>
      <c r="AG321" s="176"/>
      <c r="AH321" s="178">
        <f ca="1">IF(LEFT(AB321,3)=RIGHT(AB321,3),1,VLOOKUP(AB321,'FX RATES'!$H$1:$I$20,2,FALSE))</f>
        <v>76.720500000000001</v>
      </c>
      <c r="AI321" s="178">
        <f>IF(OR(AB321="USDAED",LEFT(AB321,3)=RIGHT(AB321,3)),AH321,IF(LEFT(AB321)="USD",AG321,IF(RIGHT(AB321,3)="USD",1,IFERROR(VLOOKUP(E321&amp;"USD"&amp;RIGHT(AB321,3),$AF:$AG,2,FALSE),VLOOKUP(E321&amp;"USD"&amp;RIGHT(AJ321,3),$AN:$AO,2,FALSE)))))</f>
        <v>75.7</v>
      </c>
      <c r="AJ321" s="173" t="str">
        <f>IF(W321="via USD",IF(S321="EUR",S321&amp;"USD","USD"&amp;S321),IFERROR(VLOOKUP(K321&amp;S321,'FX RATES'!$H$2:$H$20,1,FALSE),S321&amp;K321))</f>
        <v>USDRUB</v>
      </c>
      <c r="AK321" s="175">
        <f>IF(LEFT(AJ321,3)=RIGHT(AJ321,3),0,IFERROR(INDEX(CLIENTS!$A$1:$O$649,MATCH(P321,CLIENTS!$A$1:$A$649,0),MATCH(AJ321,CLIENTS!$A$1:$O$1,0)),0))</f>
        <v>0</v>
      </c>
      <c r="AL321" s="176">
        <v>76.025099999999995</v>
      </c>
      <c r="AM321" s="177">
        <f>IF(W321="VENDOR","",IF(AL321="",AP321+AK321,AL321+AK321))</f>
        <v>76.025099999999995</v>
      </c>
      <c r="AN321" s="177" t="str">
        <f>E321&amp;AJ321</f>
        <v>46052USDRUB</v>
      </c>
      <c r="AO321" s="176">
        <v>75.7</v>
      </c>
      <c r="AP321" s="178">
        <f ca="1">IF(LEFT(AJ321,3)=RIGHT(AJ321,3),1,VLOOKUP(AJ321,'FX RATES'!$H$1:$I$20,2,FALSE))</f>
        <v>76.720500000000001</v>
      </c>
      <c r="AQ321" s="178">
        <f>IF(OR(AJ321="USDAED",LEFT(AJ321,3)=RIGHT(AJ321,3)),AP321,IF(LEFT(AJ321)="USD",AO321,IF(RIGHT(AJ321,3)="USD",1,IFERROR(VLOOKUP(E321&amp;"USD"&amp;RIGHT(AJ321,3),$AN:$AO,2,FALSE),VLOOKUP(E321&amp;"USD"&amp;RIGHT(AB321,3),$AF:$AG,2,FALSE)))))</f>
        <v>75.7</v>
      </c>
      <c r="AR321" s="179">
        <f>-Q321*(1-Z321)/(1+X321)*IF(W321="CLIENT",IF(S321=RIGHT(AJ321,3),1/AM321,AM321),IF(W321="VENDOR",IF(S321=RIGHT(AJ321,3),1/AE321,AE321),AE321^(VLOOKUP(AB321,'FX RATES'!$H$1:$J$26,3,FALSE))/AM321^(VLOOKUP(AJ321,'FX RATES'!$H$1:$J$26,3,FALSE))))</f>
        <v>-502020.20200039196</v>
      </c>
      <c r="AS321" s="179">
        <f>-I321*(1+X321)/(1-Z321)*IF(W321="VENDOR",IF(K321=RIGHT(AB321,3),1/AE321,AE321),IF(W321="CLIENT",IF(K321=RIGHT(AB321,3),1/AM321,AM321),AM321^(VLOOKUP(AJ321,'FX RATES'!$H$1:$J$26,3,FALSE))/AE321^(VLOOKUP(AB321,'FX RATES'!$H$1:$J$26,3,FALSE))))</f>
        <v>38242002.012072437</v>
      </c>
      <c r="AT321" s="170">
        <f>IF(AB321&lt;&gt;AJ321,J321/IF(K321=RIGHT(AB321,3),AE321,1/AE321),IF(S321="USD",J321/IF(K321=RIGHT(AB321,3),IF(W321="CLIENT",AM321,AE321),1/IF(W321="CLIENT",AM321,AE321)),J321*VLOOKUP(K321,'FX RATES'!$E$1:$F$10,2,FALSE)))</f>
        <v>-500000</v>
      </c>
      <c r="AU321" s="170">
        <f>IF(AB321&lt;&gt;AJ321,R321/IF(S321=RIGHT(AJ321,3),AM321,1/AM321),IF(K321="USD",R321/IF(S321=RIGHT(AJ321,3),IF(W321="CLIENT",AM321,AE321),1/IF(W321="CLIENT",AM321,AE321)),R321*VLOOKUP(S321,'FX RATES'!$E$1:$F$10,2,FALSE)))</f>
        <v>505050.50503057544</v>
      </c>
      <c r="AV321" s="170">
        <f>AT321+AU321</f>
        <v>5050.5050305754412</v>
      </c>
      <c r="AW321" s="169"/>
      <c r="AX321" s="170">
        <f>IF(AND(ISERROR(SEARCH("INVOICE",T321)),ISERROR(SEARCH("SWITCH",T321)),ISERROR(SEARCH("FOREX",T321)),ISERROR(SEARCH("REFUND",A321)),ISERROR(SEARCH("CANCELLED",A321))),IF(AW321="",-AT321*X321+AU321*Z321,AW321),0)</f>
        <v>3030.3030301834528</v>
      </c>
      <c r="AY321" s="170">
        <f>IF(AZ321="USD",AT321,IF(AZ321=K321,J321,-R321))</f>
        <v>-500000</v>
      </c>
      <c r="AZ321" s="170" t="str">
        <f>LEFT(AB321,3)</f>
        <v>USD</v>
      </c>
      <c r="BA321" s="542">
        <f>IF(OR(A321="REFUND",A321="CANCELLED"),0,IFERROR((IF(OR(AB321="USDAED",LEFT(AB321,3)=RIGHT(AB321,3)),AI321,AG321)-AE321)*-AY321*VLOOKUP(AB321,'FX RATES'!$H$1:$J$26,3,FALSE),0))</f>
        <v>0</v>
      </c>
      <c r="BB321" s="170" t="str">
        <f>RIGHT(AB321,3)</f>
        <v>RUB</v>
      </c>
      <c r="BC321" s="542">
        <f>IF(BA321=0,0,IFERROR(BA321/IF(BB321&lt;&gt;"USD",AI321,1),"???"))</f>
        <v>0</v>
      </c>
      <c r="BD321" s="170">
        <f>IFERROR(-AC321/(IF(OR(AB321="USDAED",LEFT(AB321,3)=RIGHT(AB321,3)),AH321,AG321)-AE321)*BC321,0)</f>
        <v>0</v>
      </c>
      <c r="BE321" s="542">
        <f>BC321-BD321</f>
        <v>0</v>
      </c>
      <c r="BF321" s="170">
        <f>IF(BG321="USD",AU321,IF(BG321=S321,R321,-J321))</f>
        <v>505050.50503057544</v>
      </c>
      <c r="BG321" s="170" t="str">
        <f>LEFT(AJ321,3)</f>
        <v>USD</v>
      </c>
      <c r="BH321" s="542">
        <f>IF(OR(A321="REFUND",A321="CANCELLED"),0,IFERROR((IF(OR(AJ321="USDAED",LEFT(AJ321,3)=RIGHT(AJ321,3)),AQ321,AO321)-AM321)*-BF321*VLOOKUP(AJ321,'FX RATES'!$H$1:$J$26,3,FALSE),0))</f>
        <v>164191.91918543601</v>
      </c>
      <c r="BI321" s="170" t="str">
        <f>RIGHT(AJ321,3)</f>
        <v>RUB</v>
      </c>
      <c r="BJ321" s="542">
        <f>IF(BH321=0,0,IFERROR(BH321/IF(BI321&lt;&gt;"USD",AQ321,1),"???"))</f>
        <v>2168.9817593848879</v>
      </c>
      <c r="BK321" s="170">
        <f>IFERROR(-AK321/(IF(OR(AJ321="USDAED",LEFT(AJ321,3)=RIGHT(AJ321,3)),AP321,AO321)-AM321)*BJ321,0)</f>
        <v>0</v>
      </c>
      <c r="BL321" s="542">
        <f>BJ321-BK321</f>
        <v>2168.9817593848879</v>
      </c>
      <c r="BM321" s="170">
        <f>IF(AND(ISERROR(SEARCH("REFUND",A321)),ISERROR(SEARCH("CANCELLED",A321))),BD321+BK321,0)</f>
        <v>0</v>
      </c>
      <c r="BN321" s="542">
        <f>IF(AND(ISERROR(SEARCH("REFUND",A321)),ISERROR(SEARCH("CANCELLED",A321))),BE321+BL321,0)</f>
        <v>2168.9817593848879</v>
      </c>
    </row>
    <row r="322" spans="1:66" ht="19.5" customHeight="1">
      <c r="A322" s="167" t="s">
        <v>366</v>
      </c>
      <c r="B322" s="168" t="s">
        <v>39</v>
      </c>
      <c r="C322" s="168" t="s">
        <v>383</v>
      </c>
      <c r="D322" s="168" t="s">
        <v>128</v>
      </c>
      <c r="E322" s="171">
        <v>46052</v>
      </c>
      <c r="F322" s="171"/>
      <c r="G322" s="168" t="s">
        <v>39</v>
      </c>
      <c r="H322" s="168" t="s">
        <v>384</v>
      </c>
      <c r="I322" s="169">
        <v>-38396000</v>
      </c>
      <c r="J322" s="170">
        <f>IF(I322="",AR322,I322)</f>
        <v>-38396000</v>
      </c>
      <c r="K322" s="168" t="s">
        <v>9</v>
      </c>
      <c r="L322" s="171" t="s">
        <v>374</v>
      </c>
      <c r="M322" s="168" t="s">
        <v>374</v>
      </c>
      <c r="N322" s="167" t="s">
        <v>371</v>
      </c>
      <c r="O322" s="168" t="s">
        <v>39</v>
      </c>
      <c r="P322" s="349" t="s">
        <v>384</v>
      </c>
      <c r="Q322" s="169"/>
      <c r="R322" s="170">
        <f>IF(Q322="",AS322,Q322)</f>
        <v>1862979.1363415816</v>
      </c>
      <c r="S322" s="168" t="s">
        <v>8</v>
      </c>
      <c r="T322" s="171" t="s">
        <v>385</v>
      </c>
      <c r="U322" s="168" t="s">
        <v>20</v>
      </c>
      <c r="V322" s="167" t="s">
        <v>371</v>
      </c>
      <c r="W322" s="172" t="s">
        <v>382</v>
      </c>
      <c r="X322" s="173">
        <f>IF(Y322="",VLOOKUP(H322,CLIENTS!$A$1:$O$649,5,FALSE),Y322)</f>
        <v>0</v>
      </c>
      <c r="Y322" s="174">
        <v>0</v>
      </c>
      <c r="Z322" s="173">
        <f>IF(AA322="",VLOOKUP(P322,CLIENTS!$A$1:$O$649,5,FALSE),AA322)</f>
        <v>0</v>
      </c>
      <c r="AA322" s="174">
        <v>0</v>
      </c>
      <c r="AB322" s="173" t="str">
        <f>IF(W322="via USD",IF(K322="EUR",K322&amp;"USD","USD"&amp;K322),IFERROR(VLOOKUP(K322&amp;S322,'FX RATES'!$H$2:$H$20,1,FALSE),S322&amp;K322))</f>
        <v>AEDRUB</v>
      </c>
      <c r="AC322" s="175">
        <f>IF(LEFT(AB322,3)=RIGHT(AB322,3),0,IFERROR(INDEX(CLIENTS!$A$1:$O$649,MATCH(H322,CLIENTS!$A$1:$A$649,0),MATCH(AB322,CLIENTS!$A$1:$O$1,0)),0))</f>
        <v>0</v>
      </c>
      <c r="AD322" s="176">
        <v>20.61</v>
      </c>
      <c r="AE322" s="177">
        <f>IF(W322="CLIENT","",IF(AD322="",AH322+AC322,AD322+AC322))</f>
        <v>20.61</v>
      </c>
      <c r="AF322" s="177" t="str">
        <f>E322&amp;AB322</f>
        <v>46052AEDRUB</v>
      </c>
      <c r="AG322" s="176">
        <v>20.6126</v>
      </c>
      <c r="AH322" s="178">
        <f ca="1">IF(LEFT(AB322,3)=RIGHT(AB322,3),1,VLOOKUP(AB322,'FX RATES'!$H$1:$I$20,2,FALSE))</f>
        <v>20.8843</v>
      </c>
      <c r="AI322" s="178">
        <f>IF(OR(AB322="USDAED",LEFT(AB322,3)=RIGHT(AB322,3)),AH322,IF(LEFT(AB322)="USD",AG322,IF(RIGHT(AB322,3)="USD",1,IFERROR(VLOOKUP(E322&amp;"USD"&amp;RIGHT(AB322,3),$AF:$AG,2,FALSE),VLOOKUP(E322&amp;"USD"&amp;RIGHT(AJ322,3),$AN:$AO,2,FALSE)))))</f>
        <v>75.7</v>
      </c>
      <c r="AJ322" s="173" t="str">
        <f>IF(W322="via USD",IF(S322="EUR",S322&amp;"USD","USD"&amp;S322),IFERROR(VLOOKUP(K322&amp;S322,'FX RATES'!$H$2:$H$20,1,FALSE),S322&amp;K322))</f>
        <v>AEDRUB</v>
      </c>
      <c r="AK322" s="175">
        <f>IF(LEFT(AJ322,3)=RIGHT(AJ322,3),0,IFERROR(INDEX(CLIENTS!$A$1:$O$649,MATCH(P322,CLIENTS!$A$1:$A$649,0),MATCH(AJ322,CLIENTS!$A$1:$O$1,0)),0))</f>
        <v>0</v>
      </c>
      <c r="AL322" s="176"/>
      <c r="AM322" s="177" t="str">
        <f>IF(W322="VENDOR","",IF(AL322="",AP322+AK322,AL322+AK322))</f>
        <v/>
      </c>
      <c r="AN322" s="177" t="str">
        <f>E322&amp;AJ322</f>
        <v>46052AEDRUB</v>
      </c>
      <c r="AO322" s="176"/>
      <c r="AP322" s="178">
        <f ca="1">IF(LEFT(AJ322,3)=RIGHT(AJ322,3),1,VLOOKUP(AJ322,'FX RATES'!$H$1:$I$20,2,FALSE))</f>
        <v>20.8843</v>
      </c>
      <c r="AQ322" s="178">
        <f>IF(OR(AJ322="USDAED",LEFT(AJ322,3)=RIGHT(AJ322,3)),AP322,IF(LEFT(AJ322)="USD",AO322,IF(RIGHT(AJ322,3)="USD",1,IFERROR(VLOOKUP(E322&amp;"USD"&amp;RIGHT(AJ322,3),$AN:$AO,2,FALSE),VLOOKUP(E322&amp;"USD"&amp;RIGHT(AB322,3),$AF:$AG,2,FALSE)))))</f>
        <v>75.7</v>
      </c>
      <c r="AR322" s="179">
        <f>-Q322*(1-Z322)/(1+X322)*IF(W322="CLIENT",IF(S322=RIGHT(AJ322,3),1/AM322,AM322),IF(W322="VENDOR",IF(S322=RIGHT(AJ322,3),1/AE322,AE322),AE322^(VLOOKUP(AB322,'FX RATES'!$H$1:$J$26,3,FALSE))/AM322^(VLOOKUP(AJ322,'FX RATES'!$H$1:$J$26,3,FALSE))))</f>
        <v>0</v>
      </c>
      <c r="AS322" s="179">
        <f>-I322*(1+X322)/(1-Z322)*IF(W322="VENDOR",IF(K322=RIGHT(AB322,3),1/AE322,AE322),IF(W322="CLIENT",IF(K322=RIGHT(AB322,3),1/AM322,AM322),AM322^(VLOOKUP(AJ322,'FX RATES'!$H$1:$J$26,3,FALSE))/AE322^(VLOOKUP(AB322,'FX RATES'!$H$1:$J$26,3,FALSE))))</f>
        <v>1862979.1363415816</v>
      </c>
      <c r="AT322" s="170">
        <f ca="1">IF(AB322&lt;&gt;AJ322,J322/IF(K322=RIGHT(AB322,3),AE322,1/AE322),IF(S322="USD",J322/IF(K322=RIGHT(AB322,3),IF(W322="CLIENT",AM322,AE322),1/IF(W322="CLIENT",AM322,AE322)),J322*VLOOKUP(K322,'FX RATES'!$E$1:$F$10,2,FALSE)))</f>
        <v>-500465.97715082671</v>
      </c>
      <c r="AU322" s="170">
        <f ca="1">IF(AB322&lt;&gt;AJ322,R322/IF(S322=RIGHT(AJ322,3),AM322,1/AM322),IF(K322="USD",R322/IF(S322=RIGHT(AJ322,3),IF(W322="CLIENT",AM322,AE322),1/IF(W322="CLIENT",AM322,AE322)),R322*VLOOKUP(S322,'FX RATES'!$E$1:$F$10,2,FALSE)))</f>
        <v>507264.37301682227</v>
      </c>
      <c r="AV322" s="170">
        <f ca="1">AT322+AU322</f>
        <v>6798.3958659955533</v>
      </c>
      <c r="AW322" s="169"/>
      <c r="AX322" s="170">
        <f ca="1">IF(AND(ISERROR(SEARCH("INVOICE",T322)),ISERROR(SEARCH("SWITCH",T322)),ISERROR(SEARCH("FOREX",T322)),ISERROR(SEARCH("REFUND",A322)),ISERROR(SEARCH("CANCELLED",A322))),IF(AW322="",-AT322*X322+AU322*Z322,AW322),0)</f>
        <v>0</v>
      </c>
      <c r="AY322" s="170">
        <f>IF(AZ322="USD",AT322,IF(AZ322=K322,J322,-R322))</f>
        <v>-1862979.1363415816</v>
      </c>
      <c r="AZ322" s="170" t="str">
        <f>LEFT(AB322,3)</f>
        <v>AED</v>
      </c>
      <c r="BA322" s="542">
        <f>IF(OR(A322="REFUND",A322="CANCELLED"),0,IFERROR((IF(OR(AB322="USDAED",LEFT(AB322,3)=RIGHT(AB322,3)),AI322,AG322)-AE322)*-AY322*VLOOKUP(AB322,'FX RATES'!$H$1:$J$26,3,FALSE),0))</f>
        <v>4843.7457544900608</v>
      </c>
      <c r="BB322" s="170" t="str">
        <f>RIGHT(AB322,3)</f>
        <v>RUB</v>
      </c>
      <c r="BC322" s="542">
        <f>IF(BA322=0,0,IFERROR(BA322/IF(BB322&lt;&gt;"USD",AI322,1),"???"))</f>
        <v>63.986073375033826</v>
      </c>
      <c r="BD322" s="170">
        <f>IFERROR(-AC322/(IF(OR(AB322="USDAED",LEFT(AB322,3)=RIGHT(AB322,3)),AH322,AG322)-AE322)*BC322,0)</f>
        <v>0</v>
      </c>
      <c r="BE322" s="542">
        <f>BC322-BD322</f>
        <v>63.986073375033826</v>
      </c>
      <c r="BF322" s="170">
        <f>IF(BG322="USD",AU322,IF(BG322=S322,R322,-J322))</f>
        <v>1862979.1363415816</v>
      </c>
      <c r="BG322" s="170" t="str">
        <f>LEFT(AJ322,3)</f>
        <v>AED</v>
      </c>
      <c r="BH322" s="542">
        <f>IF(OR(A322="REFUND",A322="CANCELLED"),0,IFERROR((IF(OR(AJ322="USDAED",LEFT(AJ322,3)=RIGHT(AJ322,3)),AQ322,AO322)-AM322)*-BF322*VLOOKUP(AJ322,'FX RATES'!$H$1:$J$26,3,FALSE),0))</f>
        <v>0</v>
      </c>
      <c r="BI322" s="170" t="str">
        <f>RIGHT(AJ322,3)</f>
        <v>RUB</v>
      </c>
      <c r="BJ322" s="542">
        <f>IF(BH322=0,0,IFERROR(BH322/IF(BI322&lt;&gt;"USD",AQ322,1),"???"))</f>
        <v>0</v>
      </c>
      <c r="BK322" s="170">
        <f>IFERROR(-AK322/(IF(OR(AJ322="USDAED",LEFT(AJ322,3)=RIGHT(AJ322,3)),AP322,AO322)-AM322)*BJ322,0)</f>
        <v>0</v>
      </c>
      <c r="BL322" s="542">
        <f>BJ322-BK322</f>
        <v>0</v>
      </c>
      <c r="BM322" s="170">
        <f>IF(AND(ISERROR(SEARCH("REFUND",A322)),ISERROR(SEARCH("CANCELLED",A322))),BD322+BK322,0)</f>
        <v>0</v>
      </c>
      <c r="BN322" s="542">
        <f>IF(AND(ISERROR(SEARCH("REFUND",A322)),ISERROR(SEARCH("CANCELLED",A322))),BE322+BL322,0)</f>
        <v>63.986073375033826</v>
      </c>
    </row>
    <row r="323" spans="1:66" ht="19.5" customHeight="1">
      <c r="J323" s="450"/>
    </row>
    <row r="324" spans="1:66" ht="19.5" customHeight="1">
      <c r="A324" s="167" t="s">
        <v>366</v>
      </c>
      <c r="B324" s="181" t="s">
        <v>34</v>
      </c>
      <c r="C324" s="181" t="s">
        <v>367</v>
      </c>
      <c r="D324" s="181" t="s">
        <v>368</v>
      </c>
      <c r="E324" s="171">
        <v>46052</v>
      </c>
      <c r="F324" s="171"/>
      <c r="G324" s="181" t="s">
        <v>34</v>
      </c>
      <c r="H324" s="168" t="s">
        <v>555</v>
      </c>
      <c r="I324" s="169">
        <v>-35620.050000000003</v>
      </c>
      <c r="J324" s="170">
        <f>IF(I324="",AR324,I324)</f>
        <v>-35620.050000000003</v>
      </c>
      <c r="K324" s="168" t="s">
        <v>5</v>
      </c>
      <c r="L324" s="168" t="s">
        <v>13</v>
      </c>
      <c r="M324" s="168" t="s">
        <v>13</v>
      </c>
      <c r="N324" s="167" t="s">
        <v>371</v>
      </c>
      <c r="O324" s="168" t="s">
        <v>52</v>
      </c>
      <c r="P324" s="168" t="s">
        <v>555</v>
      </c>
      <c r="Q324" s="169"/>
      <c r="R324" s="170">
        <f>IF(Q324="",AS324,Q324)</f>
        <v>35763.102409638559</v>
      </c>
      <c r="S324" s="168" t="s">
        <v>53</v>
      </c>
      <c r="T324" s="168" t="s">
        <v>420</v>
      </c>
      <c r="U324" s="168" t="s">
        <v>54</v>
      </c>
      <c r="V324" s="167" t="s">
        <v>371</v>
      </c>
      <c r="W324" s="172" t="s">
        <v>375</v>
      </c>
      <c r="X324" s="173">
        <f>IF(Y324="",VLOOKUP(H324,CLIENTS!$A$1:$O$649,5,FALSE),Y324)</f>
        <v>0</v>
      </c>
      <c r="Y324" s="174">
        <v>0</v>
      </c>
      <c r="Z324" s="173">
        <f>IF(AA324="",VLOOKUP(P324,CLIENTS!$A$1:$O$649,5,FALSE),AA324)</f>
        <v>4.0000000000000001E-3</v>
      </c>
      <c r="AA324" s="174">
        <v>4.0000000000000001E-3</v>
      </c>
      <c r="AB324" s="173" t="str">
        <f>IF(W324="via USD",IF(K324="EUR",K324&amp;"USD","USD"&amp;K324),IFERROR(VLOOKUP(K324&amp;S324,'FX RATES'!$H$2:$H$20,1,FALSE),S324&amp;K324))</f>
        <v>USDUSD</v>
      </c>
      <c r="AC324" s="175">
        <f>IF(LEFT(AB324,3)=RIGHT(AB324,3),0,IFERROR(INDEX(CLIENTS!$A$1:$O$649,MATCH(H324,CLIENTS!$A$1:$A$649,0),MATCH(AB324,CLIENTS!$A$1:$O$1,0)),0))</f>
        <v>0</v>
      </c>
      <c r="AD324" s="176"/>
      <c r="AE324" s="177">
        <f>IF(W324="CLIENT","",IF(AD324="",AH324+AC324,AD324+AC324))</f>
        <v>1</v>
      </c>
      <c r="AF324" s="177" t="str">
        <f>E324&amp;AB324</f>
        <v>46052USDUSD</v>
      </c>
      <c r="AG324" s="176"/>
      <c r="AH324" s="178">
        <f>IF(LEFT(AB324,3)=RIGHT(AB324,3),1,VLOOKUP(AB324,'FX RATES'!$H$1:$I$20,2,FALSE))</f>
        <v>1</v>
      </c>
      <c r="AI324" s="178">
        <f>IF(OR(AB324="USDAED",LEFT(AB324,3)=RIGHT(AB324,3)),AH324,IF(LEFT(AB324)="USD",AG324,IF(RIGHT(AB324,3)="USD",1,IFERROR(VLOOKUP(E324&amp;"USD"&amp;RIGHT(AB324,3),$AF:$AG,2,FALSE),VLOOKUP(E324&amp;"USD"&amp;RIGHT(AJ324,3),$AN:$AO,2,FALSE)))))</f>
        <v>1</v>
      </c>
      <c r="AJ324" s="173" t="str">
        <f>IF(W324="via USD",IF(S324="EUR",S324&amp;"USD","USD"&amp;S324),IFERROR(VLOOKUP(K324&amp;S324,'FX RATES'!$H$2:$H$20,1,FALSE),S324&amp;K324))</f>
        <v>USDUSDT</v>
      </c>
      <c r="AK324" s="175">
        <f>IF(LEFT(AJ324,3)=RIGHT(AJ324,3),0,IFERROR(INDEX(CLIENTS!$A$1:$O$649,MATCH(P324,CLIENTS!$A$1:$A$649,0),MATCH(AJ324,CLIENTS!$A$1:$O$1,0)),0))</f>
        <v>0</v>
      </c>
      <c r="AL324" s="176"/>
      <c r="AM324" s="177">
        <f>IF(W324="VENDOR","",IF(AL324="",AP324+AK324,AL324+AK324))</f>
        <v>1</v>
      </c>
      <c r="AN324" s="177" t="str">
        <f>E324&amp;AJ324</f>
        <v>46052USDUSDT</v>
      </c>
      <c r="AO324" s="176">
        <v>1</v>
      </c>
      <c r="AP324" s="178">
        <f>IF(LEFT(AJ324,3)=RIGHT(AJ324,3),1,VLOOKUP(AJ324,'FX RATES'!$H$1:$I$50,2,FALSE))</f>
        <v>1</v>
      </c>
      <c r="AQ324" s="178">
        <f>IF(OR(AJ324="USDAED",LEFT(AJ324,3)=RIGHT(AJ324,3),AJ324="USDUSDT",AJ324="USDTUSD"),AP324,IF(LEFT(AJ324)="USD",AO324,IF(RIGHT(AJ324,3)="USD",1,IFERROR(VLOOKUP(E324&amp;"USD"&amp;RIGHT(AJ324,3),$AN:$AO,2,FALSE),VLOOKUP(E324&amp;"USD"&amp;RIGHT(AB324,3),$AF:$AG,2,FALSE)))))</f>
        <v>1</v>
      </c>
      <c r="AR324" s="179">
        <f>-Q324*(1-Z324)/(1+X324)*IF(W324="CLIENT",IF(S324=RIGHT(AJ324,3),1/AM324,AM324),IF(W324="VENDOR",IF(S324=RIGHT(AJ324,3),1/AE324,AE324),AE324^(VLOOKUP(AB324,'FX RATES'!$H$1:$J$26,3,FALSE))/AM324^(VLOOKUP(AJ324,'FX RATES'!$H$1:$J$26,3,FALSE))))</f>
        <v>0</v>
      </c>
      <c r="AS324" s="179">
        <f>-I324*(1+X324)/(1-Z324)*IF(W324="VENDOR",IF(K324=RIGHT(AB324,3),1/AE324,AE324),IF(W324="CLIENT",IF(K324=RIGHT(AB324,3),1/AM324,AM324),AM324^(VLOOKUP(AJ324,'FX RATES'!$H$1:$J$26,3,FALSE))/AE324^(VLOOKUP(AB324,'FX RATES'!$H$1:$J$26,3,FALSE))))</f>
        <v>35763.102409638559</v>
      </c>
      <c r="AT324" s="170">
        <f>IF(AB324&lt;&gt;AJ324,J324/IF(K324=RIGHT(AB324,3),AE324,1/AE324),IF(S324="USD",J324/IF(K324=RIGHT(AB324,3),IF(W324="CLIENT",AM324,AE324),1/IF(W324="CLIENT",AM324,AE324)),J324*VLOOKUP(K324,'FX RATES'!$E$1:$F$10,2,FALSE)))</f>
        <v>-35620.050000000003</v>
      </c>
      <c r="AU324" s="170">
        <f>IF(AB324&lt;&gt;AJ324,R324/IF(S324=RIGHT(AJ324,3),AM324,1/AM324),IF(K324="USD",R324/IF(S324=RIGHT(AJ324,3),IF(W324="CLIENT",AM324,AE324),1/IF(W324="CLIENT",AM324,AE324)),R324*VLOOKUP(S324,'FX RATES'!$E$1:$F$10,2,FALSE)))</f>
        <v>35763.102409638559</v>
      </c>
      <c r="AV324" s="170">
        <f>AT324+AU324</f>
        <v>143.05240963855613</v>
      </c>
      <c r="AW324" s="169"/>
      <c r="AX324" s="170">
        <f>IF(AND(ISERROR(SEARCH("INVOICE",T324)),ISERROR(SEARCH("SWITCH",T324)),ISERROR(SEARCH("FOREX",T324)),ISERROR(SEARCH("REFUND",A324)),ISERROR(SEARCH("CANCELLED",A324))),IF(AW324="",-AT324*X324+AU324*Z324,AW324),0)</f>
        <v>143.05240963855425</v>
      </c>
      <c r="AY324" s="170">
        <f>IF(AZ324="USD",AT324,IF(AZ324=K324,J324,-R324))</f>
        <v>-35620.050000000003</v>
      </c>
      <c r="AZ324" s="170" t="str">
        <f>LEFT(AB324,3)</f>
        <v>USD</v>
      </c>
      <c r="BA324" s="542">
        <f>IF(OR(A324="REFUND",A324="CANCELLED"),0,IFERROR((IF(OR(AB324="USDAED",LEFT(AB324,3)=RIGHT(AB324,3)),AI324,AG324)-AE324)*-AY324*VLOOKUP(AB324,'FX RATES'!$H$1:$J$26,3,FALSE),0))</f>
        <v>0</v>
      </c>
      <c r="BB324" s="170" t="str">
        <f>RIGHT(AB324,3)</f>
        <v>USD</v>
      </c>
      <c r="BC324" s="542">
        <f>IF(BA324=0,0,IFERROR(BA324/IF(BB324&lt;&gt;"USD",AI324,1),"???"))</f>
        <v>0</v>
      </c>
      <c r="BD324" s="170">
        <f>IFERROR(-AC324/(IF(OR(AB324="USDAED",LEFT(AB324,3)=RIGHT(AB324,3)),AH324,AG324)-AE324)*BC324,0)</f>
        <v>0</v>
      </c>
      <c r="BE324" s="542">
        <f>BC324-BD324</f>
        <v>0</v>
      </c>
      <c r="BF324" s="170">
        <f>IF(BG324="USD",AU324,IF(BG324=S324,R324,-J324))</f>
        <v>35763.102409638559</v>
      </c>
      <c r="BG324" s="170" t="str">
        <f>LEFT(AJ324,3)</f>
        <v>USD</v>
      </c>
      <c r="BH324" s="542">
        <f>IF(OR(A324="REFUND",A324="CANCELLED"),0,IFERROR((IF(OR(AJ324="USDAED",LEFT(AJ324,3)=RIGHT(AJ324,3),AJ324="USDUSDT",AJ324="USDTUSD"),AQ324,AO324)-AM324)*-BF324*VLOOKUP(AJ324,'FX RATES'!$H$1:$J$26,3,FALSE),0))</f>
        <v>0</v>
      </c>
      <c r="BI324" s="170" t="str">
        <f>RIGHT(AJ324,4)</f>
        <v>USDT</v>
      </c>
      <c r="BJ324" s="542">
        <f>IF(BH324=0,0,IFERROR(BH324/IF(BI324&lt;&gt;"USD",AQ324,1),"???"))</f>
        <v>0</v>
      </c>
      <c r="BK324" s="170">
        <f>IFERROR(-AK324/(IF(OR(AJ324="USDAED",LEFT(AJ324,3)=RIGHT(AJ324,3)),AP324,AO324)-AM324)*BJ324,0)</f>
        <v>0</v>
      </c>
      <c r="BL324" s="542">
        <f>BJ324-BK324</f>
        <v>0</v>
      </c>
      <c r="BM324" s="170">
        <f>IF(AND(ISERROR(SEARCH("REFUND",A324)),ISERROR(SEARCH("CANCELLED",A324))),BD324+BK324,0)</f>
        <v>0</v>
      </c>
      <c r="BN324" s="542">
        <f>IF(AND(ISERROR(SEARCH("REFUND",A324)),ISERROR(SEARCH("CANCELLED",A324))),BE324+BL324,0)</f>
        <v>0</v>
      </c>
    </row>
    <row r="325" spans="1:66" ht="19.5" customHeight="1">
      <c r="J325" s="450"/>
    </row>
    <row r="326" spans="1:66" ht="19.5" customHeight="1">
      <c r="A326" s="167" t="s">
        <v>516</v>
      </c>
      <c r="B326" s="168" t="s">
        <v>102</v>
      </c>
      <c r="C326" s="168" t="s">
        <v>367</v>
      </c>
      <c r="D326" s="168" t="s">
        <v>368</v>
      </c>
      <c r="E326" s="171">
        <v>46052</v>
      </c>
      <c r="F326" s="171"/>
      <c r="G326" s="168" t="s">
        <v>102</v>
      </c>
      <c r="H326" s="168" t="s">
        <v>419</v>
      </c>
      <c r="I326" s="169">
        <v>-500000</v>
      </c>
      <c r="J326" s="170">
        <f>IF(I326="",AR326,I326)</f>
        <v>-500000</v>
      </c>
      <c r="K326" s="168" t="s">
        <v>5</v>
      </c>
      <c r="L326" s="171" t="s">
        <v>378</v>
      </c>
      <c r="M326" s="168" t="s">
        <v>20</v>
      </c>
      <c r="N326" s="167" t="s">
        <v>556</v>
      </c>
      <c r="O326" s="168" t="s">
        <v>39</v>
      </c>
      <c r="P326" s="168" t="s">
        <v>557</v>
      </c>
      <c r="Q326" s="169"/>
      <c r="R326" s="170">
        <f>IF(Q326="",AS326,Q326)</f>
        <v>1847236.1809045228</v>
      </c>
      <c r="S326" s="168" t="s">
        <v>8</v>
      </c>
      <c r="T326" s="171" t="s">
        <v>15</v>
      </c>
      <c r="U326" s="168" t="s">
        <v>17</v>
      </c>
      <c r="V326" s="167" t="s">
        <v>556</v>
      </c>
      <c r="W326" s="172" t="s">
        <v>375</v>
      </c>
      <c r="X326" s="173">
        <f>IF(Y326="",VLOOKUP(H326,CLIENTS!$A$1:$O$649,5,FALSE),Y326)</f>
        <v>0</v>
      </c>
      <c r="Y326" s="174">
        <v>0</v>
      </c>
      <c r="Z326" s="173">
        <f>IF(AA326="",VLOOKUP(P326,CLIENTS!$A$1:$O$649,5,FALSE),AA326)</f>
        <v>5.0000000000000001E-3</v>
      </c>
      <c r="AA326" s="174">
        <v>5.0000000000000001E-3</v>
      </c>
      <c r="AB326" s="173" t="str">
        <f>IF(W326="via USD",IF(K326="EUR",K326&amp;"USD","USD"&amp;K326),IFERROR(VLOOKUP(K326&amp;S326,'FX RATES'!$H$2:$H$20,1,FALSE),S326&amp;K326))</f>
        <v>USDUSD</v>
      </c>
      <c r="AC326" s="175">
        <f>IF(LEFT(AB326,3)=RIGHT(AB326,3),0,IFERROR(INDEX(CLIENTS!$A$1:$O$649,MATCH(H326,CLIENTS!$A$1:$A$649,0),MATCH(AB326,CLIENTS!$A$1:$O$1,0)),0))</f>
        <v>0</v>
      </c>
      <c r="AD326" s="176"/>
      <c r="AE326" s="177">
        <f>IF(W326="CLIENT","",IF(AD326="",AH326+AC326,AD326+AC326))</f>
        <v>1</v>
      </c>
      <c r="AF326" s="177" t="str">
        <f>E326&amp;AB326</f>
        <v>46052USDUSD</v>
      </c>
      <c r="AG326" s="176"/>
      <c r="AH326" s="178">
        <f>IF(LEFT(AB326,3)=RIGHT(AB326,3),1,VLOOKUP(AB326,'FX RATES'!$H$1:$I$20,2,FALSE))</f>
        <v>1</v>
      </c>
      <c r="AI326" s="178">
        <f>IF(OR(AB326="USDAED",LEFT(AB326,3)=RIGHT(AB326,3)),AH326,IF(LEFT(AB326)="USD",AG326,IF(RIGHT(AB326,3)="USD",1,IFERROR(VLOOKUP(E326&amp;"USD"&amp;RIGHT(AB326,3),$AF:$AG,2,FALSE),VLOOKUP(E326&amp;"USD"&amp;RIGHT(AJ326,3),$AN:$AO,2,FALSE)))))</f>
        <v>1</v>
      </c>
      <c r="AJ326" s="173" t="str">
        <f>IF(W326="via USD",IF(S326="EUR",S326&amp;"USD","USD"&amp;S326),IFERROR(VLOOKUP(K326&amp;S326,'FX RATES'!$H$2:$H$20,1,FALSE),S326&amp;K326))</f>
        <v>USDAED</v>
      </c>
      <c r="AK326" s="175">
        <f>IF(LEFT(AJ326,3)=RIGHT(AJ326,3),0,IFERROR(INDEX(CLIENTS!$A$1:$O$649,MATCH(P326,CLIENTS!$A$1:$A$649,0),MATCH(AJ326,CLIENTS!$A$1:$O$1,0)),0))</f>
        <v>0</v>
      </c>
      <c r="AL326" s="176">
        <v>3.6760000000000002</v>
      </c>
      <c r="AM326" s="177">
        <f>IF(W326="VENDOR","",IF(AL326="",AP326+AK326,AL326+AK326))</f>
        <v>3.6760000000000002</v>
      </c>
      <c r="AN326" s="177" t="str">
        <f>E326&amp;AJ326</f>
        <v>46052USDAED</v>
      </c>
      <c r="AO326" s="176"/>
      <c r="AP326" s="178">
        <f>IF(LEFT(AJ326,3)=RIGHT(AJ326,3),1,VLOOKUP(AJ326,'FX RATES'!$H$1:$I$20,2,FALSE))</f>
        <v>3.6724999999999999</v>
      </c>
      <c r="AQ326" s="178">
        <f>IF(OR(AJ326="USDAED",LEFT(AJ326,3)=RIGHT(AJ326,3)),AP326,IF(LEFT(AJ326)="USD",AO326,IF(RIGHT(AJ326,3)="USD",1,IFERROR(VLOOKUP(E326&amp;"USD"&amp;RIGHT(AJ326,3),$AN:$AO,2,FALSE),VLOOKUP(E326&amp;"USD"&amp;RIGHT(AB326,3),$AF:$AG,2,FALSE)))))</f>
        <v>3.6724999999999999</v>
      </c>
      <c r="AR326" s="179">
        <f>-Q326*(1-Z326)/(1+X326)*IF(W326="CLIENT",IF(S326=RIGHT(AJ326,3),1/AM326,AM326),IF(W326="VENDOR",IF(S326=RIGHT(AJ326,3),1/AE326,AE326),AE326^(VLOOKUP(AB326,'FX RATES'!$H$1:$J$26,3,FALSE))/AM326^(VLOOKUP(AJ326,'FX RATES'!$H$1:$J$26,3,FALSE))))</f>
        <v>0</v>
      </c>
      <c r="AS326" s="179">
        <f>-I326*(1+X326)/(1-Z326)*IF(W326="VENDOR",IF(K326=RIGHT(AB326,3),1/AE326,AE326),IF(W326="CLIENT",IF(K326=RIGHT(AB326,3),1/AM326,AM326),AM326^(VLOOKUP(AJ326,'FX RATES'!$H$1:$J$26,3,FALSE))/AE326^(VLOOKUP(AB326,'FX RATES'!$H$1:$J$26,3,FALSE))))</f>
        <v>1847236.1809045228</v>
      </c>
      <c r="AT326" s="170">
        <f>IF(AB326&lt;&gt;AJ326,J326/IF(K326=RIGHT(AB326,3),AE326,1/AE326),IF(S326="USD",J326/IF(K326=RIGHT(AB326,3),IF(W326="CLIENT",AM326,AE326),1/IF(W326="CLIENT",AM326,AE326)),J326*VLOOKUP(K326,'FX RATES'!$E$1:$F$10,2,FALSE)))</f>
        <v>-500000</v>
      </c>
      <c r="AU326" s="170">
        <f>IF(AB326&lt;&gt;AJ326,R326/IF(S326=RIGHT(AJ326,3),AM326,1/AM326),IF(K326="USD",R326/IF(S326=RIGHT(AJ326,3),IF(W326="CLIENT",AM326,AE326),1/IF(W326="CLIENT",AM326,AE326)),R326*VLOOKUP(S326,'FX RATES'!$E$1:$F$10,2,FALSE)))</f>
        <v>502512.56281407038</v>
      </c>
      <c r="AV326" s="170">
        <f>AT326+AU326</f>
        <v>2512.5628140703775</v>
      </c>
      <c r="AW326" s="169"/>
      <c r="AX326" s="170">
        <f>IF(AND(ISERROR(SEARCH("INVOICE",T326)),ISERROR(SEARCH("SWITCH",T326)),ISERROR(SEARCH("FOREX",T326)),ISERROR(SEARCH("REFUND",A326)),ISERROR(SEARCH("CANCELLED",A326))),IF(AW326="",-AT326*X326+AU326*Z326,AW326),0)</f>
        <v>0</v>
      </c>
      <c r="AY326" s="170">
        <f>IF(AZ326="USD",AT326,IF(AZ326=K326,J326,-R326))</f>
        <v>-500000</v>
      </c>
      <c r="AZ326" s="170" t="str">
        <f>LEFT(AB326,3)</f>
        <v>USD</v>
      </c>
      <c r="BA326" s="542">
        <f>IF(OR(A326="REFUND",A326="CANCELLED"),0,IFERROR((IF(OR(AB326="USDAED",LEFT(AB326,3)=RIGHT(AB326,3)),AI326,AG326)-AE326)*-AY326*VLOOKUP(AB326,'FX RATES'!$H$1:$J$26,3,FALSE),0))</f>
        <v>0</v>
      </c>
      <c r="BB326" s="170" t="str">
        <f>RIGHT(AB326,3)</f>
        <v>USD</v>
      </c>
      <c r="BC326" s="542">
        <f>IF(BA326=0,0,IFERROR(BA326/IF(BB326&lt;&gt;"USD",AI326,1),"???"))</f>
        <v>0</v>
      </c>
      <c r="BD326" s="170">
        <f>IFERROR(-AC326/(IF(OR(AB326="USDAED",LEFT(AB326,3)=RIGHT(AB326,3)),AH326,AG326)-AE326)*BC326,0)</f>
        <v>0</v>
      </c>
      <c r="BE326" s="542">
        <f>BC326-BD326</f>
        <v>0</v>
      </c>
      <c r="BF326" s="170">
        <f>IF(BG326="USD",AU326,IF(BG326=S326,R326,-J326))</f>
        <v>502512.56281407038</v>
      </c>
      <c r="BG326" s="170" t="str">
        <f>LEFT(AJ326,3)</f>
        <v>USD</v>
      </c>
      <c r="BH326" s="542">
        <f>IF(OR(A326="REFUND",A326="CANCELLED"),0,IFERROR((IF(OR(AJ326="USDAED",LEFT(AJ326,3)=RIGHT(AJ326,3)),AQ326,AO326)-AM326)*-BF326*VLOOKUP(AJ326,'FX RATES'!$H$1:$J$26,3,FALSE),0))</f>
        <v>1758.7939698493874</v>
      </c>
      <c r="BI326" s="170" t="str">
        <f>RIGHT(AJ326,3)</f>
        <v>AED</v>
      </c>
      <c r="BJ326" s="542">
        <f>IF(BH326=0,0,IFERROR(BH326/IF(BI326&lt;&gt;"USD",AQ326,1),"???"))</f>
        <v>478.90918171528591</v>
      </c>
      <c r="BK326" s="170">
        <f>IFERROR(-AK326/(IF(OR(AJ326="USDAED",LEFT(AJ326,3)=RIGHT(AJ326,3)),AP326,AO326)-AM326)*BJ326,0)</f>
        <v>0</v>
      </c>
      <c r="BL326" s="542">
        <f>BJ326-BK326</f>
        <v>478.90918171528591</v>
      </c>
      <c r="BM326" s="170">
        <f>IF(AND(ISERROR(SEARCH("REFUND",A326)),ISERROR(SEARCH("CANCELLED",A326))),BD326+BK326,0)</f>
        <v>0</v>
      </c>
      <c r="BN326" s="542">
        <f>IF(AND(ISERROR(SEARCH("REFUND",A326)),ISERROR(SEARCH("CANCELLED",A326))),BE326+BL326,0)</f>
        <v>0</v>
      </c>
    </row>
    <row r="327" spans="1:66" ht="19.5" customHeight="1">
      <c r="A327" s="167" t="s">
        <v>516</v>
      </c>
      <c r="B327" s="172" t="s">
        <v>102</v>
      </c>
      <c r="C327" s="172" t="s">
        <v>102</v>
      </c>
      <c r="D327" s="181" t="s">
        <v>368</v>
      </c>
      <c r="E327" s="171">
        <v>46052</v>
      </c>
      <c r="F327" s="171"/>
      <c r="G327" s="172" t="s">
        <v>102</v>
      </c>
      <c r="H327" s="172" t="s">
        <v>104</v>
      </c>
      <c r="I327" s="169"/>
      <c r="J327" s="170">
        <f>IF(I327="",AR327,I327)</f>
        <v>-502000</v>
      </c>
      <c r="K327" s="172" t="s">
        <v>53</v>
      </c>
      <c r="L327" s="172" t="s">
        <v>420</v>
      </c>
      <c r="M327" s="172" t="s">
        <v>54</v>
      </c>
      <c r="N327" s="167" t="s">
        <v>556</v>
      </c>
      <c r="O327" s="172" t="s">
        <v>102</v>
      </c>
      <c r="P327" s="172" t="s">
        <v>104</v>
      </c>
      <c r="Q327" s="169">
        <f>-J326</f>
        <v>500000</v>
      </c>
      <c r="R327" s="170">
        <f>IF(Q327="",AS327,Q327)</f>
        <v>500000</v>
      </c>
      <c r="S327" s="172" t="s">
        <v>5</v>
      </c>
      <c r="T327" s="171" t="s">
        <v>420</v>
      </c>
      <c r="U327" s="172" t="s">
        <v>54</v>
      </c>
      <c r="V327" s="167" t="s">
        <v>556</v>
      </c>
      <c r="W327" s="172" t="s">
        <v>375</v>
      </c>
      <c r="X327" s="173">
        <f>IF(Y327="",VLOOKUP(H327,CLIENTS!$A$1:$O$649,5,FALSE),Y327)</f>
        <v>0</v>
      </c>
      <c r="Y327" s="174">
        <v>0</v>
      </c>
      <c r="Z327" s="173">
        <f>IF(AA327="",VLOOKUP(P327,CLIENTS!$A$1:$O$649,5,FALSE),AA327)</f>
        <v>-4.0000000000000001E-3</v>
      </c>
      <c r="AA327" s="174">
        <v>-4.0000000000000001E-3</v>
      </c>
      <c r="AB327" s="173" t="str">
        <f>IF(W327="via USD",IF(K327="EUR",K327&amp;"USD","USD"&amp;K327),IFERROR(VLOOKUP(K327&amp;S327,'FX RATES'!$H$2:$H$55,1,FALSE),S327&amp;K327))</f>
        <v>USDUSDT</v>
      </c>
      <c r="AC327" s="175">
        <f>IF(LEFT(AB327,3)=RIGHT(AB327,3),0,IFERROR(INDEX(CLIENTS!$A$1:$O$649,MATCH(H327,CLIENTS!$A$1:$A$649,0),MATCH(AB327,CLIENTS!$A$1:$O$1,0)),0))</f>
        <v>0</v>
      </c>
      <c r="AD327" s="176"/>
      <c r="AE327" s="177">
        <f>IF(W327="CLIENT","",IF(AD327="",AH327+AC327,AD327+AC327))</f>
        <v>1</v>
      </c>
      <c r="AF327" s="177" t="str">
        <f>E327&amp;AB327</f>
        <v>46052USDUSDT</v>
      </c>
      <c r="AG327" s="176">
        <v>1</v>
      </c>
      <c r="AH327" s="178">
        <f>IF(OR(LEFT(AB327,3)=RIGHT(AB327,3),OR(AB327="USDUSDT",AB327="USDTUSD")),1,VLOOKUP(AB327,'FX RATES'!$H$1:$I$20,2,FALSE))</f>
        <v>1</v>
      </c>
      <c r="AI327" s="178">
        <f>IF(OR(AB327="USDAED",LEFT(AB327,3)=RIGHT(AB327,3)),AH327,IF(LEFT(AB327)="USD",AG327,IF(OR(RIGHT(AB327,3)="USD",RIGHT(AB327,4)="USDT"),1,IFERROR(VLOOKUP(E327&amp;"USD"&amp;RIGHT(AB327,3),$AF:$AG,2,FALSE),VLOOKUP(E327&amp;"USD"&amp;RIGHT(AJ327,3),$AN:$AO,2,FALSE)))))</f>
        <v>1</v>
      </c>
      <c r="AJ327" s="173" t="str">
        <f>IF(W327="via USD",IF(S327="EUR",S327&amp;"USD","USD"&amp;S327),IFERROR(VLOOKUP(K327&amp;S327,'FX RATES'!$H$2:$H$20,1,FALSE),S327&amp;K327))</f>
        <v>USDUSD</v>
      </c>
      <c r="AK327" s="175">
        <f>IF(LEFT(AJ327,3)=RIGHT(AJ327,3),0,IFERROR(INDEX(CLIENTS!$A$1:$O$649,MATCH(P327,CLIENTS!$A$1:$A$649,0),MATCH(AJ327,CLIENTS!$A$1:$O$1,0)),0))</f>
        <v>0</v>
      </c>
      <c r="AL327" s="176"/>
      <c r="AM327" s="177">
        <f>IF(W327="VENDOR","",IF(AL327="",AP327+AK327,AL327+AK327))</f>
        <v>1</v>
      </c>
      <c r="AN327" s="177" t="str">
        <f>E327&amp;AJ327</f>
        <v>46052USDUSD</v>
      </c>
      <c r="AO327" s="176"/>
      <c r="AP327" s="178">
        <f>IF(OR(LEFT(AJ327,3)=RIGHT(AJ327,3),AND(OR(AB327="USDUSDT",AB327="USDTUSD"),OR(AJ327="USDUSDT",AJ327="USDTUSD"))),1,VLOOKUP(AJ327,'FX RATES'!$H$1:$I$20,2,FALSE))</f>
        <v>1</v>
      </c>
      <c r="AQ327" s="178">
        <f>IF(OR(AJ327="USDAED",LEFT(AJ327,3)=RIGHT(AJ327,3)),AP327,IF(LEFT(AJ327)="USD",AO327,IF(OR(RIGHT(AB327,3)="USD",RIGHT(AB327,4)="USDT"),1,IFERROR(VLOOKUP(E327&amp;"USD"&amp;RIGHT(AJ327,3),$AN:$AO,2,FALSE),VLOOKUP(E327&amp;"USD"&amp;RIGHT(AB327,3),$AF:$AG,2,FALSE)))))</f>
        <v>1</v>
      </c>
      <c r="AR327" s="179">
        <f>-Q327*(1-Z327)/(1+X327)*IF(W327="CLIENT",IF(S327=RIGHT(AJ327,3),1/AM327,AM327),IF(W327="VENDOR",IF(S327=RIGHT(AJ327,3),1/AE327,AE327),AE327^(VLOOKUP(AB327,'FX RATES'!$H$1:$J$26,3,FALSE))/AM327^(VLOOKUP(AJ327,'FX RATES'!$H$1:$J$26,3,FALSE))))</f>
        <v>-502000</v>
      </c>
      <c r="AS327" s="179">
        <f>-I327*(1+X327)/(1-Z327)*IF(W327="VENDOR",IF(K327=RIGHT(AB327,3),1/AE327,AE327),IF(W327="CLIENT",IF(K327=RIGHT(AB327,3),1/AM327,AM327),AM327^(VLOOKUP(AJ327,'FX RATES'!$H$1:$J$26,3,FALSE))/AE327^(VLOOKUP(AB327,'FX RATES'!$H$1:$J$26,3,FALSE))))</f>
        <v>0</v>
      </c>
      <c r="AT327" s="170">
        <f>IF(AB327&lt;&gt;AJ327,J327/IF(K327=RIGHT(AB327,3),AE327,1/AE327),IF(S327="USD",J327/IF(K327=RIGHT(AB327,3),IF(W327="CLIENT",AM327,AE327),1/IF(W327="CLIENT",AM327,AE327)),J327*VLOOKUP(K327,'FX RATES'!$E$1:$F$10,2,FALSE)))</f>
        <v>-502000</v>
      </c>
      <c r="AU327" s="170">
        <f>IF(AB327&lt;&gt;AJ327,R327/IF(S327=RIGHT(AJ327,3),AM327,1/AM327),IF(K327="USD",R327/IF(S327=RIGHT(AJ327,3),IF(W327="CLIENT",AM327,AE327),1/IF(W327="CLIENT",AM327,AE327)),R327*VLOOKUP(S327,'FX RATES'!$E$1:$F$10,2,FALSE)))</f>
        <v>500000</v>
      </c>
      <c r="AV327" s="170">
        <f>AT327+AU327</f>
        <v>-2000</v>
      </c>
      <c r="AW327" s="169"/>
      <c r="AX327" s="170">
        <f>IF(AND(ISERROR(SEARCH("INVOICE",T327)),ISERROR(SEARCH("SWITCH",T327)),ISERROR(SEARCH("FOREX",T327)),ISERROR(SEARCH("REFUND",A327)),ISERROR(SEARCH("CANCELLED",A327))),IF(AW327="",-AT327*X327+AU327*Z327,AW327),0)</f>
        <v>0</v>
      </c>
      <c r="AY327" s="170">
        <f>IF(AZ327="USD",AT327,IF(AZ327=K327,J327,-R327))</f>
        <v>-502000</v>
      </c>
      <c r="AZ327" s="170" t="str">
        <f>LEFT(AB327,3)</f>
        <v>USD</v>
      </c>
      <c r="BA327" s="542">
        <f>IF(OR(A327="REFUND",A327="CANCELLED"),0,IFERROR((IF(OR(AB327="USDAED",LEFT(AB327,3)=RIGHT(AB327,3)),AI327,AG327)-AE327)*-AY327*VLOOKUP(AB327,'FX RATES'!$H$1:$J$26,3,FALSE),0))</f>
        <v>0</v>
      </c>
      <c r="BB327" s="170" t="str">
        <f>RIGHT(AB327,4)</f>
        <v>USDT</v>
      </c>
      <c r="BC327" s="542">
        <f>IF(BA327=0,0,IFERROR(BA327/IF(BB327&lt;&gt;"USD",AI327,1),"???"))</f>
        <v>0</v>
      </c>
      <c r="BD327" s="170">
        <f>IFERROR(-AC327/(IF(OR(AB327="USDAED",LEFT(AB327,3)=RIGHT(AB327,3)),AH327,AG327)-AE327)*BC327,0)</f>
        <v>0</v>
      </c>
      <c r="BE327" s="542">
        <f>BC327-BD327</f>
        <v>0</v>
      </c>
      <c r="BF327" s="170">
        <f>IF(BG327="USD",AU327,IF(BG327=S327,R327,-J327))</f>
        <v>500000</v>
      </c>
      <c r="BG327" s="170" t="str">
        <f>LEFT(AJ327,3)</f>
        <v>USD</v>
      </c>
      <c r="BH327" s="542">
        <f>IF(OR(A327="REFUND",A327="CANCELLED"),0,IFERROR((IF(OR(AJ327="USDAED",LEFT(AJ327,3)=RIGHT(AJ327,3)),AQ327,AO327)-AM327)*-BF327*VLOOKUP(AJ327,'FX RATES'!$H$1:$J$26,3,FALSE),0))</f>
        <v>0</v>
      </c>
      <c r="BI327" s="170" t="str">
        <f>RIGHT(AJ327,3)</f>
        <v>USD</v>
      </c>
      <c r="BJ327" s="542">
        <f>IF(BH327=0,0,IFERROR(BH327/IF(BI327&lt;&gt;"USD",AQ327,1),"???"))</f>
        <v>0</v>
      </c>
      <c r="BK327" s="170">
        <f>IFERROR(-AK327/(IF(OR(AJ327="USDAED",LEFT(AJ327,3)=RIGHT(AJ327,3)),AP327,AO327)-AM327)*BJ327,0)</f>
        <v>0</v>
      </c>
      <c r="BL327" s="542">
        <f>BJ327-BK327</f>
        <v>0</v>
      </c>
      <c r="BM327" s="170">
        <f>IF(AND(ISERROR(SEARCH("REFUND",A327)),ISERROR(SEARCH("CANCELLED",A327))),BD327+BK327,0)</f>
        <v>0</v>
      </c>
      <c r="BN327" s="542">
        <f>IF(AND(ISERROR(SEARCH("REFUND",A327)),ISERROR(SEARCH("CANCELLED",A327))),BE327+BL327,0)</f>
        <v>0</v>
      </c>
    </row>
    <row r="328" spans="1:66" ht="19.5" customHeight="1">
      <c r="A328" s="167" t="s">
        <v>366</v>
      </c>
      <c r="B328" s="181" t="s">
        <v>39</v>
      </c>
      <c r="C328" s="181" t="s">
        <v>367</v>
      </c>
      <c r="D328" s="181" t="s">
        <v>418</v>
      </c>
      <c r="E328" s="171">
        <v>46052</v>
      </c>
      <c r="F328" s="171"/>
      <c r="G328" s="181" t="s">
        <v>39</v>
      </c>
      <c r="H328" s="168" t="s">
        <v>428</v>
      </c>
      <c r="I328" s="169"/>
      <c r="J328" s="170">
        <f>IF(I328="",AR328,I328)</f>
        <v>-499000</v>
      </c>
      <c r="K328" s="168" t="s">
        <v>5</v>
      </c>
      <c r="L328" s="168" t="s">
        <v>378</v>
      </c>
      <c r="M328" s="168" t="s">
        <v>20</v>
      </c>
      <c r="N328" s="167" t="s">
        <v>371</v>
      </c>
      <c r="O328" s="168" t="s">
        <v>52</v>
      </c>
      <c r="P328" s="168" t="s">
        <v>428</v>
      </c>
      <c r="Q328" s="169">
        <v>500000</v>
      </c>
      <c r="R328" s="170">
        <f>IF(Q328="",AS328,Q328)</f>
        <v>500000</v>
      </c>
      <c r="S328" s="168" t="s">
        <v>53</v>
      </c>
      <c r="T328" s="168" t="s">
        <v>420</v>
      </c>
      <c r="U328" s="168" t="s">
        <v>54</v>
      </c>
      <c r="V328" s="167" t="s">
        <v>371</v>
      </c>
      <c r="W328" s="172" t="s">
        <v>375</v>
      </c>
      <c r="X328" s="173">
        <f>IF(Y328="",VLOOKUP(H328,CLIENTS!$A$1:$O$649,5,FALSE),Y328)</f>
        <v>0</v>
      </c>
      <c r="Y328" s="174">
        <v>0</v>
      </c>
      <c r="Z328" s="173">
        <f>IF(AA328="",VLOOKUP(P328,CLIENTS!$A$1:$O$649,5,FALSE),AA328)</f>
        <v>2E-3</v>
      </c>
      <c r="AA328" s="174">
        <v>2E-3</v>
      </c>
      <c r="AB328" s="173" t="str">
        <f>IF(W328="via USD",IF(K328="EUR",K328&amp;"USD","USD"&amp;K328),IFERROR(VLOOKUP(K328&amp;S328,'FX RATES'!$H$2:$H$20,1,FALSE),S328&amp;K328))</f>
        <v>USDUSD</v>
      </c>
      <c r="AC328" s="175">
        <f>IF(LEFT(AB328,3)=RIGHT(AB328,3),0,IFERROR(INDEX(CLIENTS!$A$1:$O$649,MATCH(H328,CLIENTS!$A$1:$A$649,0),MATCH(AB328,CLIENTS!$A$1:$O$1,0)),0))</f>
        <v>0</v>
      </c>
      <c r="AD328" s="176"/>
      <c r="AE328" s="177">
        <f>IF(W328="CLIENT","",IF(AD328="",AH328+AC328,AD328+AC328))</f>
        <v>1</v>
      </c>
      <c r="AF328" s="177" t="str">
        <f>E328&amp;AB328</f>
        <v>46052USDUSD</v>
      </c>
      <c r="AG328" s="176"/>
      <c r="AH328" s="178">
        <f>IF(LEFT(AB328,3)=RIGHT(AB328,3),1,VLOOKUP(AB328,'FX RATES'!$H$1:$I$20,2,FALSE))</f>
        <v>1</v>
      </c>
      <c r="AI328" s="178">
        <f>IF(OR(AB328="USDAED",LEFT(AB328,3)=RIGHT(AB328,3)),AH328,IF(LEFT(AB328)="USD",AG328,IF(RIGHT(AB328,3)="USD",1,IFERROR(VLOOKUP(E328&amp;"USD"&amp;RIGHT(AB328,3),$AF:$AG,2,FALSE),VLOOKUP(E328&amp;"USD"&amp;RIGHT(AJ328,3),$AN:$AO,2,FALSE)))))</f>
        <v>1</v>
      </c>
      <c r="AJ328" s="173" t="str">
        <f>IF(W328="via USD",IF(S328="EUR",S328&amp;"USD","USD"&amp;S328),IFERROR(VLOOKUP(K328&amp;S328,'FX RATES'!$H$2:$H$20,1,FALSE),S328&amp;K328))</f>
        <v>USDUSDT</v>
      </c>
      <c r="AK328" s="175">
        <f>IF(LEFT(AJ328,3)=RIGHT(AJ328,3),0,IFERROR(INDEX(CLIENTS!$A$1:$O$649,MATCH(P328,CLIENTS!$A$1:$A$649,0),MATCH(AJ328,CLIENTS!$A$1:$O$1,0)),0))</f>
        <v>0</v>
      </c>
      <c r="AL328" s="176"/>
      <c r="AM328" s="177">
        <f>IF(W328="VENDOR","",IF(AL328="",AP328+AK328,AL328+AK328))</f>
        <v>1</v>
      </c>
      <c r="AN328" s="177" t="str">
        <f>E328&amp;AJ328</f>
        <v>46052USDUSDT</v>
      </c>
      <c r="AO328" s="176">
        <v>1</v>
      </c>
      <c r="AP328" s="178">
        <f>IF(LEFT(AJ328,3)=RIGHT(AJ328,3),1,VLOOKUP(AJ328,'FX RATES'!$H$1:$I$50,2,FALSE))</f>
        <v>1</v>
      </c>
      <c r="AQ328" s="178">
        <f>IF(OR(AJ328="USDAED",LEFT(AJ328,3)=RIGHT(AJ328,3),AJ328="USDUSDT",AJ328="USDTUSD"),AP328,IF(LEFT(AJ328)="USD",AO328,IF(RIGHT(AJ328,3)="USD",1,IFERROR(VLOOKUP(E328&amp;"USD"&amp;RIGHT(AJ328,3),$AN:$AO,2,FALSE),VLOOKUP(E328&amp;"USD"&amp;RIGHT(AB328,3),$AF:$AG,2,FALSE)))))</f>
        <v>1</v>
      </c>
      <c r="AR328" s="179">
        <f>-Q328*(1-Z328)/(1+X328)*IF(W328="CLIENT",IF(S328=RIGHT(AJ328,3),1/AM328,AM328),IF(W328="VENDOR",IF(S328=RIGHT(AJ328,3),1/AE328,AE328),AE328^(VLOOKUP(AB328,'FX RATES'!$H$1:$J$26,3,FALSE))/AM328^(VLOOKUP(AJ328,'FX RATES'!$H$1:$J$26,3,FALSE))))</f>
        <v>-499000</v>
      </c>
      <c r="AS328" s="179">
        <f>-I328*(1+X328)/(1-Z328)*IF(W328="VENDOR",IF(K328=RIGHT(AB328,3),1/AE328,AE328),IF(W328="CLIENT",IF(K328=RIGHT(AB328,3),1/AM328,AM328),AM328^(VLOOKUP(AJ328,'FX RATES'!$H$1:$J$26,3,FALSE))/AE328^(VLOOKUP(AB328,'FX RATES'!$H$1:$J$26,3,FALSE))))</f>
        <v>0</v>
      </c>
      <c r="AT328" s="170">
        <f>IF(AB328&lt;&gt;AJ328,J328/IF(K328=RIGHT(AB328,3),AE328,1/AE328),IF(S328="USD",J328/IF(K328=RIGHT(AB328,3),IF(W328="CLIENT",AM328,AE328),1/IF(W328="CLIENT",AM328,AE328)),J328*VLOOKUP(K328,'FX RATES'!$E$1:$F$10,2,FALSE)))</f>
        <v>-499000</v>
      </c>
      <c r="AU328" s="170">
        <f>IF(AB328&lt;&gt;AJ328,R328/IF(S328=RIGHT(AJ328,3),AM328,1/AM328),IF(K328="USD",R328/IF(S328=RIGHT(AJ328,3),IF(W328="CLIENT",AM328,AE328),1/IF(W328="CLIENT",AM328,AE328)),R328*VLOOKUP(S328,'FX RATES'!$E$1:$F$10,2,FALSE)))</f>
        <v>500000</v>
      </c>
      <c r="AV328" s="170">
        <f>AT328+AU328</f>
        <v>1000</v>
      </c>
      <c r="AW328" s="169"/>
      <c r="AX328" s="170">
        <f>IF(AND(ISERROR(SEARCH("INVOICE",T328)),ISERROR(SEARCH("SWITCH",T328)),ISERROR(SEARCH("FOREX",T328)),ISERROR(SEARCH("REFUND",A328)),ISERROR(SEARCH("CANCELLED",A328))),IF(AW328="",-AT328*X328+AU328*Z328,AW328),0)</f>
        <v>1000</v>
      </c>
      <c r="AY328" s="170">
        <f>IF(AZ328="USD",AT328,IF(AZ328=K328,J328,-R328))</f>
        <v>-499000</v>
      </c>
      <c r="AZ328" s="170" t="str">
        <f>LEFT(AB328,3)</f>
        <v>USD</v>
      </c>
      <c r="BA328" s="542">
        <f>IF(OR(A328="REFUND",A328="CANCELLED"),0,IFERROR((IF(OR(AB328="USDAED",LEFT(AB328,3)=RIGHT(AB328,3)),AI328,AG328)-AE328)*-AY328*VLOOKUP(AB328,'FX RATES'!$H$1:$J$26,3,FALSE),0))</f>
        <v>0</v>
      </c>
      <c r="BB328" s="170" t="str">
        <f>RIGHT(AB328,3)</f>
        <v>USD</v>
      </c>
      <c r="BC328" s="542">
        <f>IF(BA328=0,0,IFERROR(BA328/IF(BB328&lt;&gt;"USD",AI328,1),"???"))</f>
        <v>0</v>
      </c>
      <c r="BD328" s="170">
        <f>IFERROR(-AC328/(IF(OR(AB328="USDAED",LEFT(AB328,3)=RIGHT(AB328,3)),AH328,AG328)-AE328)*BC328,0)</f>
        <v>0</v>
      </c>
      <c r="BE328" s="542">
        <f>BC328-BD328</f>
        <v>0</v>
      </c>
      <c r="BF328" s="170">
        <f>IF(BG328="USD",AU328,IF(BG328=S328,R328,-J328))</f>
        <v>500000</v>
      </c>
      <c r="BG328" s="170" t="str">
        <f>LEFT(AJ328,3)</f>
        <v>USD</v>
      </c>
      <c r="BH328" s="542">
        <f>IF(OR(A328="REFUND",A328="CANCELLED"),0,IFERROR((IF(OR(AJ328="USDAED",LEFT(AJ328,3)=RIGHT(AJ328,3),AJ328="USDUSDT",AJ328="USDTUSD"),AQ328,AO328)-AM328)*-BF328*VLOOKUP(AJ328,'FX RATES'!$H$1:$J$26,3,FALSE),0))</f>
        <v>0</v>
      </c>
      <c r="BI328" s="170" t="str">
        <f>RIGHT(AJ328,4)</f>
        <v>USDT</v>
      </c>
      <c r="BJ328" s="542">
        <f>IF(BH328=0,0,IFERROR(BH328/IF(BI328&lt;&gt;"USD",AQ328,1),"???"))</f>
        <v>0</v>
      </c>
      <c r="BK328" s="170">
        <f>IFERROR(-AK328/(IF(OR(AJ328="USDAED",LEFT(AJ328,3)=RIGHT(AJ328,3)),AP328,AO328)-AM328)*BJ328,0)</f>
        <v>0</v>
      </c>
      <c r="BL328" s="542">
        <f>BJ328-BK328</f>
        <v>0</v>
      </c>
      <c r="BM328" s="170">
        <f>IF(AND(ISERROR(SEARCH("REFUND",A328)),ISERROR(SEARCH("CANCELLED",A328))),BD328+BK328,0)</f>
        <v>0</v>
      </c>
      <c r="BN328" s="542">
        <f>IF(AND(ISERROR(SEARCH("REFUND",A328)),ISERROR(SEARCH("CANCELLED",A328))),BE328+BL328,0)</f>
        <v>0</v>
      </c>
    </row>
    <row r="329" spans="1:66" ht="19.5" customHeight="1">
      <c r="J329" s="450"/>
    </row>
    <row r="330" spans="1:66" ht="19.5" customHeight="1">
      <c r="A330" s="167" t="s">
        <v>366</v>
      </c>
      <c r="B330" s="168" t="s">
        <v>39</v>
      </c>
      <c r="C330" s="168" t="s">
        <v>367</v>
      </c>
      <c r="D330" s="168" t="s">
        <v>368</v>
      </c>
      <c r="E330" s="171">
        <v>46055</v>
      </c>
      <c r="F330" s="171"/>
      <c r="G330" s="168" t="s">
        <v>39</v>
      </c>
      <c r="H330" s="186" t="s">
        <v>541</v>
      </c>
      <c r="I330" s="169">
        <v>-367190</v>
      </c>
      <c r="J330" s="170">
        <f>IF(I330="",AR330,I330)</f>
        <v>-367190</v>
      </c>
      <c r="K330" s="168" t="s">
        <v>8</v>
      </c>
      <c r="L330" s="171" t="s">
        <v>537</v>
      </c>
      <c r="M330" s="168" t="s">
        <v>17</v>
      </c>
      <c r="N330" s="167" t="s">
        <v>371</v>
      </c>
      <c r="O330" s="168" t="s">
        <v>39</v>
      </c>
      <c r="P330" s="168" t="s">
        <v>542</v>
      </c>
      <c r="Q330" s="169"/>
      <c r="R330" s="170">
        <f>IF(Q330="",AS330,Q330)</f>
        <v>7808869.6209957292</v>
      </c>
      <c r="S330" s="168" t="s">
        <v>9</v>
      </c>
      <c r="T330" s="171" t="s">
        <v>543</v>
      </c>
      <c r="U330" s="168" t="s">
        <v>374</v>
      </c>
      <c r="V330" s="167" t="s">
        <v>371</v>
      </c>
      <c r="W330" s="172" t="s">
        <v>375</v>
      </c>
      <c r="X330" s="173">
        <f>IF(Y330="",VLOOKUP(H330,CLIENTS!$A$1:$O$649,5,FALSE),Y330)</f>
        <v>0</v>
      </c>
      <c r="Y330" s="174">
        <v>0</v>
      </c>
      <c r="Z330" s="173">
        <f>IF(AA330="",VLOOKUP(P330,CLIENTS!$A$1:$O$649,5,FALSE),AA330)</f>
        <v>6.0000000000000001E-3</v>
      </c>
      <c r="AA330" s="174">
        <v>6.0000000000000001E-3</v>
      </c>
      <c r="AB330" s="173" t="str">
        <f>IF(W330="via USD",IF(K330="EUR",K330&amp;"USD","USD"&amp;K330),IFERROR(VLOOKUP(K330&amp;S330,'FX RATES'!$H$2:$H$20,1,FALSE),S330&amp;K330))</f>
        <v>USDAED</v>
      </c>
      <c r="AC330" s="175">
        <f>IF(LEFT(AB330,3)=RIGHT(AB330,3),0,IFERROR(INDEX(CLIENTS!$A$1:$O$649,MATCH(H330,CLIENTS!$A$1:$A$649,0),MATCH(AB330,CLIENTS!$A$1:$O$1,0)),0))</f>
        <v>0</v>
      </c>
      <c r="AD330" s="176">
        <v>3.67</v>
      </c>
      <c r="AE330" s="177">
        <f>IF(W330="CLIENT","",IF(AD330="",AH330+AC330,AD330+AC330))</f>
        <v>3.67</v>
      </c>
      <c r="AF330" s="177" t="str">
        <f>E330&amp;AB330</f>
        <v>46055USDAED</v>
      </c>
      <c r="AG330" s="176"/>
      <c r="AH330" s="178">
        <f>IF(LEFT(AB330,3)=RIGHT(AB330,3),1,VLOOKUP(AB330,'FX RATES'!$H$1:$I$20,2,FALSE))</f>
        <v>3.6724999999999999</v>
      </c>
      <c r="AI330" s="178">
        <f>IF(OR(AB330="USDAED",LEFT(AB330,3)=RIGHT(AB330,3)),AH330,IF(LEFT(AB330)="USD",AG330,IF(RIGHT(AB330,3)="USD",1,IFERROR(VLOOKUP(E330&amp;"USD"&amp;RIGHT(AB330,3),$AF:$AG,2,FALSE),VLOOKUP(E330&amp;"USD"&amp;RIGHT(AJ330,3),$AN:$AO,2,FALSE)))))</f>
        <v>3.6724999999999999</v>
      </c>
      <c r="AJ330" s="173" t="str">
        <f>IF(W330="via USD",IF(S330="EUR",S330&amp;"USD","USD"&amp;S330),IFERROR(VLOOKUP(K330&amp;S330,'FX RATES'!$H$2:$H$20,1,FALSE),S330&amp;K330))</f>
        <v>USDRUB</v>
      </c>
      <c r="AK330" s="175">
        <f>IF(LEFT(AJ330,3)=RIGHT(AJ330,3),0,IFERROR(INDEX(CLIENTS!$A$1:$O$649,MATCH(P330,CLIENTS!$A$1:$A$649,0),MATCH(AJ330,CLIENTS!$A$1:$O$1,0)),0))</f>
        <v>0</v>
      </c>
      <c r="AL330" s="176">
        <v>77.58</v>
      </c>
      <c r="AM330" s="177">
        <f>IF(W330="VENDOR","",IF(AL330="",AP330+AK330,AL330+AK330))</f>
        <v>77.58</v>
      </c>
      <c r="AN330" s="177" t="str">
        <f>E330&amp;AJ330</f>
        <v>46055USDRUB</v>
      </c>
      <c r="AO330" s="176">
        <v>76.7</v>
      </c>
      <c r="AP330" s="178">
        <f ca="1">IF(LEFT(AJ330,3)=RIGHT(AJ330,3),1,VLOOKUP(AJ330,'FX RATES'!$H$1:$I$20,2,FALSE))</f>
        <v>76.720500000000001</v>
      </c>
      <c r="AQ330" s="178">
        <f>IF(OR(AJ330="USDAED",LEFT(AJ330,3)=RIGHT(AJ330,3)),AP330,IF(LEFT(AJ330)="USD",AO330,IF(RIGHT(AJ330,3)="USD",1,IFERROR(VLOOKUP(E330&amp;"USD"&amp;RIGHT(AJ330,3),$AN:$AO,2,FALSE),VLOOKUP(E330&amp;"USD"&amp;RIGHT(AB330,3),$AF:$AG,2,FALSE)))))</f>
        <v>76.7</v>
      </c>
      <c r="AR330" s="179">
        <f>-Q330*(1-Z330)/(1+X330)*IF(W330="CLIENT",IF(S330=RIGHT(AJ330,3),1/AM330,AM330),IF(W330="VENDOR",IF(S330=RIGHT(AJ330,3),1/AE330,AE330),AE330^(VLOOKUP(AB330,'FX RATES'!$H$1:$J$26,3,FALSE))/AM330^(VLOOKUP(AJ330,'FX RATES'!$H$1:$J$26,3,FALSE))))</f>
        <v>0</v>
      </c>
      <c r="AS330" s="179">
        <f>-I330*(1+X330)/(1-Z330)*IF(W330="VENDOR",IF(K330=RIGHT(AB330,3),1/AE330,AE330),IF(W330="CLIENT",IF(K330=RIGHT(AB330,3),1/AM330,AM330),AM330^(VLOOKUP(AJ330,'FX RATES'!$H$1:$J$26,3,FALSE))/AE330^(VLOOKUP(AB330,'FX RATES'!$H$1:$J$26,3,FALSE))))</f>
        <v>7808869.6209957292</v>
      </c>
      <c r="AT330" s="170">
        <f>IF(AB330&lt;&gt;AJ330,J330/IF(K330=RIGHT(AB330,3),AE330,1/AE330),IF(S330="USD",J330/IF(K330=RIGHT(AB330,3),IF(W330="CLIENT",AM330,AE330),1/IF(W330="CLIENT",AM330,AE330)),J330*VLOOKUP(K330,'FX RATES'!$E$1:$F$10,2,FALSE)))</f>
        <v>-100051.77111716621</v>
      </c>
      <c r="AU330" s="170">
        <f>IF(AB330&lt;&gt;AJ330,R330/IF(S330=RIGHT(AJ330,3),AM330,1/AM330),IF(K330="USD",R330/IF(S330=RIGHT(AJ330,3),IF(W330="CLIENT",AM330,AE330),1/IF(W330="CLIENT",AM330,AE330)),R330*VLOOKUP(S330,'FX RATES'!$E$1:$F$10,2,FALSE)))</f>
        <v>100655.70534926179</v>
      </c>
      <c r="AV330" s="170">
        <f>AT330+AU330</f>
        <v>603.93423209557659</v>
      </c>
      <c r="AW330" s="169"/>
      <c r="AX330" s="170">
        <f>IF(AND(ISERROR(SEARCH("INVOICE",T330)),ISERROR(SEARCH("SWITCH",T330)),ISERROR(SEARCH("FOREX",T330)),ISERROR(SEARCH("REFUND",A330)),ISERROR(SEARCH("CANCELLED",A330))),IF(AW330="",-AT330*X330+AU330*Z330,AW330),0)</f>
        <v>603.93423209557068</v>
      </c>
      <c r="AY330" s="170">
        <f>IF(AZ330="USD",AT330,IF(AZ330=K330,J330,-R330))</f>
        <v>-100051.77111716621</v>
      </c>
      <c r="AZ330" s="170" t="str">
        <f>LEFT(AB330,3)</f>
        <v>USD</v>
      </c>
      <c r="BA330" s="542">
        <f>IF(OR(A330="REFUND",A330="CANCELLED"),0,IFERROR((IF(OR(AB330="USDAED",LEFT(AB330,3)=RIGHT(AB330,3)),AI330,AG330)-AE330)*-AY330*VLOOKUP(AB330,'FX RATES'!$H$1:$J$26,3,FALSE),0))</f>
        <v>250.12942779291018</v>
      </c>
      <c r="BB330" s="170" t="str">
        <f>RIGHT(AB330,3)</f>
        <v>AED</v>
      </c>
      <c r="BC330" s="542">
        <f>IF(BA330=0,0,IFERROR(BA330/IF(BB330&lt;&gt;"USD",AI330,1),"???"))</f>
        <v>68.108761822439803</v>
      </c>
      <c r="BD330" s="170">
        <f>IFERROR(-AC330/(IF(OR(AB330="USDAED",LEFT(AB330,3)=RIGHT(AB330,3)),AH330,AG330)-AE330)*BC330,0)</f>
        <v>0</v>
      </c>
      <c r="BE330" s="542">
        <f>BC330-BD330</f>
        <v>68.108761822439803</v>
      </c>
      <c r="BF330" s="170">
        <f>IF(BG330="USD",AU330,IF(BG330=S330,R330,-J330))</f>
        <v>100655.70534926179</v>
      </c>
      <c r="BG330" s="170" t="str">
        <f>LEFT(AJ330,3)</f>
        <v>USD</v>
      </c>
      <c r="BH330" s="542">
        <f>IF(OR(A330="REFUND",A330="CANCELLED"),0,IFERROR((IF(OR(AJ330="USDAED",LEFT(AJ330,3)=RIGHT(AJ330,3)),AQ330,AO330)-AM330)*-BF330*VLOOKUP(AJ330,'FX RATES'!$H$1:$J$26,3,FALSE),0))</f>
        <v>88577.020707349919</v>
      </c>
      <c r="BI330" s="170" t="str">
        <f>RIGHT(AJ330,3)</f>
        <v>RUB</v>
      </c>
      <c r="BJ330" s="542">
        <f>IF(BH330=0,0,IFERROR(BH330/IF(BI330&lt;&gt;"USD",AQ330,1),"???"))</f>
        <v>1154.8503351675347</v>
      </c>
      <c r="BK330" s="170">
        <f>IFERROR(-AK330/(IF(OR(AJ330="USDAED",LEFT(AJ330,3)=RIGHT(AJ330,3)),AP330,AO330)-AM330)*BJ330,0)</f>
        <v>0</v>
      </c>
      <c r="BL330" s="542">
        <f>BJ330-BK330</f>
        <v>1154.8503351675347</v>
      </c>
      <c r="BM330" s="170">
        <f>IF(AND(ISERROR(SEARCH("REFUND",A330)),ISERROR(SEARCH("CANCELLED",A330))),BD330+BK330,0)</f>
        <v>0</v>
      </c>
      <c r="BN330" s="542">
        <f>IF(AND(ISERROR(SEARCH("REFUND",A330)),ISERROR(SEARCH("CANCELLED",A330))),BE330+BL330,0)</f>
        <v>1222.9590969899746</v>
      </c>
    </row>
    <row r="331" spans="1:66" ht="19.5" customHeight="1">
      <c r="A331" s="167" t="s">
        <v>366</v>
      </c>
      <c r="B331" s="168" t="s">
        <v>39</v>
      </c>
      <c r="C331" s="168" t="s">
        <v>383</v>
      </c>
      <c r="D331" s="168" t="s">
        <v>128</v>
      </c>
      <c r="E331" s="171">
        <v>46055</v>
      </c>
      <c r="F331" s="171"/>
      <c r="G331" s="168" t="s">
        <v>39</v>
      </c>
      <c r="H331" s="168" t="s">
        <v>384</v>
      </c>
      <c r="I331" s="169">
        <v>-7808000</v>
      </c>
      <c r="J331" s="170">
        <f>IF(I331="",AR331,I331)</f>
        <v>-7808000</v>
      </c>
      <c r="K331" s="168" t="s">
        <v>9</v>
      </c>
      <c r="L331" s="171" t="s">
        <v>374</v>
      </c>
      <c r="M331" s="168" t="s">
        <v>374</v>
      </c>
      <c r="N331" s="167" t="s">
        <v>371</v>
      </c>
      <c r="O331" s="168" t="s">
        <v>39</v>
      </c>
      <c r="P331" s="349" t="s">
        <v>384</v>
      </c>
      <c r="Q331" s="169"/>
      <c r="R331" s="170">
        <f>IF(Q331="",AS331,Q331)</f>
        <v>370222.85443338077</v>
      </c>
      <c r="S331" s="168" t="s">
        <v>8</v>
      </c>
      <c r="T331" s="171" t="s">
        <v>385</v>
      </c>
      <c r="U331" s="168" t="s">
        <v>20</v>
      </c>
      <c r="V331" s="167" t="s">
        <v>371</v>
      </c>
      <c r="W331" s="172" t="s">
        <v>382</v>
      </c>
      <c r="X331" s="173">
        <f>IF(Y331="",VLOOKUP(H331,CLIENTS!$A$1:$O$649,5,FALSE),Y331)</f>
        <v>0</v>
      </c>
      <c r="Y331" s="174">
        <v>0</v>
      </c>
      <c r="Z331" s="173">
        <f>IF(AA331="",VLOOKUP(P331,CLIENTS!$A$1:$O$649,5,FALSE),AA331)</f>
        <v>0</v>
      </c>
      <c r="AA331" s="174">
        <v>0</v>
      </c>
      <c r="AB331" s="173" t="str">
        <f>IF(W331="via USD",IF(K331="EUR",K331&amp;"USD","USD"&amp;K331),IFERROR(VLOOKUP(K331&amp;S331,'FX RATES'!$H$2:$H$20,1,FALSE),S331&amp;K331))</f>
        <v>AEDRUB</v>
      </c>
      <c r="AC331" s="175">
        <f>IF(LEFT(AB331,3)=RIGHT(AB331,3),0,IFERROR(INDEX(CLIENTS!$A$1:$O$649,MATCH(H331,CLIENTS!$A$1:$A$649,0),MATCH(AB331,CLIENTS!$A$1:$O$1,0)),0))</f>
        <v>0</v>
      </c>
      <c r="AD331" s="176">
        <v>21.09</v>
      </c>
      <c r="AE331" s="177">
        <f>IF(W331="CLIENT","",IF(AD331="",AH331+AC331,AD331+AC331))</f>
        <v>21.09</v>
      </c>
      <c r="AF331" s="177" t="str">
        <f>E331&amp;AB331</f>
        <v>46055AEDRUB</v>
      </c>
      <c r="AG331" s="176">
        <v>20.884899999999998</v>
      </c>
      <c r="AH331" s="178">
        <f ca="1">IF(LEFT(AB331,3)=RIGHT(AB331,3),1,VLOOKUP(AB331,'FX RATES'!$H$1:$I$20,2,FALSE))</f>
        <v>20.8843</v>
      </c>
      <c r="AI331" s="178">
        <f>IF(OR(AB331="USDAED",LEFT(AB331,3)=RIGHT(AB331,3)),AH331,IF(LEFT(AB331)="USD",AG331,IF(RIGHT(AB331,3)="USD",1,IFERROR(VLOOKUP(E331&amp;"USD"&amp;RIGHT(AB331,3),$AF:$AG,2,FALSE),VLOOKUP(E331&amp;"USD"&amp;RIGHT(AJ331,3),$AN:$AO,2,FALSE)))))</f>
        <v>76.7</v>
      </c>
      <c r="AJ331" s="173" t="str">
        <f>IF(W331="via USD",IF(S331="EUR",S331&amp;"USD","USD"&amp;S331),IFERROR(VLOOKUP(K331&amp;S331,'FX RATES'!$H$2:$H$20,1,FALSE),S331&amp;K331))</f>
        <v>AEDRUB</v>
      </c>
      <c r="AK331" s="175">
        <f>IF(LEFT(AJ331,3)=RIGHT(AJ331,3),0,IFERROR(INDEX(CLIENTS!$A$1:$O$649,MATCH(P331,CLIENTS!$A$1:$A$649,0),MATCH(AJ331,CLIENTS!$A$1:$O$1,0)),0))</f>
        <v>0</v>
      </c>
      <c r="AL331" s="176"/>
      <c r="AM331" s="177" t="str">
        <f>IF(W331="VENDOR","",IF(AL331="",AP331+AK331,AL331+AK331))</f>
        <v/>
      </c>
      <c r="AN331" s="177" t="str">
        <f>E331&amp;AJ331</f>
        <v>46055AEDRUB</v>
      </c>
      <c r="AO331" s="176"/>
      <c r="AP331" s="178">
        <f ca="1">IF(LEFT(AJ331,3)=RIGHT(AJ331,3),1,VLOOKUP(AJ331,'FX RATES'!$H$1:$I$20,2,FALSE))</f>
        <v>20.8843</v>
      </c>
      <c r="AQ331" s="178">
        <f>IF(OR(AJ331="USDAED",LEFT(AJ331,3)=RIGHT(AJ331,3)),AP331,IF(LEFT(AJ331)="USD",AO331,IF(RIGHT(AJ331,3)="USD",1,IFERROR(VLOOKUP(E331&amp;"USD"&amp;RIGHT(AJ331,3),$AN:$AO,2,FALSE),VLOOKUP(E331&amp;"USD"&amp;RIGHT(AB331,3),$AF:$AG,2,FALSE)))))</f>
        <v>76.7</v>
      </c>
      <c r="AR331" s="179">
        <f>-Q331*(1-Z331)/(1+X331)*IF(W331="CLIENT",IF(S331=RIGHT(AJ331,3),1/AM331,AM331),IF(W331="VENDOR",IF(S331=RIGHT(AJ331,3),1/AE331,AE331),AE331^(VLOOKUP(AB331,'FX RATES'!$H$1:$J$26,3,FALSE))/AM331^(VLOOKUP(AJ331,'FX RATES'!$H$1:$J$26,3,FALSE))))</f>
        <v>0</v>
      </c>
      <c r="AS331" s="179">
        <f>-I331*(1+X331)/(1-Z331)*IF(W331="VENDOR",IF(K331=RIGHT(AB331,3),1/AE331,AE331),IF(W331="CLIENT",IF(K331=RIGHT(AB331,3),1/AM331,AM331),AM331^(VLOOKUP(AJ331,'FX RATES'!$H$1:$J$26,3,FALSE))/AE331^(VLOOKUP(AB331,'FX RATES'!$H$1:$J$26,3,FALSE))))</f>
        <v>370222.85443338077</v>
      </c>
      <c r="AT331" s="170">
        <f ca="1">IF(AB331&lt;&gt;AJ331,J331/IF(K331=RIGHT(AB331,3),AE331,1/AE331),IF(S331="USD",J331/IF(K331=RIGHT(AB331,3),IF(W331="CLIENT",AM331,AE331),1/IF(W331="CLIENT",AM331,AE331)),J331*VLOOKUP(K331,'FX RATES'!$E$1:$F$10,2,FALSE)))</f>
        <v>-101772.01660573119</v>
      </c>
      <c r="AU331" s="170">
        <f ca="1">IF(AB331&lt;&gt;AJ331,R331/IF(S331=RIGHT(AJ331,3),AM331,1/AM331),IF(K331="USD",R331/IF(S331=RIGHT(AJ331,3),IF(W331="CLIENT",AM331,AE331),1/IF(W331="CLIENT",AM331,AE331)),R331*VLOOKUP(S331,'FX RATES'!$E$1:$F$10,2,FALSE)))</f>
        <v>100806.74574780285</v>
      </c>
      <c r="AV331" s="170">
        <f ca="1">AT331+AU331</f>
        <v>-965.27085792833532</v>
      </c>
      <c r="AW331" s="169"/>
      <c r="AX331" s="170">
        <f ca="1">IF(AND(ISERROR(SEARCH("INVOICE",T331)),ISERROR(SEARCH("SWITCH",T331)),ISERROR(SEARCH("FOREX",T331)),ISERROR(SEARCH("REFUND",A331)),ISERROR(SEARCH("CANCELLED",A331))),IF(AW331="",-AT331*X331+AU331*Z331,AW331),0)</f>
        <v>0</v>
      </c>
      <c r="AY331" s="170">
        <f>IF(AZ331="USD",AT331,IF(AZ331=K331,J331,-R331))</f>
        <v>-370222.85443338077</v>
      </c>
      <c r="AZ331" s="170" t="str">
        <f>LEFT(AB331,3)</f>
        <v>AED</v>
      </c>
      <c r="BA331" s="542">
        <f>IF(OR(A331="REFUND",A331="CANCELLED"),0,IFERROR((IF(OR(AB331="USDAED",LEFT(AB331,3)=RIGHT(AB331,3)),AI331,AG331)-AE331)*-AY331*VLOOKUP(AB331,'FX RATES'!$H$1:$J$26,3,FALSE),0))</f>
        <v>-75932.707444286993</v>
      </c>
      <c r="BB331" s="170" t="str">
        <f>RIGHT(AB331,3)</f>
        <v>RUB</v>
      </c>
      <c r="BC331" s="542">
        <f>IF(BA331=0,0,IFERROR(BA331/IF(BB331&lt;&gt;"USD",AI331,1),"???"))</f>
        <v>-989.99618571430233</v>
      </c>
      <c r="BD331" s="170">
        <f>IFERROR(-AC331/(IF(OR(AB331="USDAED",LEFT(AB331,3)=RIGHT(AB331,3)),AH331,AG331)-AE331)*BC331,0)</f>
        <v>0</v>
      </c>
      <c r="BE331" s="542">
        <f>BC331-BD331</f>
        <v>-989.99618571430233</v>
      </c>
      <c r="BF331" s="170">
        <f>IF(BG331="USD",AU331,IF(BG331=S331,R331,-J331))</f>
        <v>370222.85443338077</v>
      </c>
      <c r="BG331" s="170" t="str">
        <f>LEFT(AJ331,3)</f>
        <v>AED</v>
      </c>
      <c r="BH331" s="542">
        <f>IF(OR(A331="REFUND",A331="CANCELLED"),0,IFERROR((IF(OR(AJ331="USDAED",LEFT(AJ331,3)=RIGHT(AJ331,3)),AQ331,AO331)-AM331)*-BF331*VLOOKUP(AJ331,'FX RATES'!$H$1:$J$26,3,FALSE),0))</f>
        <v>0</v>
      </c>
      <c r="BI331" s="170" t="str">
        <f>RIGHT(AJ331,3)</f>
        <v>RUB</v>
      </c>
      <c r="BJ331" s="542">
        <f>IF(BH331=0,0,IFERROR(BH331/IF(BI331&lt;&gt;"USD",AQ331,1),"???"))</f>
        <v>0</v>
      </c>
      <c r="BK331" s="170">
        <f>IFERROR(-AK331/(IF(OR(AJ331="USDAED",LEFT(AJ331,3)=RIGHT(AJ331,3)),AP331,AO331)-AM331)*BJ331,0)</f>
        <v>0</v>
      </c>
      <c r="BL331" s="542">
        <f>BJ331-BK331</f>
        <v>0</v>
      </c>
      <c r="BM331" s="170">
        <f>IF(AND(ISERROR(SEARCH("REFUND",A331)),ISERROR(SEARCH("CANCELLED",A331))),BD331+BK331,0)</f>
        <v>0</v>
      </c>
      <c r="BN331" s="542">
        <f>IF(AND(ISERROR(SEARCH("REFUND",A331)),ISERROR(SEARCH("CANCELLED",A331))),BE331+BL331,0)</f>
        <v>-989.99618571430233</v>
      </c>
    </row>
    <row r="332" spans="1:66" ht="19.5" customHeight="1">
      <c r="J332" s="450"/>
    </row>
    <row r="333" spans="1:66" ht="19.5" customHeight="1">
      <c r="A333" s="167" t="s">
        <v>366</v>
      </c>
      <c r="B333" s="168" t="s">
        <v>39</v>
      </c>
      <c r="C333" s="168" t="s">
        <v>367</v>
      </c>
      <c r="D333" s="168" t="s">
        <v>368</v>
      </c>
      <c r="E333" s="171">
        <v>46055</v>
      </c>
      <c r="F333" s="171"/>
      <c r="G333" s="168" t="s">
        <v>39</v>
      </c>
      <c r="H333" s="168" t="s">
        <v>393</v>
      </c>
      <c r="I333" s="169">
        <f>-92706.5804109717-395.52</f>
        <v>-93102.100410971703</v>
      </c>
      <c r="J333" s="170">
        <f t="shared" ref="J333:J341" si="360">IF(I333="",AR333,I333)</f>
        <v>-93102.100410971703</v>
      </c>
      <c r="K333" s="168" t="s">
        <v>5</v>
      </c>
      <c r="L333" s="171" t="s">
        <v>378</v>
      </c>
      <c r="M333" s="168" t="s">
        <v>20</v>
      </c>
      <c r="N333" s="167" t="s">
        <v>371</v>
      </c>
      <c r="O333" s="168" t="s">
        <v>52</v>
      </c>
      <c r="P333" s="168" t="s">
        <v>394</v>
      </c>
      <c r="Q333" s="169">
        <v>7070412.5300000003</v>
      </c>
      <c r="R333" s="170">
        <f t="shared" ref="R333:R341" si="361">IF(Q333="",AS333,Q333)</f>
        <v>7070412.5300000003</v>
      </c>
      <c r="S333" s="168" t="s">
        <v>9</v>
      </c>
      <c r="T333" s="171" t="s">
        <v>25</v>
      </c>
      <c r="U333" s="168" t="s">
        <v>25</v>
      </c>
      <c r="V333" s="167" t="s">
        <v>371</v>
      </c>
      <c r="W333" s="172" t="s">
        <v>389</v>
      </c>
      <c r="X333" s="173">
        <f>IF(Y333="",VLOOKUP(H333,CLIENTS!$A$1:$O$649,5,FALSE),Y333)</f>
        <v>0</v>
      </c>
      <c r="Y333" s="174">
        <v>0</v>
      </c>
      <c r="Z333" s="173">
        <f>IF(AA333="",VLOOKUP(P333,CLIENTS!$A$1:$O$649,5,FALSE),AA333)</f>
        <v>7.0000000000000001E-3</v>
      </c>
      <c r="AA333" s="174">
        <v>7.0000000000000001E-3</v>
      </c>
      <c r="AB333" s="173" t="str">
        <f>IF(W333="via USD",IF(K333="EUR",K333&amp;"USD","USD"&amp;K333),IFERROR(VLOOKUP(K333&amp;S333,'FX RATES'!$H$2:$H$20,1,FALSE),S333&amp;K333))</f>
        <v>USDRUB</v>
      </c>
      <c r="AC333" s="175">
        <f>IF(LEFT(AB333,3)=RIGHT(AB333,3),0,IFERROR(INDEX(CLIENTS!$A$1:$O$649,MATCH(H333,CLIENTS!$A$1:$A$649,0),MATCH(AB333,CLIENTS!$A$1:$O$1,0)),0))</f>
        <v>0</v>
      </c>
      <c r="AD333" s="176"/>
      <c r="AE333" s="177" t="str">
        <f t="shared" ref="AE333:AE341" si="362">IF(W333="CLIENT","",IF(AD333="",AH333+AC333,AD333+AC333))</f>
        <v/>
      </c>
      <c r="AF333" s="177" t="str">
        <f t="shared" ref="AF333:AF341" si="363">E333&amp;AB333</f>
        <v>46055USDRUB</v>
      </c>
      <c r="AG333" s="176">
        <v>76.7</v>
      </c>
      <c r="AH333" s="178">
        <f ca="1">IF(LEFT(AB333,3)=RIGHT(AB333,3),1,VLOOKUP(AB333,'FX RATES'!$H$1:$I$20,2,FALSE))</f>
        <v>76.720500000000001</v>
      </c>
      <c r="AI333" s="178">
        <f t="shared" ref="AI333:AI342" si="364">IF(OR(AB333="USDAED",LEFT(AB333,3)=RIGHT(AB333,3)),AH333,IF(LEFT(AB333)="USD",AG333,IF(RIGHT(AB333,3)="USD",1,IFERROR(VLOOKUP(E333&amp;"USD"&amp;RIGHT(AB333,3),$AF:$AG,2,FALSE),VLOOKUP(E333&amp;"USD"&amp;RIGHT(AJ333,3),$AN:$AO,2,FALSE)))))</f>
        <v>76.7</v>
      </c>
      <c r="AJ333" s="173" t="str">
        <f>IF(W333="via USD",IF(S333="EUR",S333&amp;"USD","USD"&amp;S333),IFERROR(VLOOKUP(K333&amp;S333,'FX RATES'!$H$2:$H$20,1,FALSE),S333&amp;K333))</f>
        <v>USDRUB</v>
      </c>
      <c r="AK333" s="175">
        <f>IF(LEFT(AJ333,3)=RIGHT(AJ333,3),0,IFERROR(INDEX(CLIENTS!$A$1:$O$649,MATCH(P333,CLIENTS!$A$1:$A$649,0),MATCH(AJ333,CLIENTS!$A$1:$O$1,0)),0))</f>
        <v>0</v>
      </c>
      <c r="AL333" s="176">
        <v>75.732699999999994</v>
      </c>
      <c r="AM333" s="177">
        <f t="shared" ref="AM333:AM341" si="365">IF(W333="VENDOR","",IF(AL333="",AP333+AK333,AL333+AK333))</f>
        <v>75.732699999999994</v>
      </c>
      <c r="AN333" s="177" t="str">
        <f t="shared" ref="AN333:AN341" si="366">E333&amp;AJ333</f>
        <v>46055USDRUB</v>
      </c>
      <c r="AO333" s="176">
        <v>76.7</v>
      </c>
      <c r="AP333" s="178">
        <f ca="1">IF(LEFT(AJ333,3)=RIGHT(AJ333,3),1,VLOOKUP(AJ333,'FX RATES'!$H$1:$I$20,2,FALSE))</f>
        <v>76.720500000000001</v>
      </c>
      <c r="AQ333" s="178">
        <f t="shared" ref="AQ333:AQ342" si="367">IF(OR(AJ333="USDAED",LEFT(AJ333,3)=RIGHT(AJ333,3)),AP333,IF(LEFT(AJ333)="USD",AO333,IF(RIGHT(AJ333,3)="USD",1,IFERROR(VLOOKUP(E333&amp;"USD"&amp;RIGHT(AJ333,3),$AN:$AO,2,FALSE),VLOOKUP(E333&amp;"USD"&amp;RIGHT(AB333,3),$AF:$AG,2,FALSE)))))</f>
        <v>76.7</v>
      </c>
      <c r="AR333" s="179">
        <f>-Q333*(1-Z333)/(1+X333)*IF(W333="CLIENT",IF(S333=RIGHT(AJ333,3),1/AM333,AM333),IF(W333="VENDOR",IF(S333=RIGHT(AJ333,3),1/AE333,AE333),AE333^(VLOOKUP(AB333,'FX RATES'!$H$1:$J$26,3,FALSE))/AM333^(VLOOKUP(AJ333,'FX RATES'!$H$1:$J$26,3,FALSE))))</f>
        <v>-92706.580410971743</v>
      </c>
      <c r="AS333" s="179">
        <f>-I333*(1+X333)/(1-Z333)*IF(W333="VENDOR",IF(K333=RIGHT(AB333,3),1/AE333,AE333),IF(W333="CLIENT",IF(K333=RIGHT(AB333,3),1/AM333,AM333),AM333^(VLOOKUP(AJ333,'FX RATES'!$H$1:$J$26,3,FALSE))/AE333^(VLOOKUP(AB333,'FX RATES'!$H$1:$J$26,3,FALSE))))</f>
        <v>7100577.4821691811</v>
      </c>
      <c r="AT333" s="170">
        <f>IF(AB333&lt;&gt;AJ333,J333/IF(K333=RIGHT(AB333,3),AE333,1/AE333),IF(S333="USD",J333/IF(K333=RIGHT(AB333,3),IF(W333="CLIENT",AM333,AE333),1/IF(W333="CLIENT",AM333,AE333)),J333*VLOOKUP(K333,'FX RATES'!$E$1:$F$10,2,FALSE)))</f>
        <v>-93102.100410971703</v>
      </c>
      <c r="AU333" s="170">
        <f>IF(AB333&lt;&gt;AJ333,R333/IF(S333=RIGHT(AJ333,3),AM333,1/AM333),IF(K333="USD",R333/IF(S333=RIGHT(AJ333,3),IF(W333="CLIENT",AM333,AE333),1/IF(W333="CLIENT",AM333,AE333)),R333*VLOOKUP(S333,'FX RATES'!$E$1:$F$10,2,FALSE)))</f>
        <v>93360.101118803388</v>
      </c>
      <c r="AV333" s="170">
        <f t="shared" ref="AV333:AV341" si="368">AT333+AU333</f>
        <v>258.00070783168485</v>
      </c>
      <c r="AW333" s="169"/>
      <c r="AX333" s="170">
        <f t="shared" ref="AX333:AX341" si="369">IF(AND(ISERROR(SEARCH("INVOICE",T333)),ISERROR(SEARCH("SWITCH",T333)),ISERROR(SEARCH("FOREX",T333)),ISERROR(SEARCH("REFUND",A333)),ISERROR(SEARCH("CANCELLED",A333))),IF(AW333="",-AT333*X333+AU333*Z333,AW333),0)</f>
        <v>653.52070783162378</v>
      </c>
      <c r="AY333" s="170">
        <f t="shared" ref="AY333:AY341" si="370">IF(AZ333="USD",AT333,IF(AZ333=K333,J333,-R333))</f>
        <v>-93102.100410971703</v>
      </c>
      <c r="AZ333" s="170" t="str">
        <f t="shared" ref="AZ333:AZ341" si="371">LEFT(AB333,3)</f>
        <v>USD</v>
      </c>
      <c r="BA333" s="542">
        <f>IF(OR(A333="REFUND",A333="CANCELLED"),0,IFERROR((IF(OR(AB333="USDAED",LEFT(AB333,3)=RIGHT(AB333,3)),AI333,AG333)-AE333)*-AY333*VLOOKUP(AB333,'FX RATES'!$H$1:$J$26,3,FALSE),0))</f>
        <v>0</v>
      </c>
      <c r="BB333" s="170" t="str">
        <f t="shared" ref="BB333:BB341" si="372">RIGHT(AB333,3)</f>
        <v>RUB</v>
      </c>
      <c r="BC333" s="542">
        <f t="shared" ref="BC333:BC341" si="373">IF(BA333=0,0,IFERROR(BA333/IF(BB333&lt;&gt;"USD",AI333,1),"???"))</f>
        <v>0</v>
      </c>
      <c r="BD333" s="170">
        <f t="shared" ref="BD333:BD341" si="374">IFERROR(-AC333/(IF(OR(AB333="USDAED",LEFT(AB333,3)=RIGHT(AB333,3)),AH333,AG333)-AE333)*BC333,0)</f>
        <v>0</v>
      </c>
      <c r="BE333" s="542">
        <f t="shared" ref="BE333:BE341" si="375">BC333-BD333</f>
        <v>0</v>
      </c>
      <c r="BF333" s="170">
        <f t="shared" ref="BF333:BF341" si="376">IF(BG333="USD",AU333,IF(BG333=S333,R333,-J333))</f>
        <v>93360.101118803388</v>
      </c>
      <c r="BG333" s="170" t="str">
        <f t="shared" ref="BG333:BG341" si="377">LEFT(AJ333,3)</f>
        <v>USD</v>
      </c>
      <c r="BH333" s="542">
        <f>IF(OR(A333="REFUND",A333="CANCELLED"),0,IFERROR((IF(OR(AJ333="USDAED",LEFT(AJ333,3)=RIGHT(AJ333,3)),AQ333,AO333)-AM333)*-BF333*VLOOKUP(AJ333,'FX RATES'!$H$1:$J$26,3,FALSE),0))</f>
        <v>-90307.225812219331</v>
      </c>
      <c r="BI333" s="170" t="str">
        <f t="shared" ref="BI333:BI341" si="378">RIGHT(AJ333,3)</f>
        <v>RUB</v>
      </c>
      <c r="BJ333" s="542">
        <f t="shared" ref="BJ333:BJ341" si="379">IF(BH333=0,0,IFERROR(BH333/IF(BI333&lt;&gt;"USD",AQ333,1),"???"))</f>
        <v>-1177.408419976784</v>
      </c>
      <c r="BK333" s="170">
        <f t="shared" ref="BK333:BK341" si="380">IFERROR(-AK333/(IF(OR(AJ333="USDAED",LEFT(AJ333,3)=RIGHT(AJ333,3)),AP333,AO333)-AM333)*BJ333,0)</f>
        <v>0</v>
      </c>
      <c r="BL333" s="542">
        <f t="shared" ref="BL333:BL341" si="381">BJ333-BK333</f>
        <v>-1177.408419976784</v>
      </c>
      <c r="BM333" s="170">
        <f t="shared" ref="BM333:BM341" si="382">IF(AND(ISERROR(SEARCH("REFUND",A333)),ISERROR(SEARCH("CANCELLED",A333))),BD333+BK333,0)</f>
        <v>0</v>
      </c>
      <c r="BN333" s="542">
        <f t="shared" ref="BN333:BN341" si="383">IF(AND(ISERROR(SEARCH("REFUND",A333)),ISERROR(SEARCH("CANCELLED",A333))),BE333+BL333,0)</f>
        <v>-1177.408419976784</v>
      </c>
    </row>
    <row r="334" spans="1:66" ht="19.5" customHeight="1">
      <c r="A334" s="167" t="s">
        <v>366</v>
      </c>
      <c r="B334" s="168" t="s">
        <v>39</v>
      </c>
      <c r="C334" s="168" t="s">
        <v>367</v>
      </c>
      <c r="D334" s="168" t="s">
        <v>368</v>
      </c>
      <c r="E334" s="171">
        <v>46055</v>
      </c>
      <c r="F334" s="171"/>
      <c r="G334" s="168" t="s">
        <v>39</v>
      </c>
      <c r="H334" s="168" t="s">
        <v>431</v>
      </c>
      <c r="I334" s="169">
        <v>-191016</v>
      </c>
      <c r="J334" s="170">
        <f t="shared" si="360"/>
        <v>-191016</v>
      </c>
      <c r="K334" s="168" t="s">
        <v>8</v>
      </c>
      <c r="L334" s="171" t="s">
        <v>432</v>
      </c>
      <c r="M334" s="168" t="s">
        <v>17</v>
      </c>
      <c r="N334" s="167" t="s">
        <v>371</v>
      </c>
      <c r="O334" s="168" t="s">
        <v>52</v>
      </c>
      <c r="P334" s="168" t="s">
        <v>433</v>
      </c>
      <c r="Q334" s="169"/>
      <c r="R334" s="170">
        <f t="shared" si="361"/>
        <v>3969518.9002033304</v>
      </c>
      <c r="S334" s="168" t="s">
        <v>9</v>
      </c>
      <c r="T334" s="171" t="s">
        <v>25</v>
      </c>
      <c r="U334" s="168" t="s">
        <v>25</v>
      </c>
      <c r="V334" s="167" t="s">
        <v>371</v>
      </c>
      <c r="W334" s="172" t="s">
        <v>375</v>
      </c>
      <c r="X334" s="173">
        <f>IF(Y334="",VLOOKUP(H334,CLIENTS!$A$1:$O$649,5,FALSE),Y334)</f>
        <v>0</v>
      </c>
      <c r="Y334" s="174">
        <v>0</v>
      </c>
      <c r="Z334" s="173">
        <f>IF(AA334="",VLOOKUP(P334,CLIENTS!$A$1:$O$649,5,FALSE),AA334)</f>
        <v>7.0000000000000001E-3</v>
      </c>
      <c r="AA334" s="174">
        <v>7.0000000000000001E-3</v>
      </c>
      <c r="AB334" s="173" t="str">
        <f>IF(W334="via USD",IF(K334="EUR",K334&amp;"USD","USD"&amp;K334),IFERROR(VLOOKUP(K334&amp;S334,'FX RATES'!$H$2:$H$20,1,FALSE),S334&amp;K334))</f>
        <v>USDAED</v>
      </c>
      <c r="AC334" s="175">
        <f>IF(LEFT(AB334,3)=RIGHT(AB334,3),0,IFERROR(INDEX(CLIENTS!$A$1:$O$649,MATCH(H334,CLIENTS!$A$1:$A$649,0),MATCH(AB334,CLIENTS!$A$1:$O$1,0)),0))+0.001</f>
        <v>0</v>
      </c>
      <c r="AD334" s="176">
        <v>3.67</v>
      </c>
      <c r="AE334" s="177">
        <f t="shared" si="362"/>
        <v>3.67</v>
      </c>
      <c r="AF334" s="177" t="str">
        <f t="shared" si="363"/>
        <v>46055USDAED</v>
      </c>
      <c r="AG334" s="176"/>
      <c r="AH334" s="178">
        <f>IF(LEFT(AB334,3)=RIGHT(AB334,3),1,VLOOKUP(AB334,'FX RATES'!$H$1:$I$20,2,FALSE))</f>
        <v>3.6724999999999999</v>
      </c>
      <c r="AI334" s="178">
        <f t="shared" si="364"/>
        <v>3.6724999999999999</v>
      </c>
      <c r="AJ334" s="173" t="str">
        <f>IF(W334="via USD",IF(S334="EUR",S334&amp;"USD","USD"&amp;S334),IFERROR(VLOOKUP(K334&amp;S334,'FX RATES'!$H$2:$H$20,1,FALSE),S334&amp;K334))</f>
        <v>USDRUB</v>
      </c>
      <c r="AK334" s="175">
        <f>IF(LEFT(AJ334,3)=RIGHT(AJ334,3),0,IFERROR(INDEX(CLIENTS!$A$1:$O$649,MATCH(P334,CLIENTS!$A$1:$A$649,0),MATCH(AJ334,CLIENTS!$A$1:$O$1,0)),0))</f>
        <v>0</v>
      </c>
      <c r="AL334" s="176">
        <v>75.732699999999994</v>
      </c>
      <c r="AM334" s="177">
        <f t="shared" si="365"/>
        <v>75.732699999999994</v>
      </c>
      <c r="AN334" s="177" t="str">
        <f t="shared" si="366"/>
        <v>46055USDRUB</v>
      </c>
      <c r="AO334" s="176">
        <v>76.7</v>
      </c>
      <c r="AP334" s="178">
        <f ca="1">IF(LEFT(AJ334,3)=RIGHT(AJ334,3),1,VLOOKUP(AJ334,'FX RATES'!$H$1:$I$20,2,FALSE))</f>
        <v>76.720500000000001</v>
      </c>
      <c r="AQ334" s="178">
        <f t="shared" si="367"/>
        <v>76.7</v>
      </c>
      <c r="AR334" s="179">
        <f>-Q334*(1-Z334)/(1+X334)*IF(W334="CLIENT",IF(S334=RIGHT(AJ334,3),1/AM334,AM334),IF(W334="VENDOR",IF(S334=RIGHT(AJ334,3),1/AE334,AE334),AE334^(VLOOKUP(AB334,'FX RATES'!$H$1:$J$26,3,FALSE))/AM334^(VLOOKUP(AJ334,'FX RATES'!$H$1:$J$26,3,FALSE))))</f>
        <v>0</v>
      </c>
      <c r="AS334" s="179">
        <f>-I334*(1+X334)/(1-Z334)*IF(W334="VENDOR",IF(K334=RIGHT(AB334,3),1/AE334,AE334),IF(W334="CLIENT",IF(K334=RIGHT(AB334,3),1/AM334,AM334),AM334^(VLOOKUP(AJ334,'FX RATES'!$H$1:$J$26,3,FALSE))/AE334^(VLOOKUP(AB334,'FX RATES'!$H$1:$J$26,3,FALSE))))</f>
        <v>3969518.9002033304</v>
      </c>
      <c r="AT334" s="170">
        <f>IF(AB334&lt;&gt;AJ334,J334/IF(K334=RIGHT(AB334,3),AE334,1/AE334),IF(S334="USD",J334/IF(K334=RIGHT(AB334,3),IF(W334="CLIENT",AM334,AE334),1/IF(W334="CLIENT",AM334,AE334)),J334*VLOOKUP(K334,'FX RATES'!$E$1:$F$10,2,FALSE)))</f>
        <v>-52047.956403269753</v>
      </c>
      <c r="AU334" s="170">
        <f>IF(AB334&lt;&gt;AJ334,R334/IF(S334=RIGHT(AJ334,3),AM334,1/AM334),IF(K334="USD",R334/IF(S334=RIGHT(AJ334,3),IF(W334="CLIENT",AM334,AE334),1/IF(W334="CLIENT",AM334,AE334)),R334*VLOOKUP(S334,'FX RATES'!$E$1:$F$10,2,FALSE)))</f>
        <v>52414.86042625353</v>
      </c>
      <c r="AV334" s="170">
        <f t="shared" si="368"/>
        <v>366.90402298377739</v>
      </c>
      <c r="AW334" s="169"/>
      <c r="AX334" s="170">
        <f t="shared" si="369"/>
        <v>366.90402298377472</v>
      </c>
      <c r="AY334" s="170">
        <f t="shared" si="370"/>
        <v>-52047.956403269753</v>
      </c>
      <c r="AZ334" s="170" t="str">
        <f t="shared" si="371"/>
        <v>USD</v>
      </c>
      <c r="BA334" s="542">
        <f>IF(OR(A334="REFUND",A334="CANCELLED"),0,IFERROR((IF(OR(AB334="USDAED",LEFT(AB334,3)=RIGHT(AB334,3)),AI334,AG334)-AE334)*-AY334*VLOOKUP(AB334,'FX RATES'!$H$1:$J$26,3,FALSE),0))</f>
        <v>130.11989100817161</v>
      </c>
      <c r="BB334" s="170" t="str">
        <f t="shared" si="372"/>
        <v>AED</v>
      </c>
      <c r="BC334" s="542">
        <f t="shared" si="373"/>
        <v>35.430875699978657</v>
      </c>
      <c r="BD334" s="170">
        <f t="shared" si="374"/>
        <v>0</v>
      </c>
      <c r="BE334" s="542">
        <f t="shared" si="375"/>
        <v>35.430875699978657</v>
      </c>
      <c r="BF334" s="170">
        <f t="shared" si="376"/>
        <v>52414.86042625353</v>
      </c>
      <c r="BG334" s="170" t="str">
        <f t="shared" si="377"/>
        <v>USD</v>
      </c>
      <c r="BH334" s="542">
        <f>IF(OR(A334="REFUND",A334="CANCELLED"),0,IFERROR((IF(OR(AJ334="USDAED",LEFT(AJ334,3)=RIGHT(AJ334,3)),AQ334,AO334)-AM334)*-BF334*VLOOKUP(AJ334,'FX RATES'!$H$1:$J$26,3,FALSE),0))</f>
        <v>-50700.894490315499</v>
      </c>
      <c r="BI334" s="170" t="str">
        <f t="shared" si="378"/>
        <v>RUB</v>
      </c>
      <c r="BJ334" s="542">
        <f t="shared" si="379"/>
        <v>-661.02861134700777</v>
      </c>
      <c r="BK334" s="170">
        <f t="shared" si="380"/>
        <v>0</v>
      </c>
      <c r="BL334" s="542">
        <f t="shared" si="381"/>
        <v>-661.02861134700777</v>
      </c>
      <c r="BM334" s="170">
        <f t="shared" si="382"/>
        <v>0</v>
      </c>
      <c r="BN334" s="542">
        <f t="shared" si="383"/>
        <v>-625.59773564702914</v>
      </c>
    </row>
    <row r="335" spans="1:66" ht="19.5" customHeight="1">
      <c r="A335" s="167" t="s">
        <v>366</v>
      </c>
      <c r="B335" s="168" t="s">
        <v>39</v>
      </c>
      <c r="C335" s="168" t="s">
        <v>367</v>
      </c>
      <c r="D335" s="168" t="s">
        <v>368</v>
      </c>
      <c r="E335" s="171">
        <v>46055</v>
      </c>
      <c r="F335" s="171"/>
      <c r="G335" s="168" t="s">
        <v>39</v>
      </c>
      <c r="H335" s="348" t="s">
        <v>558</v>
      </c>
      <c r="I335" s="169">
        <v>-383295</v>
      </c>
      <c r="J335" s="170">
        <f t="shared" si="360"/>
        <v>-383295</v>
      </c>
      <c r="K335" s="168" t="s">
        <v>5</v>
      </c>
      <c r="L335" s="349" t="s">
        <v>559</v>
      </c>
      <c r="M335" s="168" t="s">
        <v>20</v>
      </c>
      <c r="N335" s="167" t="s">
        <v>371</v>
      </c>
      <c r="O335" s="168" t="s">
        <v>52</v>
      </c>
      <c r="P335" s="168" t="s">
        <v>560</v>
      </c>
      <c r="Q335" s="169"/>
      <c r="R335" s="170">
        <f t="shared" si="361"/>
        <v>29437056.000000991</v>
      </c>
      <c r="S335" s="168" t="s">
        <v>9</v>
      </c>
      <c r="T335" s="171" t="s">
        <v>561</v>
      </c>
      <c r="U335" s="168" t="s">
        <v>25</v>
      </c>
      <c r="V335" s="167" t="s">
        <v>371</v>
      </c>
      <c r="W335" s="172" t="s">
        <v>375</v>
      </c>
      <c r="X335" s="173">
        <f>IF(Y335="",VLOOKUP(H335,CLIENTS!$A$1:$O$649,5,FALSE),Y335)</f>
        <v>0</v>
      </c>
      <c r="Y335" s="174">
        <v>0</v>
      </c>
      <c r="Z335" s="173">
        <f>IF(AA335="",VLOOKUP(P335,CLIENTS!$A$1:$O$649,5,FALSE),AA335)</f>
        <v>1.3897135416700001E-2</v>
      </c>
      <c r="AA335" s="174">
        <v>1.3897135416700001E-2</v>
      </c>
      <c r="AB335" s="173" t="str">
        <f>IF(W335="via USD",IF(K335="EUR",K335&amp;"USD","USD"&amp;K335),IFERROR(VLOOKUP(K335&amp;S335,'FX RATES'!$H$2:$H$20,1,FALSE),S335&amp;K335))</f>
        <v>USDUSD</v>
      </c>
      <c r="AC335" s="175">
        <f>IF(LEFT(AB335,3)=RIGHT(AB335,3),0,IFERROR(INDEX(CLIENTS!$A$1:$O$649,MATCH(H335,CLIENTS!$A$1:$A$649,0),MATCH(AB335,CLIENTS!$A$1:$O$1,0)),0))</f>
        <v>0</v>
      </c>
      <c r="AD335" s="176"/>
      <c r="AE335" s="177">
        <f t="shared" si="362"/>
        <v>1</v>
      </c>
      <c r="AF335" s="177" t="str">
        <f t="shared" si="363"/>
        <v>46055USDUSD</v>
      </c>
      <c r="AG335" s="176"/>
      <c r="AH335" s="178">
        <f>IF(LEFT(AB335,3)=RIGHT(AB335,3),1,VLOOKUP(AB335,'FX RATES'!$H$1:$I$20,2,FALSE))</f>
        <v>1</v>
      </c>
      <c r="AI335" s="178">
        <f t="shared" si="364"/>
        <v>1</v>
      </c>
      <c r="AJ335" s="173" t="str">
        <f>IF(W335="via USD",IF(S335="EUR",S335&amp;"USD","USD"&amp;S335),IFERROR(VLOOKUP(K335&amp;S335,'FX RATES'!$H$2:$H$20,1,FALSE),S335&amp;K335))</f>
        <v>USDRUB</v>
      </c>
      <c r="AK335" s="175">
        <f>IF(LEFT(AJ335,3)=RIGHT(AJ335,3),0,IFERROR(INDEX(CLIENTS!$A$1:$O$649,MATCH(P335,CLIENTS!$A$1:$A$649,0),MATCH(AJ335,CLIENTS!$A$1:$O$1,0)),0))</f>
        <v>0</v>
      </c>
      <c r="AL335" s="176">
        <v>75.732699999999994</v>
      </c>
      <c r="AM335" s="177">
        <f t="shared" si="365"/>
        <v>75.732699999999994</v>
      </c>
      <c r="AN335" s="177" t="str">
        <f t="shared" si="366"/>
        <v>46055USDRUB</v>
      </c>
      <c r="AO335" s="176">
        <v>76.7</v>
      </c>
      <c r="AP335" s="178">
        <f ca="1">IF(LEFT(AJ335,3)=RIGHT(AJ335,3),1,VLOOKUP(AJ335,'FX RATES'!$H$1:$I$20,2,FALSE))</f>
        <v>76.720500000000001</v>
      </c>
      <c r="AQ335" s="178">
        <f t="shared" si="367"/>
        <v>76.7</v>
      </c>
      <c r="AR335" s="179">
        <f>-Q335*(1-Z335)/(1+X335)*IF(W335="CLIENT",IF(S335=RIGHT(AJ335,3),1/AM335,AM335),IF(W335="VENDOR",IF(S335=RIGHT(AJ335,3),1/AE335,AE335),AE335^(VLOOKUP(AB335,'FX RATES'!$H$1:$J$26,3,FALSE))/AM335^(VLOOKUP(AJ335,'FX RATES'!$H$1:$J$26,3,FALSE))))</f>
        <v>0</v>
      </c>
      <c r="AS335" s="179">
        <f>-I335*(1+X335)/(1-Z335)*IF(W335="VENDOR",IF(K335=RIGHT(AB335,3),1/AE335,AE335),IF(W335="CLIENT",IF(K335=RIGHT(AB335,3),1/AM335,AM335),AM335^(VLOOKUP(AJ335,'FX RATES'!$H$1:$J$26,3,FALSE))/AE335^(VLOOKUP(AB335,'FX RATES'!$H$1:$J$26,3,FALSE))))</f>
        <v>29437056.000000991</v>
      </c>
      <c r="AT335" s="170">
        <f>IF(AB335&lt;&gt;AJ335,J335/IF(K335=RIGHT(AB335,3),AE335,1/AE335),IF(S335="USD",J335/IF(K335=RIGHT(AB335,3),IF(W335="CLIENT",AM335,AE335),1/IF(W335="CLIENT",AM335,AE335)),J335*VLOOKUP(K335,'FX RATES'!$E$1:$F$10,2,FALSE)))</f>
        <v>-383295</v>
      </c>
      <c r="AU335" s="170">
        <f>IF(AB335&lt;&gt;AJ335,R335/IF(S335=RIGHT(AJ335,3),AM335,1/AM335),IF(K335="USD",R335/IF(S335=RIGHT(AJ335,3),IF(W335="CLIENT",AM335,AE335),1/IF(W335="CLIENT",AM335,AE335)),R335*VLOOKUP(S335,'FX RATES'!$E$1:$F$10,2,FALSE)))</f>
        <v>388696.77167195932</v>
      </c>
      <c r="AV335" s="170">
        <f t="shared" si="368"/>
        <v>5401.7716719593154</v>
      </c>
      <c r="AW335" s="169"/>
      <c r="AX335" s="170">
        <f t="shared" si="369"/>
        <v>5401.7716719593391</v>
      </c>
      <c r="AY335" s="170">
        <f t="shared" si="370"/>
        <v>-383295</v>
      </c>
      <c r="AZ335" s="170" t="str">
        <f t="shared" si="371"/>
        <v>USD</v>
      </c>
      <c r="BA335" s="542">
        <f>IF(OR(A335="REFUND",A335="CANCELLED"),0,IFERROR((IF(OR(AB335="USDAED",LEFT(AB335,3)=RIGHT(AB335,3)),AI335,AG335)-AE335)*-AY335*VLOOKUP(AB335,'FX RATES'!$H$1:$J$26,3,FALSE),0))</f>
        <v>0</v>
      </c>
      <c r="BB335" s="170" t="str">
        <f t="shared" si="372"/>
        <v>USD</v>
      </c>
      <c r="BC335" s="542">
        <f t="shared" si="373"/>
        <v>0</v>
      </c>
      <c r="BD335" s="170">
        <f t="shared" si="374"/>
        <v>0</v>
      </c>
      <c r="BE335" s="542">
        <f t="shared" si="375"/>
        <v>0</v>
      </c>
      <c r="BF335" s="170">
        <f t="shared" si="376"/>
        <v>388696.77167195932</v>
      </c>
      <c r="BG335" s="170" t="str">
        <f t="shared" si="377"/>
        <v>USD</v>
      </c>
      <c r="BH335" s="542">
        <f>IF(OR(A335="REFUND",A335="CANCELLED"),0,IFERROR((IF(OR(AJ335="USDAED",LEFT(AJ335,3)=RIGHT(AJ335,3)),AQ335,AO335)-AM335)*-BF335*VLOOKUP(AJ335,'FX RATES'!$H$1:$J$26,3,FALSE),0))</f>
        <v>-375986.38723828964</v>
      </c>
      <c r="BI335" s="170" t="str">
        <f t="shared" si="378"/>
        <v>RUB</v>
      </c>
      <c r="BJ335" s="542">
        <f t="shared" si="379"/>
        <v>-4902.0389470441933</v>
      </c>
      <c r="BK335" s="170">
        <f t="shared" si="380"/>
        <v>0</v>
      </c>
      <c r="BL335" s="542">
        <f t="shared" si="381"/>
        <v>-4902.0389470441933</v>
      </c>
      <c r="BM335" s="170">
        <f t="shared" si="382"/>
        <v>0</v>
      </c>
      <c r="BN335" s="542">
        <f t="shared" si="383"/>
        <v>-4902.0389470441933</v>
      </c>
    </row>
    <row r="336" spans="1:66" ht="19.5" customHeight="1">
      <c r="A336" s="167" t="s">
        <v>366</v>
      </c>
      <c r="B336" s="168" t="s">
        <v>39</v>
      </c>
      <c r="C336" s="168" t="s">
        <v>367</v>
      </c>
      <c r="D336" s="168" t="s">
        <v>368</v>
      </c>
      <c r="E336" s="171">
        <v>46055</v>
      </c>
      <c r="F336" s="171"/>
      <c r="G336" s="168" t="s">
        <v>39</v>
      </c>
      <c r="H336" s="348" t="s">
        <v>558</v>
      </c>
      <c r="I336" s="169">
        <v>-124135</v>
      </c>
      <c r="J336" s="170">
        <f t="shared" si="360"/>
        <v>-124135</v>
      </c>
      <c r="K336" s="168" t="s">
        <v>5</v>
      </c>
      <c r="L336" s="349" t="s">
        <v>562</v>
      </c>
      <c r="M336" s="168" t="s">
        <v>20</v>
      </c>
      <c r="N336" s="167" t="s">
        <v>371</v>
      </c>
      <c r="O336" s="168" t="s">
        <v>52</v>
      </c>
      <c r="P336" s="168" t="s">
        <v>560</v>
      </c>
      <c r="Q336" s="169"/>
      <c r="R336" s="170">
        <f t="shared" si="361"/>
        <v>9533568.0000003222</v>
      </c>
      <c r="S336" s="168" t="s">
        <v>9</v>
      </c>
      <c r="T336" s="171" t="s">
        <v>561</v>
      </c>
      <c r="U336" s="168" t="s">
        <v>25</v>
      </c>
      <c r="V336" s="167" t="s">
        <v>371</v>
      </c>
      <c r="W336" s="172" t="s">
        <v>375</v>
      </c>
      <c r="X336" s="173">
        <f>IF(Y336="",VLOOKUP(H336,CLIENTS!$A$1:$O$649,5,FALSE),Y336)</f>
        <v>0</v>
      </c>
      <c r="Y336" s="174">
        <v>0</v>
      </c>
      <c r="Z336" s="173">
        <f>IF(AA336="",VLOOKUP(P336,CLIENTS!$A$1:$O$649,5,FALSE),AA336)</f>
        <v>1.3897135416700001E-2</v>
      </c>
      <c r="AA336" s="174">
        <v>1.3897135416700001E-2</v>
      </c>
      <c r="AB336" s="173" t="str">
        <f>IF(W336="via USD",IF(K336="EUR",K336&amp;"USD","USD"&amp;K336),IFERROR(VLOOKUP(K336&amp;S336,'FX RATES'!$H$2:$H$20,1,FALSE),S336&amp;K336))</f>
        <v>USDUSD</v>
      </c>
      <c r="AC336" s="175">
        <f>IF(LEFT(AB336,3)=RIGHT(AB336,3),0,IFERROR(INDEX(CLIENTS!$A$1:$O$649,MATCH(H336,CLIENTS!$A$1:$A$649,0),MATCH(AB336,CLIENTS!$A$1:$O$1,0)),0))</f>
        <v>0</v>
      </c>
      <c r="AD336" s="176"/>
      <c r="AE336" s="177">
        <f t="shared" si="362"/>
        <v>1</v>
      </c>
      <c r="AF336" s="177" t="str">
        <f t="shared" si="363"/>
        <v>46055USDUSD</v>
      </c>
      <c r="AG336" s="176"/>
      <c r="AH336" s="178">
        <f>IF(LEFT(AB336,3)=RIGHT(AB336,3),1,VLOOKUP(AB336,'FX RATES'!$H$1:$I$20,2,FALSE))</f>
        <v>1</v>
      </c>
      <c r="AI336" s="178">
        <f t="shared" si="364"/>
        <v>1</v>
      </c>
      <c r="AJ336" s="173" t="str">
        <f>IF(W336="via USD",IF(S336="EUR",S336&amp;"USD","USD"&amp;S336),IFERROR(VLOOKUP(K336&amp;S336,'FX RATES'!$H$2:$H$20,1,FALSE),S336&amp;K336))</f>
        <v>USDRUB</v>
      </c>
      <c r="AK336" s="175">
        <f>IF(LEFT(AJ336,3)=RIGHT(AJ336,3),0,IFERROR(INDEX(CLIENTS!$A$1:$O$649,MATCH(P336,CLIENTS!$A$1:$A$649,0),MATCH(AJ336,CLIENTS!$A$1:$O$1,0)),0))</f>
        <v>0</v>
      </c>
      <c r="AL336" s="176">
        <v>75.732699999999994</v>
      </c>
      <c r="AM336" s="177">
        <f t="shared" si="365"/>
        <v>75.732699999999994</v>
      </c>
      <c r="AN336" s="177" t="str">
        <f t="shared" si="366"/>
        <v>46055USDRUB</v>
      </c>
      <c r="AO336" s="176">
        <v>76.7</v>
      </c>
      <c r="AP336" s="178">
        <f ca="1">IF(LEFT(AJ336,3)=RIGHT(AJ336,3),1,VLOOKUP(AJ336,'FX RATES'!$H$1:$I$20,2,FALSE))</f>
        <v>76.720500000000001</v>
      </c>
      <c r="AQ336" s="178">
        <f t="shared" si="367"/>
        <v>76.7</v>
      </c>
      <c r="AR336" s="179">
        <f>-Q336*(1-Z336)/(1+X336)*IF(W336="CLIENT",IF(S336=RIGHT(AJ336,3),1/AM336,AM336),IF(W336="VENDOR",IF(S336=RIGHT(AJ336,3),1/AE336,AE336),AE336^(VLOOKUP(AB336,'FX RATES'!$H$1:$J$26,3,FALSE))/AM336^(VLOOKUP(AJ336,'FX RATES'!$H$1:$J$26,3,FALSE))))</f>
        <v>0</v>
      </c>
      <c r="AS336" s="179">
        <f>-I336*(1+X336)/(1-Z336)*IF(W336="VENDOR",IF(K336=RIGHT(AB336,3),1/AE336,AE336),IF(W336="CLIENT",IF(K336=RIGHT(AB336,3),1/AM336,AM336),AM336^(VLOOKUP(AJ336,'FX RATES'!$H$1:$J$26,3,FALSE))/AE336^(VLOOKUP(AB336,'FX RATES'!$H$1:$J$26,3,FALSE))))</f>
        <v>9533568.0000003222</v>
      </c>
      <c r="AT336" s="170">
        <f>IF(AB336&lt;&gt;AJ336,J336/IF(K336=RIGHT(AB336,3),AE336,1/AE336),IF(S336="USD",J336/IF(K336=RIGHT(AB336,3),IF(W336="CLIENT",AM336,AE336),1/IF(W336="CLIENT",AM336,AE336)),J336*VLOOKUP(K336,'FX RATES'!$E$1:$F$10,2,FALSE)))</f>
        <v>-124135</v>
      </c>
      <c r="AU336" s="170">
        <f>IF(AB336&lt;&gt;AJ336,R336/IF(S336=RIGHT(AJ336,3),AM336,1/AM336),IF(K336="USD",R336/IF(S336=RIGHT(AJ336,3),IF(W336="CLIENT",AM336,AE336),1/IF(W336="CLIENT",AM336,AE336)),R336*VLOOKUP(S336,'FX RATES'!$E$1:$F$10,2,FALSE)))</f>
        <v>125884.43301242823</v>
      </c>
      <c r="AV336" s="170">
        <f t="shared" si="368"/>
        <v>1749.4330124282278</v>
      </c>
      <c r="AW336" s="169"/>
      <c r="AX336" s="170">
        <f t="shared" si="369"/>
        <v>1749.4330124282151</v>
      </c>
      <c r="AY336" s="170">
        <f t="shared" si="370"/>
        <v>-124135</v>
      </c>
      <c r="AZ336" s="170" t="str">
        <f t="shared" si="371"/>
        <v>USD</v>
      </c>
      <c r="BA336" s="542">
        <f>IF(OR(A336="REFUND",A336="CANCELLED"),0,IFERROR((IF(OR(AB336="USDAED",LEFT(AB336,3)=RIGHT(AB336,3)),AI336,AG336)-AE336)*-AY336*VLOOKUP(AB336,'FX RATES'!$H$1:$J$26,3,FALSE),0))</f>
        <v>0</v>
      </c>
      <c r="BB336" s="170" t="str">
        <f t="shared" si="372"/>
        <v>USD</v>
      </c>
      <c r="BC336" s="542">
        <f t="shared" si="373"/>
        <v>0</v>
      </c>
      <c r="BD336" s="170">
        <f t="shared" si="374"/>
        <v>0</v>
      </c>
      <c r="BE336" s="542">
        <f t="shared" si="375"/>
        <v>0</v>
      </c>
      <c r="BF336" s="170">
        <f t="shared" si="376"/>
        <v>125884.43301242823</v>
      </c>
      <c r="BG336" s="170" t="str">
        <f t="shared" si="377"/>
        <v>USD</v>
      </c>
      <c r="BH336" s="542">
        <f>IF(OR(A336="REFUND",A336="CANCELLED"),0,IFERROR((IF(OR(AJ336="USDAED",LEFT(AJ336,3)=RIGHT(AJ336,3)),AQ336,AO336)-AM336)*-BF336*VLOOKUP(AJ336,'FX RATES'!$H$1:$J$26,3,FALSE),0))</f>
        <v>-121768.01205292292</v>
      </c>
      <c r="BI336" s="170" t="str">
        <f t="shared" si="378"/>
        <v>RUB</v>
      </c>
      <c r="BJ336" s="542">
        <f t="shared" si="379"/>
        <v>-1587.5881623588384</v>
      </c>
      <c r="BK336" s="170">
        <f t="shared" si="380"/>
        <v>0</v>
      </c>
      <c r="BL336" s="542">
        <f t="shared" si="381"/>
        <v>-1587.5881623588384</v>
      </c>
      <c r="BM336" s="170">
        <f t="shared" si="382"/>
        <v>0</v>
      </c>
      <c r="BN336" s="542">
        <f t="shared" si="383"/>
        <v>-1587.5881623588384</v>
      </c>
    </row>
    <row r="337" spans="1:66" ht="19.5" customHeight="1">
      <c r="A337" s="167" t="s">
        <v>366</v>
      </c>
      <c r="B337" s="168" t="s">
        <v>39</v>
      </c>
      <c r="C337" s="168" t="s">
        <v>367</v>
      </c>
      <c r="D337" s="168" t="s">
        <v>368</v>
      </c>
      <c r="E337" s="171">
        <v>46055</v>
      </c>
      <c r="F337" s="171"/>
      <c r="G337" s="168" t="s">
        <v>39</v>
      </c>
      <c r="H337" s="168" t="s">
        <v>377</v>
      </c>
      <c r="I337" s="169">
        <v>-204013</v>
      </c>
      <c r="J337" s="170">
        <f t="shared" si="360"/>
        <v>-204013</v>
      </c>
      <c r="K337" s="168" t="s">
        <v>5</v>
      </c>
      <c r="L337" s="168" t="s">
        <v>378</v>
      </c>
      <c r="M337" s="168" t="s">
        <v>20</v>
      </c>
      <c r="N337" s="167" t="s">
        <v>371</v>
      </c>
      <c r="O337" s="168" t="s">
        <v>52</v>
      </c>
      <c r="P337" s="168" t="s">
        <v>379</v>
      </c>
      <c r="Q337" s="169"/>
      <c r="R337" s="170">
        <f t="shared" si="361"/>
        <v>15528095.804120602</v>
      </c>
      <c r="S337" s="168" t="s">
        <v>9</v>
      </c>
      <c r="T337" s="171" t="s">
        <v>380</v>
      </c>
      <c r="U337" s="168" t="s">
        <v>25</v>
      </c>
      <c r="V337" s="167" t="s">
        <v>371</v>
      </c>
      <c r="W337" s="172" t="s">
        <v>375</v>
      </c>
      <c r="X337" s="173">
        <f>IF(Y337="",VLOOKUP(H337,CLIENTS!$A$1:$O$649,5,FALSE),Y337)</f>
        <v>0</v>
      </c>
      <c r="Y337" s="174">
        <v>0</v>
      </c>
      <c r="Z337" s="173">
        <f>IF(AA337="",VLOOKUP(P337,CLIENTS!$A$1:$O$649,5,FALSE),AA337)</f>
        <v>5.0000000000000001E-3</v>
      </c>
      <c r="AA337" s="174">
        <v>5.0000000000000001E-3</v>
      </c>
      <c r="AB337" s="173" t="str">
        <f>IF(W337="via USD",IF(K337="EUR",K337&amp;"USD","USD"&amp;K337),IFERROR(VLOOKUP(K337&amp;S337,'FX RATES'!$H$2:$H$20,1,FALSE),S337&amp;K337))</f>
        <v>USDUSD</v>
      </c>
      <c r="AC337" s="175">
        <f>IF(LEFT(AB337,3)=RIGHT(AB337,3),0,IFERROR(INDEX(CLIENTS!$A$1:$O$649,MATCH(H337,CLIENTS!$A$1:$A$649,0),MATCH(AB337,CLIENTS!$A$1:$O$1,0)),0))</f>
        <v>0</v>
      </c>
      <c r="AD337" s="176"/>
      <c r="AE337" s="177">
        <f t="shared" si="362"/>
        <v>1</v>
      </c>
      <c r="AF337" s="177" t="str">
        <f t="shared" si="363"/>
        <v>46055USDUSD</v>
      </c>
      <c r="AG337" s="176"/>
      <c r="AH337" s="178">
        <f>IF(LEFT(AB337,3)=RIGHT(AB337,3),1,VLOOKUP(AB337,'FX RATES'!$H$1:$I$20,2,FALSE))</f>
        <v>1</v>
      </c>
      <c r="AI337" s="178">
        <f t="shared" si="364"/>
        <v>1</v>
      </c>
      <c r="AJ337" s="173" t="str">
        <f>IF(W337="via USD",IF(S337="EUR",S337&amp;"USD","USD"&amp;S337),IFERROR(VLOOKUP(K337&amp;S337,'FX RATES'!$H$2:$H$20,1,FALSE),S337&amp;K337))</f>
        <v>USDRUB</v>
      </c>
      <c r="AK337" s="175">
        <f>IF(LEFT(AJ337,3)=RIGHT(AJ337,3),0,IFERROR(INDEX(CLIENTS!$A$1:$O$649,MATCH(P337,CLIENTS!$A$1:$A$649,0),MATCH(AJ337,CLIENTS!$A$1:$O$1,0)),0))</f>
        <v>0</v>
      </c>
      <c r="AL337" s="176">
        <v>75.732699999999994</v>
      </c>
      <c r="AM337" s="177">
        <f t="shared" si="365"/>
        <v>75.732699999999994</v>
      </c>
      <c r="AN337" s="177" t="str">
        <f t="shared" si="366"/>
        <v>46055USDRUB</v>
      </c>
      <c r="AO337" s="176">
        <v>76.7</v>
      </c>
      <c r="AP337" s="178">
        <f ca="1">IF(LEFT(AJ337,3)=RIGHT(AJ337,3),1,VLOOKUP(AJ337,'FX RATES'!$H$1:$I$20,2,FALSE))</f>
        <v>76.720500000000001</v>
      </c>
      <c r="AQ337" s="178">
        <f t="shared" si="367"/>
        <v>76.7</v>
      </c>
      <c r="AR337" s="179">
        <f>-Q337*(1-Z337)/(1+X337)*IF(W337="CLIENT",IF(S337=RIGHT(AJ337,3),1/AM337,AM337),IF(W337="VENDOR",IF(S337=RIGHT(AJ337,3),1/AE337,AE337),AE337^(VLOOKUP(AB337,'FX RATES'!$H$1:$J$26,3,FALSE))/AM337^(VLOOKUP(AJ337,'FX RATES'!$H$1:$J$26,3,FALSE))))</f>
        <v>0</v>
      </c>
      <c r="AS337" s="179">
        <f>-I337*(1+X337)/(1-Z337)*IF(W337="VENDOR",IF(K337=RIGHT(AB337,3),1/AE337,AE337),IF(W337="CLIENT",IF(K337=RIGHT(AB337,3),1/AM337,AM337),AM337^(VLOOKUP(AJ337,'FX RATES'!$H$1:$J$26,3,FALSE))/AE337^(VLOOKUP(AB337,'FX RATES'!$H$1:$J$26,3,FALSE))))</f>
        <v>15528095.804120602</v>
      </c>
      <c r="AT337" s="170">
        <f>IF(AB337&lt;&gt;AJ337,J337/IF(K337=RIGHT(AB337,3),AE337,1/AE337),IF(S337="USD",J337/IF(K337=RIGHT(AB337,3),IF(W337="CLIENT",AM337,AE337),1/IF(W337="CLIENT",AM337,AE337)),J337*VLOOKUP(K337,'FX RATES'!$E$1:$F$10,2,FALSE)))</f>
        <v>-204013</v>
      </c>
      <c r="AU337" s="170">
        <f>IF(AB337&lt;&gt;AJ337,R337/IF(S337=RIGHT(AJ337,3),AM337,1/AM337),IF(K337="USD",R337/IF(S337=RIGHT(AJ337,3),IF(W337="CLIENT",AM337,AE337),1/IF(W337="CLIENT",AM337,AE337)),R337*VLOOKUP(S337,'FX RATES'!$E$1:$F$10,2,FALSE)))</f>
        <v>205038.19095477386</v>
      </c>
      <c r="AV337" s="170">
        <f t="shared" si="368"/>
        <v>1025.1909547738614</v>
      </c>
      <c r="AW337" s="169"/>
      <c r="AX337" s="170">
        <f t="shared" si="369"/>
        <v>1025.1909547738694</v>
      </c>
      <c r="AY337" s="170">
        <f t="shared" si="370"/>
        <v>-204013</v>
      </c>
      <c r="AZ337" s="170" t="str">
        <f t="shared" si="371"/>
        <v>USD</v>
      </c>
      <c r="BA337" s="542">
        <f>IF(OR(A337="REFUND",A337="CANCELLED"),0,IFERROR((IF(OR(AB337="USDAED",LEFT(AB337,3)=RIGHT(AB337,3)),AI337,AG337)-AE337)*-AY337*VLOOKUP(AB337,'FX RATES'!$H$1:$J$26,3,FALSE),0))</f>
        <v>0</v>
      </c>
      <c r="BB337" s="170" t="str">
        <f t="shared" si="372"/>
        <v>USD</v>
      </c>
      <c r="BC337" s="542">
        <f t="shared" si="373"/>
        <v>0</v>
      </c>
      <c r="BD337" s="170">
        <f t="shared" si="374"/>
        <v>0</v>
      </c>
      <c r="BE337" s="542">
        <f t="shared" si="375"/>
        <v>0</v>
      </c>
      <c r="BF337" s="170">
        <f t="shared" si="376"/>
        <v>205038.19095477386</v>
      </c>
      <c r="BG337" s="170" t="str">
        <f t="shared" si="377"/>
        <v>USD</v>
      </c>
      <c r="BH337" s="542">
        <f>IF(OR(A337="REFUND",A337="CANCELLED"),0,IFERROR((IF(OR(AJ337="USDAED",LEFT(AJ337,3)=RIGHT(AJ337,3)),AQ337,AO337)-AM337)*-BF337*VLOOKUP(AJ337,'FX RATES'!$H$1:$J$26,3,FALSE),0))</f>
        <v>-198333.44211055455</v>
      </c>
      <c r="BI337" s="170" t="str">
        <f t="shared" si="378"/>
        <v>RUB</v>
      </c>
      <c r="BJ337" s="542">
        <f t="shared" si="379"/>
        <v>-2585.8336650659003</v>
      </c>
      <c r="BK337" s="170">
        <f t="shared" si="380"/>
        <v>0</v>
      </c>
      <c r="BL337" s="542">
        <f t="shared" si="381"/>
        <v>-2585.8336650659003</v>
      </c>
      <c r="BM337" s="170">
        <f t="shared" si="382"/>
        <v>0</v>
      </c>
      <c r="BN337" s="542">
        <f t="shared" si="383"/>
        <v>-2585.8336650659003</v>
      </c>
    </row>
    <row r="338" spans="1:66" ht="19.5" customHeight="1">
      <c r="A338" s="167" t="s">
        <v>366</v>
      </c>
      <c r="B338" s="168" t="s">
        <v>45</v>
      </c>
      <c r="C338" s="168" t="s">
        <v>367</v>
      </c>
      <c r="D338" s="168" t="s">
        <v>368</v>
      </c>
      <c r="E338" s="171">
        <v>46055</v>
      </c>
      <c r="F338" s="171"/>
      <c r="G338" s="168" t="s">
        <v>45</v>
      </c>
      <c r="H338" s="181" t="s">
        <v>563</v>
      </c>
      <c r="I338" s="169">
        <v>-56663.08</v>
      </c>
      <c r="J338" s="170">
        <f t="shared" si="360"/>
        <v>-56663.08</v>
      </c>
      <c r="K338" s="168" t="s">
        <v>5</v>
      </c>
      <c r="L338" s="168" t="s">
        <v>564</v>
      </c>
      <c r="M338" s="168" t="s">
        <v>49</v>
      </c>
      <c r="N338" s="167" t="s">
        <v>371</v>
      </c>
      <c r="O338" s="168" t="s">
        <v>52</v>
      </c>
      <c r="P338" s="168" t="s">
        <v>379</v>
      </c>
      <c r="Q338" s="169"/>
      <c r="R338" s="170">
        <f t="shared" si="361"/>
        <v>4312812.0992120598</v>
      </c>
      <c r="S338" s="168" t="s">
        <v>9</v>
      </c>
      <c r="T338" s="171" t="s">
        <v>380</v>
      </c>
      <c r="U338" s="168" t="s">
        <v>25</v>
      </c>
      <c r="V338" s="167" t="s">
        <v>371</v>
      </c>
      <c r="W338" s="172" t="s">
        <v>375</v>
      </c>
      <c r="X338" s="173">
        <f>IF(Y338="",VLOOKUP(H338,CLIENTS!$A$1:$O$649,5,FALSE),Y338)</f>
        <v>0</v>
      </c>
      <c r="Y338" s="174">
        <v>0</v>
      </c>
      <c r="Z338" s="173">
        <f>IF(AA338="",VLOOKUP(P338,CLIENTS!$A$1:$O$649,5,FALSE),AA338)</f>
        <v>5.0000000000000001E-3</v>
      </c>
      <c r="AA338" s="174">
        <v>5.0000000000000001E-3</v>
      </c>
      <c r="AB338" s="173" t="str">
        <f>IF(W338="via USD",IF(K338="EUR",K338&amp;"USD","USD"&amp;K338),IFERROR(VLOOKUP(K338&amp;S338,'FX RATES'!$H$2:$H$20,1,FALSE),S338&amp;K338))</f>
        <v>USDUSD</v>
      </c>
      <c r="AC338" s="175">
        <f>IF(LEFT(AB338,3)=RIGHT(AB338,3),0,IFERROR(INDEX(CLIENTS!$A$1:$O$649,MATCH(H338,CLIENTS!$A$1:$A$649,0),MATCH(AB338,CLIENTS!$A$1:$O$1,0)),0))</f>
        <v>0</v>
      </c>
      <c r="AD338" s="176"/>
      <c r="AE338" s="177">
        <f t="shared" si="362"/>
        <v>1</v>
      </c>
      <c r="AF338" s="177" t="str">
        <f t="shared" si="363"/>
        <v>46055USDUSD</v>
      </c>
      <c r="AG338" s="176"/>
      <c r="AH338" s="178">
        <f>IF(LEFT(AB338,3)=RIGHT(AB338,3),1,VLOOKUP(AB338,'FX RATES'!$H$1:$I$20,2,FALSE))</f>
        <v>1</v>
      </c>
      <c r="AI338" s="178">
        <f t="shared" si="364"/>
        <v>1</v>
      </c>
      <c r="AJ338" s="173" t="str">
        <f>IF(W338="via USD",IF(S338="EUR",S338&amp;"USD","USD"&amp;S338),IFERROR(VLOOKUP(K338&amp;S338,'FX RATES'!$H$2:$H$20,1,FALSE),S338&amp;K338))</f>
        <v>USDRUB</v>
      </c>
      <c r="AK338" s="175">
        <f>IF(LEFT(AJ338,3)=RIGHT(AJ338,3),0,IFERROR(INDEX(CLIENTS!$A$1:$O$649,MATCH(P338,CLIENTS!$A$1:$A$649,0),MATCH(AJ338,CLIENTS!$A$1:$O$1,0)),0))</f>
        <v>0</v>
      </c>
      <c r="AL338" s="176">
        <v>75.732699999999994</v>
      </c>
      <c r="AM338" s="177">
        <f t="shared" si="365"/>
        <v>75.732699999999994</v>
      </c>
      <c r="AN338" s="177" t="str">
        <f t="shared" si="366"/>
        <v>46055USDRUB</v>
      </c>
      <c r="AO338" s="176">
        <v>76.7</v>
      </c>
      <c r="AP338" s="178">
        <f ca="1">IF(LEFT(AJ338,3)=RIGHT(AJ338,3),1,VLOOKUP(AJ338,'FX RATES'!$H$1:$I$20,2,FALSE))</f>
        <v>76.720500000000001</v>
      </c>
      <c r="AQ338" s="178">
        <f t="shared" si="367"/>
        <v>76.7</v>
      </c>
      <c r="AR338" s="179">
        <f>-Q338*(1-Z338)/(1+X338)*IF(W338="CLIENT",IF(S338=RIGHT(AJ338,3),1/AM338,AM338),IF(W338="VENDOR",IF(S338=RIGHT(AJ338,3),1/AE338,AE338),AE338^(VLOOKUP(AB338,'FX RATES'!$H$1:$J$26,3,FALSE))/AM338^(VLOOKUP(AJ338,'FX RATES'!$H$1:$J$26,3,FALSE))))</f>
        <v>0</v>
      </c>
      <c r="AS338" s="179">
        <f>-I338*(1+X338)/(1-Z338)*IF(W338="VENDOR",IF(K338=RIGHT(AB338,3),1/AE338,AE338),IF(W338="CLIENT",IF(K338=RIGHT(AB338,3),1/AM338,AM338),AM338^(VLOOKUP(AJ338,'FX RATES'!$H$1:$J$26,3,FALSE))/AE338^(VLOOKUP(AB338,'FX RATES'!$H$1:$J$26,3,FALSE))))</f>
        <v>4312812.0992120598</v>
      </c>
      <c r="AT338" s="170">
        <f>IF(AB338&lt;&gt;AJ338,J338/IF(K338=RIGHT(AB338,3),AE338,1/AE338),IF(S338="USD",J338/IF(K338=RIGHT(AB338,3),IF(W338="CLIENT",AM338,AE338),1/IF(W338="CLIENT",AM338,AE338)),J338*VLOOKUP(K338,'FX RATES'!$E$1:$F$10,2,FALSE)))</f>
        <v>-56663.08</v>
      </c>
      <c r="AU338" s="170">
        <f>IF(AB338&lt;&gt;AJ338,R338/IF(S338=RIGHT(AJ338,3),AM338,1/AM338),IF(K338="USD",R338/IF(S338=RIGHT(AJ338,3),IF(W338="CLIENT",AM338,AE338),1/IF(W338="CLIENT",AM338,AE338)),R338*VLOOKUP(S338,'FX RATES'!$E$1:$F$10,2,FALSE)))</f>
        <v>56947.819095477382</v>
      </c>
      <c r="AV338" s="170">
        <f t="shared" si="368"/>
        <v>284.73909547738003</v>
      </c>
      <c r="AW338" s="169"/>
      <c r="AX338" s="170">
        <f t="shared" si="369"/>
        <v>284.73909547738691</v>
      </c>
      <c r="AY338" s="170">
        <f t="shared" si="370"/>
        <v>-56663.08</v>
      </c>
      <c r="AZ338" s="170" t="str">
        <f t="shared" si="371"/>
        <v>USD</v>
      </c>
      <c r="BA338" s="542">
        <f>IF(OR(A338="REFUND",A338="CANCELLED"),0,IFERROR((IF(OR(AB338="USDAED",LEFT(AB338,3)=RIGHT(AB338,3)),AI338,AG338)-AE338)*-AY338*VLOOKUP(AB338,'FX RATES'!$H$1:$J$26,3,FALSE),0))</f>
        <v>0</v>
      </c>
      <c r="BB338" s="170" t="str">
        <f t="shared" si="372"/>
        <v>USD</v>
      </c>
      <c r="BC338" s="542">
        <f t="shared" si="373"/>
        <v>0</v>
      </c>
      <c r="BD338" s="170">
        <f t="shared" si="374"/>
        <v>0</v>
      </c>
      <c r="BE338" s="542">
        <f t="shared" si="375"/>
        <v>0</v>
      </c>
      <c r="BF338" s="170">
        <f t="shared" si="376"/>
        <v>56947.819095477382</v>
      </c>
      <c r="BG338" s="170" t="str">
        <f t="shared" si="377"/>
        <v>USD</v>
      </c>
      <c r="BH338" s="542">
        <f>IF(OR(A338="REFUND",A338="CANCELLED"),0,IFERROR((IF(OR(AJ338="USDAED",LEFT(AJ338,3)=RIGHT(AJ338,3)),AQ338,AO338)-AM338)*-BF338*VLOOKUP(AJ338,'FX RATES'!$H$1:$J$26,3,FALSE),0))</f>
        <v>-55085.625411055764</v>
      </c>
      <c r="BI338" s="170" t="str">
        <f t="shared" si="378"/>
        <v>RUB</v>
      </c>
      <c r="BJ338" s="542">
        <f t="shared" si="379"/>
        <v>-718.19589844922768</v>
      </c>
      <c r="BK338" s="170">
        <f t="shared" si="380"/>
        <v>0</v>
      </c>
      <c r="BL338" s="542">
        <f t="shared" si="381"/>
        <v>-718.19589844922768</v>
      </c>
      <c r="BM338" s="170">
        <f t="shared" si="382"/>
        <v>0</v>
      </c>
      <c r="BN338" s="542">
        <f t="shared" si="383"/>
        <v>-718.19589844922768</v>
      </c>
    </row>
    <row r="339" spans="1:66" ht="19.5" customHeight="1">
      <c r="A339" s="167" t="s">
        <v>366</v>
      </c>
      <c r="B339" s="168" t="s">
        <v>39</v>
      </c>
      <c r="C339" s="168" t="s">
        <v>367</v>
      </c>
      <c r="D339" s="168" t="s">
        <v>368</v>
      </c>
      <c r="E339" s="171">
        <v>46055</v>
      </c>
      <c r="F339" s="171"/>
      <c r="G339" s="168" t="s">
        <v>39</v>
      </c>
      <c r="H339" s="181" t="s">
        <v>565</v>
      </c>
      <c r="I339" s="169">
        <v>-70594.89</v>
      </c>
      <c r="J339" s="170">
        <f t="shared" si="360"/>
        <v>-70594.89</v>
      </c>
      <c r="K339" s="168" t="s">
        <v>5</v>
      </c>
      <c r="L339" s="168" t="s">
        <v>566</v>
      </c>
      <c r="M339" s="168" t="s">
        <v>20</v>
      </c>
      <c r="N339" s="167" t="s">
        <v>371</v>
      </c>
      <c r="O339" s="168" t="s">
        <v>52</v>
      </c>
      <c r="P339" s="168" t="s">
        <v>379</v>
      </c>
      <c r="Q339" s="169"/>
      <c r="R339" s="170">
        <f t="shared" si="361"/>
        <v>5373207.6642241208</v>
      </c>
      <c r="S339" s="168" t="s">
        <v>9</v>
      </c>
      <c r="T339" s="171" t="s">
        <v>380</v>
      </c>
      <c r="U339" s="168" t="s">
        <v>25</v>
      </c>
      <c r="V339" s="167" t="s">
        <v>371</v>
      </c>
      <c r="W339" s="172" t="s">
        <v>375</v>
      </c>
      <c r="X339" s="173">
        <f>IF(Y339="",VLOOKUP(H339,CLIENTS!$A$1:$O$649,5,FALSE),Y339)</f>
        <v>0</v>
      </c>
      <c r="Y339" s="174">
        <v>0</v>
      </c>
      <c r="Z339" s="173">
        <f>IF(AA339="",VLOOKUP(P339,CLIENTS!$A$1:$O$649,5,FALSE),AA339)</f>
        <v>5.0000000000000001E-3</v>
      </c>
      <c r="AA339" s="174">
        <v>5.0000000000000001E-3</v>
      </c>
      <c r="AB339" s="173" t="str">
        <f>IF(W339="via USD",IF(K339="EUR",K339&amp;"USD","USD"&amp;K339),IFERROR(VLOOKUP(K339&amp;S339,'FX RATES'!$H$2:$H$20,1,FALSE),S339&amp;K339))</f>
        <v>USDUSD</v>
      </c>
      <c r="AC339" s="175">
        <f>IF(LEFT(AB339,3)=RIGHT(AB339,3),0,IFERROR(INDEX(CLIENTS!$A$1:$O$649,MATCH(H339,CLIENTS!$A$1:$A$649,0),MATCH(AB339,CLIENTS!$A$1:$O$1,0)),0))</f>
        <v>0</v>
      </c>
      <c r="AD339" s="176"/>
      <c r="AE339" s="177">
        <f t="shared" si="362"/>
        <v>1</v>
      </c>
      <c r="AF339" s="177" t="str">
        <f t="shared" si="363"/>
        <v>46055USDUSD</v>
      </c>
      <c r="AG339" s="176"/>
      <c r="AH339" s="178">
        <f>IF(LEFT(AB339,3)=RIGHT(AB339,3),1,VLOOKUP(AB339,'FX RATES'!$H$1:$I$20,2,FALSE))</f>
        <v>1</v>
      </c>
      <c r="AI339" s="178">
        <f t="shared" si="364"/>
        <v>1</v>
      </c>
      <c r="AJ339" s="173" t="str">
        <f>IF(W339="via USD",IF(S339="EUR",S339&amp;"USD","USD"&amp;S339),IFERROR(VLOOKUP(K339&amp;S339,'FX RATES'!$H$2:$H$20,1,FALSE),S339&amp;K339))</f>
        <v>USDRUB</v>
      </c>
      <c r="AK339" s="175">
        <f>IF(LEFT(AJ339,3)=RIGHT(AJ339,3),0,IFERROR(INDEX(CLIENTS!$A$1:$O$649,MATCH(P339,CLIENTS!$A$1:$A$649,0),MATCH(AJ339,CLIENTS!$A$1:$O$1,0)),0))</f>
        <v>0</v>
      </c>
      <c r="AL339" s="176">
        <v>75.732699999999994</v>
      </c>
      <c r="AM339" s="177">
        <f t="shared" si="365"/>
        <v>75.732699999999994</v>
      </c>
      <c r="AN339" s="177" t="str">
        <f t="shared" si="366"/>
        <v>46055USDRUB</v>
      </c>
      <c r="AO339" s="176">
        <v>76.7</v>
      </c>
      <c r="AP339" s="178">
        <f ca="1">IF(LEFT(AJ339,3)=RIGHT(AJ339,3),1,VLOOKUP(AJ339,'FX RATES'!$H$1:$I$20,2,FALSE))</f>
        <v>76.720500000000001</v>
      </c>
      <c r="AQ339" s="178">
        <f t="shared" si="367"/>
        <v>76.7</v>
      </c>
      <c r="AR339" s="179">
        <f>-Q339*(1-Z339)/(1+X339)*IF(W339="CLIENT",IF(S339=RIGHT(AJ339,3),1/AM339,AM339),IF(W339="VENDOR",IF(S339=RIGHT(AJ339,3),1/AE339,AE339),AE339^(VLOOKUP(AB339,'FX RATES'!$H$1:$J$26,3,FALSE))/AM339^(VLOOKUP(AJ339,'FX RATES'!$H$1:$J$26,3,FALSE))))</f>
        <v>0</v>
      </c>
      <c r="AS339" s="179">
        <f>-I339*(1+X339)/(1-Z339)*IF(W339="VENDOR",IF(K339=RIGHT(AB339,3),1/AE339,AE339),IF(W339="CLIENT",IF(K339=RIGHT(AB339,3),1/AM339,AM339),AM339^(VLOOKUP(AJ339,'FX RATES'!$H$1:$J$26,3,FALSE))/AE339^(VLOOKUP(AB339,'FX RATES'!$H$1:$J$26,3,FALSE))))</f>
        <v>5373207.6642241208</v>
      </c>
      <c r="AT339" s="170">
        <f>IF(AB339&lt;&gt;AJ339,J339/IF(K339=RIGHT(AB339,3),AE339,1/AE339),IF(S339="USD",J339/IF(K339=RIGHT(AB339,3),IF(W339="CLIENT",AM339,AE339),1/IF(W339="CLIENT",AM339,AE339)),J339*VLOOKUP(K339,'FX RATES'!$E$1:$F$10,2,FALSE)))</f>
        <v>-70594.89</v>
      </c>
      <c r="AU339" s="170">
        <f>IF(AB339&lt;&gt;AJ339,R339/IF(S339=RIGHT(AJ339,3),AM339,1/AM339),IF(K339="USD",R339/IF(S339=RIGHT(AJ339,3),IF(W339="CLIENT",AM339,AE339),1/IF(W339="CLIENT",AM339,AE339)),R339*VLOOKUP(S339,'FX RATES'!$E$1:$F$10,2,FALSE)))</f>
        <v>70949.638190954778</v>
      </c>
      <c r="AV339" s="170">
        <f t="shared" si="368"/>
        <v>354.74819095477869</v>
      </c>
      <c r="AW339" s="169"/>
      <c r="AX339" s="170">
        <f t="shared" si="369"/>
        <v>354.74819095477392</v>
      </c>
      <c r="AY339" s="170">
        <f t="shared" si="370"/>
        <v>-70594.89</v>
      </c>
      <c r="AZ339" s="170" t="str">
        <f t="shared" si="371"/>
        <v>USD</v>
      </c>
      <c r="BA339" s="542">
        <f>IF(OR(A339="REFUND",A339="CANCELLED"),0,IFERROR((IF(OR(AB339="USDAED",LEFT(AB339,3)=RIGHT(AB339,3)),AI339,AG339)-AE339)*-AY339*VLOOKUP(AB339,'FX RATES'!$H$1:$J$26,3,FALSE),0))</f>
        <v>0</v>
      </c>
      <c r="BB339" s="170" t="str">
        <f t="shared" si="372"/>
        <v>USD</v>
      </c>
      <c r="BC339" s="542">
        <f t="shared" si="373"/>
        <v>0</v>
      </c>
      <c r="BD339" s="170">
        <f t="shared" si="374"/>
        <v>0</v>
      </c>
      <c r="BE339" s="542">
        <f t="shared" si="375"/>
        <v>0</v>
      </c>
      <c r="BF339" s="170">
        <f t="shared" si="376"/>
        <v>70949.638190954778</v>
      </c>
      <c r="BG339" s="170" t="str">
        <f t="shared" si="377"/>
        <v>USD</v>
      </c>
      <c r="BH339" s="542">
        <f>IF(OR(A339="REFUND",A339="CANCELLED"),0,IFERROR((IF(OR(AJ339="USDAED",LEFT(AJ339,3)=RIGHT(AJ339,3)),AQ339,AO339)-AM339)*-BF339*VLOOKUP(AJ339,'FX RATES'!$H$1:$J$26,3,FALSE),0))</f>
        <v>-68629.585022111176</v>
      </c>
      <c r="BI339" s="170" t="str">
        <f t="shared" si="378"/>
        <v>RUB</v>
      </c>
      <c r="BJ339" s="542">
        <f t="shared" si="379"/>
        <v>-894.77946573808572</v>
      </c>
      <c r="BK339" s="170">
        <f t="shared" si="380"/>
        <v>0</v>
      </c>
      <c r="BL339" s="542">
        <f t="shared" si="381"/>
        <v>-894.77946573808572</v>
      </c>
      <c r="BM339" s="170">
        <f t="shared" si="382"/>
        <v>0</v>
      </c>
      <c r="BN339" s="542">
        <f t="shared" si="383"/>
        <v>-894.77946573808572</v>
      </c>
    </row>
    <row r="340" spans="1:66" ht="19.5" customHeight="1">
      <c r="A340" s="167" t="s">
        <v>366</v>
      </c>
      <c r="B340" s="168" t="s">
        <v>52</v>
      </c>
      <c r="C340" s="168" t="s">
        <v>381</v>
      </c>
      <c r="D340" s="168" t="s">
        <v>128</v>
      </c>
      <c r="E340" s="171">
        <v>46055</v>
      </c>
      <c r="F340" s="171"/>
      <c r="G340" s="168" t="s">
        <v>52</v>
      </c>
      <c r="H340" s="168" t="s">
        <v>52</v>
      </c>
      <c r="I340" s="169"/>
      <c r="J340" s="170">
        <f t="shared" si="360"/>
        <v>-508029.00223857537</v>
      </c>
      <c r="K340" s="168" t="s">
        <v>9</v>
      </c>
      <c r="L340" s="168" t="s">
        <v>25</v>
      </c>
      <c r="M340" s="168" t="s">
        <v>25</v>
      </c>
      <c r="N340" s="167" t="s">
        <v>371</v>
      </c>
      <c r="O340" s="168" t="s">
        <v>52</v>
      </c>
      <c r="P340" s="168" t="s">
        <v>52</v>
      </c>
      <c r="Q340" s="169">
        <f>-(R333+R334+R335+R336+R337+R338+R339+J341+J342)</f>
        <v>508029.00223857537</v>
      </c>
      <c r="R340" s="170">
        <f t="shared" si="361"/>
        <v>508029.00223857537</v>
      </c>
      <c r="S340" s="168" t="s">
        <v>9</v>
      </c>
      <c r="T340" s="168" t="s">
        <v>25</v>
      </c>
      <c r="U340" s="168" t="s">
        <v>25</v>
      </c>
      <c r="V340" s="167" t="s">
        <v>371</v>
      </c>
      <c r="W340" s="172" t="s">
        <v>382</v>
      </c>
      <c r="X340" s="173">
        <f>IF(Y340="",VLOOKUP(H340,CLIENTS!$A$1:$O$649,5,FALSE),Y340)</f>
        <v>0</v>
      </c>
      <c r="Y340" s="174"/>
      <c r="Z340" s="173">
        <f>IF(AA340="",VLOOKUP(P340,CLIENTS!$A$1:$O$649,5,FALSE),AA340)</f>
        <v>0</v>
      </c>
      <c r="AA340" s="174"/>
      <c r="AB340" s="173" t="str">
        <f>IF(W340="via USD",IF(K340="EUR",K340&amp;"USD","USD"&amp;K340),IFERROR(VLOOKUP(K340&amp;S340,'FX RATES'!$H$2:$H$20,1,FALSE),S340&amp;K340))</f>
        <v>RUBRUB</v>
      </c>
      <c r="AC340" s="175">
        <f>IF(LEFT(AB340,3)=RIGHT(AB340,3),0,IFERROR(INDEX(CLIENTS!$A$1:$O$649,MATCH(H340,CLIENTS!$A$1:$A$649,0),MATCH(AB340,CLIENTS!$A$1:$O$1,0)),0))</f>
        <v>0</v>
      </c>
      <c r="AD340" s="176"/>
      <c r="AE340" s="177">
        <f t="shared" si="362"/>
        <v>1</v>
      </c>
      <c r="AF340" s="177" t="str">
        <f t="shared" si="363"/>
        <v>46055RUBRUB</v>
      </c>
      <c r="AG340" s="176"/>
      <c r="AH340" s="178">
        <f>IF(LEFT(AB340,3)=RIGHT(AB340,3),1,VLOOKUP(AB340,'FX RATES'!$H$1:$I$20,2,FALSE))</f>
        <v>1</v>
      </c>
      <c r="AI340" s="178">
        <f t="shared" si="364"/>
        <v>1</v>
      </c>
      <c r="AJ340" s="173" t="str">
        <f>IF(W340="via USD",IF(S340="EUR",S340&amp;"USD","USD"&amp;S340),IFERROR(VLOOKUP(K340&amp;S340,'FX RATES'!$H$2:$H$20,1,FALSE),S340&amp;K340))</f>
        <v>RUBRUB</v>
      </c>
      <c r="AK340" s="175">
        <f>IF(LEFT(AJ340,3)=RIGHT(AJ340,3),0,IFERROR(INDEX(CLIENTS!$A$1:$O$649,MATCH(P340,CLIENTS!$A$1:$A$649,0),MATCH(AJ340,CLIENTS!$A$1:$O$1,0)),0))</f>
        <v>0</v>
      </c>
      <c r="AL340" s="176"/>
      <c r="AM340" s="177" t="str">
        <f t="shared" si="365"/>
        <v/>
      </c>
      <c r="AN340" s="177" t="str">
        <f t="shared" si="366"/>
        <v>46055RUBRUB</v>
      </c>
      <c r="AO340" s="176"/>
      <c r="AP340" s="178">
        <f>IF(LEFT(AJ340,3)=RIGHT(AJ340,3),1,VLOOKUP(AJ340,'FX RATES'!$H$1:$I$20,2,FALSE))</f>
        <v>1</v>
      </c>
      <c r="AQ340" s="178">
        <f t="shared" si="367"/>
        <v>1</v>
      </c>
      <c r="AR340" s="179">
        <f>-Q340*(1-Z340)/(1+X340)*IF(W340="CLIENT",IF(S340=RIGHT(AJ340,3),1/AM340,AM340),IF(W340="VENDOR",IF(S340=RIGHT(AJ340,3),1/AE340,AE340),AE340^(VLOOKUP(AB340,'FX RATES'!$H$1:$J$26,3,FALSE))/AM340^(VLOOKUP(AJ340,'FX RATES'!$H$1:$J$26,3,FALSE))))</f>
        <v>-508029.00223857537</v>
      </c>
      <c r="AS340" s="179">
        <f>-I340*(1+X340)/(1-Z340)*IF(W340="VENDOR",IF(K340=RIGHT(AB340,3),1/AE340,AE340),IF(W340="CLIENT",IF(K340=RIGHT(AB340,3),1/AM340,AM340),AM340^(VLOOKUP(AJ340,'FX RATES'!$H$1:$J$26,3,FALSE))/AE340^(VLOOKUP(AB340,'FX RATES'!$H$1:$J$26,3,FALSE))))</f>
        <v>0</v>
      </c>
      <c r="AT340" s="170">
        <f ca="1">IF(AB340&lt;&gt;AJ340,J340/IF(K340=RIGHT(AB340,3),AE340,1/AE340),IF(S340="USD",J340/IF(K340=RIGHT(AB340,3),IF(W340="CLIENT",AM340,AE340),1/IF(W340="CLIENT",AM340,AE340)),J340*VLOOKUP(K340,'FX RATES'!$E$1:$F$10,2,FALSE)))</f>
        <v>-6621.8155804325488</v>
      </c>
      <c r="AU340" s="170">
        <f ca="1">IF(AB340&lt;&gt;AJ340,R340/IF(S340=RIGHT(AJ340,3),AM340,1/AM340),IF(K340="USD",R340/IF(S340=RIGHT(AJ340,3),IF(W340="CLIENT",AM340,AE340),1/IF(W340="CLIENT",AM340,AE340)),R340*VLOOKUP(S340,'FX RATES'!$E$1:$F$10,2,FALSE)))</f>
        <v>6621.8155804325488</v>
      </c>
      <c r="AV340" s="170">
        <f t="shared" ca="1" si="368"/>
        <v>0</v>
      </c>
      <c r="AW340" s="169"/>
      <c r="AX340" s="170">
        <f t="shared" ca="1" si="369"/>
        <v>0</v>
      </c>
      <c r="AY340" s="170">
        <f t="shared" si="370"/>
        <v>-508029.00223857537</v>
      </c>
      <c r="AZ340" s="170" t="str">
        <f t="shared" si="371"/>
        <v>RUB</v>
      </c>
      <c r="BA340" s="542">
        <f>IF(OR(A340="REFUND",A340="CANCELLED"),0,IFERROR((IF(OR(AB340="USDAED",LEFT(AB340,3)=RIGHT(AB340,3)),AI340,AG340)-AE340)*-AY340*VLOOKUP(AB340,'FX RATES'!$H$1:$J$26,3,FALSE),0))</f>
        <v>0</v>
      </c>
      <c r="BB340" s="170" t="str">
        <f t="shared" si="372"/>
        <v>RUB</v>
      </c>
      <c r="BC340" s="542">
        <f t="shared" si="373"/>
        <v>0</v>
      </c>
      <c r="BD340" s="170">
        <f t="shared" si="374"/>
        <v>0</v>
      </c>
      <c r="BE340" s="542">
        <f t="shared" si="375"/>
        <v>0</v>
      </c>
      <c r="BF340" s="170">
        <f t="shared" si="376"/>
        <v>508029.00223857537</v>
      </c>
      <c r="BG340" s="170" t="str">
        <f t="shared" si="377"/>
        <v>RUB</v>
      </c>
      <c r="BH340" s="542">
        <f>IF(OR(A340="REFUND",A340="CANCELLED"),0,IFERROR((IF(OR(AJ340="USDAED",LEFT(AJ340,3)=RIGHT(AJ340,3)),AQ340,AO340)-AM340)*-BF340*VLOOKUP(AJ340,'FX RATES'!$H$1:$J$26,3,FALSE),0))</f>
        <v>0</v>
      </c>
      <c r="BI340" s="170" t="str">
        <f t="shared" si="378"/>
        <v>RUB</v>
      </c>
      <c r="BJ340" s="542">
        <f t="shared" si="379"/>
        <v>0</v>
      </c>
      <c r="BK340" s="170">
        <f t="shared" si="380"/>
        <v>0</v>
      </c>
      <c r="BL340" s="542">
        <f t="shared" si="381"/>
        <v>0</v>
      </c>
      <c r="BM340" s="170">
        <f t="shared" si="382"/>
        <v>0</v>
      </c>
      <c r="BN340" s="542">
        <f t="shared" si="383"/>
        <v>0</v>
      </c>
    </row>
    <row r="341" spans="1:66" ht="19.5" customHeight="1">
      <c r="A341" s="167" t="s">
        <v>366</v>
      </c>
      <c r="B341" s="168" t="s">
        <v>52</v>
      </c>
      <c r="C341" s="168" t="s">
        <v>383</v>
      </c>
      <c r="D341" s="168" t="s">
        <v>465</v>
      </c>
      <c r="E341" s="171">
        <v>46055</v>
      </c>
      <c r="F341" s="171"/>
      <c r="G341" s="168" t="s">
        <v>52</v>
      </c>
      <c r="H341" s="168" t="s">
        <v>523</v>
      </c>
      <c r="I341" s="169"/>
      <c r="J341" s="170">
        <f t="shared" si="360"/>
        <v>-42410311.999999993</v>
      </c>
      <c r="K341" s="168" t="s">
        <v>9</v>
      </c>
      <c r="L341" s="171" t="s">
        <v>411</v>
      </c>
      <c r="M341" s="168" t="s">
        <v>25</v>
      </c>
      <c r="N341" s="167" t="s">
        <v>371</v>
      </c>
      <c r="O341" s="168" t="s">
        <v>39</v>
      </c>
      <c r="P341" s="349" t="s">
        <v>466</v>
      </c>
      <c r="Q341" s="169">
        <v>2056600</v>
      </c>
      <c r="R341" s="170">
        <f t="shared" si="361"/>
        <v>2056600</v>
      </c>
      <c r="S341" s="168" t="s">
        <v>8</v>
      </c>
      <c r="T341" s="171" t="s">
        <v>40</v>
      </c>
      <c r="U341" s="168" t="s">
        <v>17</v>
      </c>
      <c r="V341" s="167" t="s">
        <v>371</v>
      </c>
      <c r="W341" s="172" t="s">
        <v>375</v>
      </c>
      <c r="X341" s="173">
        <f>IF(Y341="",VLOOKUP(H341,CLIENTS!$A$1:$O$649,5,FALSE),Y341)</f>
        <v>0</v>
      </c>
      <c r="Y341" s="174">
        <v>0</v>
      </c>
      <c r="Z341" s="173">
        <f>IF(AA341="",VLOOKUP(P341,CLIENTS!$A$1:$O$649,5,FALSE),AA341)</f>
        <v>0</v>
      </c>
      <c r="AA341" s="174">
        <v>0</v>
      </c>
      <c r="AB341" s="173" t="str">
        <f>IF(W341="via USD",IF(K341="EUR",K341&amp;"USD","USD"&amp;K341),IFERROR(VLOOKUP(K341&amp;S341,'FX RATES'!$H$2:$H$20,1,FALSE),S341&amp;K341))</f>
        <v>USDRUB</v>
      </c>
      <c r="AC341" s="175">
        <f>IF(LEFT(AB341,3)=RIGHT(AB341,3),0,IFERROR(INDEX(CLIENTS!$A$1:$O$649,MATCH(H341,CLIENTS!$A$1:$A$649,0),MATCH(AB341,CLIENTS!$A$1:$O$1,0)),0))</f>
        <v>0</v>
      </c>
      <c r="AD341" s="176">
        <v>75.732699999999994</v>
      </c>
      <c r="AE341" s="177">
        <f t="shared" si="362"/>
        <v>75.732699999999994</v>
      </c>
      <c r="AF341" s="177" t="str">
        <f t="shared" si="363"/>
        <v>46055USDRUB</v>
      </c>
      <c r="AG341" s="176">
        <v>76.7</v>
      </c>
      <c r="AH341" s="178">
        <f ca="1">IF(LEFT(AB341,3)=RIGHT(AB341,3),1,VLOOKUP(AB341,'FX RATES'!$H$1:$I$20,2,FALSE))</f>
        <v>76.720500000000001</v>
      </c>
      <c r="AI341" s="178">
        <f t="shared" si="364"/>
        <v>76.7</v>
      </c>
      <c r="AJ341" s="173" t="str">
        <f>IF(W341="via USD",IF(S341="EUR",S341&amp;"USD","USD"&amp;S341),IFERROR(VLOOKUP(K341&amp;S341,'FX RATES'!$H$2:$H$20,1,FALSE),S341&amp;K341))</f>
        <v>USDAED</v>
      </c>
      <c r="AK341" s="175">
        <f>IF(LEFT(AJ341,3)=RIGHT(AJ341,3),0,IFERROR(INDEX(CLIENTS!$A$1:$O$649,MATCH(P341,CLIENTS!$A$1:$A$649,0),MATCH(AJ341,CLIENTS!$A$1:$O$1,0)),0))</f>
        <v>0</v>
      </c>
      <c r="AL341" s="176">
        <v>3.6724999999999999</v>
      </c>
      <c r="AM341" s="177">
        <f t="shared" si="365"/>
        <v>3.6724999999999999</v>
      </c>
      <c r="AN341" s="177" t="str">
        <f t="shared" si="366"/>
        <v>46055USDAED</v>
      </c>
      <c r="AO341" s="176">
        <v>3.6724999999999999</v>
      </c>
      <c r="AP341" s="178">
        <f>IF(LEFT(AJ341,3)=RIGHT(AJ341,3),1,VLOOKUP(AJ341,'FX RATES'!$H$1:$I$20,2,FALSE))</f>
        <v>3.6724999999999999</v>
      </c>
      <c r="AQ341" s="178">
        <f t="shared" si="367"/>
        <v>3.6724999999999999</v>
      </c>
      <c r="AR341" s="179">
        <f>-Q341*(1-Z341)/(1+X341)*IF(W341="CLIENT",IF(S341=RIGHT(AJ341,3),1/AM341,AM341),IF(W341="VENDOR",IF(S341=RIGHT(AJ341,3),1/AE341,AE341),AE341^(VLOOKUP(AB341,'FX RATES'!$H$1:$J$26,3,FALSE))/AM341^(VLOOKUP(AJ341,'FX RATES'!$H$1:$J$26,3,FALSE))))</f>
        <v>-42410311.999999993</v>
      </c>
      <c r="AS341" s="179">
        <f>-I341*(1+X341)/(1-Z341)*IF(W341="VENDOR",IF(K341=RIGHT(AB341,3),1/AE341,AE341),IF(W341="CLIENT",IF(K341=RIGHT(AB341,3),1/AM341,AM341),AM341^(VLOOKUP(AJ341,'FX RATES'!$H$1:$J$26,3,FALSE))/AE341^(VLOOKUP(AB341,'FX RATES'!$H$1:$J$26,3,FALSE))))</f>
        <v>0</v>
      </c>
      <c r="AT341" s="170">
        <f>IF(AB341&lt;&gt;AJ341,J341/IF(K341=RIGHT(AB341,3),AE341,1/AE341),IF(S341="USD",J341/IF(K341=RIGHT(AB341,3),IF(W341="CLIENT",AM341,AE341),1/IF(W341="CLIENT",AM341,AE341)),J341*VLOOKUP(K341,'FX RATES'!$E$1:$F$10,2,FALSE)))</f>
        <v>-560000</v>
      </c>
      <c r="AU341" s="170">
        <f>IF(AB341&lt;&gt;AJ341,R341/IF(S341=RIGHT(AJ341,3),AM341,1/AM341),IF(K341="USD",R341/IF(S341=RIGHT(AJ341,3),IF(W341="CLIENT",AM341,AE341),1/IF(W341="CLIENT",AM341,AE341)),R341*VLOOKUP(S341,'FX RATES'!$E$1:$F$10,2,FALSE)))</f>
        <v>560000</v>
      </c>
      <c r="AV341" s="170">
        <f t="shared" si="368"/>
        <v>0</v>
      </c>
      <c r="AW341" s="169"/>
      <c r="AX341" s="170">
        <f t="shared" si="369"/>
        <v>0</v>
      </c>
      <c r="AY341" s="170">
        <f t="shared" si="370"/>
        <v>-560000</v>
      </c>
      <c r="AZ341" s="170" t="str">
        <f t="shared" si="371"/>
        <v>USD</v>
      </c>
      <c r="BA341" s="542">
        <f>IF(OR(A341="REFUND",A341="CANCELLED"),0,IFERROR((IF(OR(AB341="USDAED",LEFT(AB341,3)=RIGHT(AB341,3)),AI341,AG341)-AE341)*-AY341*VLOOKUP(AB341,'FX RATES'!$H$1:$J$26,3,FALSE),0))</f>
        <v>541688.00000000489</v>
      </c>
      <c r="BB341" s="170" t="str">
        <f t="shared" si="372"/>
        <v>RUB</v>
      </c>
      <c r="BC341" s="542">
        <f t="shared" si="373"/>
        <v>7062.4250325945877</v>
      </c>
      <c r="BD341" s="170">
        <f t="shared" si="374"/>
        <v>0</v>
      </c>
      <c r="BE341" s="542">
        <f t="shared" si="375"/>
        <v>7062.4250325945877</v>
      </c>
      <c r="BF341" s="170">
        <f t="shared" si="376"/>
        <v>560000</v>
      </c>
      <c r="BG341" s="170" t="str">
        <f t="shared" si="377"/>
        <v>USD</v>
      </c>
      <c r="BH341" s="542">
        <f>IF(OR(A341="REFUND",A341="CANCELLED"),0,IFERROR((IF(OR(AJ341="USDAED",LEFT(AJ341,3)=RIGHT(AJ341,3)),AQ341,AO341)-AM341)*-BF341*VLOOKUP(AJ341,'FX RATES'!$H$1:$J$26,3,FALSE),0))</f>
        <v>0</v>
      </c>
      <c r="BI341" s="170" t="str">
        <f t="shared" si="378"/>
        <v>AED</v>
      </c>
      <c r="BJ341" s="542">
        <f t="shared" si="379"/>
        <v>0</v>
      </c>
      <c r="BK341" s="170">
        <f t="shared" si="380"/>
        <v>0</v>
      </c>
      <c r="BL341" s="542">
        <f t="shared" si="381"/>
        <v>0</v>
      </c>
      <c r="BM341" s="170">
        <f t="shared" si="382"/>
        <v>0</v>
      </c>
      <c r="BN341" s="542">
        <f t="shared" si="383"/>
        <v>7062.4250325945877</v>
      </c>
    </row>
    <row r="342" spans="1:66" ht="19.5" customHeight="1">
      <c r="A342" s="167" t="s">
        <v>366</v>
      </c>
      <c r="B342" s="168" t="s">
        <v>52</v>
      </c>
      <c r="C342" s="168" t="s">
        <v>383</v>
      </c>
      <c r="D342" s="168" t="s">
        <v>465</v>
      </c>
      <c r="E342" s="171">
        <v>46055</v>
      </c>
      <c r="F342" s="171"/>
      <c r="G342" s="168" t="s">
        <v>52</v>
      </c>
      <c r="H342" s="168" t="s">
        <v>523</v>
      </c>
      <c r="I342" s="169"/>
      <c r="J342" s="170">
        <f t="shared" ref="J342" si="384">IF(I342="",AR342,I342)</f>
        <v>-33322387.999999996</v>
      </c>
      <c r="K342" s="168" t="s">
        <v>9</v>
      </c>
      <c r="L342" s="171" t="s">
        <v>411</v>
      </c>
      <c r="M342" s="168" t="s">
        <v>25</v>
      </c>
      <c r="N342" s="167" t="s">
        <v>371</v>
      </c>
      <c r="O342" s="168" t="s">
        <v>39</v>
      </c>
      <c r="P342" s="349" t="s">
        <v>466</v>
      </c>
      <c r="Q342" s="169">
        <v>1615900</v>
      </c>
      <c r="R342" s="170">
        <f t="shared" ref="R342" si="385">IF(Q342="",AS342,Q342)</f>
        <v>1615900</v>
      </c>
      <c r="S342" s="168" t="s">
        <v>8</v>
      </c>
      <c r="T342" s="171" t="s">
        <v>40</v>
      </c>
      <c r="U342" s="168" t="s">
        <v>17</v>
      </c>
      <c r="V342" s="167" t="s">
        <v>371</v>
      </c>
      <c r="W342" s="172" t="s">
        <v>375</v>
      </c>
      <c r="X342" s="173">
        <f>IF(Y342="",VLOOKUP(H342,CLIENTS!$A$1:$O$649,5,FALSE),Y342)</f>
        <v>0</v>
      </c>
      <c r="Y342" s="174">
        <v>0</v>
      </c>
      <c r="Z342" s="173">
        <f>IF(AA342="",VLOOKUP(P342,CLIENTS!$A$1:$O$649,5,FALSE),AA342)</f>
        <v>0</v>
      </c>
      <c r="AA342" s="174">
        <v>0</v>
      </c>
      <c r="AB342" s="173" t="str">
        <f>IF(W342="via USD",IF(K342="EUR",K342&amp;"USD","USD"&amp;K342),IFERROR(VLOOKUP(K342&amp;S342,'FX RATES'!$H$2:$H$20,1,FALSE),S342&amp;K342))</f>
        <v>USDRUB</v>
      </c>
      <c r="AC342" s="175">
        <f>IF(LEFT(AB342,3)=RIGHT(AB342,3),0,IFERROR(INDEX(CLIENTS!$A$1:$O$649,MATCH(H342,CLIENTS!$A$1:$A$649,0),MATCH(AB342,CLIENTS!$A$1:$O$1,0)),0))</f>
        <v>0</v>
      </c>
      <c r="AD342" s="176">
        <v>75.732699999999994</v>
      </c>
      <c r="AE342" s="177">
        <f t="shared" ref="AE342" si="386">IF(W342="CLIENT","",IF(AD342="",AH342+AC342,AD342+AC342))</f>
        <v>75.732699999999994</v>
      </c>
      <c r="AF342" s="177" t="str">
        <f t="shared" ref="AF342" si="387">E342&amp;AB342</f>
        <v>46055USDRUB</v>
      </c>
      <c r="AG342" s="176">
        <v>76.7</v>
      </c>
      <c r="AH342" s="178">
        <f ca="1">IF(LEFT(AB342,3)=RIGHT(AB342,3),1,VLOOKUP(AB342,'FX RATES'!$H$1:$I$20,2,FALSE))</f>
        <v>76.720500000000001</v>
      </c>
      <c r="AI342" s="178">
        <f t="shared" si="364"/>
        <v>76.7</v>
      </c>
      <c r="AJ342" s="173" t="str">
        <f>IF(W342="via USD",IF(S342="EUR",S342&amp;"USD","USD"&amp;S342),IFERROR(VLOOKUP(K342&amp;S342,'FX RATES'!$H$2:$H$20,1,FALSE),S342&amp;K342))</f>
        <v>USDAED</v>
      </c>
      <c r="AK342" s="175">
        <f>IF(LEFT(AJ342,3)=RIGHT(AJ342,3),0,IFERROR(INDEX(CLIENTS!$A$1:$O$649,MATCH(P342,CLIENTS!$A$1:$A$649,0),MATCH(AJ342,CLIENTS!$A$1:$O$1,0)),0))</f>
        <v>0</v>
      </c>
      <c r="AL342" s="176">
        <v>3.6724999999999999</v>
      </c>
      <c r="AM342" s="177">
        <f t="shared" ref="AM342" si="388">IF(W342="VENDOR","",IF(AL342="",AP342+AK342,AL342+AK342))</f>
        <v>3.6724999999999999</v>
      </c>
      <c r="AN342" s="177" t="str">
        <f t="shared" ref="AN342" si="389">E342&amp;AJ342</f>
        <v>46055USDAED</v>
      </c>
      <c r="AO342" s="176">
        <v>3.6724999999999999</v>
      </c>
      <c r="AP342" s="178">
        <f>IF(LEFT(AJ342,3)=RIGHT(AJ342,3),1,VLOOKUP(AJ342,'FX RATES'!$H$1:$I$20,2,FALSE))</f>
        <v>3.6724999999999999</v>
      </c>
      <c r="AQ342" s="178">
        <f t="shared" si="367"/>
        <v>3.6724999999999999</v>
      </c>
      <c r="AR342" s="179">
        <f>-Q342*(1-Z342)/(1+X342)*IF(W342="CLIENT",IF(S342=RIGHT(AJ342,3),1/AM342,AM342),IF(W342="VENDOR",IF(S342=RIGHT(AJ342,3),1/AE342,AE342),AE342^(VLOOKUP(AB342,'FX RATES'!$H$1:$J$26,3,FALSE))/AM342^(VLOOKUP(AJ342,'FX RATES'!$H$1:$J$26,3,FALSE))))</f>
        <v>-33322387.999999996</v>
      </c>
      <c r="AS342" s="179">
        <f>-I342*(1+X342)/(1-Z342)*IF(W342="VENDOR",IF(K342=RIGHT(AB342,3),1/AE342,AE342),IF(W342="CLIENT",IF(K342=RIGHT(AB342,3),1/AM342,AM342),AM342^(VLOOKUP(AJ342,'FX RATES'!$H$1:$J$26,3,FALSE))/AE342^(VLOOKUP(AB342,'FX RATES'!$H$1:$J$26,3,FALSE))))</f>
        <v>0</v>
      </c>
      <c r="AT342" s="170">
        <f>IF(AB342&lt;&gt;AJ342,J342/IF(K342=RIGHT(AB342,3),AE342,1/AE342),IF(S342="USD",J342/IF(K342=RIGHT(AB342,3),IF(W342="CLIENT",AM342,AE342),1/IF(W342="CLIENT",AM342,AE342)),J342*VLOOKUP(K342,'FX RATES'!$E$1:$F$10,2,FALSE)))</f>
        <v>-440000</v>
      </c>
      <c r="AU342" s="170">
        <f>IF(AB342&lt;&gt;AJ342,R342/IF(S342=RIGHT(AJ342,3),AM342,1/AM342),IF(K342="USD",R342/IF(S342=RIGHT(AJ342,3),IF(W342="CLIENT",AM342,AE342),1/IF(W342="CLIENT",AM342,AE342)),R342*VLOOKUP(S342,'FX RATES'!$E$1:$F$10,2,FALSE)))</f>
        <v>440000</v>
      </c>
      <c r="AV342" s="170">
        <f t="shared" ref="AV342" si="390">AT342+AU342</f>
        <v>0</v>
      </c>
      <c r="AW342" s="169"/>
      <c r="AX342" s="170">
        <f t="shared" ref="AX342" si="391">IF(AND(ISERROR(SEARCH("INVOICE",T342)),ISERROR(SEARCH("SWITCH",T342)),ISERROR(SEARCH("FOREX",T342)),ISERROR(SEARCH("REFUND",A342)),ISERROR(SEARCH("CANCELLED",A342))),IF(AW342="",-AT342*X342+AU342*Z342,AW342),0)</f>
        <v>0</v>
      </c>
      <c r="AY342" s="170">
        <f t="shared" ref="AY342" si="392">IF(AZ342="USD",AT342,IF(AZ342=K342,J342,-R342))</f>
        <v>-440000</v>
      </c>
      <c r="AZ342" s="170" t="str">
        <f t="shared" ref="AZ342" si="393">LEFT(AB342,3)</f>
        <v>USD</v>
      </c>
      <c r="BA342" s="542">
        <f>IF(OR(A342="REFUND",A342="CANCELLED"),0,IFERROR((IF(OR(AB342="USDAED",LEFT(AB342,3)=RIGHT(AB342,3)),AI342,AG342)-AE342)*-AY342*VLOOKUP(AB342,'FX RATES'!$H$1:$J$26,3,FALSE),0))</f>
        <v>425612.00000000384</v>
      </c>
      <c r="BB342" s="170" t="str">
        <f t="shared" ref="BB342" si="394">RIGHT(AB342,3)</f>
        <v>RUB</v>
      </c>
      <c r="BC342" s="542">
        <f t="shared" ref="BC342" si="395">IF(BA342=0,0,IFERROR(BA342/IF(BB342&lt;&gt;"USD",AI342,1),"???"))</f>
        <v>5549.0482398957474</v>
      </c>
      <c r="BD342" s="170">
        <f t="shared" ref="BD342" si="396">IFERROR(-AC342/(IF(OR(AB342="USDAED",LEFT(AB342,3)=RIGHT(AB342,3)),AH342,AG342)-AE342)*BC342,0)</f>
        <v>0</v>
      </c>
      <c r="BE342" s="542">
        <f t="shared" ref="BE342" si="397">BC342-BD342</f>
        <v>5549.0482398957474</v>
      </c>
      <c r="BF342" s="170">
        <f t="shared" ref="BF342" si="398">IF(BG342="USD",AU342,IF(BG342=S342,R342,-J342))</f>
        <v>440000</v>
      </c>
      <c r="BG342" s="170" t="str">
        <f t="shared" ref="BG342" si="399">LEFT(AJ342,3)</f>
        <v>USD</v>
      </c>
      <c r="BH342" s="542">
        <f>IF(OR(A342="REFUND",A342="CANCELLED"),0,IFERROR((IF(OR(AJ342="USDAED",LEFT(AJ342,3)=RIGHT(AJ342,3)),AQ342,AO342)-AM342)*-BF342*VLOOKUP(AJ342,'FX RATES'!$H$1:$J$26,3,FALSE),0))</f>
        <v>0</v>
      </c>
      <c r="BI342" s="170" t="str">
        <f t="shared" ref="BI342" si="400">RIGHT(AJ342,3)</f>
        <v>AED</v>
      </c>
      <c r="BJ342" s="542">
        <f t="shared" ref="BJ342" si="401">IF(BH342=0,0,IFERROR(BH342/IF(BI342&lt;&gt;"USD",AQ342,1),"???"))</f>
        <v>0</v>
      </c>
      <c r="BK342" s="170">
        <f t="shared" ref="BK342" si="402">IFERROR(-AK342/(IF(OR(AJ342="USDAED",LEFT(AJ342,3)=RIGHT(AJ342,3)),AP342,AO342)-AM342)*BJ342,0)</f>
        <v>0</v>
      </c>
      <c r="BL342" s="542">
        <f t="shared" ref="BL342" si="403">BJ342-BK342</f>
        <v>0</v>
      </c>
      <c r="BM342" s="170">
        <f t="shared" ref="BM342" si="404">IF(AND(ISERROR(SEARCH("REFUND",A342)),ISERROR(SEARCH("CANCELLED",A342))),BD342+BK342,0)</f>
        <v>0</v>
      </c>
      <c r="BN342" s="542">
        <f t="shared" ref="BN342" si="405">IF(AND(ISERROR(SEARCH("REFUND",A342)),ISERROR(SEARCH("CANCELLED",A342))),BE342+BL342,0)</f>
        <v>5549.0482398957474</v>
      </c>
    </row>
    <row r="343" spans="1:66" ht="19.5" customHeight="1">
      <c r="A343" s="180"/>
      <c r="E343" s="180"/>
      <c r="F343" s="182"/>
      <c r="L343" s="180"/>
      <c r="M343" s="180"/>
      <c r="N343" s="180"/>
      <c r="O343" s="180"/>
      <c r="P343" s="180"/>
      <c r="V343" s="180"/>
      <c r="W343" s="180"/>
    </row>
    <row r="344" spans="1:66" ht="19.5" customHeight="1">
      <c r="A344" s="167" t="s">
        <v>366</v>
      </c>
      <c r="B344" s="168" t="s">
        <v>39</v>
      </c>
      <c r="C344" s="168" t="s">
        <v>367</v>
      </c>
      <c r="D344" s="168" t="s">
        <v>368</v>
      </c>
      <c r="E344" s="171">
        <v>46055</v>
      </c>
      <c r="F344" s="171"/>
      <c r="G344" s="168" t="s">
        <v>39</v>
      </c>
      <c r="H344" s="181" t="s">
        <v>567</v>
      </c>
      <c r="I344" s="169">
        <v>-70209.5</v>
      </c>
      <c r="J344" s="170">
        <f>IF(I344="",AR344,I344)</f>
        <v>-70209.5</v>
      </c>
      <c r="K344" s="168" t="s">
        <v>5</v>
      </c>
      <c r="L344" s="168" t="s">
        <v>568</v>
      </c>
      <c r="M344" s="168" t="s">
        <v>14</v>
      </c>
      <c r="N344" s="167" t="s">
        <v>371</v>
      </c>
      <c r="O344" s="168" t="s">
        <v>39</v>
      </c>
      <c r="P344" s="168" t="s">
        <v>379</v>
      </c>
      <c r="Q344" s="169"/>
      <c r="R344" s="170">
        <f>IF(Q344="",AS344,Q344)</f>
        <v>5433297.9899998577</v>
      </c>
      <c r="S344" s="168" t="s">
        <v>9</v>
      </c>
      <c r="T344" s="171" t="s">
        <v>380</v>
      </c>
      <c r="U344" s="168" t="s">
        <v>374</v>
      </c>
      <c r="V344" s="167" t="s">
        <v>371</v>
      </c>
      <c r="W344" s="172" t="s">
        <v>375</v>
      </c>
      <c r="X344" s="173">
        <f>IF(Y344="",VLOOKUP(H344,CLIENTS!$A$1:$O$649,5,FALSE),Y344)</f>
        <v>0</v>
      </c>
      <c r="Y344" s="174">
        <v>0</v>
      </c>
      <c r="Z344" s="173">
        <f>IF(AA344="",VLOOKUP(P344,CLIENTS!$A$1:$O$649,5,FALSE),AA344)</f>
        <v>3.8370129962E-3</v>
      </c>
      <c r="AA344" s="174">
        <v>3.8370129962E-3</v>
      </c>
      <c r="AB344" s="173" t="str">
        <f>IF(W344="via USD",IF(K344="EUR",K344&amp;"USD","USD"&amp;K344),IFERROR(VLOOKUP(K344&amp;S344,'FX RATES'!$H$2:$H$20,1,FALSE),S344&amp;K344))</f>
        <v>USDUSD</v>
      </c>
      <c r="AC344" s="175">
        <f>IF(LEFT(AB344,3)=RIGHT(AB344,3),0,IFERROR(INDEX(CLIENTS!$A$1:$O$649,MATCH(H344,CLIENTS!$A$1:$A$649,0),MATCH(AB344,CLIENTS!$A$1:$O$1,0)),0))</f>
        <v>0</v>
      </c>
      <c r="AD344" s="176"/>
      <c r="AE344" s="177">
        <f>IF(W344="CLIENT","",IF(AD344="",AH344+AC344,AD344+AC344))</f>
        <v>1</v>
      </c>
      <c r="AF344" s="177" t="str">
        <f>E344&amp;AB344</f>
        <v>46055USDUSD</v>
      </c>
      <c r="AG344" s="176"/>
      <c r="AH344" s="178">
        <f>IF(LEFT(AB344,3)=RIGHT(AB344,3),1,VLOOKUP(AB344,'FX RATES'!$H$1:$I$20,2,FALSE))</f>
        <v>1</v>
      </c>
      <c r="AI344" s="178">
        <f>IF(OR(AB344="USDAED",LEFT(AB344,3)=RIGHT(AB344,3)),AH344,IF(LEFT(AB344)="USD",AG344,IF(RIGHT(AB344,3)="USD",1,IFERROR(VLOOKUP(E344&amp;"USD"&amp;RIGHT(AB344,3),$AF:$AG,2,FALSE),VLOOKUP(E344&amp;"USD"&amp;RIGHT(AJ344,3),$AN:$AO,2,FALSE)))))</f>
        <v>1</v>
      </c>
      <c r="AJ344" s="173" t="str">
        <f>IF(W344="via USD",IF(S344="EUR",S344&amp;"USD","USD"&amp;S344),IFERROR(VLOOKUP(K344&amp;S344,'FX RATES'!$H$2:$H$20,1,FALSE),S344&amp;K344))</f>
        <v>USDRUB</v>
      </c>
      <c r="AK344" s="175">
        <f>IF(LEFT(AJ344,3)=RIGHT(AJ344,3),0,IFERROR(INDEX(CLIENTS!$A$1:$O$649,MATCH(P344,CLIENTS!$A$1:$A$649,0),MATCH(AJ344,CLIENTS!$A$1:$O$1,0)),0))</f>
        <v>0</v>
      </c>
      <c r="AL344" s="176">
        <v>77.09</v>
      </c>
      <c r="AM344" s="177">
        <f>IF(W344="VENDOR","",IF(AL344="",AP344+AK344,AL344+AK344))</f>
        <v>77.09</v>
      </c>
      <c r="AN344" s="177" t="str">
        <f>E344&amp;AJ344</f>
        <v>46055USDRUB</v>
      </c>
      <c r="AO344" s="176">
        <v>76.7</v>
      </c>
      <c r="AP344" s="178">
        <f ca="1">IF(LEFT(AJ344,3)=RIGHT(AJ344,3),1,VLOOKUP(AJ344,'FX RATES'!$H$1:$I$20,2,FALSE))</f>
        <v>76.720500000000001</v>
      </c>
      <c r="AQ344" s="178">
        <f>IF(OR(AJ344="USDAED",LEFT(AJ344,3)=RIGHT(AJ344,3)),AP344,IF(LEFT(AJ344)="USD",AO344,IF(RIGHT(AJ344,3)="USD",1,IFERROR(VLOOKUP(E344&amp;"USD"&amp;RIGHT(AJ344,3),$AN:$AO,2,FALSE),VLOOKUP(E344&amp;"USD"&amp;RIGHT(AB344,3),$AF:$AG,2,FALSE)))))</f>
        <v>76.7</v>
      </c>
      <c r="AR344" s="179">
        <f>-Q344*(1-Z344)/(1+X344)*IF(W344="CLIENT",IF(S344=RIGHT(AJ344,3),1/AM344,AM344),IF(W344="VENDOR",IF(S344=RIGHT(AJ344,3),1/AE344,AE344),AE344^(VLOOKUP(AB344,'FX RATES'!$H$1:$J$26,3,FALSE))/AM344^(VLOOKUP(AJ344,'FX RATES'!$H$1:$J$26,3,FALSE))))</f>
        <v>0</v>
      </c>
      <c r="AS344" s="179">
        <f>-I344*(1+X344)/(1-Z344)*IF(W344="VENDOR",IF(K344=RIGHT(AB344,3),1/AE344,AE344),IF(W344="CLIENT",IF(K344=RIGHT(AB344,3),1/AM344,AM344),AM344^(VLOOKUP(AJ344,'FX RATES'!$H$1:$J$26,3,FALSE))/AE344^(VLOOKUP(AB344,'FX RATES'!$H$1:$J$26,3,FALSE))))</f>
        <v>5433297.9899998577</v>
      </c>
      <c r="AT344" s="170">
        <f>IF(AB344&lt;&gt;AJ344,J344/IF(K344=RIGHT(AB344,3),AE344,1/AE344),IF(S344="USD",J344/IF(K344=RIGHT(AB344,3),IF(W344="CLIENT",AM344,AE344),1/IF(W344="CLIENT",AM344,AE344)),J344*VLOOKUP(K344,'FX RATES'!$E$1:$F$10,2,FALSE)))</f>
        <v>-70209.5</v>
      </c>
      <c r="AU344" s="170">
        <f>IF(AB344&lt;&gt;AJ344,R344/IF(S344=RIGHT(AJ344,3),AM344,1/AM344),IF(K344="USD",R344/IF(S344=RIGHT(AJ344,3),IF(W344="CLIENT",AM344,AE344),1/IF(W344="CLIENT",AM344,AE344)),R344*VLOOKUP(S344,'FX RATES'!$E$1:$F$10,2,FALSE)))</f>
        <v>70479.932416654003</v>
      </c>
      <c r="AV344" s="170">
        <f>AT344+AU344</f>
        <v>270.43241665400274</v>
      </c>
      <c r="AW344" s="169"/>
      <c r="AX344" s="170">
        <f>IF(AND(ISERROR(SEARCH("INVOICE",T344)),ISERROR(SEARCH("SWITCH",T344)),ISERROR(SEARCH("FOREX",T344)),ISERROR(SEARCH("REFUND",A344)),ISERROR(SEARCH("CANCELLED",A344))),IF(AW344="",-AT344*X344+AU344*Z344,AW344),0)</f>
        <v>270.4324166539991</v>
      </c>
      <c r="AY344" s="170">
        <f>IF(AZ344="USD",AT344,IF(AZ344=K344,J344,-R344))</f>
        <v>-70209.5</v>
      </c>
      <c r="AZ344" s="170" t="str">
        <f>LEFT(AB344,3)</f>
        <v>USD</v>
      </c>
      <c r="BA344" s="542">
        <f>IF(OR(A344="REFUND",A344="CANCELLED"),0,IFERROR((IF(OR(AB344="USDAED",LEFT(AB344,3)=RIGHT(AB344,3)),AI344,AG344)-AE344)*-AY344*VLOOKUP(AB344,'FX RATES'!$H$1:$J$26,3,FALSE),0))</f>
        <v>0</v>
      </c>
      <c r="BB344" s="170" t="str">
        <f>RIGHT(AB344,3)</f>
        <v>USD</v>
      </c>
      <c r="BC344" s="542">
        <f>IF(BA344=0,0,IFERROR(BA344/IF(BB344&lt;&gt;"USD",AI344,1),"???"))</f>
        <v>0</v>
      </c>
      <c r="BD344" s="170">
        <f>IFERROR(-AC344/(IF(OR(AB344="USDAED",LEFT(AB344,3)=RIGHT(AB344,3)),AH344,AG344)-AE344)*BC344,0)</f>
        <v>0</v>
      </c>
      <c r="BE344" s="542">
        <f>BC344-BD344</f>
        <v>0</v>
      </c>
      <c r="BF344" s="170">
        <f>IF(BG344="USD",AU344,IF(BG344=S344,R344,-J344))</f>
        <v>70479.932416654003</v>
      </c>
      <c r="BG344" s="170" t="str">
        <f>LEFT(AJ344,3)</f>
        <v>USD</v>
      </c>
      <c r="BH344" s="542">
        <f>IF(OR(A344="REFUND",A344="CANCELLED"),0,IFERROR((IF(OR(AJ344="USDAED",LEFT(AJ344,3)=RIGHT(AJ344,3)),AQ344,AO344)-AM344)*-BF344*VLOOKUP(AJ344,'FX RATES'!$H$1:$J$26,3,FALSE),0))</f>
        <v>27487.173642495101</v>
      </c>
      <c r="BI344" s="170" t="str">
        <f>RIGHT(AJ344,3)</f>
        <v>RUB</v>
      </c>
      <c r="BJ344" s="542">
        <f>IF(BH344=0,0,IFERROR(BH344/IF(BI344&lt;&gt;"USD",AQ344,1),"???"))</f>
        <v>358.37253771180053</v>
      </c>
      <c r="BK344" s="170">
        <f>IFERROR(-AK344/(IF(OR(AJ344="USDAED",LEFT(AJ344,3)=RIGHT(AJ344,3)),AP344,AO344)-AM344)*BJ344,0)</f>
        <v>0</v>
      </c>
      <c r="BL344" s="542">
        <f>BJ344-BK344</f>
        <v>358.37253771180053</v>
      </c>
      <c r="BM344" s="170">
        <f>IF(AND(ISERROR(SEARCH("REFUND",A344)),ISERROR(SEARCH("CANCELLED",A344))),BD344+BK344,0)</f>
        <v>0</v>
      </c>
      <c r="BN344" s="542">
        <f>IF(AND(ISERROR(SEARCH("REFUND",A344)),ISERROR(SEARCH("CANCELLED",A344))),BE344+BL344,0)</f>
        <v>358.37253771180053</v>
      </c>
    </row>
    <row r="345" spans="1:66" ht="19.5" customHeight="1">
      <c r="A345" s="167" t="s">
        <v>366</v>
      </c>
      <c r="B345" s="168" t="s">
        <v>39</v>
      </c>
      <c r="C345" s="168" t="s">
        <v>383</v>
      </c>
      <c r="D345" s="168" t="s">
        <v>128</v>
      </c>
      <c r="E345" s="171">
        <v>46055</v>
      </c>
      <c r="F345" s="171"/>
      <c r="G345" s="168" t="s">
        <v>39</v>
      </c>
      <c r="H345" s="168" t="s">
        <v>384</v>
      </c>
      <c r="I345" s="169">
        <v>-5433000</v>
      </c>
      <c r="J345" s="170">
        <f>IF(I345="",AR345,I345)</f>
        <v>-5433000</v>
      </c>
      <c r="K345" s="168" t="s">
        <v>9</v>
      </c>
      <c r="L345" s="171" t="s">
        <v>374</v>
      </c>
      <c r="M345" s="168" t="s">
        <v>374</v>
      </c>
      <c r="N345" s="167" t="s">
        <v>371</v>
      </c>
      <c r="O345" s="168" t="s">
        <v>39</v>
      </c>
      <c r="P345" s="349" t="s">
        <v>384</v>
      </c>
      <c r="Q345" s="169"/>
      <c r="R345" s="170">
        <f>IF(Q345="",AS345,Q345)</f>
        <v>258837.54168651739</v>
      </c>
      <c r="S345" s="168" t="s">
        <v>8</v>
      </c>
      <c r="T345" s="171" t="s">
        <v>385</v>
      </c>
      <c r="U345" s="168" t="s">
        <v>20</v>
      </c>
      <c r="V345" s="167" t="s">
        <v>371</v>
      </c>
      <c r="W345" s="172" t="s">
        <v>382</v>
      </c>
      <c r="X345" s="173">
        <f>IF(Y345="",VLOOKUP(H345,CLIENTS!$A$1:$O$649,5,FALSE),Y345)</f>
        <v>0</v>
      </c>
      <c r="Y345" s="174">
        <v>0</v>
      </c>
      <c r="Z345" s="173">
        <f>IF(AA345="",VLOOKUP(P345,CLIENTS!$A$1:$O$649,5,FALSE),AA345)</f>
        <v>0</v>
      </c>
      <c r="AA345" s="174">
        <v>0</v>
      </c>
      <c r="AB345" s="173" t="str">
        <f>IF(W345="via USD",IF(K345="EUR",K345&amp;"USD","USD"&amp;K345),IFERROR(VLOOKUP(K345&amp;S345,'FX RATES'!$H$2:$H$20,1,FALSE),S345&amp;K345))</f>
        <v>AEDRUB</v>
      </c>
      <c r="AC345" s="175">
        <f>IF(LEFT(AB345,3)=RIGHT(AB345,3),0,IFERROR(INDEX(CLIENTS!$A$1:$O$649,MATCH(H345,CLIENTS!$A$1:$A$649,0),MATCH(AB345,CLIENTS!$A$1:$O$1,0)),0))</f>
        <v>0</v>
      </c>
      <c r="AD345" s="176">
        <v>20.99</v>
      </c>
      <c r="AE345" s="177">
        <f>IF(W345="CLIENT","",IF(AD345="",AH345+AC345,AD345+AC345))</f>
        <v>20.99</v>
      </c>
      <c r="AF345" s="177" t="str">
        <f>E345&amp;AB345</f>
        <v>46055AEDRUB</v>
      </c>
      <c r="AG345" s="176">
        <v>20.884899999999998</v>
      </c>
      <c r="AH345" s="178">
        <f ca="1">IF(LEFT(AB345,3)=RIGHT(AB345,3),1,VLOOKUP(AB345,'FX RATES'!$H$1:$I$20,2,FALSE))</f>
        <v>20.8843</v>
      </c>
      <c r="AI345" s="178">
        <f>IF(OR(AB345="USDAED",LEFT(AB345,3)=RIGHT(AB345,3)),AH345,IF(LEFT(AB345)="USD",AG345,IF(RIGHT(AB345,3)="USD",1,IFERROR(VLOOKUP(E345&amp;"USD"&amp;RIGHT(AB345,3),$AF:$AG,2,FALSE),VLOOKUP(E345&amp;"USD"&amp;RIGHT(AJ345,3),$AN:$AO,2,FALSE)))))</f>
        <v>76.7</v>
      </c>
      <c r="AJ345" s="173" t="str">
        <f>IF(W345="via USD",IF(S345="EUR",S345&amp;"USD","USD"&amp;S345),IFERROR(VLOOKUP(K345&amp;S345,'FX RATES'!$H$2:$H$20,1,FALSE),S345&amp;K345))</f>
        <v>AEDRUB</v>
      </c>
      <c r="AK345" s="175">
        <f>IF(LEFT(AJ345,3)=RIGHT(AJ345,3),0,IFERROR(INDEX(CLIENTS!$A$1:$O$649,MATCH(P345,CLIENTS!$A$1:$A$649,0),MATCH(AJ345,CLIENTS!$A$1:$O$1,0)),0))</f>
        <v>0</v>
      </c>
      <c r="AL345" s="176"/>
      <c r="AM345" s="177" t="str">
        <f>IF(W345="VENDOR","",IF(AL345="",AP345+AK345,AL345+AK345))</f>
        <v/>
      </c>
      <c r="AN345" s="177" t="str">
        <f>E345&amp;AJ345</f>
        <v>46055AEDRUB</v>
      </c>
      <c r="AO345" s="176"/>
      <c r="AP345" s="178">
        <f ca="1">IF(LEFT(AJ345,3)=RIGHT(AJ345,3),1,VLOOKUP(AJ345,'FX RATES'!$H$1:$I$20,2,FALSE))</f>
        <v>20.8843</v>
      </c>
      <c r="AQ345" s="178">
        <f>IF(OR(AJ345="USDAED",LEFT(AJ345,3)=RIGHT(AJ345,3)),AP345,IF(LEFT(AJ345)="USD",AO345,IF(RIGHT(AJ345,3)="USD",1,IFERROR(VLOOKUP(E345&amp;"USD"&amp;RIGHT(AJ345,3),$AN:$AO,2,FALSE),VLOOKUP(E345&amp;"USD"&amp;RIGHT(AB345,3),$AF:$AG,2,FALSE)))))</f>
        <v>76.7</v>
      </c>
      <c r="AR345" s="179">
        <f>-Q345*(1-Z345)/(1+X345)*IF(W345="CLIENT",IF(S345=RIGHT(AJ345,3),1/AM345,AM345),IF(W345="VENDOR",IF(S345=RIGHT(AJ345,3),1/AE345,AE345),AE345^(VLOOKUP(AB345,'FX RATES'!$H$1:$J$26,3,FALSE))/AM345^(VLOOKUP(AJ345,'FX RATES'!$H$1:$J$26,3,FALSE))))</f>
        <v>0</v>
      </c>
      <c r="AS345" s="179">
        <f>-I345*(1+X345)/(1-Z345)*IF(W345="VENDOR",IF(K345=RIGHT(AB345,3),1/AE345,AE345),IF(W345="CLIENT",IF(K345=RIGHT(AB345,3),1/AM345,AM345),AM345^(VLOOKUP(AJ345,'FX RATES'!$H$1:$J$26,3,FALSE))/AE345^(VLOOKUP(AB345,'FX RATES'!$H$1:$J$26,3,FALSE))))</f>
        <v>258837.54168651739</v>
      </c>
      <c r="AT345" s="170">
        <f ca="1">IF(AB345&lt;&gt;AJ345,J345/IF(K345=RIGHT(AB345,3),AE345,1/AE345),IF(S345="USD",J345/IF(K345=RIGHT(AB345,3),IF(W345="CLIENT",AM345,AE345),1/IF(W345="CLIENT",AM345,AE345)),J345*VLOOKUP(K345,'FX RATES'!$E$1:$F$10,2,FALSE)))</f>
        <v>-70815.492599761477</v>
      </c>
      <c r="AU345" s="170">
        <f ca="1">IF(AB345&lt;&gt;AJ345,R345/IF(S345=RIGHT(AJ345,3),AM345,1/AM345),IF(K345="USD",R345/IF(S345=RIGHT(AJ345,3),IF(W345="CLIENT",AM345,AE345),1/IF(W345="CLIENT",AM345,AE345)),R345*VLOOKUP(S345,'FX RATES'!$E$1:$F$10,2,FALSE)))</f>
        <v>70478.010588280071</v>
      </c>
      <c r="AV345" s="170">
        <f ca="1">AT345+AU345</f>
        <v>-337.48201148140652</v>
      </c>
      <c r="AW345" s="169"/>
      <c r="AX345" s="170">
        <f ca="1">IF(AND(ISERROR(SEARCH("INVOICE",T345)),ISERROR(SEARCH("SWITCH",T345)),ISERROR(SEARCH("FOREX",T345)),ISERROR(SEARCH("REFUND",A345)),ISERROR(SEARCH("CANCELLED",A345))),IF(AW345="",-AT345*X345+AU345*Z345,AW345),0)</f>
        <v>0</v>
      </c>
      <c r="AY345" s="170">
        <f>IF(AZ345="USD",AT345,IF(AZ345=K345,J345,-R345))</f>
        <v>-258837.54168651739</v>
      </c>
      <c r="AZ345" s="170" t="str">
        <f>LEFT(AB345,3)</f>
        <v>AED</v>
      </c>
      <c r="BA345" s="542">
        <f>IF(OR(A345="REFUND",A345="CANCELLED"),0,IFERROR((IF(OR(AB345="USDAED",LEFT(AB345,3)=RIGHT(AB345,3)),AI345,AG345)-AE345)*-AY345*VLOOKUP(AB345,'FX RATES'!$H$1:$J$26,3,FALSE),0))</f>
        <v>-27203.825631253028</v>
      </c>
      <c r="BB345" s="170" t="str">
        <f>RIGHT(AB345,3)</f>
        <v>RUB</v>
      </c>
      <c r="BC345" s="542">
        <f>IF(BA345=0,0,IFERROR(BA345/IF(BB345&lt;&gt;"USD",AI345,1),"???"))</f>
        <v>-354.67830027709294</v>
      </c>
      <c r="BD345" s="170">
        <f>IFERROR(-AC345/(IF(OR(AB345="USDAED",LEFT(AB345,3)=RIGHT(AB345,3)),AH345,AG345)-AE345)*BC345,0)</f>
        <v>0</v>
      </c>
      <c r="BE345" s="542">
        <f>BC345-BD345</f>
        <v>-354.67830027709294</v>
      </c>
      <c r="BF345" s="170">
        <f>IF(BG345="USD",AU345,IF(BG345=S345,R345,-J345))</f>
        <v>258837.54168651739</v>
      </c>
      <c r="BG345" s="170" t="str">
        <f>LEFT(AJ345,3)</f>
        <v>AED</v>
      </c>
      <c r="BH345" s="542">
        <f>IF(OR(A345="REFUND",A345="CANCELLED"),0,IFERROR((IF(OR(AJ345="USDAED",LEFT(AJ345,3)=RIGHT(AJ345,3)),AQ345,AO345)-AM345)*-BF345*VLOOKUP(AJ345,'FX RATES'!$H$1:$J$26,3,FALSE),0))</f>
        <v>0</v>
      </c>
      <c r="BI345" s="170" t="str">
        <f>RIGHT(AJ345,3)</f>
        <v>RUB</v>
      </c>
      <c r="BJ345" s="542">
        <f>IF(BH345=0,0,IFERROR(BH345/IF(BI345&lt;&gt;"USD",AQ345,1),"???"))</f>
        <v>0</v>
      </c>
      <c r="BK345" s="170">
        <f>IFERROR(-AK345/(IF(OR(AJ345="USDAED",LEFT(AJ345,3)=RIGHT(AJ345,3)),AP345,AO345)-AM345)*BJ345,0)</f>
        <v>0</v>
      </c>
      <c r="BL345" s="542">
        <f>BJ345-BK345</f>
        <v>0</v>
      </c>
      <c r="BM345" s="170">
        <f>IF(AND(ISERROR(SEARCH("REFUND",A345)),ISERROR(SEARCH("CANCELLED",A345))),BD345+BK345,0)</f>
        <v>0</v>
      </c>
      <c r="BN345" s="542">
        <f>IF(AND(ISERROR(SEARCH("REFUND",A345)),ISERROR(SEARCH("CANCELLED",A345))),BE345+BL345,0)</f>
        <v>-354.67830027709294</v>
      </c>
    </row>
    <row r="346" spans="1:66" ht="19.5" customHeight="1">
      <c r="J346" s="450"/>
    </row>
    <row r="347" spans="1:66" ht="19.5" customHeight="1">
      <c r="A347" s="167" t="s">
        <v>366</v>
      </c>
      <c r="B347" s="168" t="s">
        <v>39</v>
      </c>
      <c r="C347" s="168" t="s">
        <v>367</v>
      </c>
      <c r="D347" s="168" t="s">
        <v>368</v>
      </c>
      <c r="E347" s="171">
        <v>46055</v>
      </c>
      <c r="F347" s="171"/>
      <c r="G347" s="168" t="s">
        <v>39</v>
      </c>
      <c r="H347" s="181" t="s">
        <v>369</v>
      </c>
      <c r="I347" s="169">
        <v>-137420.35999999999</v>
      </c>
      <c r="J347" s="170">
        <f>IF(I347="",AR347,I347)</f>
        <v>-137420.35999999999</v>
      </c>
      <c r="K347" s="168" t="s">
        <v>5</v>
      </c>
      <c r="L347" s="168" t="s">
        <v>569</v>
      </c>
      <c r="M347" s="168" t="s">
        <v>14</v>
      </c>
      <c r="N347" s="167" t="s">
        <v>371</v>
      </c>
      <c r="O347" s="168" t="s">
        <v>39</v>
      </c>
      <c r="P347" s="168" t="s">
        <v>372</v>
      </c>
      <c r="Q347" s="169">
        <v>10669790.51</v>
      </c>
      <c r="R347" s="170">
        <f>IF(Q347="",AS347,Q347)</f>
        <v>10669790.51</v>
      </c>
      <c r="S347" s="168" t="s">
        <v>9</v>
      </c>
      <c r="T347" s="171" t="s">
        <v>373</v>
      </c>
      <c r="U347" s="168" t="s">
        <v>374</v>
      </c>
      <c r="V347" s="167" t="s">
        <v>371</v>
      </c>
      <c r="W347" s="172" t="s">
        <v>375</v>
      </c>
      <c r="X347" s="173">
        <f>IF(Y347="",VLOOKUP(H347,CLIENTS!$A$1:$O$649,5,FALSE),Y347)</f>
        <v>0</v>
      </c>
      <c r="Y347" s="174">
        <v>0</v>
      </c>
      <c r="Z347" s="173">
        <f>IF(AA347="",VLOOKUP(P347,CLIENTS!$A$1:$O$649,5,FALSE),AA347)</f>
        <v>8.0000000000000002E-3</v>
      </c>
      <c r="AA347" s="174">
        <v>8.0000000000000002E-3</v>
      </c>
      <c r="AB347" s="173" t="str">
        <f>IF(W347="via USD",IF(K347="EUR",K347&amp;"USD","USD"&amp;K347),IFERROR(VLOOKUP(K347&amp;S347,'FX RATES'!$H$2:$H$20,1,FALSE),S347&amp;K347))</f>
        <v>USDUSD</v>
      </c>
      <c r="AC347" s="175">
        <f>IF(LEFT(AB347,3)=RIGHT(AB347,3),0,IFERROR(INDEX(CLIENTS!$A$1:$O$649,MATCH(H347,CLIENTS!$A$1:$A$649,0),MATCH(AB347,CLIENTS!$A$1:$O$1,0)),0))</f>
        <v>0</v>
      </c>
      <c r="AD347" s="176"/>
      <c r="AE347" s="177">
        <f>IF(W347="CLIENT","",IF(AD347="",AH347+AC347,AD347+AC347))</f>
        <v>1</v>
      </c>
      <c r="AF347" s="177" t="str">
        <f>E347&amp;AB347</f>
        <v>46055USDUSD</v>
      </c>
      <c r="AG347" s="176"/>
      <c r="AH347" s="178">
        <f>IF(LEFT(AB347,3)=RIGHT(AB347,3),1,VLOOKUP(AB347,'FX RATES'!$H$1:$I$20,2,FALSE))</f>
        <v>1</v>
      </c>
      <c r="AI347" s="178">
        <f>IF(OR(AB347="USDAED",LEFT(AB347,3)=RIGHT(AB347,3)),AH347,IF(LEFT(AB347)="USD",AG347,IF(RIGHT(AB347,3)="USD",1,IFERROR(VLOOKUP(E347&amp;"USD"&amp;RIGHT(AB347,3),$AF:$AG,2,FALSE),VLOOKUP(E347&amp;"USD"&amp;RIGHT(AJ347,3),$AN:$AO,2,FALSE)))))</f>
        <v>1</v>
      </c>
      <c r="AJ347" s="173" t="str">
        <f>IF(W347="via USD",IF(S347="EUR",S347&amp;"USD","USD"&amp;S347),IFERROR(VLOOKUP(K347&amp;S347,'FX RATES'!$H$2:$H$20,1,FALSE),S347&amp;K347))</f>
        <v>USDRUB</v>
      </c>
      <c r="AK347" s="175">
        <f>IF(LEFT(AJ347,3)=RIGHT(AJ347,3),0,IFERROR(INDEX(CLIENTS!$A$1:$O$649,MATCH(P347,CLIENTS!$A$1:$A$649,0),MATCH(AJ347,CLIENTS!$A$1:$O$1,0)),0))</f>
        <v>0</v>
      </c>
      <c r="AL347" s="176">
        <v>77.022300000000001</v>
      </c>
      <c r="AM347" s="177">
        <f>IF(W347="VENDOR","",IF(AL347="",AP347+AK347,AL347+AK347))</f>
        <v>77.022300000000001</v>
      </c>
      <c r="AN347" s="177" t="str">
        <f>E347&amp;AJ347</f>
        <v>46055USDRUB</v>
      </c>
      <c r="AO347" s="176">
        <v>76.7</v>
      </c>
      <c r="AP347" s="178">
        <f ca="1">IF(LEFT(AJ347,3)=RIGHT(AJ347,3),1,VLOOKUP(AJ347,'FX RATES'!$H$1:$I$20,2,FALSE))</f>
        <v>76.720500000000001</v>
      </c>
      <c r="AQ347" s="178">
        <f>IF(OR(AJ347="USDAED",LEFT(AJ347,3)=RIGHT(AJ347,3)),AP347,IF(LEFT(AJ347)="USD",AO347,IF(RIGHT(AJ347,3)="USD",1,IFERROR(VLOOKUP(E347&amp;"USD"&amp;RIGHT(AJ347,3),$AN:$AO,2,FALSE),VLOOKUP(E347&amp;"USD"&amp;RIGHT(AB347,3),$AF:$AG,2,FALSE)))))</f>
        <v>76.7</v>
      </c>
      <c r="AR347" s="179">
        <f>-Q347*(1-Z347)/(1+X347)*IF(W347="CLIENT",IF(S347=RIGHT(AJ347,3),1/AM347,AM347),IF(W347="VENDOR",IF(S347=RIGHT(AJ347,3),1/AE347,AE347),AE347^(VLOOKUP(AB347,'FX RATES'!$H$1:$J$26,3,FALSE))/AM347^(VLOOKUP(AJ347,'FX RATES'!$H$1:$J$26,3,FALSE))))</f>
        <v>-137420.35989473178</v>
      </c>
      <c r="AS347" s="179">
        <f>-I347*(1+X347)/(1-Z347)*IF(W347="VENDOR",IF(K347=RIGHT(AB347,3),1/AE347,AE347),IF(W347="CLIENT",IF(K347=RIGHT(AB347,3),1/AM347,AM347),AM347^(VLOOKUP(AJ347,'FX RATES'!$H$1:$J$26,3,FALSE))/AE347^(VLOOKUP(AB347,'FX RATES'!$H$1:$J$26,3,FALSE))))</f>
        <v>10669790.518173385</v>
      </c>
      <c r="AT347" s="170">
        <f>IF(AB347&lt;&gt;AJ347,J347/IF(K347=RIGHT(AB347,3),AE347,1/AE347),IF(S347="USD",J347/IF(K347=RIGHT(AB347,3),IF(W347="CLIENT",AM347,AE347),1/IF(W347="CLIENT",AM347,AE347)),J347*VLOOKUP(K347,'FX RATES'!$E$1:$F$10,2,FALSE)))</f>
        <v>-137420.35999999999</v>
      </c>
      <c r="AU347" s="170">
        <f>IF(AB347&lt;&gt;AJ347,R347/IF(S347=RIGHT(AJ347,3),AM347,1/AM347),IF(K347="USD",R347/IF(S347=RIGHT(AJ347,3),IF(W347="CLIENT",AM347,AE347),1/IF(W347="CLIENT",AM347,AE347)),R347*VLOOKUP(S347,'FX RATES'!$E$1:$F$10,2,FALSE)))</f>
        <v>138528.58860356026</v>
      </c>
      <c r="AV347" s="170">
        <f>AT347+AU347</f>
        <v>1108.2286035602738</v>
      </c>
      <c r="AW347" s="169"/>
      <c r="AX347" s="170">
        <f>IF(AND(ISERROR(SEARCH("INVOICE",T347)),ISERROR(SEARCH("SWITCH",T347)),ISERROR(SEARCH("FOREX",T347)),ISERROR(SEARCH("REFUND",A347)),ISERROR(SEARCH("CANCELLED",A347))),IF(AW347="",-AT347*X347+AU347*Z347,AW347),0)</f>
        <v>1108.228708828482</v>
      </c>
      <c r="AY347" s="170">
        <f>IF(AZ347="USD",AT347,IF(AZ347=K347,J347,-R347))</f>
        <v>-137420.35999999999</v>
      </c>
      <c r="AZ347" s="170" t="str">
        <f>LEFT(AB347,3)</f>
        <v>USD</v>
      </c>
      <c r="BA347" s="542">
        <f>IF(OR(A347="REFUND",A347="CANCELLED"),0,IFERROR((IF(OR(AB347="USDAED",LEFT(AB347,3)=RIGHT(AB347,3)),AI347,AG347)-AE347)*-AY347*VLOOKUP(AB347,'FX RATES'!$H$1:$J$26,3,FALSE),0))</f>
        <v>0</v>
      </c>
      <c r="BB347" s="170" t="str">
        <f>RIGHT(AB347,3)</f>
        <v>USD</v>
      </c>
      <c r="BC347" s="542">
        <f>IF(BA347=0,0,IFERROR(BA347/IF(BB347&lt;&gt;"USD",AI347,1),"???"))</f>
        <v>0</v>
      </c>
      <c r="BD347" s="170">
        <f>IFERROR(-AC347/(IF(OR(AB347="USDAED",LEFT(AB347,3)=RIGHT(AB347,3)),AH347,AG347)-AE347)*BC347,0)</f>
        <v>0</v>
      </c>
      <c r="BE347" s="542">
        <f>BC347-BD347</f>
        <v>0</v>
      </c>
      <c r="BF347" s="170">
        <f>IF(BG347="USD",AU347,IF(BG347=S347,R347,-J347))</f>
        <v>138528.58860356026</v>
      </c>
      <c r="BG347" s="170" t="str">
        <f>LEFT(AJ347,3)</f>
        <v>USD</v>
      </c>
      <c r="BH347" s="542">
        <f>IF(OR(A347="REFUND",A347="CANCELLED"),0,IFERROR((IF(OR(AJ347="USDAED",LEFT(AJ347,3)=RIGHT(AJ347,3)),AQ347,AO347)-AM347)*-BF347*VLOOKUP(AJ347,'FX RATES'!$H$1:$J$26,3,FALSE),0))</f>
        <v>44647.764106927258</v>
      </c>
      <c r="BI347" s="170" t="str">
        <f>RIGHT(AJ347,3)</f>
        <v>RUB</v>
      </c>
      <c r="BJ347" s="542">
        <f>IF(BH347=0,0,IFERROR(BH347/IF(BI347&lt;&gt;"USD",AQ347,1),"???"))</f>
        <v>582.10904963399287</v>
      </c>
      <c r="BK347" s="170">
        <f>IFERROR(-AK347/(IF(OR(AJ347="USDAED",LEFT(AJ347,3)=RIGHT(AJ347,3)),AP347,AO347)-AM347)*BJ347,0)</f>
        <v>0</v>
      </c>
      <c r="BL347" s="542">
        <f>BJ347-BK347</f>
        <v>582.10904963399287</v>
      </c>
      <c r="BM347" s="170">
        <f>IF(AND(ISERROR(SEARCH("REFUND",A347)),ISERROR(SEARCH("CANCELLED",A347))),BD347+BK347,0)</f>
        <v>0</v>
      </c>
      <c r="BN347" s="542">
        <f>IF(AND(ISERROR(SEARCH("REFUND",A347)),ISERROR(SEARCH("CANCELLED",A347))),BE347+BL347,0)</f>
        <v>582.10904963399287</v>
      </c>
    </row>
    <row r="348" spans="1:66" ht="19.5" customHeight="1">
      <c r="A348" s="167" t="s">
        <v>366</v>
      </c>
      <c r="B348" s="168" t="s">
        <v>39</v>
      </c>
      <c r="C348" s="168" t="s">
        <v>367</v>
      </c>
      <c r="D348" s="168" t="s">
        <v>368</v>
      </c>
      <c r="E348" s="171">
        <v>46055</v>
      </c>
      <c r="F348" s="171"/>
      <c r="G348" s="168" t="s">
        <v>39</v>
      </c>
      <c r="H348" s="181" t="s">
        <v>369</v>
      </c>
      <c r="I348" s="169">
        <v>-75196.11</v>
      </c>
      <c r="J348" s="170">
        <f>IF(I348="",AR348,I348)</f>
        <v>-75196.11</v>
      </c>
      <c r="K348" s="168" t="s">
        <v>5</v>
      </c>
      <c r="L348" s="168" t="s">
        <v>569</v>
      </c>
      <c r="M348" s="168" t="s">
        <v>14</v>
      </c>
      <c r="N348" s="167" t="s">
        <v>371</v>
      </c>
      <c r="O348" s="168" t="s">
        <v>39</v>
      </c>
      <c r="P348" s="168" t="s">
        <v>372</v>
      </c>
      <c r="Q348" s="169"/>
      <c r="R348" s="170">
        <f>IF(Q348="",AS348,Q348)</f>
        <v>5838485.2250534277</v>
      </c>
      <c r="S348" s="168" t="s">
        <v>9</v>
      </c>
      <c r="T348" s="171" t="s">
        <v>373</v>
      </c>
      <c r="U348" s="168" t="s">
        <v>374</v>
      </c>
      <c r="V348" s="167" t="s">
        <v>371</v>
      </c>
      <c r="W348" s="172" t="s">
        <v>375</v>
      </c>
      <c r="X348" s="173">
        <f>IF(Y348="",VLOOKUP(H348,CLIENTS!$A$1:$O$649,5,FALSE),Y348)</f>
        <v>0</v>
      </c>
      <c r="Y348" s="174">
        <v>0</v>
      </c>
      <c r="Z348" s="173">
        <f>IF(AA348="",VLOOKUP(P348,CLIENTS!$A$1:$O$649,5,FALSE),AA348)</f>
        <v>8.0000000000000002E-3</v>
      </c>
      <c r="AA348" s="174">
        <v>8.0000000000000002E-3</v>
      </c>
      <c r="AB348" s="173" t="str">
        <f>IF(W348="via USD",IF(K348="EUR",K348&amp;"USD","USD"&amp;K348),IFERROR(VLOOKUP(K348&amp;S348,'FX RATES'!$H$2:$H$20,1,FALSE),S348&amp;K348))</f>
        <v>USDUSD</v>
      </c>
      <c r="AC348" s="175">
        <f>IF(LEFT(AB348,3)=RIGHT(AB348,3),0,IFERROR(INDEX(CLIENTS!$A$1:$O$649,MATCH(H348,CLIENTS!$A$1:$A$649,0),MATCH(AB348,CLIENTS!$A$1:$O$1,0)),0))</f>
        <v>0</v>
      </c>
      <c r="AD348" s="176"/>
      <c r="AE348" s="177">
        <f>IF(W348="CLIENT","",IF(AD348="",AH348+AC348,AD348+AC348))</f>
        <v>1</v>
      </c>
      <c r="AF348" s="177" t="str">
        <f>E348&amp;AB348</f>
        <v>46055USDUSD</v>
      </c>
      <c r="AG348" s="176"/>
      <c r="AH348" s="178">
        <f>IF(LEFT(AB348,3)=RIGHT(AB348,3),1,VLOOKUP(AB348,'FX RATES'!$H$1:$I$20,2,FALSE))</f>
        <v>1</v>
      </c>
      <c r="AI348" s="178">
        <f>IF(OR(AB348="USDAED",LEFT(AB348,3)=RIGHT(AB348,3)),AH348,IF(LEFT(AB348)="USD",AG348,IF(RIGHT(AB348,3)="USD",1,IFERROR(VLOOKUP(E348&amp;"USD"&amp;RIGHT(AB348,3),$AF:$AG,2,FALSE),VLOOKUP(E348&amp;"USD"&amp;RIGHT(AJ348,3),$AN:$AO,2,FALSE)))))</f>
        <v>1</v>
      </c>
      <c r="AJ348" s="173" t="str">
        <f>IF(W348="via USD",IF(S348="EUR",S348&amp;"USD","USD"&amp;S348),IFERROR(VLOOKUP(K348&amp;S348,'FX RATES'!$H$2:$H$20,1,FALSE),S348&amp;K348))</f>
        <v>USDRUB</v>
      </c>
      <c r="AK348" s="175">
        <f>IF(LEFT(AJ348,3)=RIGHT(AJ348,3),0,IFERROR(INDEX(CLIENTS!$A$1:$O$649,MATCH(P348,CLIENTS!$A$1:$A$649,0),MATCH(AJ348,CLIENTS!$A$1:$O$1,0)),0))</f>
        <v>0</v>
      </c>
      <c r="AL348" s="176">
        <v>77.022300000000001</v>
      </c>
      <c r="AM348" s="177">
        <f>IF(W348="VENDOR","",IF(AL348="",AP348+AK348,AL348+AK348))</f>
        <v>77.022300000000001</v>
      </c>
      <c r="AN348" s="177" t="str">
        <f>E348&amp;AJ348</f>
        <v>46055USDRUB</v>
      </c>
      <c r="AO348" s="176">
        <v>76.7</v>
      </c>
      <c r="AP348" s="178">
        <f ca="1">IF(LEFT(AJ348,3)=RIGHT(AJ348,3),1,VLOOKUP(AJ348,'FX RATES'!$H$1:$I$20,2,FALSE))</f>
        <v>76.720500000000001</v>
      </c>
      <c r="AQ348" s="178">
        <f>IF(OR(AJ348="USDAED",LEFT(AJ348,3)=RIGHT(AJ348,3)),AP348,IF(LEFT(AJ348)="USD",AO348,IF(RIGHT(AJ348,3)="USD",1,IFERROR(VLOOKUP(E348&amp;"USD"&amp;RIGHT(AJ348,3),$AN:$AO,2,FALSE),VLOOKUP(E348&amp;"USD"&amp;RIGHT(AB348,3),$AF:$AG,2,FALSE)))))</f>
        <v>76.7</v>
      </c>
      <c r="AR348" s="179">
        <f>-Q348*(1-Z348)/(1+X348)*IF(W348="CLIENT",IF(S348=RIGHT(AJ348,3),1/AM348,AM348),IF(W348="VENDOR",IF(S348=RIGHT(AJ348,3),1/AE348,AE348),AE348^(VLOOKUP(AB348,'FX RATES'!$H$1:$J$26,3,FALSE))/AM348^(VLOOKUP(AJ348,'FX RATES'!$H$1:$J$26,3,FALSE))))</f>
        <v>0</v>
      </c>
      <c r="AS348" s="179">
        <f>-I348*(1+X348)/(1-Z348)*IF(W348="VENDOR",IF(K348=RIGHT(AB348,3),1/AE348,AE348),IF(W348="CLIENT",IF(K348=RIGHT(AB348,3),1/AM348,AM348),AM348^(VLOOKUP(AJ348,'FX RATES'!$H$1:$J$26,3,FALSE))/AE348^(VLOOKUP(AB348,'FX RATES'!$H$1:$J$26,3,FALSE))))</f>
        <v>5838485.2250534277</v>
      </c>
      <c r="AT348" s="170">
        <f>IF(AB348&lt;&gt;AJ348,J348/IF(K348=RIGHT(AB348,3),AE348,1/AE348),IF(S348="USD",J348/IF(K348=RIGHT(AB348,3),IF(W348="CLIENT",AM348,AE348),1/IF(W348="CLIENT",AM348,AE348)),J348*VLOOKUP(K348,'FX RATES'!$E$1:$F$10,2,FALSE)))</f>
        <v>-75196.11</v>
      </c>
      <c r="AU348" s="170">
        <f>IF(AB348&lt;&gt;AJ348,R348/IF(S348=RIGHT(AJ348,3),AM348,1/AM348),IF(K348="USD",R348/IF(S348=RIGHT(AJ348,3),IF(W348="CLIENT",AM348,AE348),1/IF(W348="CLIENT",AM348,AE348)),R348*VLOOKUP(S348,'FX RATES'!$E$1:$F$10,2,FALSE)))</f>
        <v>75802.530241935485</v>
      </c>
      <c r="AV348" s="170">
        <f>AT348+AU348</f>
        <v>606.42024193548423</v>
      </c>
      <c r="AW348" s="169"/>
      <c r="AX348" s="170">
        <f>IF(AND(ISERROR(SEARCH("INVOICE",T348)),ISERROR(SEARCH("SWITCH",T348)),ISERROR(SEARCH("FOREX",T348)),ISERROR(SEARCH("REFUND",A348)),ISERROR(SEARCH("CANCELLED",A348))),IF(AW348="",-AT348*X348+AU348*Z348,AW348),0)</f>
        <v>606.42024193548389</v>
      </c>
      <c r="AY348" s="170">
        <f>IF(AZ348="USD",AT348,IF(AZ348=K348,J348,-R348))</f>
        <v>-75196.11</v>
      </c>
      <c r="AZ348" s="170" t="str">
        <f>LEFT(AB348,3)</f>
        <v>USD</v>
      </c>
      <c r="BA348" s="542">
        <f>IF(OR(A348="REFUND",A348="CANCELLED"),0,IFERROR((IF(OR(AB348="USDAED",LEFT(AB348,3)=RIGHT(AB348,3)),AI348,AG348)-AE348)*-AY348*VLOOKUP(AB348,'FX RATES'!$H$1:$J$26,3,FALSE),0))</f>
        <v>0</v>
      </c>
      <c r="BB348" s="170" t="str">
        <f>RIGHT(AB348,3)</f>
        <v>USD</v>
      </c>
      <c r="BC348" s="542">
        <f>IF(BA348=0,0,IFERROR(BA348/IF(BB348&lt;&gt;"USD",AI348,1),"???"))</f>
        <v>0</v>
      </c>
      <c r="BD348" s="170">
        <f>IFERROR(-AC348/(IF(OR(AB348="USDAED",LEFT(AB348,3)=RIGHT(AB348,3)),AH348,AG348)-AE348)*BC348,0)</f>
        <v>0</v>
      </c>
      <c r="BE348" s="542">
        <f>BC348-BD348</f>
        <v>0</v>
      </c>
      <c r="BF348" s="170">
        <f>IF(BG348="USD",AU348,IF(BG348=S348,R348,-J348))</f>
        <v>75802.530241935485</v>
      </c>
      <c r="BG348" s="170" t="str">
        <f>LEFT(AJ348,3)</f>
        <v>USD</v>
      </c>
      <c r="BH348" s="542">
        <f>IF(OR(A348="REFUND",A348="CANCELLED"),0,IFERROR((IF(OR(AJ348="USDAED",LEFT(AJ348,3)=RIGHT(AJ348,3)),AQ348,AO348)-AM348)*-BF348*VLOOKUP(AJ348,'FX RATES'!$H$1:$J$26,3,FALSE),0))</f>
        <v>24431.155496975691</v>
      </c>
      <c r="BI348" s="170" t="str">
        <f>RIGHT(AJ348,3)</f>
        <v>RUB</v>
      </c>
      <c r="BJ348" s="542">
        <f>IF(BH348=0,0,IFERROR(BH348/IF(BI348&lt;&gt;"USD",AQ348,1),"???"))</f>
        <v>318.52875484974822</v>
      </c>
      <c r="BK348" s="170">
        <f>IFERROR(-AK348/(IF(OR(AJ348="USDAED",LEFT(AJ348,3)=RIGHT(AJ348,3)),AP348,AO348)-AM348)*BJ348,0)</f>
        <v>0</v>
      </c>
      <c r="BL348" s="542">
        <f>BJ348-BK348</f>
        <v>318.52875484974822</v>
      </c>
      <c r="BM348" s="170">
        <f>IF(AND(ISERROR(SEARCH("REFUND",A348)),ISERROR(SEARCH("CANCELLED",A348))),BD348+BK348,0)</f>
        <v>0</v>
      </c>
      <c r="BN348" s="542">
        <f>IF(AND(ISERROR(SEARCH("REFUND",A348)),ISERROR(SEARCH("CANCELLED",A348))),BE348+BL348,0)</f>
        <v>318.52875484974822</v>
      </c>
    </row>
    <row r="349" spans="1:66" ht="19.5" customHeight="1">
      <c r="A349" s="167" t="s">
        <v>366</v>
      </c>
      <c r="B349" s="168" t="s">
        <v>39</v>
      </c>
      <c r="C349" s="168" t="s">
        <v>383</v>
      </c>
      <c r="D349" s="168" t="s">
        <v>128</v>
      </c>
      <c r="E349" s="171">
        <v>46055</v>
      </c>
      <c r="F349" s="171"/>
      <c r="G349" s="168" t="s">
        <v>39</v>
      </c>
      <c r="H349" s="168" t="s">
        <v>384</v>
      </c>
      <c r="I349" s="169">
        <v>-16508000</v>
      </c>
      <c r="J349" s="170">
        <f>IF(I349="",AR349,I349)</f>
        <v>-16508000</v>
      </c>
      <c r="K349" s="168" t="s">
        <v>9</v>
      </c>
      <c r="L349" s="171" t="s">
        <v>374</v>
      </c>
      <c r="M349" s="168" t="s">
        <v>374</v>
      </c>
      <c r="N349" s="167" t="s">
        <v>371</v>
      </c>
      <c r="O349" s="168" t="s">
        <v>39</v>
      </c>
      <c r="P349" s="349" t="s">
        <v>384</v>
      </c>
      <c r="Q349" s="169"/>
      <c r="R349" s="170">
        <f>IF(Q349="",AS349,Q349)</f>
        <v>787971.36038186157</v>
      </c>
      <c r="S349" s="168" t="s">
        <v>8</v>
      </c>
      <c r="T349" s="171" t="s">
        <v>385</v>
      </c>
      <c r="U349" s="168" t="s">
        <v>20</v>
      </c>
      <c r="V349" s="167" t="s">
        <v>371</v>
      </c>
      <c r="W349" s="172" t="s">
        <v>382</v>
      </c>
      <c r="X349" s="173">
        <f>IF(Y349="",VLOOKUP(H349,CLIENTS!$A$1:$O$649,5,FALSE),Y349)</f>
        <v>0</v>
      </c>
      <c r="Y349" s="174">
        <v>0</v>
      </c>
      <c r="Z349" s="173">
        <f>IF(AA349="",VLOOKUP(P349,CLIENTS!$A$1:$O$649,5,FALSE),AA349)</f>
        <v>0</v>
      </c>
      <c r="AA349" s="174">
        <v>0</v>
      </c>
      <c r="AB349" s="173" t="str">
        <f>IF(W349="via USD",IF(K349="EUR",K349&amp;"USD","USD"&amp;K349),IFERROR(VLOOKUP(K349&amp;S349,'FX RATES'!$H$2:$H$20,1,FALSE),S349&amp;K349))</f>
        <v>AEDRUB</v>
      </c>
      <c r="AC349" s="175">
        <f>IF(LEFT(AB349,3)=RIGHT(AB349,3),0,IFERROR(INDEX(CLIENTS!$A$1:$O$649,MATCH(H349,CLIENTS!$A$1:$A$649,0),MATCH(AB349,CLIENTS!$A$1:$O$1,0)),0))</f>
        <v>0</v>
      </c>
      <c r="AD349" s="176">
        <v>20.95</v>
      </c>
      <c r="AE349" s="177">
        <f>IF(W349="CLIENT","",IF(AD349="",AH349+AC349,AD349+AC349))</f>
        <v>20.95</v>
      </c>
      <c r="AF349" s="177" t="str">
        <f>E349&amp;AB349</f>
        <v>46055AEDRUB</v>
      </c>
      <c r="AG349" s="176">
        <v>20.884899999999998</v>
      </c>
      <c r="AH349" s="178">
        <f ca="1">IF(LEFT(AB349,3)=RIGHT(AB349,3),1,VLOOKUP(AB349,'FX RATES'!$H$1:$I$20,2,FALSE))</f>
        <v>20.8843</v>
      </c>
      <c r="AI349" s="178">
        <f>IF(OR(AB349="USDAED",LEFT(AB349,3)=RIGHT(AB349,3)),AH349,IF(LEFT(AB349)="USD",AG349,IF(RIGHT(AB349,3)="USD",1,IFERROR(VLOOKUP(E349&amp;"USD"&amp;RIGHT(AB349,3),$AF:$AG,2,FALSE),VLOOKUP(E349&amp;"USD"&amp;RIGHT(AJ349,3),$AN:$AO,2,FALSE)))))</f>
        <v>76.7</v>
      </c>
      <c r="AJ349" s="173" t="str">
        <f>IF(W349="via USD",IF(S349="EUR",S349&amp;"USD","USD"&amp;S349),IFERROR(VLOOKUP(K349&amp;S349,'FX RATES'!$H$2:$H$20,1,FALSE),S349&amp;K349))</f>
        <v>AEDRUB</v>
      </c>
      <c r="AK349" s="175">
        <f>IF(LEFT(AJ349,3)=RIGHT(AJ349,3),0,IFERROR(INDEX(CLIENTS!$A$1:$O$649,MATCH(P349,CLIENTS!$A$1:$A$649,0),MATCH(AJ349,CLIENTS!$A$1:$O$1,0)),0))</f>
        <v>0</v>
      </c>
      <c r="AL349" s="176"/>
      <c r="AM349" s="177" t="str">
        <f>IF(W349="VENDOR","",IF(AL349="",AP349+AK349,AL349+AK349))</f>
        <v/>
      </c>
      <c r="AN349" s="177" t="str">
        <f>E349&amp;AJ349</f>
        <v>46055AEDRUB</v>
      </c>
      <c r="AO349" s="176"/>
      <c r="AP349" s="178">
        <f ca="1">IF(LEFT(AJ349,3)=RIGHT(AJ349,3),1,VLOOKUP(AJ349,'FX RATES'!$H$1:$I$20,2,FALSE))</f>
        <v>20.8843</v>
      </c>
      <c r="AQ349" s="178">
        <f>IF(OR(AJ349="USDAED",LEFT(AJ349,3)=RIGHT(AJ349,3)),AP349,IF(LEFT(AJ349)="USD",AO349,IF(RIGHT(AJ349,3)="USD",1,IFERROR(VLOOKUP(E349&amp;"USD"&amp;RIGHT(AJ349,3),$AN:$AO,2,FALSE),VLOOKUP(E349&amp;"USD"&amp;RIGHT(AB349,3),$AF:$AG,2,FALSE)))))</f>
        <v>76.7</v>
      </c>
      <c r="AR349" s="179">
        <f>-Q349*(1-Z349)/(1+X349)*IF(W349="CLIENT",IF(S349=RIGHT(AJ349,3),1/AM349,AM349),IF(W349="VENDOR",IF(S349=RIGHT(AJ349,3),1/AE349,AE349),AE349^(VLOOKUP(AB349,'FX RATES'!$H$1:$J$26,3,FALSE))/AM349^(VLOOKUP(AJ349,'FX RATES'!$H$1:$J$26,3,FALSE))))</f>
        <v>0</v>
      </c>
      <c r="AS349" s="179">
        <f>-I349*(1+X349)/(1-Z349)*IF(W349="VENDOR",IF(K349=RIGHT(AB349,3),1/AE349,AE349),IF(W349="CLIENT",IF(K349=RIGHT(AB349,3),1/AM349,AM349),AM349^(VLOOKUP(AJ349,'FX RATES'!$H$1:$J$26,3,FALSE))/AE349^(VLOOKUP(AB349,'FX RATES'!$H$1:$J$26,3,FALSE))))</f>
        <v>787971.36038186157</v>
      </c>
      <c r="AT349" s="170">
        <f ca="1">IF(AB349&lt;&gt;AJ349,J349/IF(K349=RIGHT(AB349,3),AE349,1/AE349),IF(S349="USD",J349/IF(K349=RIGHT(AB349,3),IF(W349="CLIENT",AM349,AE349),1/IF(W349="CLIENT",AM349,AE349)),J349*VLOOKUP(K349,'FX RATES'!$E$1:$F$10,2,FALSE)))</f>
        <v>-215170.65191180975</v>
      </c>
      <c r="AU349" s="170">
        <f ca="1">IF(AB349&lt;&gt;AJ349,R349/IF(S349=RIGHT(AJ349,3),AM349,1/AM349),IF(K349="USD",R349/IF(S349=RIGHT(AJ349,3),IF(W349="CLIENT",AM349,AE349),1/IF(W349="CLIENT",AM349,AE349)),R349*VLOOKUP(S349,'FX RATES'!$E$1:$F$10,2,FALSE)))</f>
        <v>214554.09257252669</v>
      </c>
      <c r="AV349" s="170">
        <f ca="1">AT349+AU349</f>
        <v>-616.55933928306331</v>
      </c>
      <c r="AW349" s="169"/>
      <c r="AX349" s="170">
        <f ca="1">IF(AND(ISERROR(SEARCH("INVOICE",T349)),ISERROR(SEARCH("SWITCH",T349)),ISERROR(SEARCH("FOREX",T349)),ISERROR(SEARCH("REFUND",A349)),ISERROR(SEARCH("CANCELLED",A349))),IF(AW349="",-AT349*X349+AU349*Z349,AW349),0)</f>
        <v>0</v>
      </c>
      <c r="AY349" s="170">
        <f>IF(AZ349="USD",AT349,IF(AZ349=K349,J349,-R349))</f>
        <v>-787971.36038186157</v>
      </c>
      <c r="AZ349" s="170" t="str">
        <f>LEFT(AB349,3)</f>
        <v>AED</v>
      </c>
      <c r="BA349" s="542">
        <f>IF(OR(A349="REFUND",A349="CANCELLED"),0,IFERROR((IF(OR(AB349="USDAED",LEFT(AB349,3)=RIGHT(AB349,3)),AI349,AG349)-AE349)*-AY349*VLOOKUP(AB349,'FX RATES'!$H$1:$J$26,3,FALSE),0))</f>
        <v>-51296.935560860009</v>
      </c>
      <c r="BB349" s="170" t="str">
        <f>RIGHT(AB349,3)</f>
        <v>RUB</v>
      </c>
      <c r="BC349" s="542">
        <f>IF(BA349=0,0,IFERROR(BA349/IF(BB349&lt;&gt;"USD",AI349,1),"???"))</f>
        <v>-668.79968136714479</v>
      </c>
      <c r="BD349" s="170">
        <f>IFERROR(-AC349/(IF(OR(AB349="USDAED",LEFT(AB349,3)=RIGHT(AB349,3)),AH349,AG349)-AE349)*BC349,0)</f>
        <v>0</v>
      </c>
      <c r="BE349" s="542">
        <f>BC349-BD349</f>
        <v>-668.79968136714479</v>
      </c>
      <c r="BF349" s="170">
        <f>IF(BG349="USD",AU349,IF(BG349=S349,R349,-J349))</f>
        <v>787971.36038186157</v>
      </c>
      <c r="BG349" s="170" t="str">
        <f>LEFT(AJ349,3)</f>
        <v>AED</v>
      </c>
      <c r="BH349" s="542">
        <f>IF(OR(A349="REFUND",A349="CANCELLED"),0,IFERROR((IF(OR(AJ349="USDAED",LEFT(AJ349,3)=RIGHT(AJ349,3)),AQ349,AO349)-AM349)*-BF349*VLOOKUP(AJ349,'FX RATES'!$H$1:$J$26,3,FALSE),0))</f>
        <v>0</v>
      </c>
      <c r="BI349" s="170" t="str">
        <f>RIGHT(AJ349,3)</f>
        <v>RUB</v>
      </c>
      <c r="BJ349" s="542">
        <f>IF(BH349=0,0,IFERROR(BH349/IF(BI349&lt;&gt;"USD",AQ349,1),"???"))</f>
        <v>0</v>
      </c>
      <c r="BK349" s="170">
        <f>IFERROR(-AK349/(IF(OR(AJ349="USDAED",LEFT(AJ349,3)=RIGHT(AJ349,3)),AP349,AO349)-AM349)*BJ349,0)</f>
        <v>0</v>
      </c>
      <c r="BL349" s="542">
        <f>BJ349-BK349</f>
        <v>0</v>
      </c>
      <c r="BM349" s="170">
        <f>IF(AND(ISERROR(SEARCH("REFUND",A349)),ISERROR(SEARCH("CANCELLED",A349))),BD349+BK349,0)</f>
        <v>0</v>
      </c>
      <c r="BN349" s="542">
        <f>IF(AND(ISERROR(SEARCH("REFUND",A349)),ISERROR(SEARCH("CANCELLED",A349))),BE349+BL349,0)</f>
        <v>-668.79968136714479</v>
      </c>
    </row>
    <row r="350" spans="1:66" ht="19.5" customHeight="1">
      <c r="J350" s="450"/>
    </row>
    <row r="351" spans="1:66" ht="19.5" customHeight="1">
      <c r="A351" s="167" t="s">
        <v>366</v>
      </c>
      <c r="B351" s="168" t="s">
        <v>39</v>
      </c>
      <c r="C351" s="168" t="s">
        <v>367</v>
      </c>
      <c r="D351" s="168" t="s">
        <v>368</v>
      </c>
      <c r="E351" s="171">
        <v>46056</v>
      </c>
      <c r="F351" s="171"/>
      <c r="G351" s="168" t="s">
        <v>39</v>
      </c>
      <c r="H351" s="168" t="s">
        <v>480</v>
      </c>
      <c r="I351" s="169">
        <f>-21423.8</f>
        <v>-21423.8</v>
      </c>
      <c r="J351" s="170">
        <f t="shared" ref="J351:J358" si="406">IF(I351="",AR351,I351)</f>
        <v>-21423.8</v>
      </c>
      <c r="K351" s="168" t="s">
        <v>5</v>
      </c>
      <c r="L351" s="171" t="s">
        <v>511</v>
      </c>
      <c r="M351" s="168" t="s">
        <v>20</v>
      </c>
      <c r="N351" s="167" t="s">
        <v>371</v>
      </c>
      <c r="O351" s="168" t="s">
        <v>52</v>
      </c>
      <c r="P351" s="168" t="s">
        <v>570</v>
      </c>
      <c r="Q351" s="169">
        <v>1692420.87</v>
      </c>
      <c r="R351" s="170">
        <f t="shared" ref="R351:R358" si="407">IF(Q351="",AS351,Q351)</f>
        <v>1692420.87</v>
      </c>
      <c r="S351" s="168" t="s">
        <v>9</v>
      </c>
      <c r="T351" s="171" t="s">
        <v>25</v>
      </c>
      <c r="U351" s="168" t="s">
        <v>439</v>
      </c>
      <c r="V351" s="167" t="s">
        <v>371</v>
      </c>
      <c r="W351" s="172" t="s">
        <v>389</v>
      </c>
      <c r="X351" s="173">
        <f>IF(Y351="",VLOOKUP(H351,CLIENTS!$A$1:$O$649,5,FALSE),Y351)</f>
        <v>0</v>
      </c>
      <c r="Y351" s="174">
        <v>0</v>
      </c>
      <c r="Z351" s="173">
        <f>IF(AA351="",VLOOKUP(P351,CLIENTS!$A$1:$O$649,5,FALSE),AA351)</f>
        <v>7.0000000000000001E-3</v>
      </c>
      <c r="AA351" s="174">
        <v>7.0000000000000001E-3</v>
      </c>
      <c r="AB351" s="173" t="str">
        <f>IF(W351="via USD",IF(K351="EUR",K351&amp;"USD","USD"&amp;K351),IFERROR(VLOOKUP(K351&amp;S351,'FX RATES'!$H$2:$H$20,1,FALSE),S351&amp;K351))</f>
        <v>USDRUB</v>
      </c>
      <c r="AC351" s="175">
        <f>IF(LEFT(AB351,3)=RIGHT(AB351,3),0,IFERROR(INDEX(CLIENTS!$A$1:$O$649,MATCH(H351,CLIENTS!$A$1:$A$649,0),MATCH(AB351,CLIENTS!$A$1:$O$1,0)),0))</f>
        <v>0</v>
      </c>
      <c r="AD351" s="176"/>
      <c r="AE351" s="177" t="str">
        <f t="shared" ref="AE351:AE358" si="408">IF(W351="CLIENT","",IF(AD351="",AH351+AC351,AD351+AC351))</f>
        <v/>
      </c>
      <c r="AF351" s="177" t="str">
        <f t="shared" ref="AF351:AF358" si="409">E351&amp;AB351</f>
        <v>46056USDRUB</v>
      </c>
      <c r="AG351" s="176">
        <v>77</v>
      </c>
      <c r="AH351" s="178">
        <f ca="1">IF(LEFT(AB351,3)=RIGHT(AB351,3),1,VLOOKUP(AB351,'FX RATES'!$H$1:$I$20,2,FALSE))</f>
        <v>76.720500000000001</v>
      </c>
      <c r="AI351" s="178">
        <f t="shared" ref="AI351:AI358" si="410">IF(OR(AB351="USDAED",LEFT(AB351,3)=RIGHT(AB351,3)),AH351,IF(LEFT(AB351)="USD",AG351,IF(RIGHT(AB351,3)="USD",1,IFERROR(VLOOKUP(E351&amp;"USD"&amp;RIGHT(AB351,3),$AF:$AG,2,FALSE),VLOOKUP(E351&amp;"USD"&amp;RIGHT(AJ351,3),$AN:$AO,2,FALSE)))))</f>
        <v>77</v>
      </c>
      <c r="AJ351" s="173" t="str">
        <f>IF(W351="via USD",IF(S351="EUR",S351&amp;"USD","USD"&amp;S351),IFERROR(VLOOKUP(K351&amp;S351,'FX RATES'!$H$2:$H$20,1,FALSE),S351&amp;K351))</f>
        <v>USDRUB</v>
      </c>
      <c r="AK351" s="175">
        <f>IF(LEFT(AJ351,3)=RIGHT(AJ351,3),0,IFERROR(INDEX(CLIENTS!$A$1:$O$649,MATCH(P351,CLIENTS!$A$1:$A$649,0),MATCH(AJ351,CLIENTS!$A$1:$O$1,0)),0))</f>
        <v>0</v>
      </c>
      <c r="AL351" s="176">
        <v>77.022300000000001</v>
      </c>
      <c r="AM351" s="177">
        <f t="shared" ref="AM351:AM358" si="411">IF(W351="VENDOR","",IF(AL351="",AP351+AK351,AL351+AK351))</f>
        <v>77.022300000000001</v>
      </c>
      <c r="AN351" s="177" t="str">
        <f t="shared" ref="AN351:AN358" si="412">E351&amp;AJ351</f>
        <v>46056USDRUB</v>
      </c>
      <c r="AO351" s="176">
        <v>77</v>
      </c>
      <c r="AP351" s="178">
        <f ca="1">IF(LEFT(AJ351,3)=RIGHT(AJ351,3),1,VLOOKUP(AJ351,'FX RATES'!$H$1:$I$20,2,FALSE))</f>
        <v>76.720500000000001</v>
      </c>
      <c r="AQ351" s="178">
        <f t="shared" ref="AQ351:AQ356" si="413">IF(OR(AJ351="USDAED",LEFT(AJ351,3)=RIGHT(AJ351,3)),AP351,IF(LEFT(AJ351)="USD",AO351,IF(RIGHT(AJ351,3)="USD",1,IFERROR(VLOOKUP(E351&amp;"USD"&amp;RIGHT(AJ351,3),$AN:$AO,2,FALSE),VLOOKUP(E351&amp;"USD"&amp;RIGHT(AB351,3),$AF:$AG,2,FALSE)))))</f>
        <v>77</v>
      </c>
      <c r="AR351" s="179">
        <f>-Q351*(1-Z351)/(1+X351)*IF(W351="CLIENT",IF(S351=RIGHT(AJ351,3),1/AM351,AM351),IF(W351="VENDOR",IF(S351=RIGHT(AJ351,3),1/AE351,AE351),AE351^(VLOOKUP(AB351,'FX RATES'!$H$1:$J$26,3,FALSE))/AM351^(VLOOKUP(AJ351,'FX RATES'!$H$1:$J$26,3,FALSE))))</f>
        <v>-21819.316274767178</v>
      </c>
      <c r="AS351" s="179">
        <f>-I351*(1+X351)/(1-Z351)*IF(W351="VENDOR",IF(K351=RIGHT(AB351,3),1/AE351,AE351),IF(W351="CLIENT",IF(K351=RIGHT(AB351,3),1/AM351,AM351),AM351^(VLOOKUP(AJ351,'FX RATES'!$H$1:$J$26,3,FALSE))/AE351^(VLOOKUP(AB351,'FX RATES'!$H$1:$J$26,3,FALSE))))</f>
        <v>1661742.5485800605</v>
      </c>
      <c r="AT351" s="170">
        <f>IF(AB351&lt;&gt;AJ351,J351/IF(K351=RIGHT(AB351,3),AE351,1/AE351),IF(S351="USD",J351/IF(K351=RIGHT(AB351,3),IF(W351="CLIENT",AM351,AE351),1/IF(W351="CLIENT",AM351,AE351)),J351*VLOOKUP(K351,'FX RATES'!$E$1:$F$10,2,FALSE)))</f>
        <v>-21423.8</v>
      </c>
      <c r="AU351" s="170">
        <f>IF(AB351&lt;&gt;AJ351,R351/IF(S351=RIGHT(AJ351,3),AM351,1/AM351),IF(K351="USD",R351/IF(S351=RIGHT(AJ351,3),IF(W351="CLIENT",AM351,AE351),1/IF(W351="CLIENT",AM351,AE351)),R351*VLOOKUP(S351,'FX RATES'!$E$1:$F$10,2,FALSE)))</f>
        <v>21973.128171970977</v>
      </c>
      <c r="AV351" s="170">
        <f t="shared" ref="AV351:AV358" si="414">AT351+AU351</f>
        <v>549.32817197097756</v>
      </c>
      <c r="AW351" s="169"/>
      <c r="AX351" s="170">
        <f t="shared" ref="AX351:AX358" si="415">IF(AND(ISERROR(SEARCH("INVOICE",T351)),ISERROR(SEARCH("SWITCH",T351)),ISERROR(SEARCH("FOREX",T351)),ISERROR(SEARCH("REFUND",A351)),ISERROR(SEARCH("CANCELLED",A351))),IF(AW351="",-AT351*X351+AU351*Z351,AW351),0)</f>
        <v>153.81189720379683</v>
      </c>
      <c r="AY351" s="170">
        <f t="shared" ref="AY351:AY358" si="416">IF(AZ351="USD",AT351,IF(AZ351=K351,J351,-R351))</f>
        <v>-21423.8</v>
      </c>
      <c r="AZ351" s="170" t="str">
        <f t="shared" ref="AZ351:AZ358" si="417">LEFT(AB351,3)</f>
        <v>USD</v>
      </c>
      <c r="BA351" s="542">
        <f>IF(OR(A351="REFUND",A351="CANCELLED"),0,IFERROR((IF(OR(AB351="USDAED",LEFT(AB351,3)=RIGHT(AB351,3)),AI351,AG351)-AE351)*-AY351*VLOOKUP(AB351,'FX RATES'!$H$1:$J$26,3,FALSE),0))</f>
        <v>0</v>
      </c>
      <c r="BB351" s="170" t="str">
        <f t="shared" ref="BB351:BB358" si="418">RIGHT(AB351,3)</f>
        <v>RUB</v>
      </c>
      <c r="BC351" s="542">
        <f t="shared" ref="BC351:BC358" si="419">IF(BA351=0,0,IFERROR(BA351/IF(BB351&lt;&gt;"USD",AI351,1),"???"))</f>
        <v>0</v>
      </c>
      <c r="BD351" s="170">
        <f t="shared" ref="BD351:BD358" si="420">IFERROR(-AC351/(IF(OR(AB351="USDAED",LEFT(AB351,3)=RIGHT(AB351,3)),AH351,AG351)-AE351)*BC351,0)</f>
        <v>0</v>
      </c>
      <c r="BE351" s="542">
        <f t="shared" ref="BE351:BE358" si="421">BC351-BD351</f>
        <v>0</v>
      </c>
      <c r="BF351" s="170">
        <f t="shared" ref="BF351:BF358" si="422">IF(BG351="USD",AU351,IF(BG351=S351,R351,-J351))</f>
        <v>21973.128171970977</v>
      </c>
      <c r="BG351" s="170" t="str">
        <f t="shared" ref="BG351:BG358" si="423">LEFT(AJ351,3)</f>
        <v>USD</v>
      </c>
      <c r="BH351" s="542">
        <f>IF(OR(A351="REFUND",A351="CANCELLED"),0,IFERROR((IF(OR(AJ351="USDAED",LEFT(AJ351,3)=RIGHT(AJ351,3)),AQ351,AO351)-AM351)*-BF351*VLOOKUP(AJ351,'FX RATES'!$H$1:$J$26,3,FALSE),0))</f>
        <v>490.00075823498179</v>
      </c>
      <c r="BI351" s="170" t="str">
        <f t="shared" ref="BI351:BI356" si="424">RIGHT(AJ351,3)</f>
        <v>RUB</v>
      </c>
      <c r="BJ351" s="542">
        <f t="shared" ref="BJ351:BJ358" si="425">IF(BH351=0,0,IFERROR(BH351/IF(BI351&lt;&gt;"USD",AQ351,1),"???"))</f>
        <v>6.3636462108439193</v>
      </c>
      <c r="BK351" s="170">
        <f t="shared" ref="BK351:BK358" si="426">IFERROR(-AK351/(IF(OR(AJ351="USDAED",LEFT(AJ351,3)=RIGHT(AJ351,3)),AP351,AO351)-AM351)*BJ351,0)</f>
        <v>0</v>
      </c>
      <c r="BL351" s="542">
        <f t="shared" ref="BL351:BL358" si="427">BJ351-BK351</f>
        <v>6.3636462108439193</v>
      </c>
      <c r="BM351" s="170">
        <f t="shared" ref="BM351:BM358" si="428">IF(AND(ISERROR(SEARCH("REFUND",A351)),ISERROR(SEARCH("CANCELLED",A351))),BD351+BK351,0)</f>
        <v>0</v>
      </c>
      <c r="BN351" s="542">
        <f t="shared" ref="BN351:BN358" si="429">IF(AND(ISERROR(SEARCH("REFUND",A351)),ISERROR(SEARCH("CANCELLED",A351))),BE351+BL351,0)</f>
        <v>6.3636462108439193</v>
      </c>
    </row>
    <row r="352" spans="1:66" ht="19.5" customHeight="1">
      <c r="A352" s="167" t="s">
        <v>366</v>
      </c>
      <c r="B352" s="168" t="s">
        <v>39</v>
      </c>
      <c r="C352" s="168" t="s">
        <v>367</v>
      </c>
      <c r="D352" s="181" t="s">
        <v>368</v>
      </c>
      <c r="E352" s="171">
        <v>46056</v>
      </c>
      <c r="F352" s="171"/>
      <c r="G352" s="168" t="s">
        <v>39</v>
      </c>
      <c r="H352" s="181" t="s">
        <v>571</v>
      </c>
      <c r="I352" s="169">
        <v>-112762.89</v>
      </c>
      <c r="J352" s="170">
        <f t="shared" si="406"/>
        <v>-112762.89</v>
      </c>
      <c r="K352" s="168" t="s">
        <v>5</v>
      </c>
      <c r="L352" s="168" t="s">
        <v>572</v>
      </c>
      <c r="M352" s="168" t="s">
        <v>20</v>
      </c>
      <c r="N352" s="167" t="s">
        <v>371</v>
      </c>
      <c r="O352" s="168" t="s">
        <v>39</v>
      </c>
      <c r="P352" s="349" t="s">
        <v>379</v>
      </c>
      <c r="Q352" s="169"/>
      <c r="R352" s="170">
        <f t="shared" si="407"/>
        <v>8728901.6507005021</v>
      </c>
      <c r="S352" s="168" t="s">
        <v>9</v>
      </c>
      <c r="T352" s="171" t="s">
        <v>380</v>
      </c>
      <c r="U352" s="171" t="s">
        <v>374</v>
      </c>
      <c r="V352" s="167" t="s">
        <v>371</v>
      </c>
      <c r="W352" s="172" t="s">
        <v>375</v>
      </c>
      <c r="X352" s="173">
        <f>IF(Y352="",VLOOKUP(H352,CLIENTS!$A$1:$O$649,5,FALSE),Y352)</f>
        <v>0</v>
      </c>
      <c r="Y352" s="174">
        <v>0</v>
      </c>
      <c r="Z352" s="173">
        <f>IF(AA352="",VLOOKUP(P352,CLIENTS!$A$1:$O$649,5,FALSE),AA352)</f>
        <v>4.1254286096362724E-3</v>
      </c>
      <c r="AA352" s="174">
        <v>4.1254286096362724E-3</v>
      </c>
      <c r="AB352" s="173" t="str">
        <f>IF(W352="via USD",IF(K352="EUR",K352&amp;"USD","USD"&amp;K352),IFERROR(VLOOKUP(K352&amp;S352,'FX RATES'!$H$2:$H$20,1,FALSE),S352&amp;K352))</f>
        <v>USDUSD</v>
      </c>
      <c r="AC352" s="175">
        <f>IF(LEFT(AB352,3)=RIGHT(AB352,3),0,IFERROR(INDEX(CLIENTS!$A$1:$O$649,MATCH(H352,CLIENTS!$A$1:$A$649,0),MATCH(AB352,CLIENTS!$A$1:$O$1,0)),0))</f>
        <v>0</v>
      </c>
      <c r="AD352" s="176"/>
      <c r="AE352" s="177">
        <f t="shared" si="408"/>
        <v>1</v>
      </c>
      <c r="AF352" s="177" t="str">
        <f t="shared" si="409"/>
        <v>46056USDUSD</v>
      </c>
      <c r="AG352" s="176"/>
      <c r="AH352" s="178">
        <f>IF(LEFT(AB352,3)=RIGHT(AB352,3),1,VLOOKUP(AB352,'FX RATES'!$H$1:$I$20,2,FALSE))</f>
        <v>1</v>
      </c>
      <c r="AI352" s="178">
        <f t="shared" si="410"/>
        <v>1</v>
      </c>
      <c r="AJ352" s="173" t="str">
        <f>IF(W352="via USD",IF(S352="EUR",S352&amp;"USD","USD"&amp;S352),IFERROR(VLOOKUP(K352&amp;S352,'FX RATES'!$H$2:$H$20,1,FALSE),S352&amp;K352))</f>
        <v>USDRUB</v>
      </c>
      <c r="AK352" s="175">
        <f>IF(LEFT(AJ352,3)=RIGHT(AJ352,3),0,IFERROR(INDEX(CLIENTS!$A$1:$O$649,MATCH(P352,CLIENTS!$A$1:$A$649,0),MATCH(AJ352,CLIENTS!$A$1:$O$1,0)),0))</f>
        <v>0</v>
      </c>
      <c r="AL352" s="176">
        <v>77.09</v>
      </c>
      <c r="AM352" s="177">
        <f t="shared" si="411"/>
        <v>77.09</v>
      </c>
      <c r="AN352" s="177" t="str">
        <f t="shared" si="412"/>
        <v>46056USDRUB</v>
      </c>
      <c r="AO352" s="176">
        <v>77</v>
      </c>
      <c r="AP352" s="178">
        <f ca="1">IF(LEFT(AJ352,3)=RIGHT(AJ352,3),1,VLOOKUP(AJ352,'FX RATES'!$H$1:$I$20,2,FALSE))</f>
        <v>76.720500000000001</v>
      </c>
      <c r="AQ352" s="178">
        <f t="shared" si="413"/>
        <v>77</v>
      </c>
      <c r="AR352" s="179">
        <f>-Q352*(1-Z352)/(1+X352)*IF(W352="CLIENT",IF(S352=RIGHT(AJ352,3),1/AM352,AM352),IF(W352="VENDOR",IF(S352=RIGHT(AJ352,3),1/AE352,AE352),AE352^(VLOOKUP(AB352,'FX RATES'!$H$1:$J$26,3,FALSE))/AM352^(VLOOKUP(AJ352,'FX RATES'!$H$1:$J$26,3,FALSE))))</f>
        <v>0</v>
      </c>
      <c r="AS352" s="179">
        <f>-I352*(1+X352)/(1-Z352)*IF(W352="VENDOR",IF(K352=RIGHT(AB352,3),1/AE352,AE352),IF(W352="CLIENT",IF(K352=RIGHT(AB352,3),1/AM352,AM352),AM352^(VLOOKUP(AJ352,'FX RATES'!$H$1:$J$26,3,FALSE))/AE352^(VLOOKUP(AB352,'FX RATES'!$H$1:$J$26,3,FALSE))))</f>
        <v>8728901.6507005021</v>
      </c>
      <c r="AT352" s="170">
        <f>IF(AB352&lt;&gt;AJ352,J352/IF(K352=RIGHT(AB352,3),AE352,1/AE352),IF(S352="USD",J352/IF(K352=RIGHT(AB352,3),IF(W352="CLIENT",AM352,AE352),1/IF(W352="CLIENT",AM352,AE352)),J352*VLOOKUP(K352,'FX RATES'!$E$1:$F$10,2,FALSE)))</f>
        <v>-112762.89</v>
      </c>
      <c r="AU352" s="170">
        <f>IF(AB352&lt;&gt;AJ352,R352/IF(S352=RIGHT(AJ352,3),AM352,1/AM352),IF(K352="USD",R352/IF(S352=RIGHT(AJ352,3),IF(W352="CLIENT",AM352,AE352),1/IF(W352="CLIENT",AM352,AE352)),R352*VLOOKUP(S352,'FX RATES'!$E$1:$F$10,2,FALSE)))</f>
        <v>113230.01233234533</v>
      </c>
      <c r="AV352" s="170">
        <f t="shared" si="414"/>
        <v>467.12233234533051</v>
      </c>
      <c r="AW352" s="169"/>
      <c r="AX352" s="170">
        <f t="shared" si="415"/>
        <v>467.12233234532539</v>
      </c>
      <c r="AY352" s="170">
        <f t="shared" si="416"/>
        <v>-112762.89</v>
      </c>
      <c r="AZ352" s="170" t="str">
        <f t="shared" si="417"/>
        <v>USD</v>
      </c>
      <c r="BA352" s="542">
        <f>IF(OR(A352="REFUND",A352="CANCELLED"),0,IFERROR((IF(OR(AB352="USDAED",LEFT(AB352,3)=RIGHT(AB352,3)),AI352,AG352)-AE352)*-AY352*VLOOKUP(AB352,'FX RATES'!$H$1:$J$26,3,FALSE),0))</f>
        <v>0</v>
      </c>
      <c r="BB352" s="170" t="str">
        <f t="shared" si="418"/>
        <v>USD</v>
      </c>
      <c r="BC352" s="542">
        <f t="shared" si="419"/>
        <v>0</v>
      </c>
      <c r="BD352" s="170">
        <f t="shared" si="420"/>
        <v>0</v>
      </c>
      <c r="BE352" s="542">
        <f t="shared" si="421"/>
        <v>0</v>
      </c>
      <c r="BF352" s="170">
        <f t="shared" si="422"/>
        <v>113230.01233234533</v>
      </c>
      <c r="BG352" s="170" t="str">
        <f t="shared" si="423"/>
        <v>USD</v>
      </c>
      <c r="BH352" s="542">
        <f>IF(OR(A352="REFUND",A352="CANCELLED"),0,IFERROR((IF(OR(AJ352="USDAED",LEFT(AJ352,3)=RIGHT(AJ352,3)),AQ352,AO352)-AM352)*-BF352*VLOOKUP(AJ352,'FX RATES'!$H$1:$J$26,3,FALSE),0))</f>
        <v>10190.701109911466</v>
      </c>
      <c r="BI352" s="170" t="str">
        <f t="shared" si="424"/>
        <v>RUB</v>
      </c>
      <c r="BJ352" s="542">
        <f t="shared" si="425"/>
        <v>132.34676766118787</v>
      </c>
      <c r="BK352" s="170">
        <f t="shared" si="426"/>
        <v>0</v>
      </c>
      <c r="BL352" s="542">
        <f t="shared" si="427"/>
        <v>132.34676766118787</v>
      </c>
      <c r="BM352" s="170">
        <f t="shared" si="428"/>
        <v>0</v>
      </c>
      <c r="BN352" s="542">
        <f t="shared" si="429"/>
        <v>132.34676766118787</v>
      </c>
    </row>
    <row r="353" spans="1:66" ht="19.5" customHeight="1">
      <c r="A353" s="167" t="s">
        <v>366</v>
      </c>
      <c r="B353" s="168" t="s">
        <v>39</v>
      </c>
      <c r="C353" s="168" t="s">
        <v>367</v>
      </c>
      <c r="D353" s="181" t="s">
        <v>368</v>
      </c>
      <c r="E353" s="171">
        <v>46056</v>
      </c>
      <c r="F353" s="171"/>
      <c r="G353" s="168" t="s">
        <v>39</v>
      </c>
      <c r="H353" s="181" t="s">
        <v>538</v>
      </c>
      <c r="I353" s="169">
        <v>-85152.73</v>
      </c>
      <c r="J353" s="170">
        <f t="shared" si="406"/>
        <v>-85152.73</v>
      </c>
      <c r="K353" s="168" t="s">
        <v>5</v>
      </c>
      <c r="L353" s="168" t="s">
        <v>426</v>
      </c>
      <c r="M353" s="168" t="s">
        <v>20</v>
      </c>
      <c r="N353" s="167" t="s">
        <v>371</v>
      </c>
      <c r="O353" s="168" t="s">
        <v>39</v>
      </c>
      <c r="P353" s="349" t="s">
        <v>379</v>
      </c>
      <c r="Q353" s="169"/>
      <c r="R353" s="170">
        <f t="shared" si="407"/>
        <v>6591617.2018884411</v>
      </c>
      <c r="S353" s="168" t="s">
        <v>9</v>
      </c>
      <c r="T353" s="171" t="s">
        <v>380</v>
      </c>
      <c r="U353" s="171" t="s">
        <v>374</v>
      </c>
      <c r="V353" s="167" t="s">
        <v>371</v>
      </c>
      <c r="W353" s="172" t="s">
        <v>375</v>
      </c>
      <c r="X353" s="173">
        <f>IF(Y353="",VLOOKUP(H353,CLIENTS!$A$1:$O$649,5,FALSE),Y353)</f>
        <v>0</v>
      </c>
      <c r="Y353" s="174">
        <v>0</v>
      </c>
      <c r="Z353" s="173">
        <f>IF(AA353="",VLOOKUP(P353,CLIENTS!$A$1:$O$649,5,FALSE),AA353)</f>
        <v>4.1254286096362724E-3</v>
      </c>
      <c r="AA353" s="174">
        <v>4.1254286096362724E-3</v>
      </c>
      <c r="AB353" s="173" t="str">
        <f>IF(W353="via USD",IF(K353="EUR",K353&amp;"USD","USD"&amp;K353),IFERROR(VLOOKUP(K353&amp;S353,'FX RATES'!$H$2:$H$20,1,FALSE),S353&amp;K353))</f>
        <v>USDUSD</v>
      </c>
      <c r="AC353" s="175">
        <f>IF(LEFT(AB353,3)=RIGHT(AB353,3),0,IFERROR(INDEX(CLIENTS!$A$1:$O$649,MATCH(H353,CLIENTS!$A$1:$A$649,0),MATCH(AB353,CLIENTS!$A$1:$O$1,0)),0))</f>
        <v>0</v>
      </c>
      <c r="AD353" s="176"/>
      <c r="AE353" s="177">
        <f t="shared" si="408"/>
        <v>1</v>
      </c>
      <c r="AF353" s="177" t="str">
        <f t="shared" si="409"/>
        <v>46056USDUSD</v>
      </c>
      <c r="AG353" s="176"/>
      <c r="AH353" s="178">
        <f>IF(LEFT(AB353,3)=RIGHT(AB353,3),1,VLOOKUP(AB353,'FX RATES'!$H$1:$I$20,2,FALSE))</f>
        <v>1</v>
      </c>
      <c r="AI353" s="178">
        <f t="shared" si="410"/>
        <v>1</v>
      </c>
      <c r="AJ353" s="173" t="str">
        <f>IF(W353="via USD",IF(S353="EUR",S353&amp;"USD","USD"&amp;S353),IFERROR(VLOOKUP(K353&amp;S353,'FX RATES'!$H$2:$H$20,1,FALSE),S353&amp;K353))</f>
        <v>USDRUB</v>
      </c>
      <c r="AK353" s="175">
        <f>IF(LEFT(AJ353,3)=RIGHT(AJ353,3),0,IFERROR(INDEX(CLIENTS!$A$1:$O$649,MATCH(P353,CLIENTS!$A$1:$A$649,0),MATCH(AJ353,CLIENTS!$A$1:$O$1,0)),0))</f>
        <v>0</v>
      </c>
      <c r="AL353" s="176">
        <v>77.09</v>
      </c>
      <c r="AM353" s="177">
        <f t="shared" si="411"/>
        <v>77.09</v>
      </c>
      <c r="AN353" s="177" t="str">
        <f t="shared" si="412"/>
        <v>46056USDRUB</v>
      </c>
      <c r="AO353" s="176">
        <v>77</v>
      </c>
      <c r="AP353" s="178">
        <f ca="1">IF(LEFT(AJ353,3)=RIGHT(AJ353,3),1,VLOOKUP(AJ353,'FX RATES'!$H$1:$I$20,2,FALSE))</f>
        <v>76.720500000000001</v>
      </c>
      <c r="AQ353" s="178">
        <f t="shared" si="413"/>
        <v>77</v>
      </c>
      <c r="AR353" s="179">
        <f>-Q353*(1-Z353)/(1+X353)*IF(W353="CLIENT",IF(S353=RIGHT(AJ353,3),1/AM353,AM353),IF(W353="VENDOR",IF(S353=RIGHT(AJ353,3),1/AE353,AE353),AE353^(VLOOKUP(AB353,'FX RATES'!$H$1:$J$26,3,FALSE))/AM353^(VLOOKUP(AJ353,'FX RATES'!$H$1:$J$26,3,FALSE))))</f>
        <v>0</v>
      </c>
      <c r="AS353" s="179">
        <f>-I353*(1+X353)/(1-Z353)*IF(W353="VENDOR",IF(K353=RIGHT(AB353,3),1/AE353,AE353),IF(W353="CLIENT",IF(K353=RIGHT(AB353,3),1/AM353,AM353),AM353^(VLOOKUP(AJ353,'FX RATES'!$H$1:$J$26,3,FALSE))/AE353^(VLOOKUP(AB353,'FX RATES'!$H$1:$J$26,3,FALSE))))</f>
        <v>6591617.2018884411</v>
      </c>
      <c r="AT353" s="170">
        <f>IF(AB353&lt;&gt;AJ353,J353/IF(K353=RIGHT(AB353,3),AE353,1/AE353),IF(S353="USD",J353/IF(K353=RIGHT(AB353,3),IF(W353="CLIENT",AM353,AE353),1/IF(W353="CLIENT",AM353,AE353)),J353*VLOOKUP(K353,'FX RATES'!$E$1:$F$10,2,FALSE)))</f>
        <v>-85152.73</v>
      </c>
      <c r="AU353" s="170">
        <f>IF(AB353&lt;&gt;AJ353,R353/IF(S353=RIGHT(AJ353,3),AM353,1/AM353),IF(K353="USD",R353/IF(S353=RIGHT(AJ353,3),IF(W353="CLIENT",AM353,AE353),1/IF(W353="CLIENT",AM353,AE353)),R353*VLOOKUP(S353,'FX RATES'!$E$1:$F$10,2,FALSE)))</f>
        <v>85505.476740023878</v>
      </c>
      <c r="AV353" s="170">
        <f t="shared" si="414"/>
        <v>352.74674002388201</v>
      </c>
      <c r="AW353" s="169"/>
      <c r="AX353" s="170">
        <f t="shared" si="415"/>
        <v>352.74674002388332</v>
      </c>
      <c r="AY353" s="170">
        <f t="shared" si="416"/>
        <v>-85152.73</v>
      </c>
      <c r="AZ353" s="170" t="str">
        <f t="shared" si="417"/>
        <v>USD</v>
      </c>
      <c r="BA353" s="542">
        <f>IF(OR(A353="REFUND",A353="CANCELLED"),0,IFERROR((IF(OR(AB353="USDAED",LEFT(AB353,3)=RIGHT(AB353,3)),AI353,AG353)-AE353)*-AY353*VLOOKUP(AB353,'FX RATES'!$H$1:$J$26,3,FALSE),0))</f>
        <v>0</v>
      </c>
      <c r="BB353" s="170" t="str">
        <f t="shared" si="418"/>
        <v>USD</v>
      </c>
      <c r="BC353" s="542">
        <f t="shared" si="419"/>
        <v>0</v>
      </c>
      <c r="BD353" s="170">
        <f t="shared" si="420"/>
        <v>0</v>
      </c>
      <c r="BE353" s="542">
        <f t="shared" si="421"/>
        <v>0</v>
      </c>
      <c r="BF353" s="170">
        <f t="shared" si="422"/>
        <v>85505.476740023878</v>
      </c>
      <c r="BG353" s="170" t="str">
        <f t="shared" si="423"/>
        <v>USD</v>
      </c>
      <c r="BH353" s="542">
        <f>IF(OR(A353="REFUND",A353="CANCELLED"),0,IFERROR((IF(OR(AJ353="USDAED",LEFT(AJ353,3)=RIGHT(AJ353,3)),AQ353,AO353)-AM353)*-BF353*VLOOKUP(AJ353,'FX RATES'!$H$1:$J$26,3,FALSE),0))</f>
        <v>7695.4929066024406</v>
      </c>
      <c r="BI353" s="170" t="str">
        <f t="shared" si="424"/>
        <v>RUB</v>
      </c>
      <c r="BJ353" s="542">
        <f t="shared" si="425"/>
        <v>99.941466319512216</v>
      </c>
      <c r="BK353" s="170">
        <f t="shared" si="426"/>
        <v>0</v>
      </c>
      <c r="BL353" s="542">
        <f t="shared" si="427"/>
        <v>99.941466319512216</v>
      </c>
      <c r="BM353" s="170">
        <f t="shared" si="428"/>
        <v>0</v>
      </c>
      <c r="BN353" s="542">
        <f t="shared" si="429"/>
        <v>99.941466319512216</v>
      </c>
    </row>
    <row r="354" spans="1:66" ht="19.5" customHeight="1">
      <c r="A354" s="167" t="s">
        <v>366</v>
      </c>
      <c r="B354" s="168" t="s">
        <v>39</v>
      </c>
      <c r="C354" s="168" t="s">
        <v>367</v>
      </c>
      <c r="D354" s="181" t="s">
        <v>368</v>
      </c>
      <c r="E354" s="171">
        <v>46056</v>
      </c>
      <c r="F354" s="171"/>
      <c r="G354" s="168" t="s">
        <v>39</v>
      </c>
      <c r="H354" s="181" t="s">
        <v>425</v>
      </c>
      <c r="I354" s="169">
        <v>-347940</v>
      </c>
      <c r="J354" s="170">
        <f t="shared" si="406"/>
        <v>-347940</v>
      </c>
      <c r="K354" s="168" t="s">
        <v>5</v>
      </c>
      <c r="L354" s="168" t="s">
        <v>426</v>
      </c>
      <c r="M354" s="168" t="s">
        <v>20</v>
      </c>
      <c r="N354" s="167" t="s">
        <v>371</v>
      </c>
      <c r="O354" s="168" t="s">
        <v>39</v>
      </c>
      <c r="P354" s="349" t="s">
        <v>379</v>
      </c>
      <c r="Q354" s="169"/>
      <c r="R354" s="170">
        <f t="shared" si="407"/>
        <v>26933808.102512561</v>
      </c>
      <c r="S354" s="168" t="s">
        <v>9</v>
      </c>
      <c r="T354" s="171" t="s">
        <v>380</v>
      </c>
      <c r="U354" s="171" t="s">
        <v>374</v>
      </c>
      <c r="V354" s="167" t="s">
        <v>371</v>
      </c>
      <c r="W354" s="172" t="s">
        <v>375</v>
      </c>
      <c r="X354" s="173">
        <f>IF(Y354="",VLOOKUP(H354,CLIENTS!$A$1:$O$649,5,FALSE),Y354)</f>
        <v>0</v>
      </c>
      <c r="Y354" s="174">
        <v>0</v>
      </c>
      <c r="Z354" s="173">
        <f>IF(AA354="",VLOOKUP(P354,CLIENTS!$A$1:$O$649,5,FALSE),AA354)</f>
        <v>4.1254286096362724E-3</v>
      </c>
      <c r="AA354" s="174">
        <v>4.1254286096362724E-3</v>
      </c>
      <c r="AB354" s="173" t="str">
        <f>IF(W354="via USD",IF(K354="EUR",K354&amp;"USD","USD"&amp;K354),IFERROR(VLOOKUP(K354&amp;S354,'FX RATES'!$H$2:$H$20,1,FALSE),S354&amp;K354))</f>
        <v>USDUSD</v>
      </c>
      <c r="AC354" s="175">
        <f>IF(LEFT(AB354,3)=RIGHT(AB354,3),0,IFERROR(INDEX(CLIENTS!$A$1:$O$649,MATCH(H354,CLIENTS!$A$1:$A$649,0),MATCH(AB354,CLIENTS!$A$1:$O$1,0)),0))</f>
        <v>0</v>
      </c>
      <c r="AD354" s="176"/>
      <c r="AE354" s="177">
        <f t="shared" si="408"/>
        <v>1</v>
      </c>
      <c r="AF354" s="177" t="str">
        <f t="shared" si="409"/>
        <v>46056USDUSD</v>
      </c>
      <c r="AG354" s="176"/>
      <c r="AH354" s="178">
        <f>IF(LEFT(AB354,3)=RIGHT(AB354,3),1,VLOOKUP(AB354,'FX RATES'!$H$1:$I$20,2,FALSE))</f>
        <v>1</v>
      </c>
      <c r="AI354" s="178">
        <f t="shared" si="410"/>
        <v>1</v>
      </c>
      <c r="AJ354" s="173" t="str">
        <f>IF(W354="via USD",IF(S354="EUR",S354&amp;"USD","USD"&amp;S354),IFERROR(VLOOKUP(K354&amp;S354,'FX RATES'!$H$2:$H$20,1,FALSE),S354&amp;K354))</f>
        <v>USDRUB</v>
      </c>
      <c r="AK354" s="175">
        <f>IF(LEFT(AJ354,3)=RIGHT(AJ354,3),0,IFERROR(INDEX(CLIENTS!$A$1:$O$649,MATCH(P354,CLIENTS!$A$1:$A$649,0),MATCH(AJ354,CLIENTS!$A$1:$O$1,0)),0))</f>
        <v>0</v>
      </c>
      <c r="AL354" s="176">
        <v>77.09</v>
      </c>
      <c r="AM354" s="177">
        <f t="shared" si="411"/>
        <v>77.09</v>
      </c>
      <c r="AN354" s="177" t="str">
        <f t="shared" si="412"/>
        <v>46056USDRUB</v>
      </c>
      <c r="AO354" s="176">
        <v>77</v>
      </c>
      <c r="AP354" s="178">
        <f ca="1">IF(LEFT(AJ354,3)=RIGHT(AJ354,3),1,VLOOKUP(AJ354,'FX RATES'!$H$1:$I$20,2,FALSE))</f>
        <v>76.720500000000001</v>
      </c>
      <c r="AQ354" s="178">
        <f t="shared" si="413"/>
        <v>77</v>
      </c>
      <c r="AR354" s="179">
        <f>-Q354*(1-Z354)/(1+X354)*IF(W354="CLIENT",IF(S354=RIGHT(AJ354,3),1/AM354,AM354),IF(W354="VENDOR",IF(S354=RIGHT(AJ354,3),1/AE354,AE354),AE354^(VLOOKUP(AB354,'FX RATES'!$H$1:$J$26,3,FALSE))/AM354^(VLOOKUP(AJ354,'FX RATES'!$H$1:$J$26,3,FALSE))))</f>
        <v>0</v>
      </c>
      <c r="AS354" s="179">
        <f>-I354*(1+X354)/(1-Z354)*IF(W354="VENDOR",IF(K354=RIGHT(AB354,3),1/AE354,AE354),IF(W354="CLIENT",IF(K354=RIGHT(AB354,3),1/AM354,AM354),AM354^(VLOOKUP(AJ354,'FX RATES'!$H$1:$J$26,3,FALSE))/AE354^(VLOOKUP(AB354,'FX RATES'!$H$1:$J$26,3,FALSE))))</f>
        <v>26933808.102512561</v>
      </c>
      <c r="AT354" s="170">
        <f>IF(AB354&lt;&gt;AJ354,J354/IF(K354=RIGHT(AB354,3),AE354,1/AE354),IF(S354="USD",J354/IF(K354=RIGHT(AB354,3),IF(W354="CLIENT",AM354,AE354),1/IF(W354="CLIENT",AM354,AE354)),J354*VLOOKUP(K354,'FX RATES'!$E$1:$F$10,2,FALSE)))</f>
        <v>-347940</v>
      </c>
      <c r="AU354" s="170">
        <f>IF(AB354&lt;&gt;AJ354,R354/IF(S354=RIGHT(AJ354,3),AM354,1/AM354),IF(K354="USD",R354/IF(S354=RIGHT(AJ354,3),IF(W354="CLIENT",AM354,AE354),1/IF(W354="CLIENT",AM354,AE354)),R354*VLOOKUP(S354,'FX RATES'!$E$1:$F$10,2,FALSE)))</f>
        <v>349381.34780792007</v>
      </c>
      <c r="AV354" s="170">
        <f t="shared" si="414"/>
        <v>1441.3478079200722</v>
      </c>
      <c r="AW354" s="169"/>
      <c r="AX354" s="170">
        <f t="shared" si="415"/>
        <v>1441.3478079200747</v>
      </c>
      <c r="AY354" s="170">
        <f t="shared" si="416"/>
        <v>-347940</v>
      </c>
      <c r="AZ354" s="170" t="str">
        <f t="shared" si="417"/>
        <v>USD</v>
      </c>
      <c r="BA354" s="542">
        <f>IF(OR(A354="REFUND",A354="CANCELLED"),0,IFERROR((IF(OR(AB354="USDAED",LEFT(AB354,3)=RIGHT(AB354,3)),AI354,AG354)-AE354)*-AY354*VLOOKUP(AB354,'FX RATES'!$H$1:$J$26,3,FALSE),0))</f>
        <v>0</v>
      </c>
      <c r="BB354" s="170" t="str">
        <f t="shared" si="418"/>
        <v>USD</v>
      </c>
      <c r="BC354" s="542">
        <f t="shared" si="419"/>
        <v>0</v>
      </c>
      <c r="BD354" s="170">
        <f t="shared" si="420"/>
        <v>0</v>
      </c>
      <c r="BE354" s="542">
        <f t="shared" si="421"/>
        <v>0</v>
      </c>
      <c r="BF354" s="170">
        <f t="shared" si="422"/>
        <v>349381.34780792007</v>
      </c>
      <c r="BG354" s="170" t="str">
        <f t="shared" si="423"/>
        <v>USD</v>
      </c>
      <c r="BH354" s="542">
        <f>IF(OR(A354="REFUND",A354="CANCELLED"),0,IFERROR((IF(OR(AJ354="USDAED",LEFT(AJ354,3)=RIGHT(AJ354,3)),AQ354,AO354)-AM354)*-BF354*VLOOKUP(AJ354,'FX RATES'!$H$1:$J$26,3,FALSE),0))</f>
        <v>31444.321302713997</v>
      </c>
      <c r="BI354" s="170" t="str">
        <f t="shared" si="424"/>
        <v>RUB</v>
      </c>
      <c r="BJ354" s="542">
        <f t="shared" si="425"/>
        <v>408.36780912615581</v>
      </c>
      <c r="BK354" s="170">
        <f t="shared" si="426"/>
        <v>0</v>
      </c>
      <c r="BL354" s="542">
        <f t="shared" si="427"/>
        <v>408.36780912615581</v>
      </c>
      <c r="BM354" s="170">
        <f t="shared" si="428"/>
        <v>0</v>
      </c>
      <c r="BN354" s="542">
        <f t="shared" si="429"/>
        <v>408.36780912615581</v>
      </c>
    </row>
    <row r="355" spans="1:66" ht="19.5" customHeight="1">
      <c r="A355" s="167" t="s">
        <v>366</v>
      </c>
      <c r="B355" s="168" t="s">
        <v>39</v>
      </c>
      <c r="C355" s="168" t="s">
        <v>367</v>
      </c>
      <c r="D355" s="181" t="s">
        <v>368</v>
      </c>
      <c r="E355" s="171">
        <v>46056</v>
      </c>
      <c r="F355" s="171"/>
      <c r="G355" s="168" t="s">
        <v>39</v>
      </c>
      <c r="H355" s="181" t="s">
        <v>425</v>
      </c>
      <c r="I355" s="169">
        <v>-100625.3</v>
      </c>
      <c r="J355" s="170">
        <f t="shared" si="406"/>
        <v>-100625.3</v>
      </c>
      <c r="K355" s="168" t="s">
        <v>5</v>
      </c>
      <c r="L355" s="168" t="s">
        <v>426</v>
      </c>
      <c r="M355" s="168" t="s">
        <v>20</v>
      </c>
      <c r="N355" s="167" t="s">
        <v>371</v>
      </c>
      <c r="O355" s="168" t="s">
        <v>39</v>
      </c>
      <c r="P355" s="349" t="s">
        <v>379</v>
      </c>
      <c r="Q355" s="169"/>
      <c r="R355" s="170">
        <f t="shared" si="407"/>
        <v>7789338.7378793964</v>
      </c>
      <c r="S355" s="168" t="s">
        <v>9</v>
      </c>
      <c r="T355" s="171" t="s">
        <v>380</v>
      </c>
      <c r="U355" s="171" t="s">
        <v>374</v>
      </c>
      <c r="V355" s="167" t="s">
        <v>371</v>
      </c>
      <c r="W355" s="172" t="s">
        <v>375</v>
      </c>
      <c r="X355" s="173">
        <f>IF(Y355="",VLOOKUP(H355,CLIENTS!$A$1:$O$649,5,FALSE),Y355)</f>
        <v>0</v>
      </c>
      <c r="Y355" s="174">
        <v>0</v>
      </c>
      <c r="Z355" s="173">
        <f>IF(AA355="",VLOOKUP(P355,CLIENTS!$A$1:$O$649,5,FALSE),AA355)</f>
        <v>4.1254286096362724E-3</v>
      </c>
      <c r="AA355" s="174">
        <v>4.1254286096362724E-3</v>
      </c>
      <c r="AB355" s="173" t="str">
        <f>IF(W355="via USD",IF(K355="EUR",K355&amp;"USD","USD"&amp;K355),IFERROR(VLOOKUP(K355&amp;S355,'FX RATES'!$H$2:$H$20,1,FALSE),S355&amp;K355))</f>
        <v>USDUSD</v>
      </c>
      <c r="AC355" s="175">
        <f>IF(LEFT(AB355,3)=RIGHT(AB355,3),0,IFERROR(INDEX(CLIENTS!$A$1:$O$649,MATCH(H355,CLIENTS!$A$1:$A$649,0),MATCH(AB355,CLIENTS!$A$1:$O$1,0)),0))</f>
        <v>0</v>
      </c>
      <c r="AD355" s="176"/>
      <c r="AE355" s="177">
        <f t="shared" si="408"/>
        <v>1</v>
      </c>
      <c r="AF355" s="177" t="str">
        <f t="shared" si="409"/>
        <v>46056USDUSD</v>
      </c>
      <c r="AG355" s="176"/>
      <c r="AH355" s="178">
        <f>IF(LEFT(AB355,3)=RIGHT(AB355,3),1,VLOOKUP(AB355,'FX RATES'!$H$1:$I$20,2,FALSE))</f>
        <v>1</v>
      </c>
      <c r="AI355" s="178">
        <f t="shared" si="410"/>
        <v>1</v>
      </c>
      <c r="AJ355" s="173" t="str">
        <f>IF(W355="via USD",IF(S355="EUR",S355&amp;"USD","USD"&amp;S355),IFERROR(VLOOKUP(K355&amp;S355,'FX RATES'!$H$2:$H$20,1,FALSE),S355&amp;K355))</f>
        <v>USDRUB</v>
      </c>
      <c r="AK355" s="175">
        <f>IF(LEFT(AJ355,3)=RIGHT(AJ355,3),0,IFERROR(INDEX(CLIENTS!$A$1:$O$649,MATCH(P355,CLIENTS!$A$1:$A$649,0),MATCH(AJ355,CLIENTS!$A$1:$O$1,0)),0))</f>
        <v>0</v>
      </c>
      <c r="AL355" s="176">
        <v>77.09</v>
      </c>
      <c r="AM355" s="177">
        <f t="shared" si="411"/>
        <v>77.09</v>
      </c>
      <c r="AN355" s="177" t="str">
        <f t="shared" si="412"/>
        <v>46056USDRUB</v>
      </c>
      <c r="AO355" s="176">
        <v>77</v>
      </c>
      <c r="AP355" s="178">
        <f ca="1">IF(LEFT(AJ355,3)=RIGHT(AJ355,3),1,VLOOKUP(AJ355,'FX RATES'!$H$1:$I$20,2,FALSE))</f>
        <v>76.720500000000001</v>
      </c>
      <c r="AQ355" s="178">
        <f t="shared" si="413"/>
        <v>77</v>
      </c>
      <c r="AR355" s="179">
        <f>-Q355*(1-Z355)/(1+X355)*IF(W355="CLIENT",IF(S355=RIGHT(AJ355,3),1/AM355,AM355),IF(W355="VENDOR",IF(S355=RIGHT(AJ355,3),1/AE355,AE355),AE355^(VLOOKUP(AB355,'FX RATES'!$H$1:$J$26,3,FALSE))/AM355^(VLOOKUP(AJ355,'FX RATES'!$H$1:$J$26,3,FALSE))))</f>
        <v>0</v>
      </c>
      <c r="AS355" s="179">
        <f>-I355*(1+X355)/(1-Z355)*IF(W355="VENDOR",IF(K355=RIGHT(AB355,3),1/AE355,AE355),IF(W355="CLIENT",IF(K355=RIGHT(AB355,3),1/AM355,AM355),AM355^(VLOOKUP(AJ355,'FX RATES'!$H$1:$J$26,3,FALSE))/AE355^(VLOOKUP(AB355,'FX RATES'!$H$1:$J$26,3,FALSE))))</f>
        <v>7789338.7378793964</v>
      </c>
      <c r="AT355" s="170">
        <f>IF(AB355&lt;&gt;AJ355,J355/IF(K355=RIGHT(AB355,3),AE355,1/AE355),IF(S355="USD",J355/IF(K355=RIGHT(AB355,3),IF(W355="CLIENT",AM355,AE355),1/IF(W355="CLIENT",AM355,AE355)),J355*VLOOKUP(K355,'FX RATES'!$E$1:$F$10,2,FALSE)))</f>
        <v>-100625.3</v>
      </c>
      <c r="AU355" s="170">
        <f>IF(AB355&lt;&gt;AJ355,R355/IF(S355=RIGHT(AJ355,3),AM355,1/AM355),IF(K355="USD",R355/IF(S355=RIGHT(AJ355,3),IF(W355="CLIENT",AM355,AE355),1/IF(W355="CLIENT",AM355,AE355)),R355*VLOOKUP(S355,'FX RATES'!$E$1:$F$10,2,FALSE)))</f>
        <v>101042.14214397971</v>
      </c>
      <c r="AV355" s="170">
        <f t="shared" si="414"/>
        <v>416.84214397970936</v>
      </c>
      <c r="AW355" s="169"/>
      <c r="AX355" s="170">
        <f t="shared" si="415"/>
        <v>416.84214397970885</v>
      </c>
      <c r="AY355" s="170">
        <f t="shared" si="416"/>
        <v>-100625.3</v>
      </c>
      <c r="AZ355" s="170" t="str">
        <f t="shared" si="417"/>
        <v>USD</v>
      </c>
      <c r="BA355" s="542">
        <f>IF(OR(A355="REFUND",A355="CANCELLED"),0,IFERROR((IF(OR(AB355="USDAED",LEFT(AB355,3)=RIGHT(AB355,3)),AI355,AG355)-AE355)*-AY355*VLOOKUP(AB355,'FX RATES'!$H$1:$J$26,3,FALSE),0))</f>
        <v>0</v>
      </c>
      <c r="BB355" s="170" t="str">
        <f t="shared" si="418"/>
        <v>USD</v>
      </c>
      <c r="BC355" s="542">
        <f t="shared" si="419"/>
        <v>0</v>
      </c>
      <c r="BD355" s="170">
        <f t="shared" si="420"/>
        <v>0</v>
      </c>
      <c r="BE355" s="542">
        <f t="shared" si="421"/>
        <v>0</v>
      </c>
      <c r="BF355" s="170">
        <f t="shared" si="422"/>
        <v>101042.14214397971</v>
      </c>
      <c r="BG355" s="170" t="str">
        <f t="shared" si="423"/>
        <v>USD</v>
      </c>
      <c r="BH355" s="542">
        <f>IF(OR(A355="REFUND",A355="CANCELLED"),0,IFERROR((IF(OR(AJ355="USDAED",LEFT(AJ355,3)=RIGHT(AJ355,3)),AQ355,AO355)-AM355)*-BF355*VLOOKUP(AJ355,'FX RATES'!$H$1:$J$26,3,FALSE),0))</f>
        <v>9093.7927929585185</v>
      </c>
      <c r="BI355" s="170" t="str">
        <f t="shared" si="424"/>
        <v>RUB</v>
      </c>
      <c r="BJ355" s="542">
        <f t="shared" si="425"/>
        <v>118.10120510335739</v>
      </c>
      <c r="BK355" s="170">
        <f t="shared" si="426"/>
        <v>0</v>
      </c>
      <c r="BL355" s="542">
        <f t="shared" si="427"/>
        <v>118.10120510335739</v>
      </c>
      <c r="BM355" s="170">
        <f t="shared" si="428"/>
        <v>0</v>
      </c>
      <c r="BN355" s="542">
        <f t="shared" si="429"/>
        <v>118.10120510335739</v>
      </c>
    </row>
    <row r="356" spans="1:66" ht="19.5" customHeight="1">
      <c r="A356" s="167" t="s">
        <v>366</v>
      </c>
      <c r="B356" s="168" t="s">
        <v>39</v>
      </c>
      <c r="C356" s="168" t="s">
        <v>367</v>
      </c>
      <c r="D356" s="181" t="s">
        <v>368</v>
      </c>
      <c r="E356" s="171">
        <v>46056</v>
      </c>
      <c r="F356" s="171"/>
      <c r="G356" s="168" t="s">
        <v>39</v>
      </c>
      <c r="H356" s="181" t="s">
        <v>397</v>
      </c>
      <c r="I356" s="169">
        <v>-75900</v>
      </c>
      <c r="J356" s="170">
        <f t="shared" si="406"/>
        <v>-75900</v>
      </c>
      <c r="K356" s="168" t="s">
        <v>5</v>
      </c>
      <c r="L356" s="168" t="s">
        <v>398</v>
      </c>
      <c r="M356" s="168" t="s">
        <v>20</v>
      </c>
      <c r="N356" s="167" t="s">
        <v>371</v>
      </c>
      <c r="O356" s="168" t="s">
        <v>39</v>
      </c>
      <c r="P356" s="349" t="s">
        <v>379</v>
      </c>
      <c r="Q356" s="169"/>
      <c r="R356" s="170">
        <f t="shared" si="407"/>
        <v>5875369.4170854259</v>
      </c>
      <c r="S356" s="168" t="s">
        <v>9</v>
      </c>
      <c r="T356" s="171" t="s">
        <v>380</v>
      </c>
      <c r="U356" s="171" t="s">
        <v>374</v>
      </c>
      <c r="V356" s="167" t="s">
        <v>371</v>
      </c>
      <c r="W356" s="172" t="s">
        <v>375</v>
      </c>
      <c r="X356" s="173">
        <f>IF(Y356="",VLOOKUP(H356,CLIENTS!$A$1:$O$649,5,FALSE),Y356)</f>
        <v>0</v>
      </c>
      <c r="Y356" s="174">
        <v>0</v>
      </c>
      <c r="Z356" s="173">
        <f>IF(AA356="",VLOOKUP(P356,CLIENTS!$A$1:$O$649,5,FALSE),AA356)</f>
        <v>4.1254286096362724E-3</v>
      </c>
      <c r="AA356" s="174">
        <v>4.1254286096362724E-3</v>
      </c>
      <c r="AB356" s="173" t="str">
        <f>IF(W356="via USD",IF(K356="EUR",K356&amp;"USD","USD"&amp;K356),IFERROR(VLOOKUP(K356&amp;S356,'FX RATES'!$H$2:$H$20,1,FALSE),S356&amp;K356))</f>
        <v>USDUSD</v>
      </c>
      <c r="AC356" s="175">
        <f>IF(LEFT(AB356,3)=RIGHT(AB356,3),0,IFERROR(INDEX(CLIENTS!$A$1:$O$649,MATCH(H356,CLIENTS!$A$1:$A$649,0),MATCH(AB356,CLIENTS!$A$1:$O$1,0)),0))</f>
        <v>0</v>
      </c>
      <c r="AD356" s="176"/>
      <c r="AE356" s="177">
        <f t="shared" si="408"/>
        <v>1</v>
      </c>
      <c r="AF356" s="177" t="str">
        <f t="shared" si="409"/>
        <v>46056USDUSD</v>
      </c>
      <c r="AG356" s="176"/>
      <c r="AH356" s="178">
        <f>IF(LEFT(AB356,3)=RIGHT(AB356,3),1,VLOOKUP(AB356,'FX RATES'!$H$1:$I$20,2,FALSE))</f>
        <v>1</v>
      </c>
      <c r="AI356" s="178">
        <f t="shared" si="410"/>
        <v>1</v>
      </c>
      <c r="AJ356" s="173" t="str">
        <f>IF(W356="via USD",IF(S356="EUR",S356&amp;"USD","USD"&amp;S356),IFERROR(VLOOKUP(K356&amp;S356,'FX RATES'!$H$2:$H$20,1,FALSE),S356&amp;K356))</f>
        <v>USDRUB</v>
      </c>
      <c r="AK356" s="175">
        <f>IF(LEFT(AJ356,3)=RIGHT(AJ356,3),0,IFERROR(INDEX(CLIENTS!$A$1:$O$649,MATCH(P356,CLIENTS!$A$1:$A$649,0),MATCH(AJ356,CLIENTS!$A$1:$O$1,0)),0))</f>
        <v>0</v>
      </c>
      <c r="AL356" s="176">
        <v>77.09</v>
      </c>
      <c r="AM356" s="177">
        <f t="shared" si="411"/>
        <v>77.09</v>
      </c>
      <c r="AN356" s="177" t="str">
        <f t="shared" si="412"/>
        <v>46056USDRUB</v>
      </c>
      <c r="AO356" s="176">
        <v>77</v>
      </c>
      <c r="AP356" s="178">
        <f ca="1">IF(LEFT(AJ356,3)=RIGHT(AJ356,3),1,VLOOKUP(AJ356,'FX RATES'!$H$1:$I$20,2,FALSE))</f>
        <v>76.720500000000001</v>
      </c>
      <c r="AQ356" s="178">
        <f t="shared" si="413"/>
        <v>77</v>
      </c>
      <c r="AR356" s="179">
        <f>-Q356*(1-Z356)/(1+X356)*IF(W356="CLIENT",IF(S356=RIGHT(AJ356,3),1/AM356,AM356),IF(W356="VENDOR",IF(S356=RIGHT(AJ356,3),1/AE356,AE356),AE356^(VLOOKUP(AB356,'FX RATES'!$H$1:$J$26,3,FALSE))/AM356^(VLOOKUP(AJ356,'FX RATES'!$H$1:$J$26,3,FALSE))))</f>
        <v>0</v>
      </c>
      <c r="AS356" s="179">
        <f>-I356*(1+X356)/(1-Z356)*IF(W356="VENDOR",IF(K356=RIGHT(AB356,3),1/AE356,AE356),IF(W356="CLIENT",IF(K356=RIGHT(AB356,3),1/AM356,AM356),AM356^(VLOOKUP(AJ356,'FX RATES'!$H$1:$J$26,3,FALSE))/AE356^(VLOOKUP(AB356,'FX RATES'!$H$1:$J$26,3,FALSE))))</f>
        <v>5875369.4170854259</v>
      </c>
      <c r="AT356" s="170">
        <f>IF(AB356&lt;&gt;AJ356,J356/IF(K356=RIGHT(AB356,3),AE356,1/AE356),IF(S356="USD",J356/IF(K356=RIGHT(AB356,3),IF(W356="CLIENT",AM356,AE356),1/IF(W356="CLIENT",AM356,AE356)),J356*VLOOKUP(K356,'FX RATES'!$E$1:$F$10,2,FALSE)))</f>
        <v>-75900</v>
      </c>
      <c r="AU356" s="170">
        <f>IF(AB356&lt;&gt;AJ356,R356/IF(S356=RIGHT(AJ356,3),AM356,1/AM356),IF(K356="USD",R356/IF(S356=RIGHT(AJ356,3),IF(W356="CLIENT",AM356,AE356),1/IF(W356="CLIENT",AM356,AE356)),R356*VLOOKUP(S356,'FX RATES'!$E$1:$F$10,2,FALSE)))</f>
        <v>76214.41713692341</v>
      </c>
      <c r="AV356" s="170">
        <f t="shared" si="414"/>
        <v>314.41713692341</v>
      </c>
      <c r="AW356" s="169"/>
      <c r="AX356" s="170">
        <f t="shared" si="415"/>
        <v>314.41713692341682</v>
      </c>
      <c r="AY356" s="170">
        <f t="shared" si="416"/>
        <v>-75900</v>
      </c>
      <c r="AZ356" s="170" t="str">
        <f t="shared" si="417"/>
        <v>USD</v>
      </c>
      <c r="BA356" s="542">
        <f>IF(OR(A356="REFUND",A356="CANCELLED"),0,IFERROR((IF(OR(AB356="USDAED",LEFT(AB356,3)=RIGHT(AB356,3)),AI356,AG356)-AE356)*-AY356*VLOOKUP(AB356,'FX RATES'!$H$1:$J$26,3,FALSE),0))</f>
        <v>0</v>
      </c>
      <c r="BB356" s="170" t="str">
        <f t="shared" si="418"/>
        <v>USD</v>
      </c>
      <c r="BC356" s="542">
        <f t="shared" si="419"/>
        <v>0</v>
      </c>
      <c r="BD356" s="170">
        <f t="shared" si="420"/>
        <v>0</v>
      </c>
      <c r="BE356" s="542">
        <f t="shared" si="421"/>
        <v>0</v>
      </c>
      <c r="BF356" s="170">
        <f t="shared" si="422"/>
        <v>76214.41713692341</v>
      </c>
      <c r="BG356" s="170" t="str">
        <f t="shared" si="423"/>
        <v>USD</v>
      </c>
      <c r="BH356" s="542">
        <f>IF(OR(A356="REFUND",A356="CANCELLED"),0,IFERROR((IF(OR(AJ356="USDAED",LEFT(AJ356,3)=RIGHT(AJ356,3)),AQ356,AO356)-AM356)*-BF356*VLOOKUP(AJ356,'FX RATES'!$H$1:$J$26,3,FALSE),0))</f>
        <v>6859.2975423233665</v>
      </c>
      <c r="BI356" s="170" t="str">
        <f t="shared" si="424"/>
        <v>RUB</v>
      </c>
      <c r="BJ356" s="542">
        <f t="shared" si="425"/>
        <v>89.081786263939819</v>
      </c>
      <c r="BK356" s="170">
        <f t="shared" si="426"/>
        <v>0</v>
      </c>
      <c r="BL356" s="542">
        <f t="shared" si="427"/>
        <v>89.081786263939819</v>
      </c>
      <c r="BM356" s="170">
        <f t="shared" si="428"/>
        <v>0</v>
      </c>
      <c r="BN356" s="542">
        <f t="shared" si="429"/>
        <v>89.081786263939819</v>
      </c>
    </row>
    <row r="357" spans="1:66" ht="19.5" customHeight="1">
      <c r="A357" s="167" t="s">
        <v>366</v>
      </c>
      <c r="B357" s="181" t="s">
        <v>52</v>
      </c>
      <c r="C357" s="181" t="s">
        <v>383</v>
      </c>
      <c r="D357" s="168" t="s">
        <v>451</v>
      </c>
      <c r="E357" s="171">
        <v>46056</v>
      </c>
      <c r="F357" s="171"/>
      <c r="G357" s="181" t="s">
        <v>52</v>
      </c>
      <c r="H357" s="168" t="s">
        <v>439</v>
      </c>
      <c r="I357" s="169"/>
      <c r="J357" s="170">
        <f t="shared" si="406"/>
        <v>-7690351.6208939999</v>
      </c>
      <c r="K357" s="168" t="s">
        <v>9</v>
      </c>
      <c r="L357" s="171" t="s">
        <v>439</v>
      </c>
      <c r="M357" s="168" t="s">
        <v>439</v>
      </c>
      <c r="N357" s="167" t="s">
        <v>371</v>
      </c>
      <c r="O357" s="168" t="s">
        <v>52</v>
      </c>
      <c r="P357" s="168" t="s">
        <v>103</v>
      </c>
      <c r="Q357" s="169">
        <v>99845.78</v>
      </c>
      <c r="R357" s="170">
        <f t="shared" si="407"/>
        <v>99845.78</v>
      </c>
      <c r="S357" s="168" t="s">
        <v>53</v>
      </c>
      <c r="T357" s="168" t="s">
        <v>420</v>
      </c>
      <c r="U357" s="168" t="s">
        <v>54</v>
      </c>
      <c r="V357" s="167" t="s">
        <v>371</v>
      </c>
      <c r="W357" s="172" t="s">
        <v>375</v>
      </c>
      <c r="X357" s="173">
        <f>IF(Y357="",VLOOKUP(H357,CLIENTS!$A$1:$O$649,5,FALSE),Y357)</f>
        <v>0</v>
      </c>
      <c r="Y357" s="174">
        <v>0</v>
      </c>
      <c r="Z357" s="173">
        <f>IF(AA357="",VLOOKUP(P357,CLIENTS!$A$1:$O$649,5,FALSE),AA357)</f>
        <v>0</v>
      </c>
      <c r="AA357" s="174">
        <v>0</v>
      </c>
      <c r="AB357" s="173" t="str">
        <f>IF(W357="via USD",IF(K357="EUR",K357&amp;"USD","USD"&amp;K357),IFERROR(VLOOKUP(K357&amp;S357,'FX RATES'!$H$2:$H$20,1,FALSE),S357&amp;K357))</f>
        <v>USDRUB</v>
      </c>
      <c r="AC357" s="175">
        <f>IF(LEFT(AB357,3)=RIGHT(AB357,3),0,IFERROR(INDEX(CLIENTS!$A$1:$O$649,MATCH(H357,CLIENTS!$A$1:$A$649,0),MATCH(AB357,CLIENTS!$A$1:$O$1,0)),0))</f>
        <v>0</v>
      </c>
      <c r="AD357" s="176">
        <v>77.022300000000001</v>
      </c>
      <c r="AE357" s="177">
        <f t="shared" si="408"/>
        <v>77.022300000000001</v>
      </c>
      <c r="AF357" s="177" t="str">
        <f t="shared" si="409"/>
        <v>46056USDRUB</v>
      </c>
      <c r="AG357" s="176">
        <v>77</v>
      </c>
      <c r="AH357" s="178">
        <f ca="1">IF(LEFT(AB357,3)=RIGHT(AB357,3),1,VLOOKUP(AB357,'FX RATES'!$H$1:$I$20,2,FALSE))</f>
        <v>76.720500000000001</v>
      </c>
      <c r="AI357" s="178">
        <f t="shared" si="410"/>
        <v>77</v>
      </c>
      <c r="AJ357" s="173" t="str">
        <f>IF(W357="via USD",IF(S357="EUR",S357&amp;"USD","USD"&amp;S357),IFERROR(VLOOKUP(K357&amp;S357,'FX RATES'!$H$2:$H$20,1,FALSE),S357&amp;K357))</f>
        <v>USDUSDT</v>
      </c>
      <c r="AK357" s="175">
        <f>IF(LEFT(AJ357,3)=RIGHT(AJ357,3),0,IFERROR(INDEX(CLIENTS!$A$1:$O$649,MATCH(P357,CLIENTS!$A$1:$A$649,0),MATCH(AJ357,CLIENTS!$A$1:$O$1,0)),0))</f>
        <v>0</v>
      </c>
      <c r="AL357" s="176"/>
      <c r="AM357" s="177">
        <f t="shared" si="411"/>
        <v>1</v>
      </c>
      <c r="AN357" s="177" t="str">
        <f t="shared" si="412"/>
        <v>46056USDUSDT</v>
      </c>
      <c r="AO357" s="176">
        <v>1</v>
      </c>
      <c r="AP357" s="178">
        <f>IF(LEFT(AJ357,3)=RIGHT(AJ357,3),1,VLOOKUP(AJ357,'FX RATES'!$H$1:$I$50,2,FALSE))</f>
        <v>1</v>
      </c>
      <c r="AQ357" s="178">
        <f>IF(OR(AJ357="USDAED",LEFT(AJ357,3)=RIGHT(AJ357,3),AJ357="USDUSDT",AJ357="USDTUSD"),AP357,IF(LEFT(AJ357)="USD",AO357,IF(RIGHT(AJ357,3)="USD",1,IFERROR(VLOOKUP(E357&amp;"USD"&amp;RIGHT(AJ357,3),$AN:$AO,2,FALSE),VLOOKUP(E357&amp;"USD"&amp;RIGHT(AB357,3),$AF:$AG,2,FALSE)))))</f>
        <v>1</v>
      </c>
      <c r="AR357" s="179">
        <f>-Q357*(1-Z357)/(1+X357)*IF(W357="CLIENT",IF(S357=RIGHT(AJ357,3),1/AM357,AM357),IF(W357="VENDOR",IF(S357=RIGHT(AJ357,3),1/AE357,AE357),AE357^(VLOOKUP(AB357,'FX RATES'!$H$1:$J$26,3,FALSE))/AM357^(VLOOKUP(AJ357,'FX RATES'!$H$1:$J$26,3,FALSE))))</f>
        <v>-7690351.6208939999</v>
      </c>
      <c r="AS357" s="179">
        <f>-I357*(1+X357)/(1-Z357)*IF(W357="VENDOR",IF(K357=RIGHT(AB357,3),1/AE357,AE357),IF(W357="CLIENT",IF(K357=RIGHT(AB357,3),1/AM357,AM357),AM357^(VLOOKUP(AJ357,'FX RATES'!$H$1:$J$26,3,FALSE))/AE357^(VLOOKUP(AB357,'FX RATES'!$H$1:$J$26,3,FALSE))))</f>
        <v>0</v>
      </c>
      <c r="AT357" s="170">
        <f>IF(AB357&lt;&gt;AJ357,J357/IF(K357=RIGHT(AB357,3),AE357,1/AE357),IF(S357="USD",J357/IF(K357=RIGHT(AB357,3),IF(W357="CLIENT",AM357,AE357),1/IF(W357="CLIENT",AM357,AE357)),J357*VLOOKUP(K357,'FX RATES'!$E$1:$F$10,2,FALSE)))</f>
        <v>-99845.78</v>
      </c>
      <c r="AU357" s="170">
        <f>IF(AB357&lt;&gt;AJ357,R357/IF(S357=RIGHT(AJ357,3),AM357,1/AM357),IF(K357="USD",R357/IF(S357=RIGHT(AJ357,3),IF(W357="CLIENT",AM357,AE357),1/IF(W357="CLIENT",AM357,AE357)),R357*VLOOKUP(S357,'FX RATES'!$E$1:$F$10,2,FALSE)))</f>
        <v>99845.78</v>
      </c>
      <c r="AV357" s="170">
        <f t="shared" si="414"/>
        <v>0</v>
      </c>
      <c r="AW357" s="169"/>
      <c r="AX357" s="170">
        <f t="shared" si="415"/>
        <v>0</v>
      </c>
      <c r="AY357" s="170">
        <f t="shared" si="416"/>
        <v>-99845.78</v>
      </c>
      <c r="AZ357" s="170" t="str">
        <f t="shared" si="417"/>
        <v>USD</v>
      </c>
      <c r="BA357" s="542">
        <f>IF(OR(A357="REFUND",A357="CANCELLED"),0,IFERROR((IF(OR(AB357="USDAED",LEFT(AB357,3)=RIGHT(AB357,3)),AI357,AG357)-AE357)*-AY357*VLOOKUP(AB357,'FX RATES'!$H$1:$J$26,3,FALSE),0))</f>
        <v>-2226.5608940001316</v>
      </c>
      <c r="BB357" s="170" t="str">
        <f t="shared" si="418"/>
        <v>RUB</v>
      </c>
      <c r="BC357" s="542">
        <f t="shared" si="419"/>
        <v>-28.916375246754956</v>
      </c>
      <c r="BD357" s="170">
        <f t="shared" si="420"/>
        <v>0</v>
      </c>
      <c r="BE357" s="542">
        <f t="shared" si="421"/>
        <v>-28.916375246754956</v>
      </c>
      <c r="BF357" s="170">
        <f t="shared" si="422"/>
        <v>99845.78</v>
      </c>
      <c r="BG357" s="170" t="str">
        <f t="shared" si="423"/>
        <v>USD</v>
      </c>
      <c r="BH357" s="542">
        <f>IF(OR(A357="REFUND",A357="CANCELLED"),0,IFERROR((IF(OR(AJ357="USDAED",LEFT(AJ357,3)=RIGHT(AJ357,3),AJ357="USDUSDT",AJ357="USDTUSD"),AQ357,AO357)-AM357)*-BF357*VLOOKUP(AJ357,'FX RATES'!$H$1:$J$26,3,FALSE),0))</f>
        <v>0</v>
      </c>
      <c r="BI357" s="170" t="str">
        <f>RIGHT(AJ357,4)</f>
        <v>USDT</v>
      </c>
      <c r="BJ357" s="542">
        <f t="shared" si="425"/>
        <v>0</v>
      </c>
      <c r="BK357" s="170">
        <f t="shared" si="426"/>
        <v>0</v>
      </c>
      <c r="BL357" s="542">
        <f t="shared" si="427"/>
        <v>0</v>
      </c>
      <c r="BM357" s="170">
        <f t="shared" si="428"/>
        <v>0</v>
      </c>
      <c r="BN357" s="542">
        <f t="shared" si="429"/>
        <v>-28.916375246754956</v>
      </c>
    </row>
    <row r="358" spans="1:66" ht="19.5" customHeight="1">
      <c r="A358" s="167" t="s">
        <v>366</v>
      </c>
      <c r="B358" s="168" t="s">
        <v>39</v>
      </c>
      <c r="C358" s="168" t="s">
        <v>383</v>
      </c>
      <c r="D358" s="168" t="s">
        <v>128</v>
      </c>
      <c r="E358" s="171">
        <v>46056</v>
      </c>
      <c r="F358" s="171"/>
      <c r="G358" s="168" t="s">
        <v>39</v>
      </c>
      <c r="H358" s="168" t="s">
        <v>384</v>
      </c>
      <c r="I358" s="169">
        <v>-49921000</v>
      </c>
      <c r="J358" s="170">
        <f t="shared" si="406"/>
        <v>-49921000</v>
      </c>
      <c r="K358" s="168" t="s">
        <v>9</v>
      </c>
      <c r="L358" s="171" t="s">
        <v>374</v>
      </c>
      <c r="M358" s="168" t="s">
        <v>374</v>
      </c>
      <c r="N358" s="167" t="s">
        <v>371</v>
      </c>
      <c r="O358" s="168" t="s">
        <v>39</v>
      </c>
      <c r="P358" s="349" t="s">
        <v>384</v>
      </c>
      <c r="Q358" s="169"/>
      <c r="R358" s="170">
        <f t="shared" si="407"/>
        <v>2378323.0109575987</v>
      </c>
      <c r="S358" s="168" t="s">
        <v>8</v>
      </c>
      <c r="T358" s="171" t="s">
        <v>385</v>
      </c>
      <c r="U358" s="168" t="s">
        <v>20</v>
      </c>
      <c r="V358" s="167" t="s">
        <v>371</v>
      </c>
      <c r="W358" s="172" t="s">
        <v>382</v>
      </c>
      <c r="X358" s="173">
        <f>IF(Y358="",VLOOKUP(H358,CLIENTS!$A$1:$O$649,5,FALSE),Y358)</f>
        <v>0</v>
      </c>
      <c r="Y358" s="174">
        <v>0</v>
      </c>
      <c r="Z358" s="173">
        <f>IF(AA358="",VLOOKUP(P358,CLIENTS!$A$1:$O$649,5,FALSE),AA358)</f>
        <v>0</v>
      </c>
      <c r="AA358" s="174">
        <v>0</v>
      </c>
      <c r="AB358" s="173" t="str">
        <f>IF(W358="via USD",IF(K358="EUR",K358&amp;"USD","USD"&amp;K358),IFERROR(VLOOKUP(K358&amp;S358,'FX RATES'!$H$2:$H$20,1,FALSE),S358&amp;K358))</f>
        <v>AEDRUB</v>
      </c>
      <c r="AC358" s="175">
        <f>IF(LEFT(AB358,3)=RIGHT(AB358,3),0,IFERROR(INDEX(CLIENTS!$A$1:$O$649,MATCH(H358,CLIENTS!$A$1:$A$649,0),MATCH(AB358,CLIENTS!$A$1:$O$1,0)),0))</f>
        <v>0</v>
      </c>
      <c r="AD358" s="176">
        <v>20.99</v>
      </c>
      <c r="AE358" s="177">
        <f t="shared" si="408"/>
        <v>20.99</v>
      </c>
      <c r="AF358" s="177" t="str">
        <f t="shared" si="409"/>
        <v>46056AEDRUB</v>
      </c>
      <c r="AG358" s="176">
        <v>20.9666</v>
      </c>
      <c r="AH358" s="178">
        <f ca="1">IF(LEFT(AB358,3)=RIGHT(AB358,3),1,VLOOKUP(AB358,'FX RATES'!$H$1:$I$20,2,FALSE))</f>
        <v>20.8843</v>
      </c>
      <c r="AI358" s="178">
        <f t="shared" si="410"/>
        <v>77</v>
      </c>
      <c r="AJ358" s="173" t="str">
        <f>IF(W358="via USD",IF(S358="EUR",S358&amp;"USD","USD"&amp;S358),IFERROR(VLOOKUP(K358&amp;S358,'FX RATES'!$H$2:$H$20,1,FALSE),S358&amp;K358))</f>
        <v>AEDRUB</v>
      </c>
      <c r="AK358" s="175">
        <f>IF(LEFT(AJ358,3)=RIGHT(AJ358,3),0,IFERROR(INDEX(CLIENTS!$A$1:$O$649,MATCH(P358,CLIENTS!$A$1:$A$649,0),MATCH(AJ358,CLIENTS!$A$1:$O$1,0)),0))</f>
        <v>0</v>
      </c>
      <c r="AL358" s="176"/>
      <c r="AM358" s="177" t="str">
        <f t="shared" si="411"/>
        <v/>
      </c>
      <c r="AN358" s="177" t="str">
        <f t="shared" si="412"/>
        <v>46056AEDRUB</v>
      </c>
      <c r="AO358" s="176"/>
      <c r="AP358" s="178">
        <f ca="1">IF(LEFT(AJ358,3)=RIGHT(AJ358,3),1,VLOOKUP(AJ358,'FX RATES'!$H$1:$I$20,2,FALSE))</f>
        <v>20.8843</v>
      </c>
      <c r="AQ358" s="178">
        <f>IF(OR(AJ358="USDAED",LEFT(AJ358,3)=RIGHT(AJ358,3)),AP358,IF(LEFT(AJ358)="USD",AO358,IF(RIGHT(AJ358,3)="USD",1,IFERROR(VLOOKUP(E358&amp;"USD"&amp;RIGHT(AJ358,3),$AN:$AO,2,FALSE),VLOOKUP(E358&amp;"USD"&amp;RIGHT(AB358,3),$AF:$AG,2,FALSE)))))</f>
        <v>77</v>
      </c>
      <c r="AR358" s="179">
        <f>-Q358*(1-Z358)/(1+X358)*IF(W358="CLIENT",IF(S358=RIGHT(AJ358,3),1/AM358,AM358),IF(W358="VENDOR",IF(S358=RIGHT(AJ358,3),1/AE358,AE358),AE358^(VLOOKUP(AB358,'FX RATES'!$H$1:$J$26,3,FALSE))/AM358^(VLOOKUP(AJ358,'FX RATES'!$H$1:$J$26,3,FALSE))))</f>
        <v>0</v>
      </c>
      <c r="AS358" s="179">
        <f>-I358*(1+X358)/(1-Z358)*IF(W358="VENDOR",IF(K358=RIGHT(AB358,3),1/AE358,AE358),IF(W358="CLIENT",IF(K358=RIGHT(AB358,3),1/AM358,AM358),AM358^(VLOOKUP(AJ358,'FX RATES'!$H$1:$J$26,3,FALSE))/AE358^(VLOOKUP(AB358,'FX RATES'!$H$1:$J$26,3,FALSE))))</f>
        <v>2378323.0109575987</v>
      </c>
      <c r="AT358" s="170">
        <f ca="1">IF(AB358&lt;&gt;AJ358,J358/IF(K358=RIGHT(AB358,3),AE358,1/AE358),IF(S358="USD",J358/IF(K358=RIGHT(AB358,3),IF(W358="CLIENT",AM358,AE358),1/IF(W358="CLIENT",AM358,AE358)),J358*VLOOKUP(K358,'FX RATES'!$E$1:$F$10,2,FALSE)))</f>
        <v>-650686.58311663766</v>
      </c>
      <c r="AU358" s="170">
        <f ca="1">IF(AB358&lt;&gt;AJ358,R358/IF(S358=RIGHT(AJ358,3),AM358,1/AM358),IF(K358="USD",R358/IF(S358=RIGHT(AJ358,3),IF(W358="CLIENT",AM358,AE358),1/IF(W358="CLIENT",AM358,AE358)),R358*VLOOKUP(S358,'FX RATES'!$E$1:$F$10,2,FALSE)))</f>
        <v>647585.63713924703</v>
      </c>
      <c r="AV358" s="170">
        <f t="shared" ca="1" si="414"/>
        <v>-3100.9459773906274</v>
      </c>
      <c r="AW358" s="169"/>
      <c r="AX358" s="170">
        <f t="shared" ca="1" si="415"/>
        <v>0</v>
      </c>
      <c r="AY358" s="170">
        <f t="shared" si="416"/>
        <v>-2378323.0109575987</v>
      </c>
      <c r="AZ358" s="170" t="str">
        <f t="shared" si="417"/>
        <v>AED</v>
      </c>
      <c r="BA358" s="542">
        <f>IF(OR(A358="REFUND",A358="CANCELLED"),0,IFERROR((IF(OR(AB358="USDAED",LEFT(AB358,3)=RIGHT(AB358,3)),AI358,AG358)-AE358)*-AY358*VLOOKUP(AB358,'FX RATES'!$H$1:$J$26,3,FALSE),0))</f>
        <v>-55652.758456404852</v>
      </c>
      <c r="BB358" s="170" t="str">
        <f t="shared" si="418"/>
        <v>RUB</v>
      </c>
      <c r="BC358" s="542">
        <f t="shared" si="419"/>
        <v>-722.7630968364266</v>
      </c>
      <c r="BD358" s="170">
        <f t="shared" si="420"/>
        <v>0</v>
      </c>
      <c r="BE358" s="542">
        <f t="shared" si="421"/>
        <v>-722.7630968364266</v>
      </c>
      <c r="BF358" s="170">
        <f t="shared" si="422"/>
        <v>2378323.0109575987</v>
      </c>
      <c r="BG358" s="170" t="str">
        <f t="shared" si="423"/>
        <v>AED</v>
      </c>
      <c r="BH358" s="542">
        <f>IF(OR(A358="REFUND",A358="CANCELLED"),0,IFERROR((IF(OR(AJ358="USDAED",LEFT(AJ358,3)=RIGHT(AJ358,3)),AQ358,AO358)-AM358)*-BF358*VLOOKUP(AJ358,'FX RATES'!$H$1:$J$26,3,FALSE),0))</f>
        <v>0</v>
      </c>
      <c r="BI358" s="170" t="str">
        <f>RIGHT(AJ358,3)</f>
        <v>RUB</v>
      </c>
      <c r="BJ358" s="542">
        <f t="shared" si="425"/>
        <v>0</v>
      </c>
      <c r="BK358" s="170">
        <f t="shared" si="426"/>
        <v>0</v>
      </c>
      <c r="BL358" s="542">
        <f t="shared" si="427"/>
        <v>0</v>
      </c>
      <c r="BM358" s="170">
        <f t="shared" si="428"/>
        <v>0</v>
      </c>
      <c r="BN358" s="542">
        <f t="shared" si="429"/>
        <v>-722.7630968364266</v>
      </c>
    </row>
    <row r="359" spans="1:66" ht="19.5" customHeight="1">
      <c r="J359" s="450"/>
    </row>
    <row r="360" spans="1:66" ht="19.5" customHeight="1">
      <c r="A360" s="167" t="s">
        <v>366</v>
      </c>
      <c r="B360" s="225" t="s">
        <v>42</v>
      </c>
      <c r="C360" s="225" t="s">
        <v>367</v>
      </c>
      <c r="D360" s="225" t="s">
        <v>368</v>
      </c>
      <c r="E360" s="226">
        <v>46056</v>
      </c>
      <c r="F360" s="226"/>
      <c r="G360" s="225" t="s">
        <v>42</v>
      </c>
      <c r="H360" s="225" t="s">
        <v>386</v>
      </c>
      <c r="I360" s="227">
        <v>-7000000</v>
      </c>
      <c r="J360" s="170">
        <f>IF(I360="",AR360,I360)</f>
        <v>-7000000</v>
      </c>
      <c r="K360" s="225" t="s">
        <v>7</v>
      </c>
      <c r="L360" s="226" t="s">
        <v>387</v>
      </c>
      <c r="M360" s="225" t="s">
        <v>22</v>
      </c>
      <c r="N360" s="167" t="s">
        <v>371</v>
      </c>
      <c r="O360" s="225" t="s">
        <v>52</v>
      </c>
      <c r="P360" s="225" t="s">
        <v>388</v>
      </c>
      <c r="Q360" s="227"/>
      <c r="R360" s="170">
        <f>IF(Q360="",AS360,Q360)</f>
        <v>77700000</v>
      </c>
      <c r="S360" s="225" t="s">
        <v>9</v>
      </c>
      <c r="T360" s="226" t="s">
        <v>373</v>
      </c>
      <c r="U360" s="226" t="s">
        <v>25</v>
      </c>
      <c r="V360" s="167" t="s">
        <v>371</v>
      </c>
      <c r="W360" s="230" t="s">
        <v>389</v>
      </c>
      <c r="X360" s="173">
        <f>IF(Y360="",VLOOKUP(H360,CLIENTS!$A$1:$O$649,5,FALSE),Y360)</f>
        <v>0</v>
      </c>
      <c r="Y360" s="234">
        <v>0</v>
      </c>
      <c r="Z360" s="173">
        <f>IF(AA360="",VLOOKUP(P360,CLIENTS!$A$1:$O$649,5,FALSE),AA360)</f>
        <v>3.6036036036035668E-3</v>
      </c>
      <c r="AA360" s="234">
        <v>3.6036036036035668E-3</v>
      </c>
      <c r="AB360" s="173" t="str">
        <f>IF(W360="via USD",IF(K360="EUR",K360&amp;"USD","USD"&amp;K360),IFERROR(VLOOKUP(K360&amp;S360,'FX RATES'!$H$2:$H$20,1,FALSE),S360&amp;K360))</f>
        <v>CNYRUB</v>
      </c>
      <c r="AC360" s="175">
        <f>IF(LEFT(AB360,3)=RIGHT(AB360,3),0,IFERROR(INDEX(CLIENTS!$A$1:$O$649,MATCH(H360,CLIENTS!$A$1:$A$649,0),MATCH(AB360,CLIENTS!$A$1:$O$1,0)),0))</f>
        <v>0</v>
      </c>
      <c r="AD360" s="176"/>
      <c r="AE360" s="177" t="str">
        <f>IF(W360="CLIENT","",IF(AD360="",AH360+AC360,AD360+AC360))</f>
        <v/>
      </c>
      <c r="AF360" s="177" t="str">
        <f>E360&amp;AB360</f>
        <v>46056CNYRUB</v>
      </c>
      <c r="AG360" s="176"/>
      <c r="AH360" s="178">
        <f ca="1">IF(LEFT(AB360,3)=RIGHT(AB360,3),1,VLOOKUP(AB360,'FX RATES'!$H$1:$I$20,2,FALSE))</f>
        <v>11.103899999999999</v>
      </c>
      <c r="AI360" s="178">
        <f>IF(OR(AB360="USDAED",LEFT(AB360,3)=RIGHT(AB360,3)),AH360,IF(LEFT(AB360)="USD",AG360,IF(RIGHT(AB360,3)="USD",1,IFERROR(VLOOKUP(E360&amp;"USD"&amp;RIGHT(AB360,3),$AF:$AG,2,FALSE),VLOOKUP(E360&amp;"USD"&amp;RIGHT(AJ360,3),$AN:$AO,2,FALSE)))))</f>
        <v>77</v>
      </c>
      <c r="AJ360" s="173" t="str">
        <f>IF(W360="via USD",IF(S360="EUR",S360&amp;"USD","USD"&amp;S360),IFERROR(VLOOKUP(K360&amp;S360,'FX RATES'!$H$2:$H$20,1,FALSE),S360&amp;K360))</f>
        <v>CNYRUB</v>
      </c>
      <c r="AK360" s="175">
        <f>IF(LEFT(AJ360,3)=RIGHT(AJ360,3),0,IFERROR(INDEX(CLIENTS!$A$1:$O$649,MATCH(P360,CLIENTS!$A$1:$A$649,0),MATCH(AJ360,CLIENTS!$A$1:$O$1,0)),0))</f>
        <v>0</v>
      </c>
      <c r="AL360" s="176">
        <v>11.06</v>
      </c>
      <c r="AM360" s="177">
        <f>IF(W360="VENDOR","",IF(AL360="",AP360+AK360,AL360+AK360))</f>
        <v>11.06</v>
      </c>
      <c r="AN360" s="177" t="str">
        <f>E360&amp;AJ360</f>
        <v>46056CNYRUB</v>
      </c>
      <c r="AO360" s="176">
        <v>11.1</v>
      </c>
      <c r="AP360" s="178">
        <f ca="1">IF(LEFT(AJ360,3)=RIGHT(AJ360,3),1,VLOOKUP(AJ360,'FX RATES'!$H$1:$I$20,2,FALSE))</f>
        <v>11.103899999999999</v>
      </c>
      <c r="AQ360" s="178">
        <f>IF(OR(AJ360="USDAED",LEFT(AJ360,3)=RIGHT(AJ360,3)),AP360,IF(LEFT(AJ360)="USD",AO360,IF(RIGHT(AJ360,3)="USD",1,IFERROR(VLOOKUP(E360&amp;"USD"&amp;RIGHT(AJ360,3),$AN:$AO,2,FALSE),VLOOKUP(E360&amp;"USD"&amp;RIGHT(AB360,3),$AF:$AG,2,FALSE)))))</f>
        <v>77</v>
      </c>
      <c r="AR360" s="179">
        <f>-Q360*(1-Z360)/(1+X360)*IF(W360="CLIENT",IF(S360=RIGHT(AJ360,3),1/AM360,AM360),IF(W360="VENDOR",IF(S360=RIGHT(AJ360,3),1/AE360,AE360),AE360^(VLOOKUP(AB360,'FX RATES'!$H$1:$J$26,3,FALSE))/AM360^(VLOOKUP(AJ360,'FX RATES'!$H$1:$J$26,3,FALSE))))</f>
        <v>0</v>
      </c>
      <c r="AS360" s="179">
        <f>-I360*(1+X360)/(1-Z360)*IF(W360="VENDOR",IF(K360=RIGHT(AB360,3),1/AE360,AE360),IF(W360="CLIENT",IF(K360=RIGHT(AB360,3),1/AM360,AM360),AM360^(VLOOKUP(AJ360,'FX RATES'!$H$1:$J$26,3,FALSE))/AE360^(VLOOKUP(AB360,'FX RATES'!$H$1:$J$26,3,FALSE))))</f>
        <v>77700000</v>
      </c>
      <c r="AT360" s="170">
        <f ca="1">IF(AB360&lt;&gt;AJ360,J360/IF(K360=RIGHT(AB360,3),AE360,1/AE360),IF(S360="USD",J360/IF(K360=RIGHT(AB360,3),IF(W360="CLIENT",AM360,AE360),1/IF(W360="CLIENT",AM360,AE360)),J360*VLOOKUP(K360,'FX RATES'!$E$1:$F$10,2,FALSE)))</f>
        <v>-1013317.892298784</v>
      </c>
      <c r="AU360" s="170">
        <f ca="1">IF(AB360&lt;&gt;AJ360,R360/IF(S360=RIGHT(AJ360,3),AM360,1/AM360),IF(K360="USD",R360/IF(S360=RIGHT(AJ360,3),IF(W360="CLIENT",AM360,AE360),1/IF(W360="CLIENT",AM360,AE360)),R360*VLOOKUP(S360,'FX RATES'!$E$1:$F$10,2,FALSE)))</f>
        <v>1012767.1222163568</v>
      </c>
      <c r="AV360" s="170">
        <f ca="1">AT360+AU360</f>
        <v>-550.77008242718875</v>
      </c>
      <c r="AW360" s="227"/>
      <c r="AX360" s="170">
        <f ca="1">IF(AND(ISERROR(SEARCH("INVOICE",T360)),ISERROR(SEARCH("SWITCH",T360)),ISERROR(SEARCH("FOREX",T360)),ISERROR(SEARCH("REFUND",A360)),ISERROR(SEARCH("CANCELLED",A360))),IF(AW360="",-AT360*X360+AU360*Z360,AW360),0)</f>
        <v>3649.6112512300774</v>
      </c>
      <c r="AY360" s="170">
        <f>IF(AZ360="USD",AT360,IF(AZ360=K360,J360,-R360))</f>
        <v>-7000000</v>
      </c>
      <c r="AZ360" s="170" t="str">
        <f>LEFT(AB360,3)</f>
        <v>CNY</v>
      </c>
      <c r="BA360" s="542">
        <f>IF(OR(A360="REFUND",A360="CANCELLED"),0,IFERROR((IF(OR(AB360="USDAED",LEFT(AB360,3)=RIGHT(AB360,3)),AI360,AG360)-AE360)*-AY360*VLOOKUP(AB360,'FX RATES'!$H$1:$J$26,3,FALSE),0))</f>
        <v>0</v>
      </c>
      <c r="BB360" s="170" t="str">
        <f>RIGHT(AB360,3)</f>
        <v>RUB</v>
      </c>
      <c r="BC360" s="542">
        <f>IF(BA360=0,0,IFERROR(BA360/IF(BB360&lt;&gt;"USD",AI360,1),"???"))</f>
        <v>0</v>
      </c>
      <c r="BD360" s="170">
        <f>IFERROR(-AC360/(IF(OR(AB360="USDAED",LEFT(AB360,3)=RIGHT(AB360,3)),AH360,AG360)-AE360)*BC360,0)</f>
        <v>0</v>
      </c>
      <c r="BE360" s="542">
        <f>BC360-BD360</f>
        <v>0</v>
      </c>
      <c r="BF360" s="170">
        <f>IF(BG360="USD",AU360,IF(BG360=S360,R360,-J360))</f>
        <v>7000000</v>
      </c>
      <c r="BG360" s="170" t="str">
        <f>LEFT(AJ360,3)</f>
        <v>CNY</v>
      </c>
      <c r="BH360" s="542">
        <f>IF(OR(A360="REFUND",A360="CANCELLED"),0,IFERROR((IF(OR(AJ360="USDAED",LEFT(AJ360,3)=RIGHT(AJ360,3)),AQ360,AO360)-AM360)*-BF360*VLOOKUP(AJ360,'FX RATES'!$H$1:$J$26,3,FALSE),0))</f>
        <v>-279999.999999994</v>
      </c>
      <c r="BI360" s="170" t="str">
        <f>RIGHT(AJ360,3)</f>
        <v>RUB</v>
      </c>
      <c r="BJ360" s="542">
        <f>IF(BH360=0,0,IFERROR(BH360/IF(BI360&lt;&gt;"USD",AQ360,1),"???"))</f>
        <v>-3636.3636363635587</v>
      </c>
      <c r="BK360" s="170">
        <f>IFERROR(-AK360/(IF(OR(AJ360="USDAED",LEFT(AJ360,3)=RIGHT(AJ360,3)),AP360,AO360)-AM360)*BJ360,0)</f>
        <v>0</v>
      </c>
      <c r="BL360" s="542">
        <f>BJ360-BK360</f>
        <v>-3636.3636363635587</v>
      </c>
      <c r="BM360" s="170">
        <f>IF(AND(ISERROR(SEARCH("REFUND",A360)),ISERROR(SEARCH("CANCELLED",A360))),BD360+BK360,0)</f>
        <v>0</v>
      </c>
      <c r="BN360" s="542">
        <f>IF(AND(ISERROR(SEARCH("REFUND",A360)),ISERROR(SEARCH("CANCELLED",A360))),BE360+BL360,0)</f>
        <v>-3636.3636363635587</v>
      </c>
    </row>
    <row r="361" spans="1:66" ht="19.5" customHeight="1">
      <c r="A361" s="167" t="s">
        <v>366</v>
      </c>
      <c r="B361" s="225" t="s">
        <v>42</v>
      </c>
      <c r="C361" s="225" t="s">
        <v>367</v>
      </c>
      <c r="D361" s="225" t="s">
        <v>368</v>
      </c>
      <c r="E361" s="226">
        <v>46056</v>
      </c>
      <c r="F361" s="226"/>
      <c r="G361" s="225" t="s">
        <v>42</v>
      </c>
      <c r="H361" s="225" t="s">
        <v>430</v>
      </c>
      <c r="I361" s="227">
        <v>-2000000</v>
      </c>
      <c r="J361" s="170">
        <f>IF(I361="",AR361,I361)</f>
        <v>-2000000</v>
      </c>
      <c r="K361" s="225" t="s">
        <v>7</v>
      </c>
      <c r="L361" s="226" t="s">
        <v>37</v>
      </c>
      <c r="M361" s="225" t="s">
        <v>22</v>
      </c>
      <c r="N361" s="167" t="s">
        <v>371</v>
      </c>
      <c r="O361" s="225" t="s">
        <v>52</v>
      </c>
      <c r="P361" s="225" t="s">
        <v>573</v>
      </c>
      <c r="Q361" s="227"/>
      <c r="R361" s="170">
        <f>IF(Q361="",AS361,Q361)</f>
        <v>22231155.778894473</v>
      </c>
      <c r="S361" s="225" t="s">
        <v>9</v>
      </c>
      <c r="T361" s="226" t="s">
        <v>25</v>
      </c>
      <c r="U361" s="225" t="s">
        <v>25</v>
      </c>
      <c r="V361" s="167" t="s">
        <v>371</v>
      </c>
      <c r="W361" s="230" t="s">
        <v>389</v>
      </c>
      <c r="X361" s="173">
        <f>IF(Y361="",VLOOKUP(H361,CLIENTS!$A$1:$O$649,5,FALSE),Y361)</f>
        <v>0</v>
      </c>
      <c r="Y361" s="234">
        <v>0</v>
      </c>
      <c r="Z361" s="173">
        <f>IF(AA361="",VLOOKUP(P361,CLIENTS!$A$1:$O$649,5,FALSE),AA361)</f>
        <v>5.0000000000000001E-3</v>
      </c>
      <c r="AA361" s="234">
        <v>5.0000000000000001E-3</v>
      </c>
      <c r="AB361" s="173" t="str">
        <f>IF(W361="via USD",IF(K361="EUR",K361&amp;"USD","USD"&amp;K361),IFERROR(VLOOKUP(K361&amp;S361,'FX RATES'!$H$2:$H$20,1,FALSE),S361&amp;K361))</f>
        <v>CNYRUB</v>
      </c>
      <c r="AC361" s="175">
        <f>IF(LEFT(AB361,3)=RIGHT(AB361,3),0,IFERROR(INDEX(CLIENTS!$A$1:$O$649,MATCH(H361,CLIENTS!$A$1:$A$649,0),MATCH(AB361,CLIENTS!$A$1:$O$1,0)),0))</f>
        <v>0</v>
      </c>
      <c r="AD361" s="176"/>
      <c r="AE361" s="177" t="str">
        <f>IF(W361="CLIENT","",IF(AD361="",AH361+AC361,AD361+AC361))</f>
        <v/>
      </c>
      <c r="AF361" s="177" t="str">
        <f>E361&amp;AB361</f>
        <v>46056CNYRUB</v>
      </c>
      <c r="AG361" s="176"/>
      <c r="AH361" s="178">
        <f ca="1">IF(LEFT(AB361,3)=RIGHT(AB361,3),1,VLOOKUP(AB361,'FX RATES'!$H$1:$I$20,2,FALSE))</f>
        <v>11.103899999999999</v>
      </c>
      <c r="AI361" s="178">
        <f>IF(OR(AB361="USDAED",LEFT(AB361,3)=RIGHT(AB361,3)),AH361,IF(LEFT(AB361)="USD",AG361,IF(RIGHT(AB361,3)="USD",1,IFERROR(VLOOKUP(E361&amp;"USD"&amp;RIGHT(AB361,3),$AF:$AG,2,FALSE),VLOOKUP(E361&amp;"USD"&amp;RIGHT(AJ361,3),$AN:$AO,2,FALSE)))))</f>
        <v>77</v>
      </c>
      <c r="AJ361" s="173" t="str">
        <f>IF(W361="via USD",IF(S361="EUR",S361&amp;"USD","USD"&amp;S361),IFERROR(VLOOKUP(K361&amp;S361,'FX RATES'!$H$2:$H$20,1,FALSE),S361&amp;K361))</f>
        <v>CNYRUB</v>
      </c>
      <c r="AK361" s="175">
        <f>IF(LEFT(AJ361,3)=RIGHT(AJ361,3),0,IFERROR(INDEX(CLIENTS!$A$1:$O$649,MATCH(P361,CLIENTS!$A$1:$A$649,0),MATCH(AJ361,CLIENTS!$A$1:$O$1,0)),0))</f>
        <v>0</v>
      </c>
      <c r="AL361" s="176">
        <v>11.06</v>
      </c>
      <c r="AM361" s="177">
        <f>IF(W361="VENDOR","",IF(AL361="",AP361+AK361,AL361+AK361))</f>
        <v>11.06</v>
      </c>
      <c r="AN361" s="177" t="str">
        <f>E361&amp;AJ361</f>
        <v>46056CNYRUB</v>
      </c>
      <c r="AO361" s="176">
        <v>11.1</v>
      </c>
      <c r="AP361" s="178">
        <f ca="1">IF(LEFT(AJ361,3)=RIGHT(AJ361,3),1,VLOOKUP(AJ361,'FX RATES'!$H$1:$I$20,2,FALSE))</f>
        <v>11.103899999999999</v>
      </c>
      <c r="AQ361" s="178">
        <f>IF(OR(AJ361="USDAED",LEFT(AJ361,3)=RIGHT(AJ361,3)),AP361,IF(LEFT(AJ361)="USD",AO361,IF(RIGHT(AJ361,3)="USD",1,IFERROR(VLOOKUP(E361&amp;"USD"&amp;RIGHT(AJ361,3),$AN:$AO,2,FALSE),VLOOKUP(E361&amp;"USD"&amp;RIGHT(AB361,3),$AF:$AG,2,FALSE)))))</f>
        <v>77</v>
      </c>
      <c r="AR361" s="179">
        <f>-Q361*(1-Z361)/(1+X361)*IF(W361="CLIENT",IF(S361=RIGHT(AJ361,3),1/AM361,AM361),IF(W361="VENDOR",IF(S361=RIGHT(AJ361,3),1/AE361,AE361),AE361^(VLOOKUP(AB361,'FX RATES'!$H$1:$J$26,3,FALSE))/AM361^(VLOOKUP(AJ361,'FX RATES'!$H$1:$J$26,3,FALSE))))</f>
        <v>0</v>
      </c>
      <c r="AS361" s="179">
        <f>-I361*(1+X361)/(1-Z361)*IF(W361="VENDOR",IF(K361=RIGHT(AB361,3),1/AE361,AE361),IF(W361="CLIENT",IF(K361=RIGHT(AB361,3),1/AM361,AM361),AM361^(VLOOKUP(AJ361,'FX RATES'!$H$1:$J$26,3,FALSE))/AE361^(VLOOKUP(AB361,'FX RATES'!$H$1:$J$26,3,FALSE))))</f>
        <v>22231155.778894473</v>
      </c>
      <c r="AT361" s="170">
        <f ca="1">IF(AB361&lt;&gt;AJ361,J361/IF(K361=RIGHT(AB361,3),AE361,1/AE361),IF(S361="USD",J361/IF(K361=RIGHT(AB361,3),IF(W361="CLIENT",AM361,AE361),1/IF(W361="CLIENT",AM361,AE361)),J361*VLOOKUP(K361,'FX RATES'!$E$1:$F$10,2,FALSE)))</f>
        <v>-289519.39779965259</v>
      </c>
      <c r="AU361" s="170">
        <f ca="1">IF(AB361&lt;&gt;AJ361,R361/IF(S361=RIGHT(AJ361,3),AM361,1/AM361),IF(K361="USD",R361/IF(S361=RIGHT(AJ361,3),IF(W361="CLIENT",AM361,AE361),1/IF(W361="CLIENT",AM361,AE361)),R361*VLOOKUP(S361,'FX RATES'!$E$1:$F$10,2,FALSE)))</f>
        <v>289768.12949465233</v>
      </c>
      <c r="AV361" s="170">
        <f ca="1">AT361+AU361</f>
        <v>248.73169499973301</v>
      </c>
      <c r="AW361" s="227"/>
      <c r="AX361" s="170">
        <f ca="1">IF(AND(ISERROR(SEARCH("INVOICE",T361)),ISERROR(SEARCH("SWITCH",T361)),ISERROR(SEARCH("FOREX",T361)),ISERROR(SEARCH("REFUND",A361)),ISERROR(SEARCH("CANCELLED",A361))),IF(AW361="",-AT361*X361+AU361*Z361,AW361),0)</f>
        <v>1448.8406474732617</v>
      </c>
      <c r="AY361" s="170">
        <f>IF(AZ361="USD",AT361,IF(AZ361=K361,J361,-R361))</f>
        <v>-2000000</v>
      </c>
      <c r="AZ361" s="170" t="str">
        <f>LEFT(AB361,3)</f>
        <v>CNY</v>
      </c>
      <c r="BA361" s="542">
        <f>IF(OR(A361="REFUND",A361="CANCELLED"),0,IFERROR((IF(OR(AB361="USDAED",LEFT(AB361,3)=RIGHT(AB361,3)),AI361,AG361)-AE361)*-AY361*VLOOKUP(AB361,'FX RATES'!$H$1:$J$26,3,FALSE),0))</f>
        <v>0</v>
      </c>
      <c r="BB361" s="170" t="str">
        <f>RIGHT(AB361,3)</f>
        <v>RUB</v>
      </c>
      <c r="BC361" s="542">
        <f>IF(BA361=0,0,IFERROR(BA361/IF(BB361&lt;&gt;"USD",AI361,1),"???"))</f>
        <v>0</v>
      </c>
      <c r="BD361" s="170">
        <f>IFERROR(-AC361/(IF(OR(AB361="USDAED",LEFT(AB361,3)=RIGHT(AB361,3)),AH361,AG361)-AE361)*BC361,0)</f>
        <v>0</v>
      </c>
      <c r="BE361" s="542">
        <f>BC361-BD361</f>
        <v>0</v>
      </c>
      <c r="BF361" s="170">
        <f>IF(BG361="USD",AU361,IF(BG361=S361,R361,-J361))</f>
        <v>2000000</v>
      </c>
      <c r="BG361" s="170" t="str">
        <f>LEFT(AJ361,3)</f>
        <v>CNY</v>
      </c>
      <c r="BH361" s="542">
        <f>IF(OR(A361="REFUND",A361="CANCELLED"),0,IFERROR((IF(OR(AJ361="USDAED",LEFT(AJ361,3)=RIGHT(AJ361,3)),AQ361,AO361)-AM361)*-BF361*VLOOKUP(AJ361,'FX RATES'!$H$1:$J$26,3,FALSE),0))</f>
        <v>-79999.999999998297</v>
      </c>
      <c r="BI361" s="170" t="str">
        <f>RIGHT(AJ361,3)</f>
        <v>RUB</v>
      </c>
      <c r="BJ361" s="542">
        <f>IF(BH361=0,0,IFERROR(BH361/IF(BI361&lt;&gt;"USD",AQ361,1),"???"))</f>
        <v>-1038.9610389610168</v>
      </c>
      <c r="BK361" s="170">
        <f>IFERROR(-AK361/(IF(OR(AJ361="USDAED",LEFT(AJ361,3)=RIGHT(AJ361,3)),AP361,AO361)-AM361)*BJ361,0)</f>
        <v>0</v>
      </c>
      <c r="BL361" s="542">
        <f>BJ361-BK361</f>
        <v>-1038.9610389610168</v>
      </c>
      <c r="BM361" s="170">
        <f>IF(AND(ISERROR(SEARCH("REFUND",A361)),ISERROR(SEARCH("CANCELLED",A361))),BD361+BK361,0)</f>
        <v>0</v>
      </c>
      <c r="BN361" s="542">
        <f>IF(AND(ISERROR(SEARCH("REFUND",A361)),ISERROR(SEARCH("CANCELLED",A361))),BE361+BL361,0)</f>
        <v>-1038.9610389610168</v>
      </c>
    </row>
    <row r="362" spans="1:66" ht="19.5" customHeight="1">
      <c r="A362" s="167" t="s">
        <v>366</v>
      </c>
      <c r="B362" s="225" t="s">
        <v>42</v>
      </c>
      <c r="C362" s="225" t="s">
        <v>367</v>
      </c>
      <c r="D362" s="225" t="s">
        <v>368</v>
      </c>
      <c r="E362" s="226">
        <v>46056</v>
      </c>
      <c r="F362" s="226"/>
      <c r="G362" s="225" t="s">
        <v>42</v>
      </c>
      <c r="H362" s="225" t="s">
        <v>550</v>
      </c>
      <c r="I362" s="227">
        <v>-2200000</v>
      </c>
      <c r="J362" s="170">
        <f>IF(I362="",AR362,I362)</f>
        <v>-2200000</v>
      </c>
      <c r="K362" s="225" t="s">
        <v>7</v>
      </c>
      <c r="L362" s="226" t="s">
        <v>37</v>
      </c>
      <c r="M362" s="225" t="s">
        <v>22</v>
      </c>
      <c r="N362" s="167" t="s">
        <v>371</v>
      </c>
      <c r="O362" s="225" t="s">
        <v>52</v>
      </c>
      <c r="P362" s="225" t="s">
        <v>551</v>
      </c>
      <c r="Q362" s="227"/>
      <c r="R362" s="170">
        <f>IF(Q362="",AS362,Q362)</f>
        <v>24398000.000000004</v>
      </c>
      <c r="S362" s="225" t="s">
        <v>9</v>
      </c>
      <c r="T362" s="225" t="s">
        <v>502</v>
      </c>
      <c r="U362" s="225" t="s">
        <v>25</v>
      </c>
      <c r="V362" s="167" t="s">
        <v>371</v>
      </c>
      <c r="W362" s="230" t="s">
        <v>389</v>
      </c>
      <c r="X362" s="173">
        <f>IF(Y362="",VLOOKUP(H362,CLIENTS!$A$1:$O$649,5,FALSE),Y362)</f>
        <v>0</v>
      </c>
      <c r="Y362" s="234">
        <v>0</v>
      </c>
      <c r="Z362" s="173">
        <f>IF(AA362="",VLOOKUP(P362,CLIENTS!$A$1:$O$649,5,FALSE),AA362)</f>
        <v>2.7051397655545317E-3</v>
      </c>
      <c r="AA362" s="234">
        <v>2.7051397655545317E-3</v>
      </c>
      <c r="AB362" s="173" t="str">
        <f>IF(W362="via USD",IF(K362="EUR",K362&amp;"USD","USD"&amp;K362),IFERROR(VLOOKUP(K362&amp;S362,'FX RATES'!$H$2:$H$20,1,FALSE),S362&amp;K362))</f>
        <v>CNYRUB</v>
      </c>
      <c r="AC362" s="175">
        <f>IF(LEFT(AB362,3)=RIGHT(AB362,3),0,IFERROR(INDEX(CLIENTS!$A$1:$O$649,MATCH(H362,CLIENTS!$A$1:$A$649,0),MATCH(AB362,CLIENTS!$A$1:$O$1,0)),0))</f>
        <v>0</v>
      </c>
      <c r="AD362" s="176"/>
      <c r="AE362" s="177" t="str">
        <f>IF(W362="CLIENT","",IF(AD362="",AH362+AC362,AD362+AC362))</f>
        <v/>
      </c>
      <c r="AF362" s="177" t="str">
        <f>E362&amp;AB362</f>
        <v>46056CNYRUB</v>
      </c>
      <c r="AG362" s="176"/>
      <c r="AH362" s="178">
        <f ca="1">IF(LEFT(AB362,3)=RIGHT(AB362,3),1,VLOOKUP(AB362,'FX RATES'!$H$1:$I$20,2,FALSE))</f>
        <v>11.103899999999999</v>
      </c>
      <c r="AI362" s="178">
        <f>IF(OR(AB362="USDAED",LEFT(AB362,3)=RIGHT(AB362,3)),AH362,IF(LEFT(AB362)="USD",AG362,IF(RIGHT(AB362,3)="USD",1,IFERROR(VLOOKUP(E362&amp;"USD"&amp;RIGHT(AB362,3),$AF:$AG,2,FALSE),VLOOKUP(E362&amp;"USD"&amp;RIGHT(AJ362,3),$AN:$AO,2,FALSE)))))</f>
        <v>77</v>
      </c>
      <c r="AJ362" s="173" t="str">
        <f>IF(W362="via USD",IF(S362="EUR",S362&amp;"USD","USD"&amp;S362),IFERROR(VLOOKUP(K362&amp;S362,'FX RATES'!$H$2:$H$20,1,FALSE),S362&amp;K362))</f>
        <v>CNYRUB</v>
      </c>
      <c r="AK362" s="175">
        <f>IF(LEFT(AJ362,3)=RIGHT(AJ362,3),0,IFERROR(INDEX(CLIENTS!$A$1:$O$649,MATCH(P362,CLIENTS!$A$1:$A$649,0),MATCH(AJ362,CLIENTS!$A$1:$O$1,0)),0))</f>
        <v>0</v>
      </c>
      <c r="AL362" s="176">
        <v>11.06</v>
      </c>
      <c r="AM362" s="177">
        <f>IF(W362="VENDOR","",IF(AL362="",AP362+AK362,AL362+AK362))</f>
        <v>11.06</v>
      </c>
      <c r="AN362" s="177" t="str">
        <f>E362&amp;AJ362</f>
        <v>46056CNYRUB</v>
      </c>
      <c r="AO362" s="176">
        <v>11.1</v>
      </c>
      <c r="AP362" s="178">
        <f ca="1">IF(LEFT(AJ362,3)=RIGHT(AJ362,3),1,VLOOKUP(AJ362,'FX RATES'!$H$1:$I$20,2,FALSE))</f>
        <v>11.103899999999999</v>
      </c>
      <c r="AQ362" s="178">
        <f>IF(OR(AJ362="USDAED",LEFT(AJ362,3)=RIGHT(AJ362,3)),AP362,IF(LEFT(AJ362)="USD",AO362,IF(RIGHT(AJ362,3)="USD",1,IFERROR(VLOOKUP(E362&amp;"USD"&amp;RIGHT(AJ362,3),$AN:$AO,2,FALSE),VLOOKUP(E362&amp;"USD"&amp;RIGHT(AB362,3),$AF:$AG,2,FALSE)))))</f>
        <v>77</v>
      </c>
      <c r="AR362" s="179">
        <f>-Q362*(1-Z362)/(1+X362)*IF(W362="CLIENT",IF(S362=RIGHT(AJ362,3),1/AM362,AM362),IF(W362="VENDOR",IF(S362=RIGHT(AJ362,3),1/AE362,AE362),AE362^(VLOOKUP(AB362,'FX RATES'!$H$1:$J$26,3,FALSE))/AM362^(VLOOKUP(AJ362,'FX RATES'!$H$1:$J$26,3,FALSE))))</f>
        <v>0</v>
      </c>
      <c r="AS362" s="179">
        <f>-I362*(1+X362)/(1-Z362)*IF(W362="VENDOR",IF(K362=RIGHT(AB362,3),1/AE362,AE362),IF(W362="CLIENT",IF(K362=RIGHT(AB362,3),1/AM362,AM362),AM362^(VLOOKUP(AJ362,'FX RATES'!$H$1:$J$26,3,FALSE))/AE362^(VLOOKUP(AB362,'FX RATES'!$H$1:$J$26,3,FALSE))))</f>
        <v>24398000.000000004</v>
      </c>
      <c r="AT362" s="170">
        <f ca="1">IF(AB362&lt;&gt;AJ362,J362/IF(K362=RIGHT(AB362,3),AE362,1/AE362),IF(S362="USD",J362/IF(K362=RIGHT(AB362,3),IF(W362="CLIENT",AM362,AE362),1/IF(W362="CLIENT",AM362,AE362)),J362*VLOOKUP(K362,'FX RATES'!$E$1:$F$10,2,FALSE)))</f>
        <v>-318471.33757961786</v>
      </c>
      <c r="AU362" s="170">
        <f ca="1">IF(AB362&lt;&gt;AJ362,R362/IF(S362=RIGHT(AJ362,3),AM362,1/AM362),IF(K362="USD",R362/IF(S362=RIGHT(AJ362,3),IF(W362="CLIENT",AM362,AE362),1/IF(W362="CLIENT",AM362,AE362)),R362*VLOOKUP(S362,'FX RATES'!$E$1:$F$10,2,FALSE)))</f>
        <v>318011.48324111552</v>
      </c>
      <c r="AV362" s="170">
        <f ca="1">AT362+AU362</f>
        <v>-459.85433850233676</v>
      </c>
      <c r="AW362" s="227"/>
      <c r="AX362" s="170">
        <f ca="1">IF(AND(ISERROR(SEARCH("INVOICE",T362)),ISERROR(SEARCH("SWITCH",T362)),ISERROR(SEARCH("FOREX",T362)),ISERROR(SEARCH("REFUND",A362)),ISERROR(SEARCH("CANCELLED",A362))),IF(AW362="",-AT362*X362+AU362*Z362,AW362),0)</f>
        <v>860.26550921852015</v>
      </c>
      <c r="AY362" s="170">
        <f>IF(AZ362="USD",AT362,IF(AZ362=K362,J362,-R362))</f>
        <v>-2200000</v>
      </c>
      <c r="AZ362" s="170" t="str">
        <f>LEFT(AB362,3)</f>
        <v>CNY</v>
      </c>
      <c r="BA362" s="542">
        <f>IF(OR(A362="REFUND",A362="CANCELLED"),0,IFERROR((IF(OR(AB362="USDAED",LEFT(AB362,3)=RIGHT(AB362,3)),AI362,AG362)-AE362)*-AY362*VLOOKUP(AB362,'FX RATES'!$H$1:$J$26,3,FALSE),0))</f>
        <v>0</v>
      </c>
      <c r="BB362" s="170" t="str">
        <f>RIGHT(AB362,3)</f>
        <v>RUB</v>
      </c>
      <c r="BC362" s="542">
        <f>IF(BA362=0,0,IFERROR(BA362/IF(BB362&lt;&gt;"USD",AI362,1),"???"))</f>
        <v>0</v>
      </c>
      <c r="BD362" s="170">
        <f>IFERROR(-AC362/(IF(OR(AB362="USDAED",LEFT(AB362,3)=RIGHT(AB362,3)),AH362,AG362)-AE362)*BC362,0)</f>
        <v>0</v>
      </c>
      <c r="BE362" s="542">
        <f>BC362-BD362</f>
        <v>0</v>
      </c>
      <c r="BF362" s="170">
        <f>IF(BG362="USD",AU362,IF(BG362=S362,R362,-J362))</f>
        <v>2200000</v>
      </c>
      <c r="BG362" s="170" t="str">
        <f>LEFT(AJ362,3)</f>
        <v>CNY</v>
      </c>
      <c r="BH362" s="542">
        <f>IF(OR(A362="REFUND",A362="CANCELLED"),0,IFERROR((IF(OR(AJ362="USDAED",LEFT(AJ362,3)=RIGHT(AJ362,3)),AQ362,AO362)-AM362)*-BF362*VLOOKUP(AJ362,'FX RATES'!$H$1:$J$26,3,FALSE),0))</f>
        <v>-87999.999999998123</v>
      </c>
      <c r="BI362" s="170" t="str">
        <f>RIGHT(AJ362,3)</f>
        <v>RUB</v>
      </c>
      <c r="BJ362" s="542">
        <f>IF(BH362=0,0,IFERROR(BH362/IF(BI362&lt;&gt;"USD",AQ362,1),"???"))</f>
        <v>-1142.8571428571186</v>
      </c>
      <c r="BK362" s="170">
        <f>IFERROR(-AK362/(IF(OR(AJ362="USDAED",LEFT(AJ362,3)=RIGHT(AJ362,3)),AP362,AO362)-AM362)*BJ362,0)</f>
        <v>0</v>
      </c>
      <c r="BL362" s="542">
        <f>BJ362-BK362</f>
        <v>-1142.8571428571186</v>
      </c>
      <c r="BM362" s="170">
        <f>IF(AND(ISERROR(SEARCH("REFUND",A362)),ISERROR(SEARCH("CANCELLED",A362))),BD362+BK362,0)</f>
        <v>0</v>
      </c>
      <c r="BN362" s="542">
        <f>IF(AND(ISERROR(SEARCH("REFUND",A362)),ISERROR(SEARCH("CANCELLED",A362))),BE362+BL362,0)</f>
        <v>-1142.8571428571186</v>
      </c>
    </row>
    <row r="363" spans="1:66" ht="19.5" customHeight="1">
      <c r="A363" s="167" t="s">
        <v>366</v>
      </c>
      <c r="B363" s="225" t="s">
        <v>39</v>
      </c>
      <c r="C363" s="225" t="s">
        <v>383</v>
      </c>
      <c r="D363" s="225" t="s">
        <v>368</v>
      </c>
      <c r="E363" s="226">
        <v>46056</v>
      </c>
      <c r="F363" s="226"/>
      <c r="G363" s="225" t="s">
        <v>52</v>
      </c>
      <c r="H363" s="228" t="s">
        <v>390</v>
      </c>
      <c r="I363" s="227"/>
      <c r="J363" s="170">
        <f>IF(I363="",AR363,I363)</f>
        <v>-123838472.60540001</v>
      </c>
      <c r="K363" s="225" t="s">
        <v>9</v>
      </c>
      <c r="L363" s="226" t="s">
        <v>391</v>
      </c>
      <c r="M363" s="225" t="s">
        <v>25</v>
      </c>
      <c r="N363" s="167" t="s">
        <v>371</v>
      </c>
      <c r="O363" s="225" t="s">
        <v>42</v>
      </c>
      <c r="P363" s="225" t="s">
        <v>392</v>
      </c>
      <c r="Q363" s="227">
        <v>11196968.59</v>
      </c>
      <c r="R363" s="170">
        <f t="shared" ref="R363" si="430">IF(Q363="",AS363,Q363)</f>
        <v>11196968.59</v>
      </c>
      <c r="S363" s="225" t="s">
        <v>7</v>
      </c>
      <c r="T363" s="226" t="s">
        <v>22</v>
      </c>
      <c r="U363" s="225" t="s">
        <v>22</v>
      </c>
      <c r="V363" s="167" t="s">
        <v>371</v>
      </c>
      <c r="W363" s="230" t="s">
        <v>382</v>
      </c>
      <c r="X363" s="173">
        <f>IF(Y363="",VLOOKUP(H363,CLIENTS!$A$1:$O$649,5,FALSE),Y363)</f>
        <v>0</v>
      </c>
      <c r="Y363" s="234"/>
      <c r="Z363" s="173">
        <f>IF(AA363="",VLOOKUP(P363,CLIENTS!$A$1:$O$649,5,FALSE),AA363)</f>
        <v>0</v>
      </c>
      <c r="AA363" s="234"/>
      <c r="AB363" s="173" t="str">
        <f>IF(W363="via USD",IF(K363="EUR",K363&amp;"USD","USD"&amp;K363),IFERROR(VLOOKUP(K363&amp;S363,'FX RATES'!$H$2:$H$20,1,FALSE),S363&amp;K363))</f>
        <v>CNYRUB</v>
      </c>
      <c r="AC363" s="175">
        <f>IF(LEFT(AB363,3)=RIGHT(AB363,3),0,IFERROR(INDEX(CLIENTS!$A$1:$O$649,MATCH(H363,CLIENTS!$A$1:$A$649,0),MATCH(AB363,CLIENTS!$A$1:$O$1,0)),0))</f>
        <v>0</v>
      </c>
      <c r="AD363" s="176">
        <v>11.06</v>
      </c>
      <c r="AE363" s="177">
        <f t="shared" ref="AE363" si="431">IF(W363="CLIENT","",IF(AD363="",AH363+AC363,AD363+AC363))</f>
        <v>11.06</v>
      </c>
      <c r="AF363" s="177" t="str">
        <f t="shared" ref="AF363" si="432">E363&amp;AB363</f>
        <v>46056CNYRUB</v>
      </c>
      <c r="AG363" s="176">
        <v>11.1</v>
      </c>
      <c r="AH363" s="178">
        <f ca="1">IF(LEFT(AB363,3)=RIGHT(AB363,3),1,VLOOKUP(AB363,'FX RATES'!$H$1:$I$20,2,FALSE))</f>
        <v>11.103899999999999</v>
      </c>
      <c r="AI363" s="178">
        <f>IF(OR(AB363="USDAED",LEFT(AB363,3)=RIGHT(AB363,3)),AH363,IF(LEFT(AB363)="USD",AG363,IF(RIGHT(AB363,3)="USD",1,IFERROR(VLOOKUP(E363&amp;"USD"&amp;RIGHT(AB363,3),$AF:$AG,2,FALSE),VLOOKUP(E363&amp;"USD"&amp;RIGHT(AJ363,3),$AN:$AO,2,FALSE)))))</f>
        <v>77</v>
      </c>
      <c r="AJ363" s="173" t="str">
        <f>IF(W363="via USD",IF(S363="EUR",S363&amp;"USD","USD"&amp;S363),IFERROR(VLOOKUP(K363&amp;S363,'FX RATES'!$H$2:$H$20,1,FALSE),S363&amp;K363))</f>
        <v>CNYRUB</v>
      </c>
      <c r="AK363" s="175">
        <f>IF(LEFT(AJ363,3)=RIGHT(AJ363,3),0,IFERROR(INDEX(CLIENTS!$A$1:$O$649,MATCH(P363,CLIENTS!$A$1:$A$649,0),MATCH(AJ363,CLIENTS!$A$1:$O$1,0)),0))</f>
        <v>0</v>
      </c>
      <c r="AL363" s="176"/>
      <c r="AM363" s="177" t="str">
        <f t="shared" ref="AM363" si="433">IF(W363="VENDOR","",IF(AL363="",AP363+AK363,AL363+AK363))</f>
        <v/>
      </c>
      <c r="AN363" s="177" t="str">
        <f t="shared" ref="AN363" si="434">E363&amp;AJ363</f>
        <v>46056CNYRUB</v>
      </c>
      <c r="AO363" s="176"/>
      <c r="AP363" s="178">
        <f ca="1">IF(LEFT(AJ363,3)=RIGHT(AJ363,3),1,VLOOKUP(AJ363,'FX RATES'!$H$1:$I$20,2,FALSE))</f>
        <v>11.103899999999999</v>
      </c>
      <c r="AQ363" s="178">
        <f>IF(OR(AJ363="USDAED",LEFT(AJ363,3)=RIGHT(AJ363,3)),AP363,IF(LEFT(AJ363)="USD",AO363,IF(RIGHT(AJ363,3)="USD",1,IFERROR(VLOOKUP(E363&amp;"USD"&amp;RIGHT(AJ363,3),$AN:$AO,2,FALSE),VLOOKUP(E363&amp;"USD"&amp;RIGHT(AB363,3),$AF:$AG,2,FALSE)))))</f>
        <v>77</v>
      </c>
      <c r="AR363" s="179">
        <f>-Q363*(1-Z363)/(1+X363)*IF(W363="CLIENT",IF(S363=RIGHT(AJ363,3),1/AM363,AM363),IF(W363="VENDOR",IF(S363=RIGHT(AJ363,3),1/AE363,AE363),AE363^(VLOOKUP(AB363,'FX RATES'!$H$1:$J$26,3,FALSE))/AM363^(VLOOKUP(AJ363,'FX RATES'!$H$1:$J$26,3,FALSE))))</f>
        <v>-123838472.60540001</v>
      </c>
      <c r="AS363" s="179">
        <f>-I363*(1+X363)/(1-Z363)*IF(W363="VENDOR",IF(K363=RIGHT(AB363,3),1/AE363,AE363),IF(W363="CLIENT",IF(K363=RIGHT(AB363,3),1/AM363,AM363),AM363^(VLOOKUP(AJ363,'FX RATES'!$H$1:$J$26,3,FALSE))/AE363^(VLOOKUP(AB363,'FX RATES'!$H$1:$J$26,3,FALSE))))</f>
        <v>0</v>
      </c>
      <c r="AT363" s="170">
        <f ca="1">IF(AB363&lt;&gt;AJ363,J363/IF(K363=RIGHT(AB363,3),AE363,1/AE363),IF(S363="USD",J363/IF(K363=RIGHT(AB363,3),IF(W363="CLIENT",AM363,AE363),1/IF(W363="CLIENT",AM363,AE363)),J363*VLOOKUP(K363,'FX RATES'!$E$1:$F$10,2,FALSE)))</f>
        <v>-1614151.0105565006</v>
      </c>
      <c r="AU363" s="170">
        <f ca="1">IF(AB363&lt;&gt;AJ363,R363/IF(S363=RIGHT(AJ363,3),AM363,1/AM363),IF(K363="USD",R363/IF(S363=RIGHT(AJ363,3),IF(W363="CLIENT",AM363,AE363),1/IF(W363="CLIENT",AM363,AE363)),R363*VLOOKUP(S363,'FX RATES'!$E$1:$F$10,2,FALSE)))</f>
        <v>1620869.8016792126</v>
      </c>
      <c r="AV363" s="170">
        <f t="shared" ref="AV363" ca="1" si="435">AT363+AU363</f>
        <v>6718.7911227119621</v>
      </c>
      <c r="AW363" s="227"/>
      <c r="AX363" s="170">
        <f t="shared" ref="AX363" ca="1" si="436">IF(AND(ISERROR(SEARCH("INVOICE",T363)),ISERROR(SEARCH("SWITCH",T363)),ISERROR(SEARCH("FOREX",T363)),ISERROR(SEARCH("REFUND",A363)),ISERROR(SEARCH("CANCELLED",A363))),IF(AW363="",-AT363*X363+AU363*Z363,AW363),0)</f>
        <v>0</v>
      </c>
      <c r="AY363" s="170">
        <f t="shared" ref="AY363" si="437">IF(AZ363="USD",AT363,IF(AZ363=K363,J363,-R363))</f>
        <v>-11196968.59</v>
      </c>
      <c r="AZ363" s="170" t="str">
        <f t="shared" ref="AZ363" si="438">LEFT(AB363,3)</f>
        <v>CNY</v>
      </c>
      <c r="BA363" s="542">
        <f>IF(OR(A363="REFUND",A363="CANCELLED"),0,IFERROR((IF(OR(AB363="USDAED",LEFT(AB363,3)=RIGHT(AB363,3)),AI363,AG363)-AE363)*-AY363*VLOOKUP(AB363,'FX RATES'!$H$1:$J$26,3,FALSE),0))</f>
        <v>447878.74359999044</v>
      </c>
      <c r="BB363" s="170" t="str">
        <f>RIGHT(AB363,3)</f>
        <v>RUB</v>
      </c>
      <c r="BC363" s="542">
        <f t="shared" ref="BC363" si="439">IF(BA363=0,0,IFERROR(BA363/IF(BB363&lt;&gt;"USD",AI363,1),"???"))</f>
        <v>5816.6070597401358</v>
      </c>
      <c r="BD363" s="170">
        <f t="shared" ref="BD363" si="440">IFERROR(-AC363/(IF(OR(AB363="USDAED",LEFT(AB363,3)=RIGHT(AB363,3)),AH363,AG363)-AE363)*BC363,0)</f>
        <v>0</v>
      </c>
      <c r="BE363" s="542">
        <f t="shared" ref="BE363" si="441">BC363-BD363</f>
        <v>5816.6070597401358</v>
      </c>
      <c r="BF363" s="170">
        <f t="shared" ref="BF363" si="442">IF(BG363="USD",AU363,IF(BG363=S363,R363,-J363))</f>
        <v>11196968.59</v>
      </c>
      <c r="BG363" s="170" t="str">
        <f t="shared" ref="BG363" si="443">LEFT(AJ363,3)</f>
        <v>CNY</v>
      </c>
      <c r="BH363" s="542">
        <f>IF(OR(A363="REFUND",A363="CANCELLED"),0,IFERROR((IF(OR(AJ363="USDAED",LEFT(AJ363,3)=RIGHT(AJ363,3)),AQ363,AO363)-AM363)*-BF363*VLOOKUP(AJ363,'FX RATES'!$H$1:$J$26,3,FALSE),0))</f>
        <v>0</v>
      </c>
      <c r="BI363" s="170" t="str">
        <f t="shared" ref="BI363" si="444">RIGHT(AJ363,3)</f>
        <v>RUB</v>
      </c>
      <c r="BJ363" s="542">
        <f t="shared" ref="BJ363" si="445">IF(BH363=0,0,IFERROR(BH363/IF(BI363&lt;&gt;"USD",AQ363,1),"???"))</f>
        <v>0</v>
      </c>
      <c r="BK363" s="170">
        <f t="shared" ref="BK363" si="446">IFERROR(-AK363/(IF(OR(AJ363="USDAED",LEFT(AJ363,3)=RIGHT(AJ363,3)),AP363,AO363)-AM363)*BJ363,0)</f>
        <v>0</v>
      </c>
      <c r="BL363" s="542">
        <f t="shared" ref="BL363" si="447">BJ363-BK363</f>
        <v>0</v>
      </c>
      <c r="BM363" s="170">
        <f t="shared" ref="BM363" si="448">IF(AND(ISERROR(SEARCH("REFUND",A363)),ISERROR(SEARCH("CANCELLED",A363))),BD363+BK363,0)</f>
        <v>0</v>
      </c>
      <c r="BN363" s="542">
        <f t="shared" ref="BN363" si="449">IF(AND(ISERROR(SEARCH("REFUND",A363)),ISERROR(SEARCH("CANCELLED",A363))),BE363+BL363,0)</f>
        <v>5816.6070597401358</v>
      </c>
    </row>
    <row r="364" spans="1:66" ht="19.5" customHeight="1">
      <c r="J364" s="450"/>
    </row>
    <row r="365" spans="1:66" ht="19.5" customHeight="1">
      <c r="A365" s="167" t="s">
        <v>366</v>
      </c>
      <c r="B365" s="168" t="s">
        <v>39</v>
      </c>
      <c r="C365" s="168" t="s">
        <v>367</v>
      </c>
      <c r="D365" s="181" t="s">
        <v>368</v>
      </c>
      <c r="E365" s="171">
        <v>46056</v>
      </c>
      <c r="F365" s="171"/>
      <c r="G365" s="168" t="s">
        <v>39</v>
      </c>
      <c r="H365" s="181" t="s">
        <v>574</v>
      </c>
      <c r="I365" s="169">
        <v>-42538400</v>
      </c>
      <c r="J365" s="170">
        <f>IF(I365="",AR365,I365)</f>
        <v>-42538400</v>
      </c>
      <c r="K365" s="168" t="s">
        <v>46</v>
      </c>
      <c r="L365" s="168" t="s">
        <v>575</v>
      </c>
      <c r="M365" s="168" t="s">
        <v>20</v>
      </c>
      <c r="N365" s="167" t="s">
        <v>371</v>
      </c>
      <c r="O365" s="168" t="s">
        <v>39</v>
      </c>
      <c r="P365" s="168" t="s">
        <v>379</v>
      </c>
      <c r="Q365" s="169">
        <v>21431617.109999999</v>
      </c>
      <c r="R365" s="170">
        <f>IF(Q365="",AS365,Q365)</f>
        <v>21431617.109999999</v>
      </c>
      <c r="S365" s="168" t="s">
        <v>9</v>
      </c>
      <c r="T365" s="171" t="s">
        <v>380</v>
      </c>
      <c r="U365" s="171" t="s">
        <v>374</v>
      </c>
      <c r="V365" s="167" t="s">
        <v>371</v>
      </c>
      <c r="W365" s="172" t="s">
        <v>375</v>
      </c>
      <c r="X365" s="173">
        <f>IF(Y365="",VLOOKUP(H365,CLIENTS!$A$1:$O$649,5,FALSE),Y365)</f>
        <v>0</v>
      </c>
      <c r="Y365" s="174">
        <v>0</v>
      </c>
      <c r="Z365" s="173">
        <f>IF(AA365="",VLOOKUP(P365,CLIENTS!$A$1:$O$649,5,FALSE),AA365)</f>
        <v>5.0000000000000001E-3</v>
      </c>
      <c r="AA365" s="174">
        <v>5.0000000000000001E-3</v>
      </c>
      <c r="AB365" s="173" t="str">
        <f>IF(W365="via USD",IF(K365="EUR",K365&amp;"USD","USD"&amp;K365),IFERROR(VLOOKUP(K365&amp;S365,'FX RATES'!$H$2:$H$20,1,FALSE),S365&amp;K365))</f>
        <v>USDJPY</v>
      </c>
      <c r="AC365" s="175">
        <f>IF(LEFT(AB365,3)=RIGHT(AB365,3),0,IFERROR(INDEX(CLIENTS!$A$1:$O$649,MATCH(H365,CLIENTS!$A$1:$A$649,0),MATCH(AB365,CLIENTS!$A$1:$O$1,0)),0))</f>
        <v>0</v>
      </c>
      <c r="AD365" s="176">
        <v>153.96</v>
      </c>
      <c r="AE365" s="177">
        <f>IF(W365="CLIENT","",IF(AD365="",AH365+AC365,AD365+AC365))</f>
        <v>153.96</v>
      </c>
      <c r="AF365" s="177" t="str">
        <f>E365&amp;AB365</f>
        <v>46056USDJPY</v>
      </c>
      <c r="AG365" s="176">
        <v>155.35</v>
      </c>
      <c r="AH365" s="178">
        <f ca="1">IF(LEFT(AB365,3)=RIGHT(AB365,3),1,VLOOKUP(AB365,'FX RATES'!$H$1:$I$50,2,FALSE))</f>
        <v>155.05000000000001</v>
      </c>
      <c r="AI365" s="178">
        <f>IF(OR(AB365="USDAED",LEFT(AB365,3)=RIGHT(AB365,3)),AH365,IF(LEFT(AB365)="USD",AG365,IF(RIGHT(AB365,3)="USD",1,IFERROR(VLOOKUP(E365&amp;"USD"&amp;RIGHT(AB365,3),$AF:$AG,2,FALSE),VLOOKUP(E365&amp;"USD"&amp;RIGHT(AJ365,3),$AN:$AO,2,FALSE)))))</f>
        <v>155.35</v>
      </c>
      <c r="AJ365" s="173" t="str">
        <f>IF(W365="via USD",IF(S365="EUR",S365&amp;"USD","USD"&amp;S365),IFERROR(VLOOKUP(K365&amp;S365,'FX RATES'!$H$2:$H$20,1,FALSE),S365&amp;K365))</f>
        <v>USDRUB</v>
      </c>
      <c r="AK365" s="175">
        <f>IF(LEFT(AJ365,3)=RIGHT(AJ365,3),0,IFERROR(INDEX(CLIENTS!$A$1:$O$649,MATCH(P365,CLIENTS!$A$1:$A$649,0),MATCH(AJ365,CLIENTS!$A$1:$O$1,0)),0))</f>
        <v>0</v>
      </c>
      <c r="AL365" s="176">
        <v>77.180000000000007</v>
      </c>
      <c r="AM365" s="177">
        <f>IF(W365="VENDOR","",IF(AL365="",AP365+AK365,AL365+AK365))</f>
        <v>77.180000000000007</v>
      </c>
      <c r="AN365" s="177" t="str">
        <f>E365&amp;AJ365</f>
        <v>46056USDRUB</v>
      </c>
      <c r="AO365" s="176">
        <v>77</v>
      </c>
      <c r="AP365" s="178">
        <f ca="1">IF(LEFT(AJ365,3)=RIGHT(AJ365,3),1,VLOOKUP(AJ365,'FX RATES'!$H$1:$I$20,2,FALSE))</f>
        <v>76.720500000000001</v>
      </c>
      <c r="AQ365" s="178">
        <f>IF(OR(AJ365="USDAED",LEFT(AJ365,3)=RIGHT(AJ365,3)),AP365,IF(LEFT(AJ365)="USD",AO365,IF(RIGHT(AJ365,3)="USD",1,IFERROR(VLOOKUP(E365&amp;"USD"&amp;RIGHT(AJ365,3),$AN:$AO,2,FALSE),VLOOKUP(E365&amp;"USD"&amp;RIGHT(AB365,3),$AF:$AG,2,FALSE)))))</f>
        <v>77</v>
      </c>
      <c r="AR365" s="179">
        <f>-Q365*(1-Z365)/(1+X365)*IF(W365="CLIENT",IF(S365=RIGHT(AJ365,3),1/AM365,AM365),IF(W365="VENDOR",IF(S365=RIGHT(AJ365,3),1/AE365,AE365),AE365^(VLOOKUP(AB365,'FX RATES'!$H$1:$J$26,3,FALSE))/AM365^(VLOOKUP(AJ365,'FX RATES'!$H$1:$J$26,3,FALSE))))</f>
        <v>-42538399.992281966</v>
      </c>
      <c r="AS365" s="179">
        <f>-I365*(1+X365)/(1-Z365)*IF(W365="VENDOR",IF(K365=RIGHT(AB365,3),1/AE365,AE365),IF(W365="CLIENT",IF(K365=RIGHT(AB365,3),1/AM365,AM365),AM365^(VLOOKUP(AJ365,'FX RATES'!$H$1:$J$26,3,FALSE))/AE365^(VLOOKUP(AB365,'FX RATES'!$H$1:$J$26,3,FALSE))))</f>
        <v>21431617.113888487</v>
      </c>
      <c r="AT365" s="170">
        <f>IF(AB365&lt;&gt;AJ365,J365/IF(K365=RIGHT(AB365,3),AE365,1/AE365),IF(S365="USD",J365/IF(K365=RIGHT(AB365,3),IF(W365="CLIENT",AM365,AE365),1/IF(W365="CLIENT",AM365,AE365)),J365*VLOOKUP(K365,'FX RATES'!$E$1:$F$10,2,FALSE)))</f>
        <v>-276295.14159521949</v>
      </c>
      <c r="AU365" s="170">
        <f>IF(AB365&lt;&gt;AJ365,R365/IF(S365=RIGHT(AJ365,3),AM365,1/AM365),IF(K365="USD",R365/IF(S365=RIGHT(AJ365,3),IF(W365="CLIENT",AM365,AE365),1/IF(W365="CLIENT",AM365,AE365)),R365*VLOOKUP(S365,'FX RATES'!$E$1:$F$10,2,FALSE)))</f>
        <v>277683.55934179836</v>
      </c>
      <c r="AV365" s="170">
        <f>AT365+AU365</f>
        <v>1388.4177465788671</v>
      </c>
      <c r="AW365" s="169"/>
      <c r="AX365" s="170">
        <f>IF(AND(ISERROR(SEARCH("INVOICE",T365)),ISERROR(SEARCH("SWITCH",T365)),ISERROR(SEARCH("FOREX",T365)),ISERROR(SEARCH("REFUND",A365)),ISERROR(SEARCH("CANCELLED",A365))),IF(AW365="",-AT365*X365+AU365*Z365,AW365),0)</f>
        <v>1388.4177967089918</v>
      </c>
      <c r="AY365" s="170">
        <f>IF(AZ365="USD",AT365,IF(AZ365=K365,J365,-R365))</f>
        <v>-276295.14159521949</v>
      </c>
      <c r="AZ365" s="170" t="str">
        <f>LEFT(AB365,3)</f>
        <v>USD</v>
      </c>
      <c r="BA365" s="542">
        <f>IF(OR(A365="REFUND",A365="CANCELLED"),0,IFERROR((IF(OR(AB365="USDAED",LEFT(AB365,3)=RIGHT(AB365,3)),AI365,AG365)-AE365)*-AY365*VLOOKUP(AB365,'FX RATES'!$H$1:$J$26,3,FALSE),0))</f>
        <v>384050.24681735132</v>
      </c>
      <c r="BB365" s="170" t="str">
        <f>RIGHT(AB365,3)</f>
        <v>JPY</v>
      </c>
      <c r="BC365" s="542">
        <f>IF(BA365=0,0,IFERROR(BA365/IF(BB365&lt;&gt;"USD",AI365,1),"???"))</f>
        <v>2472.1612283060917</v>
      </c>
      <c r="BD365" s="170">
        <f>IFERROR(-AC365/(IF(OR(AB365="USDAED",LEFT(AB365,3)=RIGHT(AB365,3)),AH365,AG365)-AE365)*BC365,0)</f>
        <v>0</v>
      </c>
      <c r="BE365" s="542">
        <f>BC365-BD365</f>
        <v>2472.1612283060917</v>
      </c>
      <c r="BF365" s="170">
        <f>IF(BG365="USD",AU365,IF(BG365=S365,R365,-J365))</f>
        <v>277683.55934179836</v>
      </c>
      <c r="BG365" s="170" t="str">
        <f>LEFT(AJ365,3)</f>
        <v>USD</v>
      </c>
      <c r="BH365" s="542">
        <f>IF(OR(A365="REFUND",A365="CANCELLED"),0,IFERROR((IF(OR(AJ365="USDAED",LEFT(AJ365,3)=RIGHT(AJ365,3)),AQ365,AO365)-AM365)*-BF365*VLOOKUP(AJ365,'FX RATES'!$H$1:$J$26,3,FALSE),0))</f>
        <v>49983.040681525599</v>
      </c>
      <c r="BI365" s="170" t="str">
        <f>RIGHT(AJ365,3)</f>
        <v>RUB</v>
      </c>
      <c r="BJ365" s="542">
        <f>IF(BH365=0,0,IFERROR(BH365/IF(BI365&lt;&gt;"USD",AQ365,1),"???"))</f>
        <v>649.13039846137144</v>
      </c>
      <c r="BK365" s="170">
        <f>IFERROR(-AK365/(IF(OR(AJ365="USDAED",LEFT(AJ365,3)=RIGHT(AJ365,3)),AP365,AO365)-AM365)*BJ365,0)</f>
        <v>0</v>
      </c>
      <c r="BL365" s="542">
        <f>BJ365-BK365</f>
        <v>649.13039846137144</v>
      </c>
      <c r="BM365" s="170">
        <f>IF(AND(ISERROR(SEARCH("REFUND",A365)),ISERROR(SEARCH("CANCELLED",A365))),BD365+BK365,0)</f>
        <v>0</v>
      </c>
      <c r="BN365" s="542">
        <f>IF(AND(ISERROR(SEARCH("REFUND",A365)),ISERROR(SEARCH("CANCELLED",A365))),BE365+BL365,0)</f>
        <v>3121.2916267674632</v>
      </c>
    </row>
    <row r="366" spans="1:66" ht="19.5" customHeight="1">
      <c r="A366" s="167" t="s">
        <v>366</v>
      </c>
      <c r="B366" s="168" t="s">
        <v>39</v>
      </c>
      <c r="C366" s="168" t="s">
        <v>383</v>
      </c>
      <c r="D366" s="168" t="s">
        <v>128</v>
      </c>
      <c r="E366" s="171">
        <v>46056</v>
      </c>
      <c r="F366" s="171"/>
      <c r="G366" s="168" t="s">
        <v>39</v>
      </c>
      <c r="H366" s="168" t="s">
        <v>384</v>
      </c>
      <c r="I366" s="169">
        <v>-21431000</v>
      </c>
      <c r="J366" s="170">
        <f>IF(I366="",AR366,I366)</f>
        <v>-21431000</v>
      </c>
      <c r="K366" s="168" t="s">
        <v>9</v>
      </c>
      <c r="L366" s="171" t="s">
        <v>374</v>
      </c>
      <c r="M366" s="168" t="s">
        <v>374</v>
      </c>
      <c r="N366" s="167" t="s">
        <v>371</v>
      </c>
      <c r="O366" s="168" t="s">
        <v>39</v>
      </c>
      <c r="P366" s="349" t="s">
        <v>384</v>
      </c>
      <c r="Q366" s="169"/>
      <c r="R366" s="170">
        <f>IF(Q366="",AS366,Q366)</f>
        <v>1020038.07710614</v>
      </c>
      <c r="S366" s="168" t="s">
        <v>8</v>
      </c>
      <c r="T366" s="171" t="s">
        <v>385</v>
      </c>
      <c r="U366" s="168" t="s">
        <v>20</v>
      </c>
      <c r="V366" s="167" t="s">
        <v>371</v>
      </c>
      <c r="W366" s="172" t="s">
        <v>382</v>
      </c>
      <c r="X366" s="173">
        <f>IF(Y366="",VLOOKUP(H366,CLIENTS!$A$1:$O$649,5,FALSE),Y366)</f>
        <v>0</v>
      </c>
      <c r="Y366" s="174">
        <v>0</v>
      </c>
      <c r="Z366" s="173">
        <f>IF(AA366="",VLOOKUP(P366,CLIENTS!$A$1:$O$649,5,FALSE),AA366)</f>
        <v>0</v>
      </c>
      <c r="AA366" s="174">
        <v>0</v>
      </c>
      <c r="AB366" s="173" t="str">
        <f>IF(W366="via USD",IF(K366="EUR",K366&amp;"USD","USD"&amp;K366),IFERROR(VLOOKUP(K366&amp;S366,'FX RATES'!$H$2:$H$20,1,FALSE),S366&amp;K366))</f>
        <v>AEDRUB</v>
      </c>
      <c r="AC366" s="175">
        <f>IF(LEFT(AB366,3)=RIGHT(AB366,3),0,IFERROR(INDEX(CLIENTS!$A$1:$O$649,MATCH(H366,CLIENTS!$A$1:$A$649,0),MATCH(AB366,CLIENTS!$A$1:$O$1,0)),0))</f>
        <v>0</v>
      </c>
      <c r="AD366" s="176">
        <v>21.01</v>
      </c>
      <c r="AE366" s="177">
        <f>IF(W366="CLIENT","",IF(AD366="",AH366+AC366,AD366+AC366))</f>
        <v>21.01</v>
      </c>
      <c r="AF366" s="177" t="str">
        <f>E366&amp;AB366</f>
        <v>46056AEDRUB</v>
      </c>
      <c r="AG366" s="176">
        <v>20.9666</v>
      </c>
      <c r="AH366" s="178">
        <f ca="1">IF(LEFT(AB366,3)=RIGHT(AB366,3),1,VLOOKUP(AB366,'FX RATES'!$H$1:$I$20,2,FALSE))</f>
        <v>20.8843</v>
      </c>
      <c r="AI366" s="178">
        <f>IF(OR(AB366="USDAED",LEFT(AB366,3)=RIGHT(AB366,3)),AH366,IF(LEFT(AB366)="USD",AG366,IF(RIGHT(AB366,3)="USD",1,IFERROR(VLOOKUP(E366&amp;"USD"&amp;RIGHT(AB366,3),$AF:$AG,2,FALSE),VLOOKUP(E366&amp;"USD"&amp;RIGHT(AJ366,3),$AN:$AO,2,FALSE)))))</f>
        <v>77</v>
      </c>
      <c r="AJ366" s="173" t="str">
        <f>IF(W366="via USD",IF(S366="EUR",S366&amp;"USD","USD"&amp;S366),IFERROR(VLOOKUP(K366&amp;S366,'FX RATES'!$H$2:$H$20,1,FALSE),S366&amp;K366))</f>
        <v>AEDRUB</v>
      </c>
      <c r="AK366" s="175">
        <f>IF(LEFT(AJ366,3)=RIGHT(AJ366,3),0,IFERROR(INDEX(CLIENTS!$A$1:$O$649,MATCH(P366,CLIENTS!$A$1:$A$649,0),MATCH(AJ366,CLIENTS!$A$1:$O$1,0)),0))</f>
        <v>0</v>
      </c>
      <c r="AL366" s="176"/>
      <c r="AM366" s="177" t="str">
        <f>IF(W366="VENDOR","",IF(AL366="",AP366+AK366,AL366+AK366))</f>
        <v/>
      </c>
      <c r="AN366" s="177" t="str">
        <f>E366&amp;AJ366</f>
        <v>46056AEDRUB</v>
      </c>
      <c r="AO366" s="176"/>
      <c r="AP366" s="178">
        <f ca="1">IF(LEFT(AJ366,3)=RIGHT(AJ366,3),1,VLOOKUP(AJ366,'FX RATES'!$H$1:$I$20,2,FALSE))</f>
        <v>20.8843</v>
      </c>
      <c r="AQ366" s="178">
        <f>IF(OR(AJ366="USDAED",LEFT(AJ366,3)=RIGHT(AJ366,3)),AP366,IF(LEFT(AJ366)="USD",AO366,IF(RIGHT(AJ366,3)="USD",1,IFERROR(VLOOKUP(E366&amp;"USD"&amp;RIGHT(AJ366,3),$AN:$AO,2,FALSE),VLOOKUP(E366&amp;"USD"&amp;RIGHT(AB366,3),$AF:$AG,2,FALSE)))))</f>
        <v>77</v>
      </c>
      <c r="AR366" s="179">
        <f>-Q366*(1-Z366)/(1+X366)*IF(W366="CLIENT",IF(S366=RIGHT(AJ366,3),1/AM366,AM366),IF(W366="VENDOR",IF(S366=RIGHT(AJ366,3),1/AE366,AE366),AE366^(VLOOKUP(AB366,'FX RATES'!$H$1:$J$26,3,FALSE))/AM366^(VLOOKUP(AJ366,'FX RATES'!$H$1:$J$26,3,FALSE))))</f>
        <v>0</v>
      </c>
      <c r="AS366" s="179">
        <f>-I366*(1+X366)/(1-Z366)*IF(W366="VENDOR",IF(K366=RIGHT(AB366,3),1/AE366,AE366),IF(W366="CLIENT",IF(K366=RIGHT(AB366,3),1/AM366,AM366),AM366^(VLOOKUP(AJ366,'FX RATES'!$H$1:$J$26,3,FALSE))/AE366^(VLOOKUP(AB366,'FX RATES'!$H$1:$J$26,3,FALSE))))</f>
        <v>1020038.07710614</v>
      </c>
      <c r="AT366" s="170">
        <f ca="1">IF(AB366&lt;&gt;AJ366,J366/IF(K366=RIGHT(AB366,3),AE366,1/AE366),IF(S366="USD",J366/IF(K366=RIGHT(AB366,3),IF(W366="CLIENT",AM366,AE366),1/IF(W366="CLIENT",AM366,AE366)),J366*VLOOKUP(K366,'FX RATES'!$E$1:$F$10,2,FALSE)))</f>
        <v>-279338.63830397354</v>
      </c>
      <c r="AU366" s="170">
        <f ca="1">IF(AB366&lt;&gt;AJ366,R366/IF(S366=RIGHT(AJ366,3),AM366,1/AM366),IF(K366="USD",R366/IF(S366=RIGHT(AJ366,3),IF(W366="CLIENT",AM366,AE366),1/IF(W366="CLIENT",AM366,AE366)),R366*VLOOKUP(S366,'FX RATES'!$E$1:$F$10,2,FALSE)))</f>
        <v>277742.76455539395</v>
      </c>
      <c r="AV366" s="170">
        <f ca="1">AT366+AU366</f>
        <v>-1595.8737485795864</v>
      </c>
      <c r="AW366" s="169"/>
      <c r="AX366" s="170">
        <f ca="1">IF(AND(ISERROR(SEARCH("INVOICE",T366)),ISERROR(SEARCH("SWITCH",T366)),ISERROR(SEARCH("FOREX",T366)),ISERROR(SEARCH("REFUND",A366)),ISERROR(SEARCH("CANCELLED",A366))),IF(AW366="",-AT366*X366+AU366*Z366,AW366),0)</f>
        <v>0</v>
      </c>
      <c r="AY366" s="170">
        <f>IF(AZ366="USD",AT366,IF(AZ366=K366,J366,-R366))</f>
        <v>-1020038.07710614</v>
      </c>
      <c r="AZ366" s="170" t="str">
        <f>LEFT(AB366,3)</f>
        <v>AED</v>
      </c>
      <c r="BA366" s="542">
        <f>IF(OR(A366="REFUND",A366="CANCELLED"),0,IFERROR((IF(OR(AB366="USDAED",LEFT(AB366,3)=RIGHT(AB366,3)),AI366,AG366)-AE366)*-AY366*VLOOKUP(AB366,'FX RATES'!$H$1:$J$26,3,FALSE),0))</f>
        <v>-44269.652546408397</v>
      </c>
      <c r="BB366" s="170" t="str">
        <f>RIGHT(AB366,3)</f>
        <v>RUB</v>
      </c>
      <c r="BC366" s="542">
        <f>IF(BA366=0,0,IFERROR(BA366/IF(BB366&lt;&gt;"USD",AI366,1),"???"))</f>
        <v>-574.93055255075842</v>
      </c>
      <c r="BD366" s="170">
        <f>IFERROR(-AC366/(IF(OR(AB366="USDAED",LEFT(AB366,3)=RIGHT(AB366,3)),AH366,AG366)-AE366)*BC366,0)</f>
        <v>0</v>
      </c>
      <c r="BE366" s="542">
        <f>BC366-BD366</f>
        <v>-574.93055255075842</v>
      </c>
      <c r="BF366" s="170">
        <f>IF(BG366="USD",AU366,IF(BG366=S366,R366,-J366))</f>
        <v>1020038.07710614</v>
      </c>
      <c r="BG366" s="170" t="str">
        <f>LEFT(AJ366,3)</f>
        <v>AED</v>
      </c>
      <c r="BH366" s="542">
        <f>IF(OR(A366="REFUND",A366="CANCELLED"),0,IFERROR((IF(OR(AJ366="USDAED",LEFT(AJ366,3)=RIGHT(AJ366,3)),AQ366,AO366)-AM366)*-BF366*VLOOKUP(AJ366,'FX RATES'!$H$1:$J$26,3,FALSE),0))</f>
        <v>0</v>
      </c>
      <c r="BI366" s="170" t="str">
        <f>RIGHT(AJ366,3)</f>
        <v>RUB</v>
      </c>
      <c r="BJ366" s="542">
        <f>IF(BH366=0,0,IFERROR(BH366/IF(BI366&lt;&gt;"USD",AQ366,1),"???"))</f>
        <v>0</v>
      </c>
      <c r="BK366" s="170">
        <f>IFERROR(-AK366/(IF(OR(AJ366="USDAED",LEFT(AJ366,3)=RIGHT(AJ366,3)),AP366,AO366)-AM366)*BJ366,0)</f>
        <v>0</v>
      </c>
      <c r="BL366" s="542">
        <f>BJ366-BK366</f>
        <v>0</v>
      </c>
      <c r="BM366" s="170">
        <f>IF(AND(ISERROR(SEARCH("REFUND",A366)),ISERROR(SEARCH("CANCELLED",A366))),BD366+BK366,0)</f>
        <v>0</v>
      </c>
      <c r="BN366" s="542">
        <f>IF(AND(ISERROR(SEARCH("REFUND",A366)),ISERROR(SEARCH("CANCELLED",A366))),BE366+BL366,0)</f>
        <v>-574.93055255075842</v>
      </c>
    </row>
    <row r="367" spans="1:66" ht="19.5" customHeight="1">
      <c r="J367" s="450"/>
    </row>
    <row r="368" spans="1:66" ht="19.5" customHeight="1">
      <c r="A368" s="167" t="s">
        <v>366</v>
      </c>
      <c r="B368" s="168" t="s">
        <v>45</v>
      </c>
      <c r="C368" s="168" t="s">
        <v>367</v>
      </c>
      <c r="D368" s="168" t="s">
        <v>368</v>
      </c>
      <c r="E368" s="171">
        <v>46056</v>
      </c>
      <c r="F368" s="171"/>
      <c r="G368" s="168" t="s">
        <v>45</v>
      </c>
      <c r="H368" s="168" t="s">
        <v>512</v>
      </c>
      <c r="I368" s="169">
        <v>-449999.99</v>
      </c>
      <c r="J368" s="170">
        <f t="shared" ref="J368:J374" si="450">IF(I368="",AR368,I368)</f>
        <v>-449999.99</v>
      </c>
      <c r="K368" s="168" t="s">
        <v>5</v>
      </c>
      <c r="L368" s="168" t="s">
        <v>378</v>
      </c>
      <c r="M368" s="168" t="s">
        <v>49</v>
      </c>
      <c r="N368" s="167" t="s">
        <v>371</v>
      </c>
      <c r="O368" s="168" t="s">
        <v>39</v>
      </c>
      <c r="P368" s="168" t="s">
        <v>379</v>
      </c>
      <c r="Q368" s="169"/>
      <c r="R368" s="170">
        <f t="shared" ref="R368:R374" si="451">IF(Q368="",AS368,Q368)</f>
        <v>34834205.256057285</v>
      </c>
      <c r="S368" s="168" t="s">
        <v>9</v>
      </c>
      <c r="T368" s="171" t="s">
        <v>380</v>
      </c>
      <c r="U368" s="168" t="s">
        <v>374</v>
      </c>
      <c r="V368" s="167" t="s">
        <v>371</v>
      </c>
      <c r="W368" s="172" t="s">
        <v>375</v>
      </c>
      <c r="X368" s="173">
        <f>IF(Y368="",VLOOKUP(H368,CLIENTS!$A$1:$O$649,5,FALSE),Y368)</f>
        <v>0</v>
      </c>
      <c r="Y368" s="174">
        <v>0</v>
      </c>
      <c r="Z368" s="173">
        <f>IF(AA368="",VLOOKUP(P368,CLIENTS!$A$1:$O$649,5,FALSE),AA368)</f>
        <v>4.1254286096362724E-3</v>
      </c>
      <c r="AA368" s="174">
        <v>4.1254286096362724E-3</v>
      </c>
      <c r="AB368" s="173" t="str">
        <f>IF(W368="via USD",IF(K368="EUR",K368&amp;"USD","USD"&amp;K368),IFERROR(VLOOKUP(K368&amp;S368,'FX RATES'!$H$2:$H$20,1,FALSE),S368&amp;K368))</f>
        <v>USDUSD</v>
      </c>
      <c r="AC368" s="175">
        <f>IF(LEFT(AB368,3)=RIGHT(AB368,3),0,IFERROR(INDEX(CLIENTS!$A$1:$O$649,MATCH(H368,CLIENTS!$A$1:$A$649,0),MATCH(AB368,CLIENTS!$A$1:$O$1,0)),0))</f>
        <v>0</v>
      </c>
      <c r="AD368" s="176"/>
      <c r="AE368" s="177">
        <f t="shared" ref="AE368:AE374" si="452">IF(W368="CLIENT","",IF(AD368="",AH368+AC368,AD368+AC368))</f>
        <v>1</v>
      </c>
      <c r="AF368" s="177" t="str">
        <f t="shared" ref="AF368:AF374" si="453">E368&amp;AB368</f>
        <v>46056USDUSD</v>
      </c>
      <c r="AG368" s="176"/>
      <c r="AH368" s="178">
        <f>IF(LEFT(AB368,3)=RIGHT(AB368,3),1,VLOOKUP(AB368,'FX RATES'!$H$1:$I$20,2,FALSE))</f>
        <v>1</v>
      </c>
      <c r="AI368" s="178">
        <f t="shared" ref="AI368:AI374" si="454">IF(OR(AB368="USDAED",LEFT(AB368,3)=RIGHT(AB368,3)),AH368,IF(LEFT(AB368)="USD",AG368,IF(RIGHT(AB368,3)="USD",1,IFERROR(VLOOKUP(E368&amp;"USD"&amp;RIGHT(AB368,3),$AF:$AG,2,FALSE),VLOOKUP(E368&amp;"USD"&amp;RIGHT(AJ368,3),$AN:$AO,2,FALSE)))))</f>
        <v>1</v>
      </c>
      <c r="AJ368" s="173" t="str">
        <f>IF(W368="via USD",IF(S368="EUR",S368&amp;"USD","USD"&amp;S368),IFERROR(VLOOKUP(K368&amp;S368,'FX RATES'!$H$2:$H$20,1,FALSE),S368&amp;K368))</f>
        <v>USDRUB</v>
      </c>
      <c r="AK368" s="175">
        <f>IF(LEFT(AJ368,3)=RIGHT(AJ368,3),0,IFERROR(INDEX(CLIENTS!$A$1:$O$649,MATCH(P368,CLIENTS!$A$1:$A$649,0),MATCH(AJ368,CLIENTS!$A$1:$O$1,0)),0))</f>
        <v>0</v>
      </c>
      <c r="AL368" s="176">
        <v>77.09</v>
      </c>
      <c r="AM368" s="177">
        <f t="shared" ref="AM368:AM374" si="455">IF(W368="VENDOR","",IF(AL368="",AP368+AK368,AL368+AK368))</f>
        <v>77.09</v>
      </c>
      <c r="AN368" s="177" t="str">
        <f t="shared" ref="AN368:AN374" si="456">E368&amp;AJ368</f>
        <v>46056USDRUB</v>
      </c>
      <c r="AO368" s="176">
        <v>77</v>
      </c>
      <c r="AP368" s="178">
        <f ca="1">IF(LEFT(AJ368,3)=RIGHT(AJ368,3),1,VLOOKUP(AJ368,'FX RATES'!$H$1:$I$20,2,FALSE))</f>
        <v>76.720500000000001</v>
      </c>
      <c r="AQ368" s="178">
        <f t="shared" ref="AQ368:AQ374" si="457">IF(OR(AJ368="USDAED",LEFT(AJ368,3)=RIGHT(AJ368,3)),AP368,IF(LEFT(AJ368)="USD",AO368,IF(RIGHT(AJ368,3)="USD",1,IFERROR(VLOOKUP(E368&amp;"USD"&amp;RIGHT(AJ368,3),$AN:$AO,2,FALSE),VLOOKUP(E368&amp;"USD"&amp;RIGHT(AB368,3),$AF:$AG,2,FALSE)))))</f>
        <v>77</v>
      </c>
      <c r="AR368" s="179">
        <f>-Q368*(1-Z368)/(1+X368)*IF(W368="CLIENT",IF(S368=RIGHT(AJ368,3),1/AM368,AM368),IF(W368="VENDOR",IF(S368=RIGHT(AJ368,3),1/AE368,AE368),AE368^(VLOOKUP(AB368,'FX RATES'!$H$1:$J$26,3,FALSE))/AM368^(VLOOKUP(AJ368,'FX RATES'!$H$1:$J$26,3,FALSE))))</f>
        <v>0</v>
      </c>
      <c r="AS368" s="179">
        <f>-I368*(1+X368)/(1-Z368)*IF(W368="VENDOR",IF(K368=RIGHT(AB368,3),1/AE368,AE368),IF(W368="CLIENT",IF(K368=RIGHT(AB368,3),1/AM368,AM368),AM368^(VLOOKUP(AJ368,'FX RATES'!$H$1:$J$26,3,FALSE))/AE368^(VLOOKUP(AB368,'FX RATES'!$H$1:$J$26,3,FALSE))))</f>
        <v>34834205.256057285</v>
      </c>
      <c r="AT368" s="170">
        <f>IF(AB368&lt;&gt;AJ368,J368/IF(K368=RIGHT(AB368,3),AE368,1/AE368),IF(S368="USD",J368/IF(K368=RIGHT(AB368,3),IF(W368="CLIENT",AM368,AE368),1/IF(W368="CLIENT",AM368,AE368)),J368*VLOOKUP(K368,'FX RATES'!$E$1:$F$10,2,FALSE)))</f>
        <v>-449999.99</v>
      </c>
      <c r="AU368" s="170">
        <f>IF(AB368&lt;&gt;AJ368,R368/IF(S368=RIGHT(AJ368,3),AM368,1/AM368),IF(K368="USD",R368/IF(S368=RIGHT(AJ368,3),IF(W368="CLIENT",AM368,AE368),1/IF(W368="CLIENT",AM368,AE368)),R368*VLOOKUP(S368,'FX RATES'!$E$1:$F$10,2,FALSE)))</f>
        <v>451864.12318144098</v>
      </c>
      <c r="AV368" s="170">
        <f t="shared" ref="AV368:AV374" si="458">AT368+AU368</f>
        <v>1864.1331814409932</v>
      </c>
      <c r="AW368" s="169"/>
      <c r="AX368" s="170">
        <f t="shared" ref="AX368:AX374" si="459">IF(AND(ISERROR(SEARCH("INVOICE",T368)),ISERROR(SEARCH("SWITCH",T368)),ISERROR(SEARCH("FOREX",T368)),ISERROR(SEARCH("REFUND",A368)),ISERROR(SEARCH("CANCELLED",A368))),IF(AW368="",-AT368*X368+AU368*Z368,AW368),0)</f>
        <v>1864.1331814409255</v>
      </c>
      <c r="AY368" s="170">
        <f t="shared" ref="AY368:AY374" si="460">IF(AZ368="USD",AT368,IF(AZ368=K368,J368,-R368))</f>
        <v>-449999.99</v>
      </c>
      <c r="AZ368" s="170" t="str">
        <f t="shared" ref="AZ368:AZ374" si="461">LEFT(AB368,3)</f>
        <v>USD</v>
      </c>
      <c r="BA368" s="542">
        <f>IF(OR(A368="REFUND",A368="CANCELLED"),0,IFERROR((IF(OR(AB368="USDAED",LEFT(AB368,3)=RIGHT(AB368,3)),AI368,AG368)-AE368)*-AY368*VLOOKUP(AB368,'FX RATES'!$H$1:$J$26,3,FALSE),0))</f>
        <v>0</v>
      </c>
      <c r="BB368" s="170" t="str">
        <f t="shared" ref="BB368:BB374" si="462">RIGHT(AB368,3)</f>
        <v>USD</v>
      </c>
      <c r="BC368" s="542">
        <f t="shared" ref="BC368:BC374" si="463">IF(BA368=0,0,IFERROR(BA368/IF(BB368&lt;&gt;"USD",AI368,1),"???"))</f>
        <v>0</v>
      </c>
      <c r="BD368" s="170">
        <f t="shared" ref="BD368:BD374" si="464">IFERROR(-AC368/(IF(OR(AB368="USDAED",LEFT(AB368,3)=RIGHT(AB368,3)),AH368,AG368)-AE368)*BC368,0)</f>
        <v>0</v>
      </c>
      <c r="BE368" s="542">
        <f t="shared" ref="BE368:BE374" si="465">BC368-BD368</f>
        <v>0</v>
      </c>
      <c r="BF368" s="170">
        <f t="shared" ref="BF368:BF374" si="466">IF(BG368="USD",AU368,IF(BG368=S368,R368,-J368))</f>
        <v>451864.12318144098</v>
      </c>
      <c r="BG368" s="170" t="str">
        <f t="shared" ref="BG368:BG374" si="467">LEFT(AJ368,3)</f>
        <v>USD</v>
      </c>
      <c r="BH368" s="542">
        <f>IF(OR(A368="REFUND",A368="CANCELLED"),0,IFERROR((IF(OR(AJ368="USDAED",LEFT(AJ368,3)=RIGHT(AJ368,3)),AQ368,AO368)-AM368)*-BF368*VLOOKUP(AJ368,'FX RATES'!$H$1:$J$26,3,FALSE),0))</f>
        <v>40667.771086331231</v>
      </c>
      <c r="BI368" s="170" t="str">
        <f t="shared" ref="BI368:BI374" si="468">RIGHT(AJ368,3)</f>
        <v>RUB</v>
      </c>
      <c r="BJ368" s="542">
        <f t="shared" ref="BJ368:BJ374" si="469">IF(BH368=0,0,IFERROR(BH368/IF(BI368&lt;&gt;"USD",AQ368,1),"???"))</f>
        <v>528.15287125105499</v>
      </c>
      <c r="BK368" s="170">
        <f t="shared" ref="BK368:BK374" si="470">IFERROR(-AK368/(IF(OR(AJ368="USDAED",LEFT(AJ368,3)=RIGHT(AJ368,3)),AP368,AO368)-AM368)*BJ368,0)</f>
        <v>0</v>
      </c>
      <c r="BL368" s="542">
        <f t="shared" ref="BL368:BL374" si="471">BJ368-BK368</f>
        <v>528.15287125105499</v>
      </c>
      <c r="BM368" s="170">
        <f t="shared" ref="BM368:BM374" si="472">IF(AND(ISERROR(SEARCH("REFUND",A368)),ISERROR(SEARCH("CANCELLED",A368))),BD368+BK368,0)</f>
        <v>0</v>
      </c>
      <c r="BN368" s="542">
        <f t="shared" ref="BN368:BN374" si="473">IF(AND(ISERROR(SEARCH("REFUND",A368)),ISERROR(SEARCH("CANCELLED",A368))),BE368+BL368,0)</f>
        <v>528.15287125105499</v>
      </c>
    </row>
    <row r="369" spans="1:66" ht="19.5" customHeight="1">
      <c r="A369" s="167" t="s">
        <v>366</v>
      </c>
      <c r="B369" s="168" t="s">
        <v>45</v>
      </c>
      <c r="C369" s="168" t="s">
        <v>367</v>
      </c>
      <c r="D369" s="168" t="s">
        <v>368</v>
      </c>
      <c r="E369" s="171">
        <v>46056</v>
      </c>
      <c r="F369" s="171"/>
      <c r="G369" s="168" t="s">
        <v>45</v>
      </c>
      <c r="H369" s="168" t="s">
        <v>512</v>
      </c>
      <c r="I369" s="169">
        <v>-450000.01</v>
      </c>
      <c r="J369" s="170">
        <f t="shared" si="450"/>
        <v>-450000.01</v>
      </c>
      <c r="K369" s="168" t="s">
        <v>5</v>
      </c>
      <c r="L369" s="168" t="s">
        <v>378</v>
      </c>
      <c r="M369" s="168" t="s">
        <v>51</v>
      </c>
      <c r="N369" s="167" t="s">
        <v>371</v>
      </c>
      <c r="O369" s="168" t="s">
        <v>39</v>
      </c>
      <c r="P369" s="168" t="s">
        <v>379</v>
      </c>
      <c r="Q369" s="169"/>
      <c r="R369" s="170">
        <f t="shared" si="451"/>
        <v>34834206.80424422</v>
      </c>
      <c r="S369" s="168" t="s">
        <v>9</v>
      </c>
      <c r="T369" s="171" t="s">
        <v>380</v>
      </c>
      <c r="U369" s="168" t="s">
        <v>374</v>
      </c>
      <c r="V369" s="167" t="s">
        <v>371</v>
      </c>
      <c r="W369" s="172" t="s">
        <v>375</v>
      </c>
      <c r="X369" s="173">
        <f>IF(Y369="",VLOOKUP(H369,CLIENTS!$A$1:$O$649,5,FALSE),Y369)</f>
        <v>0</v>
      </c>
      <c r="Y369" s="174">
        <v>0</v>
      </c>
      <c r="Z369" s="173">
        <f>IF(AA369="",VLOOKUP(P369,CLIENTS!$A$1:$O$649,5,FALSE),AA369)</f>
        <v>4.1254286096362724E-3</v>
      </c>
      <c r="AA369" s="174">
        <v>4.1254286096362724E-3</v>
      </c>
      <c r="AB369" s="173" t="str">
        <f>IF(W369="via USD",IF(K369="EUR",K369&amp;"USD","USD"&amp;K369),IFERROR(VLOOKUP(K369&amp;S369,'FX RATES'!$H$2:$H$20,1,FALSE),S369&amp;K369))</f>
        <v>USDUSD</v>
      </c>
      <c r="AC369" s="175">
        <f>IF(LEFT(AB369,3)=RIGHT(AB369,3),0,IFERROR(INDEX(CLIENTS!$A$1:$O$649,MATCH(H369,CLIENTS!$A$1:$A$649,0),MATCH(AB369,CLIENTS!$A$1:$O$1,0)),0))</f>
        <v>0</v>
      </c>
      <c r="AD369" s="176"/>
      <c r="AE369" s="177">
        <f t="shared" si="452"/>
        <v>1</v>
      </c>
      <c r="AF369" s="177" t="str">
        <f t="shared" si="453"/>
        <v>46056USDUSD</v>
      </c>
      <c r="AG369" s="176"/>
      <c r="AH369" s="178">
        <f>IF(LEFT(AB369,3)=RIGHT(AB369,3),1,VLOOKUP(AB369,'FX RATES'!$H$1:$I$20,2,FALSE))</f>
        <v>1</v>
      </c>
      <c r="AI369" s="178">
        <f t="shared" si="454"/>
        <v>1</v>
      </c>
      <c r="AJ369" s="173" t="str">
        <f>IF(W369="via USD",IF(S369="EUR",S369&amp;"USD","USD"&amp;S369),IFERROR(VLOOKUP(K369&amp;S369,'FX RATES'!$H$2:$H$20,1,FALSE),S369&amp;K369))</f>
        <v>USDRUB</v>
      </c>
      <c r="AK369" s="175">
        <f>IF(LEFT(AJ369,3)=RIGHT(AJ369,3),0,IFERROR(INDEX(CLIENTS!$A$1:$O$649,MATCH(P369,CLIENTS!$A$1:$A$649,0),MATCH(AJ369,CLIENTS!$A$1:$O$1,0)),0))</f>
        <v>0</v>
      </c>
      <c r="AL369" s="176">
        <v>77.09</v>
      </c>
      <c r="AM369" s="177">
        <f t="shared" si="455"/>
        <v>77.09</v>
      </c>
      <c r="AN369" s="177" t="str">
        <f t="shared" si="456"/>
        <v>46056USDRUB</v>
      </c>
      <c r="AO369" s="176">
        <v>77</v>
      </c>
      <c r="AP369" s="178">
        <f ca="1">IF(LEFT(AJ369,3)=RIGHT(AJ369,3),1,VLOOKUP(AJ369,'FX RATES'!$H$1:$I$20,2,FALSE))</f>
        <v>76.720500000000001</v>
      </c>
      <c r="AQ369" s="178">
        <f t="shared" si="457"/>
        <v>77</v>
      </c>
      <c r="AR369" s="179">
        <f>-Q369*(1-Z369)/(1+X369)*IF(W369="CLIENT",IF(S369=RIGHT(AJ369,3),1/AM369,AM369),IF(W369="VENDOR",IF(S369=RIGHT(AJ369,3),1/AE369,AE369),AE369^(VLOOKUP(AB369,'FX RATES'!$H$1:$J$26,3,FALSE))/AM369^(VLOOKUP(AJ369,'FX RATES'!$H$1:$J$26,3,FALSE))))</f>
        <v>0</v>
      </c>
      <c r="AS369" s="179">
        <f>-I369*(1+X369)/(1-Z369)*IF(W369="VENDOR",IF(K369=RIGHT(AB369,3),1/AE369,AE369),IF(W369="CLIENT",IF(K369=RIGHT(AB369,3),1/AM369,AM369),AM369^(VLOOKUP(AJ369,'FX RATES'!$H$1:$J$26,3,FALSE))/AE369^(VLOOKUP(AB369,'FX RATES'!$H$1:$J$26,3,FALSE))))</f>
        <v>34834206.80424422</v>
      </c>
      <c r="AT369" s="170">
        <f>IF(AB369&lt;&gt;AJ369,J369/IF(K369=RIGHT(AB369,3),AE369,1/AE369),IF(S369="USD",J369/IF(K369=RIGHT(AB369,3),IF(W369="CLIENT",AM369,AE369),1/IF(W369="CLIENT",AM369,AE369)),J369*VLOOKUP(K369,'FX RATES'!$E$1:$F$10,2,FALSE)))</f>
        <v>-450000.01</v>
      </c>
      <c r="AU369" s="170">
        <f>IF(AB369&lt;&gt;AJ369,R369/IF(S369=RIGHT(AJ369,3),AM369,1/AM369),IF(K369="USD",R369/IF(S369=RIGHT(AJ369,3),IF(W369="CLIENT",AM369,AE369),1/IF(W369="CLIENT",AM369,AE369)),R369*VLOOKUP(S369,'FX RATES'!$E$1:$F$10,2,FALSE)))</f>
        <v>451864.14326429134</v>
      </c>
      <c r="AV369" s="170">
        <f t="shared" si="458"/>
        <v>1864.133264291333</v>
      </c>
      <c r="AW369" s="169"/>
      <c r="AX369" s="170">
        <f t="shared" si="459"/>
        <v>1864.1332642912907</v>
      </c>
      <c r="AY369" s="170">
        <f t="shared" si="460"/>
        <v>-450000.01</v>
      </c>
      <c r="AZ369" s="170" t="str">
        <f t="shared" si="461"/>
        <v>USD</v>
      </c>
      <c r="BA369" s="542">
        <f>IF(OR(A369="REFUND",A369="CANCELLED"),0,IFERROR((IF(OR(AB369="USDAED",LEFT(AB369,3)=RIGHT(AB369,3)),AI369,AG369)-AE369)*-AY369*VLOOKUP(AB369,'FX RATES'!$H$1:$J$26,3,FALSE),0))</f>
        <v>0</v>
      </c>
      <c r="BB369" s="170" t="str">
        <f t="shared" si="462"/>
        <v>USD</v>
      </c>
      <c r="BC369" s="542">
        <f t="shared" si="463"/>
        <v>0</v>
      </c>
      <c r="BD369" s="170">
        <f t="shared" si="464"/>
        <v>0</v>
      </c>
      <c r="BE369" s="542">
        <f t="shared" si="465"/>
        <v>0</v>
      </c>
      <c r="BF369" s="170">
        <f t="shared" si="466"/>
        <v>451864.14326429134</v>
      </c>
      <c r="BG369" s="170" t="str">
        <f t="shared" si="467"/>
        <v>USD</v>
      </c>
      <c r="BH369" s="542">
        <f>IF(OR(A369="REFUND",A369="CANCELLED"),0,IFERROR((IF(OR(AJ369="USDAED",LEFT(AJ369,3)=RIGHT(AJ369,3)),AQ369,AO369)-AM369)*-BF369*VLOOKUP(AJ369,'FX RATES'!$H$1:$J$26,3,FALSE),0))</f>
        <v>40667.772893787762</v>
      </c>
      <c r="BI369" s="170" t="str">
        <f t="shared" si="468"/>
        <v>RUB</v>
      </c>
      <c r="BJ369" s="542">
        <f t="shared" si="469"/>
        <v>528.15289472451639</v>
      </c>
      <c r="BK369" s="170">
        <f t="shared" si="470"/>
        <v>0</v>
      </c>
      <c r="BL369" s="542">
        <f t="shared" si="471"/>
        <v>528.15289472451639</v>
      </c>
      <c r="BM369" s="170">
        <f t="shared" si="472"/>
        <v>0</v>
      </c>
      <c r="BN369" s="542">
        <f t="shared" si="473"/>
        <v>528.15289472451639</v>
      </c>
    </row>
    <row r="370" spans="1:66" ht="19.5" customHeight="1">
      <c r="A370" s="167" t="s">
        <v>366</v>
      </c>
      <c r="B370" s="168" t="s">
        <v>45</v>
      </c>
      <c r="C370" s="168" t="s">
        <v>367</v>
      </c>
      <c r="D370" s="168" t="s">
        <v>368</v>
      </c>
      <c r="E370" s="171">
        <v>46056</v>
      </c>
      <c r="F370" s="171"/>
      <c r="G370" s="168" t="s">
        <v>45</v>
      </c>
      <c r="H370" s="168" t="s">
        <v>512</v>
      </c>
      <c r="I370" s="169">
        <v>-234923.63</v>
      </c>
      <c r="J370" s="170">
        <f t="shared" si="450"/>
        <v>-234923.63</v>
      </c>
      <c r="K370" s="168" t="s">
        <v>5</v>
      </c>
      <c r="L370" s="168" t="s">
        <v>378</v>
      </c>
      <c r="M370" s="168" t="s">
        <v>51</v>
      </c>
      <c r="N370" s="167" t="s">
        <v>371</v>
      </c>
      <c r="O370" s="168" t="s">
        <v>39</v>
      </c>
      <c r="P370" s="168" t="s">
        <v>379</v>
      </c>
      <c r="Q370" s="169"/>
      <c r="R370" s="170">
        <f t="shared" si="451"/>
        <v>18185284.730602007</v>
      </c>
      <c r="S370" s="168" t="s">
        <v>9</v>
      </c>
      <c r="T370" s="171" t="s">
        <v>380</v>
      </c>
      <c r="U370" s="168" t="s">
        <v>374</v>
      </c>
      <c r="V370" s="167" t="s">
        <v>371</v>
      </c>
      <c r="W370" s="172" t="s">
        <v>375</v>
      </c>
      <c r="X370" s="173">
        <f>IF(Y370="",VLOOKUP(H370,CLIENTS!$A$1:$O$649,5,FALSE),Y370)</f>
        <v>0</v>
      </c>
      <c r="Y370" s="174">
        <v>0</v>
      </c>
      <c r="Z370" s="173">
        <f>IF(AA370="",VLOOKUP(P370,CLIENTS!$A$1:$O$649,5,FALSE),AA370)</f>
        <v>4.1254286096362724E-3</v>
      </c>
      <c r="AA370" s="174">
        <v>4.1254286096362724E-3</v>
      </c>
      <c r="AB370" s="173" t="str">
        <f>IF(W370="via USD",IF(K370="EUR",K370&amp;"USD","USD"&amp;K370),IFERROR(VLOOKUP(K370&amp;S370,'FX RATES'!$H$2:$H$20,1,FALSE),S370&amp;K370))</f>
        <v>USDUSD</v>
      </c>
      <c r="AC370" s="175">
        <f>IF(LEFT(AB370,3)=RIGHT(AB370,3),0,IFERROR(INDEX(CLIENTS!$A$1:$O$649,MATCH(H370,CLIENTS!$A$1:$A$649,0),MATCH(AB370,CLIENTS!$A$1:$O$1,0)),0))</f>
        <v>0</v>
      </c>
      <c r="AD370" s="176"/>
      <c r="AE370" s="177">
        <f t="shared" si="452"/>
        <v>1</v>
      </c>
      <c r="AF370" s="177" t="str">
        <f t="shared" si="453"/>
        <v>46056USDUSD</v>
      </c>
      <c r="AG370" s="176"/>
      <c r="AH370" s="178">
        <f>IF(LEFT(AB370,3)=RIGHT(AB370,3),1,VLOOKUP(AB370,'FX RATES'!$H$1:$I$20,2,FALSE))</f>
        <v>1</v>
      </c>
      <c r="AI370" s="178">
        <f t="shared" si="454"/>
        <v>1</v>
      </c>
      <c r="AJ370" s="173" t="str">
        <f>IF(W370="via USD",IF(S370="EUR",S370&amp;"USD","USD"&amp;S370),IFERROR(VLOOKUP(K370&amp;S370,'FX RATES'!$H$2:$H$20,1,FALSE),S370&amp;K370))</f>
        <v>USDRUB</v>
      </c>
      <c r="AK370" s="175">
        <f>IF(LEFT(AJ370,3)=RIGHT(AJ370,3),0,IFERROR(INDEX(CLIENTS!$A$1:$O$649,MATCH(P370,CLIENTS!$A$1:$A$649,0),MATCH(AJ370,CLIENTS!$A$1:$O$1,0)),0))</f>
        <v>0</v>
      </c>
      <c r="AL370" s="176">
        <v>77.09</v>
      </c>
      <c r="AM370" s="177">
        <f t="shared" si="455"/>
        <v>77.09</v>
      </c>
      <c r="AN370" s="177" t="str">
        <f t="shared" si="456"/>
        <v>46056USDRUB</v>
      </c>
      <c r="AO370" s="176">
        <v>77</v>
      </c>
      <c r="AP370" s="178">
        <f ca="1">IF(LEFT(AJ370,3)=RIGHT(AJ370,3),1,VLOOKUP(AJ370,'FX RATES'!$H$1:$I$20,2,FALSE))</f>
        <v>76.720500000000001</v>
      </c>
      <c r="AQ370" s="178">
        <f t="shared" si="457"/>
        <v>77</v>
      </c>
      <c r="AR370" s="179">
        <f>-Q370*(1-Z370)/(1+X370)*IF(W370="CLIENT",IF(S370=RIGHT(AJ370,3),1/AM370,AM370),IF(W370="VENDOR",IF(S370=RIGHT(AJ370,3),1/AE370,AE370),AE370^(VLOOKUP(AB370,'FX RATES'!$H$1:$J$26,3,FALSE))/AM370^(VLOOKUP(AJ370,'FX RATES'!$H$1:$J$26,3,FALSE))))</f>
        <v>0</v>
      </c>
      <c r="AS370" s="179">
        <f>-I370*(1+X370)/(1-Z370)*IF(W370="VENDOR",IF(K370=RIGHT(AB370,3),1/AE370,AE370),IF(W370="CLIENT",IF(K370=RIGHT(AB370,3),1/AM370,AM370),AM370^(VLOOKUP(AJ370,'FX RATES'!$H$1:$J$26,3,FALSE))/AE370^(VLOOKUP(AB370,'FX RATES'!$H$1:$J$26,3,FALSE))))</f>
        <v>18185284.730602007</v>
      </c>
      <c r="AT370" s="170">
        <f>IF(AB370&lt;&gt;AJ370,J370/IF(K370=RIGHT(AB370,3),AE370,1/AE370),IF(S370="USD",J370/IF(K370=RIGHT(AB370,3),IF(W370="CLIENT",AM370,AE370),1/IF(W370="CLIENT",AM370,AE370)),J370*VLOOKUP(K370,'FX RATES'!$E$1:$F$10,2,FALSE)))</f>
        <v>-234923.63</v>
      </c>
      <c r="AU370" s="170">
        <f>IF(AB370&lt;&gt;AJ370,R370/IF(S370=RIGHT(AJ370,3),AM370,1/AM370),IF(K370="USD",R370/IF(S370=RIGHT(AJ370,3),IF(W370="CLIENT",AM370,AE370),1/IF(W370="CLIENT",AM370,AE370)),R370*VLOOKUP(S370,'FX RATES'!$E$1:$F$10,2,FALSE)))</f>
        <v>235896.80543004291</v>
      </c>
      <c r="AV370" s="170">
        <f t="shared" si="458"/>
        <v>973.17543004290201</v>
      </c>
      <c r="AW370" s="169"/>
      <c r="AX370" s="170">
        <f t="shared" si="459"/>
        <v>973.17543004290019</v>
      </c>
      <c r="AY370" s="170">
        <f t="shared" si="460"/>
        <v>-234923.63</v>
      </c>
      <c r="AZ370" s="170" t="str">
        <f t="shared" si="461"/>
        <v>USD</v>
      </c>
      <c r="BA370" s="542">
        <f>IF(OR(A370="REFUND",A370="CANCELLED"),0,IFERROR((IF(OR(AB370="USDAED",LEFT(AB370,3)=RIGHT(AB370,3)),AI370,AG370)-AE370)*-AY370*VLOOKUP(AB370,'FX RATES'!$H$1:$J$26,3,FALSE),0))</f>
        <v>0</v>
      </c>
      <c r="BB370" s="170" t="str">
        <f t="shared" si="462"/>
        <v>USD</v>
      </c>
      <c r="BC370" s="542">
        <f t="shared" si="463"/>
        <v>0</v>
      </c>
      <c r="BD370" s="170">
        <f t="shared" si="464"/>
        <v>0</v>
      </c>
      <c r="BE370" s="542">
        <f t="shared" si="465"/>
        <v>0</v>
      </c>
      <c r="BF370" s="170">
        <f t="shared" si="466"/>
        <v>235896.80543004291</v>
      </c>
      <c r="BG370" s="170" t="str">
        <f t="shared" si="467"/>
        <v>USD</v>
      </c>
      <c r="BH370" s="542">
        <f>IF(OR(A370="REFUND",A370="CANCELLED"),0,IFERROR((IF(OR(AJ370="USDAED",LEFT(AJ370,3)=RIGHT(AJ370,3)),AQ370,AO370)-AM370)*-BF370*VLOOKUP(AJ370,'FX RATES'!$H$1:$J$26,3,FALSE),0))</f>
        <v>21230.712488704667</v>
      </c>
      <c r="BI370" s="170" t="str">
        <f t="shared" si="468"/>
        <v>RUB</v>
      </c>
      <c r="BJ370" s="542">
        <f t="shared" si="469"/>
        <v>275.72353881434634</v>
      </c>
      <c r="BK370" s="170">
        <f t="shared" si="470"/>
        <v>0</v>
      </c>
      <c r="BL370" s="542">
        <f t="shared" si="471"/>
        <v>275.72353881434634</v>
      </c>
      <c r="BM370" s="170">
        <f t="shared" si="472"/>
        <v>0</v>
      </c>
      <c r="BN370" s="542">
        <f t="shared" si="473"/>
        <v>275.72353881434634</v>
      </c>
    </row>
    <row r="371" spans="1:66" ht="19.5" customHeight="1">
      <c r="A371" s="167" t="s">
        <v>366</v>
      </c>
      <c r="B371" s="168" t="s">
        <v>45</v>
      </c>
      <c r="C371" s="168" t="s">
        <v>367</v>
      </c>
      <c r="D371" s="168" t="s">
        <v>368</v>
      </c>
      <c r="E371" s="171">
        <v>46056</v>
      </c>
      <c r="F371" s="171"/>
      <c r="G371" s="168" t="s">
        <v>45</v>
      </c>
      <c r="H371" s="181" t="s">
        <v>576</v>
      </c>
      <c r="I371" s="169">
        <v>-33960.97</v>
      </c>
      <c r="J371" s="170">
        <f t="shared" si="450"/>
        <v>-33960.97</v>
      </c>
      <c r="K371" s="168" t="s">
        <v>5</v>
      </c>
      <c r="L371" s="168" t="s">
        <v>564</v>
      </c>
      <c r="M371" s="168" t="s">
        <v>49</v>
      </c>
      <c r="N371" s="167" t="s">
        <v>371</v>
      </c>
      <c r="O371" s="168" t="s">
        <v>39</v>
      </c>
      <c r="P371" s="168" t="s">
        <v>379</v>
      </c>
      <c r="Q371" s="169"/>
      <c r="R371" s="170">
        <f t="shared" si="451"/>
        <v>2628896.5021417085</v>
      </c>
      <c r="S371" s="168" t="s">
        <v>9</v>
      </c>
      <c r="T371" s="171" t="s">
        <v>380</v>
      </c>
      <c r="U371" s="168" t="s">
        <v>374</v>
      </c>
      <c r="V371" s="167" t="s">
        <v>371</v>
      </c>
      <c r="W371" s="172" t="s">
        <v>375</v>
      </c>
      <c r="X371" s="173">
        <f>IF(Y371="",VLOOKUP(H371,CLIENTS!$A$1:$O$649,5,FALSE),Y371)</f>
        <v>0</v>
      </c>
      <c r="Y371" s="174">
        <v>0</v>
      </c>
      <c r="Z371" s="173">
        <f>IF(AA371="",VLOOKUP(P371,CLIENTS!$A$1:$O$649,5,FALSE),AA371)</f>
        <v>4.1254286096362724E-3</v>
      </c>
      <c r="AA371" s="174">
        <v>4.1254286096362724E-3</v>
      </c>
      <c r="AB371" s="173" t="str">
        <f>IF(W371="via USD",IF(K371="EUR",K371&amp;"USD","USD"&amp;K371),IFERROR(VLOOKUP(K371&amp;S371,'FX RATES'!$H$2:$H$20,1,FALSE),S371&amp;K371))</f>
        <v>USDUSD</v>
      </c>
      <c r="AC371" s="175">
        <f>IF(LEFT(AB371,3)=RIGHT(AB371,3),0,IFERROR(INDEX(CLIENTS!$A$1:$O$649,MATCH(H371,CLIENTS!$A$1:$A$649,0),MATCH(AB371,CLIENTS!$A$1:$O$1,0)),0))</f>
        <v>0</v>
      </c>
      <c r="AD371" s="176"/>
      <c r="AE371" s="177">
        <f t="shared" si="452"/>
        <v>1</v>
      </c>
      <c r="AF371" s="177" t="str">
        <f t="shared" si="453"/>
        <v>46056USDUSD</v>
      </c>
      <c r="AG371" s="176"/>
      <c r="AH371" s="178">
        <f>IF(LEFT(AB371,3)=RIGHT(AB371,3),1,VLOOKUP(AB371,'FX RATES'!$H$1:$I$20,2,FALSE))</f>
        <v>1</v>
      </c>
      <c r="AI371" s="178">
        <f t="shared" si="454"/>
        <v>1</v>
      </c>
      <c r="AJ371" s="173" t="str">
        <f>IF(W371="via USD",IF(S371="EUR",S371&amp;"USD","USD"&amp;S371),IFERROR(VLOOKUP(K371&amp;S371,'FX RATES'!$H$2:$H$20,1,FALSE),S371&amp;K371))</f>
        <v>USDRUB</v>
      </c>
      <c r="AK371" s="175">
        <f>IF(LEFT(AJ371,3)=RIGHT(AJ371,3),0,IFERROR(INDEX(CLIENTS!$A$1:$O$649,MATCH(P371,CLIENTS!$A$1:$A$649,0),MATCH(AJ371,CLIENTS!$A$1:$O$1,0)),0))</f>
        <v>0</v>
      </c>
      <c r="AL371" s="176">
        <v>77.09</v>
      </c>
      <c r="AM371" s="177">
        <f t="shared" si="455"/>
        <v>77.09</v>
      </c>
      <c r="AN371" s="177" t="str">
        <f t="shared" si="456"/>
        <v>46056USDRUB</v>
      </c>
      <c r="AO371" s="176">
        <v>77</v>
      </c>
      <c r="AP371" s="178">
        <f ca="1">IF(LEFT(AJ371,3)=RIGHT(AJ371,3),1,VLOOKUP(AJ371,'FX RATES'!$H$1:$I$20,2,FALSE))</f>
        <v>76.720500000000001</v>
      </c>
      <c r="AQ371" s="178">
        <f t="shared" si="457"/>
        <v>77</v>
      </c>
      <c r="AR371" s="179">
        <f>-Q371*(1-Z371)/(1+X371)*IF(W371="CLIENT",IF(S371=RIGHT(AJ371,3),1/AM371,AM371),IF(W371="VENDOR",IF(S371=RIGHT(AJ371,3),1/AE371,AE371),AE371^(VLOOKUP(AB371,'FX RATES'!$H$1:$J$26,3,FALSE))/AM371^(VLOOKUP(AJ371,'FX RATES'!$H$1:$J$26,3,FALSE))))</f>
        <v>0</v>
      </c>
      <c r="AS371" s="179">
        <f>-I371*(1+X371)/(1-Z371)*IF(W371="VENDOR",IF(K371=RIGHT(AB371,3),1/AE371,AE371),IF(W371="CLIENT",IF(K371=RIGHT(AB371,3),1/AM371,AM371),AM371^(VLOOKUP(AJ371,'FX RATES'!$H$1:$J$26,3,FALSE))/AE371^(VLOOKUP(AB371,'FX RATES'!$H$1:$J$26,3,FALSE))))</f>
        <v>2628896.5021417085</v>
      </c>
      <c r="AT371" s="170">
        <f>IF(AB371&lt;&gt;AJ371,J371/IF(K371=RIGHT(AB371,3),AE371,1/AE371),IF(S371="USD",J371/IF(K371=RIGHT(AB371,3),IF(W371="CLIENT",AM371,AE371),1/IF(W371="CLIENT",AM371,AE371)),J371*VLOOKUP(K371,'FX RATES'!$E$1:$F$10,2,FALSE)))</f>
        <v>-33960.97</v>
      </c>
      <c r="AU371" s="170">
        <f>IF(AB371&lt;&gt;AJ371,R371/IF(S371=RIGHT(AJ371,3),AM371,1/AM371),IF(K371="USD",R371/IF(S371=RIGHT(AJ371,3),IF(W371="CLIENT",AM371,AE371),1/IF(W371="CLIENT",AM371,AE371)),R371*VLOOKUP(S371,'FX RATES'!$E$1:$F$10,2,FALSE)))</f>
        <v>34101.653938795025</v>
      </c>
      <c r="AV371" s="170">
        <f t="shared" si="458"/>
        <v>140.68393879502401</v>
      </c>
      <c r="AW371" s="169"/>
      <c r="AX371" s="170">
        <f t="shared" si="459"/>
        <v>140.68393879502048</v>
      </c>
      <c r="AY371" s="170">
        <f t="shared" si="460"/>
        <v>-33960.97</v>
      </c>
      <c r="AZ371" s="170" t="str">
        <f t="shared" si="461"/>
        <v>USD</v>
      </c>
      <c r="BA371" s="542">
        <f>IF(OR(A371="REFUND",A371="CANCELLED"),0,IFERROR((IF(OR(AB371="USDAED",LEFT(AB371,3)=RIGHT(AB371,3)),AI371,AG371)-AE371)*-AY371*VLOOKUP(AB371,'FX RATES'!$H$1:$J$26,3,FALSE),0))</f>
        <v>0</v>
      </c>
      <c r="BB371" s="170" t="str">
        <f t="shared" si="462"/>
        <v>USD</v>
      </c>
      <c r="BC371" s="542">
        <f t="shared" si="463"/>
        <v>0</v>
      </c>
      <c r="BD371" s="170">
        <f t="shared" si="464"/>
        <v>0</v>
      </c>
      <c r="BE371" s="542">
        <f t="shared" si="465"/>
        <v>0</v>
      </c>
      <c r="BF371" s="170">
        <f t="shared" si="466"/>
        <v>34101.653938795025</v>
      </c>
      <c r="BG371" s="170" t="str">
        <f t="shared" si="467"/>
        <v>USD</v>
      </c>
      <c r="BH371" s="542">
        <f>IF(OR(A371="REFUND",A371="CANCELLED"),0,IFERROR((IF(OR(AJ371="USDAED",LEFT(AJ371,3)=RIGHT(AJ371,3)),AQ371,AO371)-AM371)*-BF371*VLOOKUP(AJ371,'FX RATES'!$H$1:$J$26,3,FALSE),0))</f>
        <v>3069.1488544916688</v>
      </c>
      <c r="BI371" s="170" t="str">
        <f t="shared" si="468"/>
        <v>RUB</v>
      </c>
      <c r="BJ371" s="542">
        <f t="shared" si="469"/>
        <v>39.859076032359333</v>
      </c>
      <c r="BK371" s="170">
        <f t="shared" si="470"/>
        <v>0</v>
      </c>
      <c r="BL371" s="542">
        <f t="shared" si="471"/>
        <v>39.859076032359333</v>
      </c>
      <c r="BM371" s="170">
        <f t="shared" si="472"/>
        <v>0</v>
      </c>
      <c r="BN371" s="542">
        <f t="shared" si="473"/>
        <v>39.859076032359333</v>
      </c>
    </row>
    <row r="372" spans="1:66" ht="19.5" customHeight="1">
      <c r="A372" s="167" t="s">
        <v>366</v>
      </c>
      <c r="B372" s="168" t="s">
        <v>45</v>
      </c>
      <c r="C372" s="168" t="s">
        <v>367</v>
      </c>
      <c r="D372" s="168" t="s">
        <v>368</v>
      </c>
      <c r="E372" s="171">
        <v>46056</v>
      </c>
      <c r="F372" s="171"/>
      <c r="G372" s="168" t="s">
        <v>45</v>
      </c>
      <c r="H372" s="181" t="s">
        <v>577</v>
      </c>
      <c r="I372" s="169">
        <v>-306280.56</v>
      </c>
      <c r="J372" s="170">
        <f t="shared" si="450"/>
        <v>-306280.56</v>
      </c>
      <c r="K372" s="168" t="s">
        <v>5</v>
      </c>
      <c r="L372" s="168" t="s">
        <v>566</v>
      </c>
      <c r="M372" s="168" t="s">
        <v>49</v>
      </c>
      <c r="N372" s="167" t="s">
        <v>371</v>
      </c>
      <c r="O372" s="168" t="s">
        <v>39</v>
      </c>
      <c r="P372" s="168" t="s">
        <v>379</v>
      </c>
      <c r="Q372" s="169"/>
      <c r="R372" s="170">
        <f t="shared" si="451"/>
        <v>23708978.066822108</v>
      </c>
      <c r="S372" s="168" t="s">
        <v>9</v>
      </c>
      <c r="T372" s="171" t="s">
        <v>380</v>
      </c>
      <c r="U372" s="168" t="s">
        <v>374</v>
      </c>
      <c r="V372" s="167" t="s">
        <v>371</v>
      </c>
      <c r="W372" s="172" t="s">
        <v>375</v>
      </c>
      <c r="X372" s="173">
        <f>IF(Y372="",VLOOKUP(H372,CLIENTS!$A$1:$O$649,5,FALSE),Y372)</f>
        <v>0</v>
      </c>
      <c r="Y372" s="174">
        <v>0</v>
      </c>
      <c r="Z372" s="173">
        <f>IF(AA372="",VLOOKUP(P372,CLIENTS!$A$1:$O$649,5,FALSE),AA372)</f>
        <v>4.1254286096362724E-3</v>
      </c>
      <c r="AA372" s="174">
        <v>4.1254286096362724E-3</v>
      </c>
      <c r="AB372" s="173" t="str">
        <f>IF(W372="via USD",IF(K372="EUR",K372&amp;"USD","USD"&amp;K372),IFERROR(VLOOKUP(K372&amp;S372,'FX RATES'!$H$2:$H$20,1,FALSE),S372&amp;K372))</f>
        <v>USDUSD</v>
      </c>
      <c r="AC372" s="175">
        <f>IF(LEFT(AB372,3)=RIGHT(AB372,3),0,IFERROR(INDEX(CLIENTS!$A$1:$O$649,MATCH(H372,CLIENTS!$A$1:$A$649,0),MATCH(AB372,CLIENTS!$A$1:$O$1,0)),0))</f>
        <v>0</v>
      </c>
      <c r="AD372" s="176"/>
      <c r="AE372" s="177">
        <f t="shared" si="452"/>
        <v>1</v>
      </c>
      <c r="AF372" s="177" t="str">
        <f t="shared" si="453"/>
        <v>46056USDUSD</v>
      </c>
      <c r="AG372" s="176"/>
      <c r="AH372" s="178">
        <f>IF(LEFT(AB372,3)=RIGHT(AB372,3),1,VLOOKUP(AB372,'FX RATES'!$H$1:$I$20,2,FALSE))</f>
        <v>1</v>
      </c>
      <c r="AI372" s="178">
        <f t="shared" si="454"/>
        <v>1</v>
      </c>
      <c r="AJ372" s="173" t="str">
        <f>IF(W372="via USD",IF(S372="EUR",S372&amp;"USD","USD"&amp;S372),IFERROR(VLOOKUP(K372&amp;S372,'FX RATES'!$H$2:$H$20,1,FALSE),S372&amp;K372))</f>
        <v>USDRUB</v>
      </c>
      <c r="AK372" s="175">
        <f>IF(LEFT(AJ372,3)=RIGHT(AJ372,3),0,IFERROR(INDEX(CLIENTS!$A$1:$O$649,MATCH(P372,CLIENTS!$A$1:$A$649,0),MATCH(AJ372,CLIENTS!$A$1:$O$1,0)),0))</f>
        <v>0</v>
      </c>
      <c r="AL372" s="176">
        <v>77.09</v>
      </c>
      <c r="AM372" s="177">
        <f t="shared" si="455"/>
        <v>77.09</v>
      </c>
      <c r="AN372" s="177" t="str">
        <f t="shared" si="456"/>
        <v>46056USDRUB</v>
      </c>
      <c r="AO372" s="176">
        <v>77</v>
      </c>
      <c r="AP372" s="178">
        <f ca="1">IF(LEFT(AJ372,3)=RIGHT(AJ372,3),1,VLOOKUP(AJ372,'FX RATES'!$H$1:$I$20,2,FALSE))</f>
        <v>76.720500000000001</v>
      </c>
      <c r="AQ372" s="178">
        <f t="shared" si="457"/>
        <v>77</v>
      </c>
      <c r="AR372" s="179">
        <f>-Q372*(1-Z372)/(1+X372)*IF(W372="CLIENT",IF(S372=RIGHT(AJ372,3),1/AM372,AM372),IF(W372="VENDOR",IF(S372=RIGHT(AJ372,3),1/AE372,AE372),AE372^(VLOOKUP(AB372,'FX RATES'!$H$1:$J$26,3,FALSE))/AM372^(VLOOKUP(AJ372,'FX RATES'!$H$1:$J$26,3,FALSE))))</f>
        <v>0</v>
      </c>
      <c r="AS372" s="179">
        <f>-I372*(1+X372)/(1-Z372)*IF(W372="VENDOR",IF(K372=RIGHT(AB372,3),1/AE372,AE372),IF(W372="CLIENT",IF(K372=RIGHT(AB372,3),1/AM372,AM372),AM372^(VLOOKUP(AJ372,'FX RATES'!$H$1:$J$26,3,FALSE))/AE372^(VLOOKUP(AB372,'FX RATES'!$H$1:$J$26,3,FALSE))))</f>
        <v>23708978.066822108</v>
      </c>
      <c r="AT372" s="170">
        <f>IF(AB372&lt;&gt;AJ372,J372/IF(K372=RIGHT(AB372,3),AE372,1/AE372),IF(S372="USD",J372/IF(K372=RIGHT(AB372,3),IF(W372="CLIENT",AM372,AE372),1/IF(W372="CLIENT",AM372,AE372)),J372*VLOOKUP(K372,'FX RATES'!$E$1:$F$10,2,FALSE)))</f>
        <v>-306280.56</v>
      </c>
      <c r="AU372" s="170">
        <f>IF(AB372&lt;&gt;AJ372,R372/IF(S372=RIGHT(AJ372,3),AM372,1/AM372),IF(K372="USD",R372/IF(S372=RIGHT(AJ372,3),IF(W372="CLIENT",AM372,AE372),1/IF(W372="CLIENT",AM372,AE372)),R372*VLOOKUP(S372,'FX RATES'!$E$1:$F$10,2,FALSE)))</f>
        <v>307549.33281647565</v>
      </c>
      <c r="AV372" s="170">
        <f t="shared" si="458"/>
        <v>1268.7728164756554</v>
      </c>
      <c r="AW372" s="169"/>
      <c r="AX372" s="170">
        <f t="shared" si="459"/>
        <v>1268.7728164756363</v>
      </c>
      <c r="AY372" s="170">
        <f t="shared" si="460"/>
        <v>-306280.56</v>
      </c>
      <c r="AZ372" s="170" t="str">
        <f t="shared" si="461"/>
        <v>USD</v>
      </c>
      <c r="BA372" s="542">
        <f>IF(OR(A372="REFUND",A372="CANCELLED"),0,IFERROR((IF(OR(AB372="USDAED",LEFT(AB372,3)=RIGHT(AB372,3)),AI372,AG372)-AE372)*-AY372*VLOOKUP(AB372,'FX RATES'!$H$1:$J$26,3,FALSE),0))</f>
        <v>0</v>
      </c>
      <c r="BB372" s="170" t="str">
        <f t="shared" si="462"/>
        <v>USD</v>
      </c>
      <c r="BC372" s="542">
        <f t="shared" si="463"/>
        <v>0</v>
      </c>
      <c r="BD372" s="170">
        <f t="shared" si="464"/>
        <v>0</v>
      </c>
      <c r="BE372" s="542">
        <f t="shared" si="465"/>
        <v>0</v>
      </c>
      <c r="BF372" s="170">
        <f t="shared" si="466"/>
        <v>307549.33281647565</v>
      </c>
      <c r="BG372" s="170" t="str">
        <f t="shared" si="467"/>
        <v>USD</v>
      </c>
      <c r="BH372" s="542">
        <f>IF(OR(A372="REFUND",A372="CANCELLED"),0,IFERROR((IF(OR(AJ372="USDAED",LEFT(AJ372,3)=RIGHT(AJ372,3)),AQ372,AO372)-AM372)*-BF372*VLOOKUP(AJ372,'FX RATES'!$H$1:$J$26,3,FALSE),0))</f>
        <v>27679.439953483859</v>
      </c>
      <c r="BI372" s="170" t="str">
        <f t="shared" si="468"/>
        <v>RUB</v>
      </c>
      <c r="BJ372" s="542">
        <f t="shared" si="469"/>
        <v>359.473246149141</v>
      </c>
      <c r="BK372" s="170">
        <f t="shared" si="470"/>
        <v>0</v>
      </c>
      <c r="BL372" s="542">
        <f t="shared" si="471"/>
        <v>359.473246149141</v>
      </c>
      <c r="BM372" s="170">
        <f t="shared" si="472"/>
        <v>0</v>
      </c>
      <c r="BN372" s="542">
        <f t="shared" si="473"/>
        <v>359.473246149141</v>
      </c>
    </row>
    <row r="373" spans="1:66" ht="19.5" customHeight="1">
      <c r="A373" s="167" t="s">
        <v>366</v>
      </c>
      <c r="B373" s="168" t="s">
        <v>45</v>
      </c>
      <c r="C373" s="168" t="s">
        <v>367</v>
      </c>
      <c r="D373" s="168" t="s">
        <v>368</v>
      </c>
      <c r="E373" s="171">
        <v>46056</v>
      </c>
      <c r="F373" s="171"/>
      <c r="G373" s="168" t="s">
        <v>45</v>
      </c>
      <c r="H373" s="181" t="s">
        <v>577</v>
      </c>
      <c r="I373" s="169">
        <v>-306280.57</v>
      </c>
      <c r="J373" s="170">
        <f t="shared" si="450"/>
        <v>-306280.57</v>
      </c>
      <c r="K373" s="168" t="s">
        <v>5</v>
      </c>
      <c r="L373" s="168" t="s">
        <v>566</v>
      </c>
      <c r="M373" s="168" t="s">
        <v>51</v>
      </c>
      <c r="N373" s="167" t="s">
        <v>371</v>
      </c>
      <c r="O373" s="168" t="s">
        <v>39</v>
      </c>
      <c r="P373" s="168" t="s">
        <v>379</v>
      </c>
      <c r="Q373" s="169"/>
      <c r="R373" s="170">
        <f t="shared" si="451"/>
        <v>23708978.840915576</v>
      </c>
      <c r="S373" s="168" t="s">
        <v>9</v>
      </c>
      <c r="T373" s="171" t="s">
        <v>380</v>
      </c>
      <c r="U373" s="168" t="s">
        <v>374</v>
      </c>
      <c r="V373" s="167" t="s">
        <v>371</v>
      </c>
      <c r="W373" s="172" t="s">
        <v>375</v>
      </c>
      <c r="X373" s="173">
        <f>IF(Y373="",VLOOKUP(H373,CLIENTS!$A$1:$O$649,5,FALSE),Y373)</f>
        <v>0</v>
      </c>
      <c r="Y373" s="174">
        <v>0</v>
      </c>
      <c r="Z373" s="173">
        <f>IF(AA373="",VLOOKUP(P373,CLIENTS!$A$1:$O$649,5,FALSE),AA373)</f>
        <v>4.1254286096362724E-3</v>
      </c>
      <c r="AA373" s="174">
        <v>4.1254286096362724E-3</v>
      </c>
      <c r="AB373" s="173" t="str">
        <f>IF(W373="via USD",IF(K373="EUR",K373&amp;"USD","USD"&amp;K373),IFERROR(VLOOKUP(K373&amp;S373,'FX RATES'!$H$2:$H$20,1,FALSE),S373&amp;K373))</f>
        <v>USDUSD</v>
      </c>
      <c r="AC373" s="175">
        <f>IF(LEFT(AB373,3)=RIGHT(AB373,3),0,IFERROR(INDEX(CLIENTS!$A$1:$O$649,MATCH(H373,CLIENTS!$A$1:$A$649,0),MATCH(AB373,CLIENTS!$A$1:$O$1,0)),0))</f>
        <v>0</v>
      </c>
      <c r="AD373" s="176"/>
      <c r="AE373" s="177">
        <f t="shared" si="452"/>
        <v>1</v>
      </c>
      <c r="AF373" s="177" t="str">
        <f t="shared" si="453"/>
        <v>46056USDUSD</v>
      </c>
      <c r="AG373" s="176"/>
      <c r="AH373" s="178">
        <f>IF(LEFT(AB373,3)=RIGHT(AB373,3),1,VLOOKUP(AB373,'FX RATES'!$H$1:$I$20,2,FALSE))</f>
        <v>1</v>
      </c>
      <c r="AI373" s="178">
        <f t="shared" si="454"/>
        <v>1</v>
      </c>
      <c r="AJ373" s="173" t="str">
        <f>IF(W373="via USD",IF(S373="EUR",S373&amp;"USD","USD"&amp;S373),IFERROR(VLOOKUP(K373&amp;S373,'FX RATES'!$H$2:$H$20,1,FALSE),S373&amp;K373))</f>
        <v>USDRUB</v>
      </c>
      <c r="AK373" s="175">
        <f>IF(LEFT(AJ373,3)=RIGHT(AJ373,3),0,IFERROR(INDEX(CLIENTS!$A$1:$O$649,MATCH(P373,CLIENTS!$A$1:$A$649,0),MATCH(AJ373,CLIENTS!$A$1:$O$1,0)),0))</f>
        <v>0</v>
      </c>
      <c r="AL373" s="176">
        <v>77.09</v>
      </c>
      <c r="AM373" s="177">
        <f t="shared" si="455"/>
        <v>77.09</v>
      </c>
      <c r="AN373" s="177" t="str">
        <f t="shared" si="456"/>
        <v>46056USDRUB</v>
      </c>
      <c r="AO373" s="176">
        <v>77</v>
      </c>
      <c r="AP373" s="178">
        <f ca="1">IF(LEFT(AJ373,3)=RIGHT(AJ373,3),1,VLOOKUP(AJ373,'FX RATES'!$H$1:$I$20,2,FALSE))</f>
        <v>76.720500000000001</v>
      </c>
      <c r="AQ373" s="178">
        <f t="shared" si="457"/>
        <v>77</v>
      </c>
      <c r="AR373" s="179">
        <f>-Q373*(1-Z373)/(1+X373)*IF(W373="CLIENT",IF(S373=RIGHT(AJ373,3),1/AM373,AM373),IF(W373="VENDOR",IF(S373=RIGHT(AJ373,3),1/AE373,AE373),AE373^(VLOOKUP(AB373,'FX RATES'!$H$1:$J$26,3,FALSE))/AM373^(VLOOKUP(AJ373,'FX RATES'!$H$1:$J$26,3,FALSE))))</f>
        <v>0</v>
      </c>
      <c r="AS373" s="179">
        <f>-I373*(1+X373)/(1-Z373)*IF(W373="VENDOR",IF(K373=RIGHT(AB373,3),1/AE373,AE373),IF(W373="CLIENT",IF(K373=RIGHT(AB373,3),1/AM373,AM373),AM373^(VLOOKUP(AJ373,'FX RATES'!$H$1:$J$26,3,FALSE))/AE373^(VLOOKUP(AB373,'FX RATES'!$H$1:$J$26,3,FALSE))))</f>
        <v>23708978.840915576</v>
      </c>
      <c r="AT373" s="170">
        <f>IF(AB373&lt;&gt;AJ373,J373/IF(K373=RIGHT(AB373,3),AE373,1/AE373),IF(S373="USD",J373/IF(K373=RIGHT(AB373,3),IF(W373="CLIENT",AM373,AE373),1/IF(W373="CLIENT",AM373,AE373)),J373*VLOOKUP(K373,'FX RATES'!$E$1:$F$10,2,FALSE)))</f>
        <v>-306280.57</v>
      </c>
      <c r="AU373" s="170">
        <f>IF(AB373&lt;&gt;AJ373,R373/IF(S373=RIGHT(AJ373,3),AM373,1/AM373),IF(K373="USD",R373/IF(S373=RIGHT(AJ373,3),IF(W373="CLIENT",AM373,AE373),1/IF(W373="CLIENT",AM373,AE373)),R373*VLOOKUP(S373,'FX RATES'!$E$1:$F$10,2,FALSE)))</f>
        <v>307549.34285790083</v>
      </c>
      <c r="AV373" s="170">
        <f t="shared" si="458"/>
        <v>1268.7728579008253</v>
      </c>
      <c r="AW373" s="169"/>
      <c r="AX373" s="170">
        <f t="shared" si="459"/>
        <v>1268.7728579008192</v>
      </c>
      <c r="AY373" s="170">
        <f t="shared" si="460"/>
        <v>-306280.57</v>
      </c>
      <c r="AZ373" s="170" t="str">
        <f t="shared" si="461"/>
        <v>USD</v>
      </c>
      <c r="BA373" s="542">
        <f>IF(OR(A373="REFUND",A373="CANCELLED"),0,IFERROR((IF(OR(AB373="USDAED",LEFT(AB373,3)=RIGHT(AB373,3)),AI373,AG373)-AE373)*-AY373*VLOOKUP(AB373,'FX RATES'!$H$1:$J$26,3,FALSE),0))</f>
        <v>0</v>
      </c>
      <c r="BB373" s="170" t="str">
        <f t="shared" si="462"/>
        <v>USD</v>
      </c>
      <c r="BC373" s="542">
        <f t="shared" si="463"/>
        <v>0</v>
      </c>
      <c r="BD373" s="170">
        <f t="shared" si="464"/>
        <v>0</v>
      </c>
      <c r="BE373" s="542">
        <f t="shared" si="465"/>
        <v>0</v>
      </c>
      <c r="BF373" s="170">
        <f t="shared" si="466"/>
        <v>307549.34285790083</v>
      </c>
      <c r="BG373" s="170" t="str">
        <f t="shared" si="467"/>
        <v>USD</v>
      </c>
      <c r="BH373" s="542">
        <f>IF(OR(A373="REFUND",A373="CANCELLED"),0,IFERROR((IF(OR(AJ373="USDAED",LEFT(AJ373,3)=RIGHT(AJ373,3)),AQ373,AO373)-AM373)*-BF373*VLOOKUP(AJ373,'FX RATES'!$H$1:$J$26,3,FALSE),0))</f>
        <v>27679.440857212125</v>
      </c>
      <c r="BI373" s="170" t="str">
        <f t="shared" si="468"/>
        <v>RUB</v>
      </c>
      <c r="BJ373" s="542">
        <f t="shared" si="469"/>
        <v>359.47325788587176</v>
      </c>
      <c r="BK373" s="170">
        <f t="shared" si="470"/>
        <v>0</v>
      </c>
      <c r="BL373" s="542">
        <f t="shared" si="471"/>
        <v>359.47325788587176</v>
      </c>
      <c r="BM373" s="170">
        <f t="shared" si="472"/>
        <v>0</v>
      </c>
      <c r="BN373" s="542">
        <f t="shared" si="473"/>
        <v>359.47325788587176</v>
      </c>
    </row>
    <row r="374" spans="1:66" ht="19.5" customHeight="1">
      <c r="A374" s="167" t="s">
        <v>366</v>
      </c>
      <c r="B374" s="168" t="s">
        <v>39</v>
      </c>
      <c r="C374" s="168" t="s">
        <v>383</v>
      </c>
      <c r="D374" s="168" t="s">
        <v>128</v>
      </c>
      <c r="E374" s="171">
        <v>46056</v>
      </c>
      <c r="F374" s="171"/>
      <c r="G374" s="168" t="s">
        <v>39</v>
      </c>
      <c r="H374" s="168" t="s">
        <v>384</v>
      </c>
      <c r="I374" s="169">
        <v>-137900000</v>
      </c>
      <c r="J374" s="170">
        <f t="shared" si="450"/>
        <v>-137900000</v>
      </c>
      <c r="K374" s="168" t="s">
        <v>9</v>
      </c>
      <c r="L374" s="171" t="s">
        <v>374</v>
      </c>
      <c r="M374" s="168" t="s">
        <v>374</v>
      </c>
      <c r="N374" s="167" t="s">
        <v>371</v>
      </c>
      <c r="O374" s="168" t="s">
        <v>39</v>
      </c>
      <c r="P374" s="349" t="s">
        <v>384</v>
      </c>
      <c r="Q374" s="169"/>
      <c r="R374" s="170">
        <f t="shared" si="451"/>
        <v>6569795.1405431163</v>
      </c>
      <c r="S374" s="168" t="s">
        <v>8</v>
      </c>
      <c r="T374" s="171" t="s">
        <v>385</v>
      </c>
      <c r="U374" s="168" t="s">
        <v>20</v>
      </c>
      <c r="V374" s="167" t="s">
        <v>371</v>
      </c>
      <c r="W374" s="172" t="s">
        <v>382</v>
      </c>
      <c r="X374" s="173">
        <f>IF(Y374="",VLOOKUP(H374,CLIENTS!$A$1:$O$649,5,FALSE),Y374)</f>
        <v>0</v>
      </c>
      <c r="Y374" s="174">
        <v>0</v>
      </c>
      <c r="Z374" s="173">
        <f>IF(AA374="",VLOOKUP(P374,CLIENTS!$A$1:$O$649,5,FALSE),AA374)</f>
        <v>0</v>
      </c>
      <c r="AA374" s="174">
        <v>0</v>
      </c>
      <c r="AB374" s="173" t="str">
        <f>IF(W374="via USD",IF(K374="EUR",K374&amp;"USD","USD"&amp;K374),IFERROR(VLOOKUP(K374&amp;S374,'FX RATES'!$H$2:$H$20,1,FALSE),S374&amp;K374))</f>
        <v>AEDRUB</v>
      </c>
      <c r="AC374" s="175">
        <f>IF(LEFT(AB374,3)=RIGHT(AB374,3),0,IFERROR(INDEX(CLIENTS!$A$1:$O$649,MATCH(H374,CLIENTS!$A$1:$A$649,0),MATCH(AB374,CLIENTS!$A$1:$O$1,0)),0))</f>
        <v>0</v>
      </c>
      <c r="AD374" s="176">
        <v>20.99</v>
      </c>
      <c r="AE374" s="177">
        <f t="shared" si="452"/>
        <v>20.99</v>
      </c>
      <c r="AF374" s="177" t="str">
        <f t="shared" si="453"/>
        <v>46056AEDRUB</v>
      </c>
      <c r="AG374" s="176">
        <v>20.9666</v>
      </c>
      <c r="AH374" s="178">
        <f ca="1">IF(LEFT(AB374,3)=RIGHT(AB374,3),1,VLOOKUP(AB374,'FX RATES'!$H$1:$I$20,2,FALSE))</f>
        <v>20.8843</v>
      </c>
      <c r="AI374" s="178">
        <f t="shared" si="454"/>
        <v>77</v>
      </c>
      <c r="AJ374" s="173" t="str">
        <f>IF(W374="via USD",IF(S374="EUR",S374&amp;"USD","USD"&amp;S374),IFERROR(VLOOKUP(K374&amp;S374,'FX RATES'!$H$2:$H$20,1,FALSE),S374&amp;K374))</f>
        <v>AEDRUB</v>
      </c>
      <c r="AK374" s="175">
        <f>IF(LEFT(AJ374,3)=RIGHT(AJ374,3),0,IFERROR(INDEX(CLIENTS!$A$1:$O$649,MATCH(P374,CLIENTS!$A$1:$A$649,0),MATCH(AJ374,CLIENTS!$A$1:$O$1,0)),0))</f>
        <v>0</v>
      </c>
      <c r="AL374" s="176"/>
      <c r="AM374" s="177" t="str">
        <f t="shared" si="455"/>
        <v/>
      </c>
      <c r="AN374" s="177" t="str">
        <f t="shared" si="456"/>
        <v>46056AEDRUB</v>
      </c>
      <c r="AO374" s="176"/>
      <c r="AP374" s="178">
        <f ca="1">IF(LEFT(AJ374,3)=RIGHT(AJ374,3),1,VLOOKUP(AJ374,'FX RATES'!$H$1:$I$20,2,FALSE))</f>
        <v>20.8843</v>
      </c>
      <c r="AQ374" s="178">
        <f t="shared" si="457"/>
        <v>77</v>
      </c>
      <c r="AR374" s="179">
        <f>-Q374*(1-Z374)/(1+X374)*IF(W374="CLIENT",IF(S374=RIGHT(AJ374,3),1/AM374,AM374),IF(W374="VENDOR",IF(S374=RIGHT(AJ374,3),1/AE374,AE374),AE374^(VLOOKUP(AB374,'FX RATES'!$H$1:$J$26,3,FALSE))/AM374^(VLOOKUP(AJ374,'FX RATES'!$H$1:$J$26,3,FALSE))))</f>
        <v>0</v>
      </c>
      <c r="AS374" s="179">
        <f>-I374*(1+X374)/(1-Z374)*IF(W374="VENDOR",IF(K374=RIGHT(AB374,3),1/AE374,AE374),IF(W374="CLIENT",IF(K374=RIGHT(AB374,3),1/AM374,AM374),AM374^(VLOOKUP(AJ374,'FX RATES'!$H$1:$J$26,3,FALSE))/AE374^(VLOOKUP(AB374,'FX RATES'!$H$1:$J$26,3,FALSE))))</f>
        <v>6569795.1405431163</v>
      </c>
      <c r="AT374" s="170">
        <f ca="1">IF(AB374&lt;&gt;AJ374,J374/IF(K374=RIGHT(AB374,3),AE374,1/AE374),IF(S374="USD",J374/IF(K374=RIGHT(AB374,3),IF(W374="CLIENT",AM374,AE374),1/IF(W374="CLIENT",AM374,AE374)),J374*VLOOKUP(K374,'FX RATES'!$E$1:$F$10,2,FALSE)))</f>
        <v>-1797433.5412308313</v>
      </c>
      <c r="AU374" s="170">
        <f ca="1">IF(AB374&lt;&gt;AJ374,R374/IF(S374=RIGHT(AJ374,3),AM374,1/AM374),IF(K374="USD",R374/IF(S374=RIGHT(AJ374,3),IF(W374="CLIENT",AM374,AE374),1/IF(W374="CLIENT",AM374,AE374)),R374*VLOOKUP(S374,'FX RATES'!$E$1:$F$10,2,FALSE)))</f>
        <v>1788867.5980349388</v>
      </c>
      <c r="AV374" s="170">
        <f t="shared" ca="1" si="458"/>
        <v>-8565.9431958924979</v>
      </c>
      <c r="AW374" s="169"/>
      <c r="AX374" s="170">
        <f t="shared" ca="1" si="459"/>
        <v>0</v>
      </c>
      <c r="AY374" s="170">
        <f t="shared" si="460"/>
        <v>-6569795.1405431163</v>
      </c>
      <c r="AZ374" s="170" t="str">
        <f t="shared" si="461"/>
        <v>AED</v>
      </c>
      <c r="BA374" s="542">
        <f>IF(OR(A374="REFUND",A374="CANCELLED"),0,IFERROR((IF(OR(AB374="USDAED",LEFT(AB374,3)=RIGHT(AB374,3)),AI374,AG374)-AE374)*-AY374*VLOOKUP(AB374,'FX RATES'!$H$1:$J$26,3,FALSE),0))</f>
        <v>-153733.20628870075</v>
      </c>
      <c r="BB374" s="170" t="str">
        <f t="shared" si="462"/>
        <v>RUB</v>
      </c>
      <c r="BC374" s="542">
        <f t="shared" si="463"/>
        <v>-1996.5351466065033</v>
      </c>
      <c r="BD374" s="170">
        <f t="shared" si="464"/>
        <v>0</v>
      </c>
      <c r="BE374" s="542">
        <f t="shared" si="465"/>
        <v>-1996.5351466065033</v>
      </c>
      <c r="BF374" s="170">
        <f t="shared" si="466"/>
        <v>6569795.1405431163</v>
      </c>
      <c r="BG374" s="170" t="str">
        <f t="shared" si="467"/>
        <v>AED</v>
      </c>
      <c r="BH374" s="542">
        <f>IF(OR(A374="REFUND",A374="CANCELLED"),0,IFERROR((IF(OR(AJ374="USDAED",LEFT(AJ374,3)=RIGHT(AJ374,3)),AQ374,AO374)-AM374)*-BF374*VLOOKUP(AJ374,'FX RATES'!$H$1:$J$26,3,FALSE),0))</f>
        <v>0</v>
      </c>
      <c r="BI374" s="170" t="str">
        <f t="shared" si="468"/>
        <v>RUB</v>
      </c>
      <c r="BJ374" s="542">
        <f t="shared" si="469"/>
        <v>0</v>
      </c>
      <c r="BK374" s="170">
        <f t="shared" si="470"/>
        <v>0</v>
      </c>
      <c r="BL374" s="542">
        <f t="shared" si="471"/>
        <v>0</v>
      </c>
      <c r="BM374" s="170">
        <f t="shared" si="472"/>
        <v>0</v>
      </c>
      <c r="BN374" s="542">
        <f t="shared" si="473"/>
        <v>-1996.5351466065033</v>
      </c>
    </row>
    <row r="375" spans="1:66" ht="19.5" customHeight="1">
      <c r="J375" s="450"/>
    </row>
    <row r="376" spans="1:66" ht="19.5" customHeight="1">
      <c r="A376" s="167" t="s">
        <v>366</v>
      </c>
      <c r="B376" s="168" t="s">
        <v>39</v>
      </c>
      <c r="C376" s="168" t="s">
        <v>367</v>
      </c>
      <c r="D376" s="168" t="s">
        <v>368</v>
      </c>
      <c r="E376" s="171">
        <v>46056</v>
      </c>
      <c r="F376" s="171"/>
      <c r="G376" s="168" t="s">
        <v>39</v>
      </c>
      <c r="H376" s="181" t="s">
        <v>407</v>
      </c>
      <c r="I376" s="169">
        <v>-6404804.7549999999</v>
      </c>
      <c r="J376" s="170">
        <f>IF(I376="",AR376,I376)</f>
        <v>-6404804.7549999999</v>
      </c>
      <c r="K376" s="168" t="s">
        <v>8</v>
      </c>
      <c r="L376" s="171" t="s">
        <v>15</v>
      </c>
      <c r="M376" s="168" t="s">
        <v>17</v>
      </c>
      <c r="N376" s="167" t="s">
        <v>371</v>
      </c>
      <c r="O376" s="168" t="s">
        <v>39</v>
      </c>
      <c r="P376" s="168" t="s">
        <v>408</v>
      </c>
      <c r="Q376" s="169"/>
      <c r="R376" s="170">
        <f>IF(Q376="",AS376,Q376)</f>
        <v>134747475.94250533</v>
      </c>
      <c r="S376" s="168" t="s">
        <v>9</v>
      </c>
      <c r="T376" s="171" t="s">
        <v>409</v>
      </c>
      <c r="U376" s="168" t="s">
        <v>374</v>
      </c>
      <c r="V376" s="167" t="s">
        <v>371</v>
      </c>
      <c r="W376" s="172" t="s">
        <v>375</v>
      </c>
      <c r="X376" s="173">
        <f>IF(Y376="",VLOOKUP(H376,CLIENTS!$A$1:$O$649,5,FALSE),Y376)</f>
        <v>3.0000000000000001E-3</v>
      </c>
      <c r="Y376" s="174">
        <v>3.0000000000000001E-3</v>
      </c>
      <c r="Z376" s="173">
        <f>IF(AA376="",VLOOKUP(P376,CLIENTS!$A$1:$O$649,5,FALSE),AA376)</f>
        <v>0</v>
      </c>
      <c r="AA376" s="174">
        <v>0</v>
      </c>
      <c r="AB376" s="173" t="str">
        <f>IF(W376="via USD",IF(K376="EUR",K376&amp;"USD","USD"&amp;K376),IFERROR(VLOOKUP(K376&amp;S376,'FX RATES'!$H$2:$H$20,1,FALSE),S376&amp;K376))</f>
        <v>USDAED</v>
      </c>
      <c r="AC376" s="175">
        <f>IF(LEFT(AB376,3)=RIGHT(AB376,3),0,IFERROR(INDEX(CLIENTS!$A$1:$O$649,MATCH(H376,CLIENTS!$A$1:$A$649,0),MATCH(AB376,CLIENTS!$A$1:$O$1,0)),0))</f>
        <v>-5.0000000000000001E-4</v>
      </c>
      <c r="AD376" s="176"/>
      <c r="AE376" s="177">
        <f>IF(W376="CLIENT","",IF(AD376="",AH376+AC376,AD376+AC376))</f>
        <v>3.6719999999999997</v>
      </c>
      <c r="AF376" s="177" t="str">
        <f>E376&amp;AB376</f>
        <v>46056USDAED</v>
      </c>
      <c r="AG376" s="176"/>
      <c r="AH376" s="178">
        <f>IF(LEFT(AB376,3)=RIGHT(AB376,3),1,VLOOKUP(AB376,'FX RATES'!$H$1:$I$20,2,FALSE))</f>
        <v>3.6724999999999999</v>
      </c>
      <c r="AI376" s="178">
        <f>IF(OR(AB376="USDAED",LEFT(AB376,3)=RIGHT(AB376,3)),AH376,IF(LEFT(AB376)="USD",AG376,IF(RIGHT(AB376,3)="USD",1,IFERROR(VLOOKUP(E376&amp;"USD"&amp;RIGHT(AB376,3),$AF:$AG,2,FALSE),VLOOKUP(E376&amp;"USD"&amp;RIGHT(AJ376,3),$AN:$AO,2,FALSE)))))</f>
        <v>3.6724999999999999</v>
      </c>
      <c r="AJ376" s="173" t="str">
        <f>IF(W376="via USD",IF(S376="EUR",S376&amp;"USD","USD"&amp;S376),IFERROR(VLOOKUP(K376&amp;S376,'FX RATES'!$H$2:$H$20,1,FALSE),S376&amp;K376))</f>
        <v>USDRUB</v>
      </c>
      <c r="AK376" s="175">
        <f>IF(LEFT(AJ376,3)=RIGHT(AJ376,3),0,IFERROR(INDEX(CLIENTS!$A$1:$O$649,MATCH(P376,CLIENTS!$A$1:$A$649,0),MATCH(AJ376,CLIENTS!$A$1:$O$1,0)),0))</f>
        <v>0</v>
      </c>
      <c r="AL376" s="176">
        <v>77.022300000000001</v>
      </c>
      <c r="AM376" s="177">
        <f>IF(W376="VENDOR","",IF(AL376="",AP376+AK376,AL376+AK376))</f>
        <v>77.022300000000001</v>
      </c>
      <c r="AN376" s="177" t="str">
        <f>E376&amp;AJ376</f>
        <v>46056USDRUB</v>
      </c>
      <c r="AO376" s="176">
        <v>77</v>
      </c>
      <c r="AP376" s="178">
        <f ca="1">IF(LEFT(AJ376,3)=RIGHT(AJ376,3),1,VLOOKUP(AJ376,'FX RATES'!$H$1:$I$20,2,FALSE))</f>
        <v>76.720500000000001</v>
      </c>
      <c r="AQ376" s="178">
        <f>IF(OR(AJ376="USDAED",LEFT(AJ376,3)=RIGHT(AJ376,3)),AP376,IF(LEFT(AJ376)="USD",AO376,IF(RIGHT(AJ376,3)="USD",1,IFERROR(VLOOKUP(E376&amp;"USD"&amp;RIGHT(AJ376,3),$AN:$AO,2,FALSE),VLOOKUP(E376&amp;"USD"&amp;RIGHT(AB376,3),$AF:$AG,2,FALSE)))))</f>
        <v>77</v>
      </c>
      <c r="AR376" s="179">
        <f>-Q376*(1-Z376)/(1+X376)*IF(W376="CLIENT",IF(S376=RIGHT(AJ376,3),1/AM376,AM376),IF(W376="VENDOR",IF(S376=RIGHT(AJ376,3),1/AE376,AE376),AE376^(VLOOKUP(AB376,'FX RATES'!$H$1:$J$26,3,FALSE))/AM376^(VLOOKUP(AJ376,'FX RATES'!$H$1:$J$26,3,FALSE))))</f>
        <v>0</v>
      </c>
      <c r="AS376" s="179">
        <f>-I376*(1+X376)/(1-Z376)*IF(W376="VENDOR",IF(K376=RIGHT(AB376,3),1/AE376,AE376),IF(W376="CLIENT",IF(K376=RIGHT(AB376,3),1/AM376,AM376),AM376^(VLOOKUP(AJ376,'FX RATES'!$H$1:$J$26,3,FALSE))/AE376^(VLOOKUP(AB376,'FX RATES'!$H$1:$J$26,3,FALSE))))</f>
        <v>134747475.94250533</v>
      </c>
      <c r="AT376" s="170">
        <f>IF(AB376&lt;&gt;AJ376,J376/IF(K376=RIGHT(AB376,3),AE376,1/AE376),IF(S376="USD",J376/IF(K376=RIGHT(AB376,3),IF(W376="CLIENT",AM376,AE376),1/IF(W376="CLIENT",AM376,AE376)),J376*VLOOKUP(K376,'FX RATES'!$E$1:$F$10,2,FALSE)))</f>
        <v>-1744227.8744553379</v>
      </c>
      <c r="AU376" s="170">
        <f>IF(AB376&lt;&gt;AJ376,R376/IF(S376=RIGHT(AJ376,3),AM376,1/AM376),IF(K376="USD",R376/IF(S376=RIGHT(AJ376,3),IF(W376="CLIENT",AM376,AE376),1/IF(W376="CLIENT",AM376,AE376)),R376*VLOOKUP(S376,'FX RATES'!$E$1:$F$10,2,FALSE)))</f>
        <v>1749460.5580787035</v>
      </c>
      <c r="AV376" s="170">
        <f>AT376+AU376</f>
        <v>5232.6836233655922</v>
      </c>
      <c r="AW376" s="169"/>
      <c r="AX376" s="170">
        <f>IF(AND(ISERROR(SEARCH("INVOICE",T376)),ISERROR(SEARCH("SWITCH",T376)),ISERROR(SEARCH("FOREX",T376)),ISERROR(SEARCH("REFUND",A376)),ISERROR(SEARCH("CANCELLED",A376))),IF(AW376="",-AT376*X376+AU376*Z376,AW376),0)</f>
        <v>5232.6836233660133</v>
      </c>
      <c r="AY376" s="170">
        <f>IF(AZ376="USD",AT376,IF(AZ376=K376,J376,-R376))</f>
        <v>-1744227.8744553379</v>
      </c>
      <c r="AZ376" s="170" t="str">
        <f>LEFT(AB376,3)</f>
        <v>USD</v>
      </c>
      <c r="BA376" s="542">
        <f>IF(OR(A376="REFUND",A376="CANCELLED"),0,IFERROR((IF(OR(AB376="USDAED",LEFT(AB376,3)=RIGHT(AB376,3)),AI376,AG376)-AE376)*-AY376*VLOOKUP(AB376,'FX RATES'!$H$1:$J$26,3,FALSE),0))</f>
        <v>872.11393722796015</v>
      </c>
      <c r="BB376" s="170" t="str">
        <f>RIGHT(AB376,3)</f>
        <v>AED</v>
      </c>
      <c r="BC376" s="542">
        <f>IF(BA376=0,0,IFERROR(BA376/IF(BB376&lt;&gt;"USD",AI376,1),"???"))</f>
        <v>237.47146010291632</v>
      </c>
      <c r="BD376" s="170">
        <f>IFERROR(-AC376/(IF(OR(AB376="USDAED",LEFT(AB376,3)=RIGHT(AB376,3)),AH376,AG376)-AE376)*BC376,0)</f>
        <v>237.47146010283703</v>
      </c>
      <c r="BE376" s="542">
        <f>BC376-BD376</f>
        <v>7.9296569310827181E-11</v>
      </c>
      <c r="BF376" s="170">
        <f>IF(BG376="USD",AU376,IF(BG376=S376,R376,-J376))</f>
        <v>1749460.5580787035</v>
      </c>
      <c r="BG376" s="170" t="str">
        <f>LEFT(AJ376,3)</f>
        <v>USD</v>
      </c>
      <c r="BH376" s="542">
        <f>IF(OR(A376="REFUND",A376="CANCELLED"),0,IFERROR((IF(OR(AJ376="USDAED",LEFT(AJ376,3)=RIGHT(AJ376,3)),AQ376,AO376)-AM376)*-BF376*VLOOKUP(AJ376,'FX RATES'!$H$1:$J$26,3,FALSE),0))</f>
        <v>39012.970445157393</v>
      </c>
      <c r="BI376" s="170" t="str">
        <f>RIGHT(AJ376,3)</f>
        <v>RUB</v>
      </c>
      <c r="BJ376" s="542">
        <f>IF(BH376=0,0,IFERROR(BH376/IF(BI376&lt;&gt;"USD",AQ376,1),"???"))</f>
        <v>506.66195383321286</v>
      </c>
      <c r="BK376" s="170">
        <f>IFERROR(-AK376/(IF(OR(AJ376="USDAED",LEFT(AJ376,3)=RIGHT(AJ376,3)),AP376,AO376)-AM376)*BJ376,0)</f>
        <v>0</v>
      </c>
      <c r="BL376" s="542">
        <f>BJ376-BK376</f>
        <v>506.66195383321286</v>
      </c>
      <c r="BM376" s="170">
        <f>IF(AND(ISERROR(SEARCH("REFUND",A376)),ISERROR(SEARCH("CANCELLED",A376))),BD376+BK376,0)</f>
        <v>237.47146010283703</v>
      </c>
      <c r="BN376" s="542">
        <f>IF(AND(ISERROR(SEARCH("REFUND",A376)),ISERROR(SEARCH("CANCELLED",A376))),BE376+BL376,0)</f>
        <v>506.66195383329216</v>
      </c>
    </row>
    <row r="377" spans="1:66" ht="19.5" customHeight="1">
      <c r="A377" s="167" t="s">
        <v>366</v>
      </c>
      <c r="B377" s="168" t="s">
        <v>39</v>
      </c>
      <c r="C377" s="168" t="s">
        <v>383</v>
      </c>
      <c r="D377" s="168" t="s">
        <v>128</v>
      </c>
      <c r="E377" s="171">
        <v>46056</v>
      </c>
      <c r="F377" s="171"/>
      <c r="G377" s="168" t="s">
        <v>39</v>
      </c>
      <c r="H377" s="168" t="s">
        <v>384</v>
      </c>
      <c r="I377" s="169">
        <v>-134747250</v>
      </c>
      <c r="J377" s="170">
        <f>IF(I377="",AR377,I377)</f>
        <v>-134747250</v>
      </c>
      <c r="K377" s="168" t="s">
        <v>9</v>
      </c>
      <c r="L377" s="171" t="s">
        <v>374</v>
      </c>
      <c r="M377" s="168" t="s">
        <v>374</v>
      </c>
      <c r="N377" s="167" t="s">
        <v>371</v>
      </c>
      <c r="O377" s="168" t="s">
        <v>39</v>
      </c>
      <c r="P377" s="349" t="s">
        <v>384</v>
      </c>
      <c r="Q377" s="169"/>
      <c r="R377" s="170">
        <f>IF(Q377="",AS377,Q377)</f>
        <v>6428781.011450381</v>
      </c>
      <c r="S377" s="168" t="s">
        <v>8</v>
      </c>
      <c r="T377" s="171" t="s">
        <v>385</v>
      </c>
      <c r="U377" s="168" t="s">
        <v>20</v>
      </c>
      <c r="V377" s="167" t="s">
        <v>371</v>
      </c>
      <c r="W377" s="172" t="s">
        <v>382</v>
      </c>
      <c r="X377" s="173">
        <f>IF(Y377="",VLOOKUP(H377,CLIENTS!$A$1:$O$649,5,FALSE),Y377)</f>
        <v>0</v>
      </c>
      <c r="Y377" s="174">
        <v>0</v>
      </c>
      <c r="Z377" s="173">
        <f>IF(AA377="",VLOOKUP(P377,CLIENTS!$A$1:$O$649,5,FALSE),AA377)</f>
        <v>0</v>
      </c>
      <c r="AA377" s="174">
        <v>0</v>
      </c>
      <c r="AB377" s="173" t="str">
        <f>IF(W377="via USD",IF(K377="EUR",K377&amp;"USD","USD"&amp;K377),IFERROR(VLOOKUP(K377&amp;S377,'FX RATES'!$H$2:$H$20,1,FALSE),S377&amp;K377))</f>
        <v>AEDRUB</v>
      </c>
      <c r="AC377" s="175">
        <f>IF(LEFT(AB377,3)=RIGHT(AB377,3),0,IFERROR(INDEX(CLIENTS!$A$1:$O$649,MATCH(H377,CLIENTS!$A$1:$A$649,0),MATCH(AB377,CLIENTS!$A$1:$O$1,0)),0))</f>
        <v>0</v>
      </c>
      <c r="AD377" s="176">
        <v>20.96</v>
      </c>
      <c r="AE377" s="177">
        <f>IF(W377="CLIENT","",IF(AD377="",AH377+AC377,AD377+AC377))</f>
        <v>20.96</v>
      </c>
      <c r="AF377" s="177" t="str">
        <f>E377&amp;AB377</f>
        <v>46056AEDRUB</v>
      </c>
      <c r="AG377" s="176">
        <v>20.9666</v>
      </c>
      <c r="AH377" s="178">
        <f ca="1">IF(LEFT(AB377,3)=RIGHT(AB377,3),1,VLOOKUP(AB377,'FX RATES'!$H$1:$I$20,2,FALSE))</f>
        <v>20.8843</v>
      </c>
      <c r="AI377" s="178">
        <f>IF(OR(AB377="USDAED",LEFT(AB377,3)=RIGHT(AB377,3)),AH377,IF(LEFT(AB377)="USD",AG377,IF(RIGHT(AB377,3)="USD",1,IFERROR(VLOOKUP(E377&amp;"USD"&amp;RIGHT(AB377,3),$AF:$AG,2,FALSE),VLOOKUP(E377&amp;"USD"&amp;RIGHT(AJ377,3),$AN:$AO,2,FALSE)))))</f>
        <v>77</v>
      </c>
      <c r="AJ377" s="173" t="str">
        <f>IF(W377="via USD",IF(S377="EUR",S377&amp;"USD","USD"&amp;S377),IFERROR(VLOOKUP(K377&amp;S377,'FX RATES'!$H$2:$H$20,1,FALSE),S377&amp;K377))</f>
        <v>AEDRUB</v>
      </c>
      <c r="AK377" s="175">
        <f>IF(LEFT(AJ377,3)=RIGHT(AJ377,3),0,IFERROR(INDEX(CLIENTS!$A$1:$O$649,MATCH(P377,CLIENTS!$A$1:$A$649,0),MATCH(AJ377,CLIENTS!$A$1:$O$1,0)),0))</f>
        <v>0</v>
      </c>
      <c r="AL377" s="176"/>
      <c r="AM377" s="177" t="str">
        <f>IF(W377="VENDOR","",IF(AL377="",AP377+AK377,AL377+AK377))</f>
        <v/>
      </c>
      <c r="AN377" s="177" t="str">
        <f>E377&amp;AJ377</f>
        <v>46056AEDRUB</v>
      </c>
      <c r="AO377" s="176"/>
      <c r="AP377" s="178">
        <f ca="1">IF(LEFT(AJ377,3)=RIGHT(AJ377,3),1,VLOOKUP(AJ377,'FX RATES'!$H$1:$I$20,2,FALSE))</f>
        <v>20.8843</v>
      </c>
      <c r="AQ377" s="178">
        <f>IF(OR(AJ377="USDAED",LEFT(AJ377,3)=RIGHT(AJ377,3)),AP377,IF(LEFT(AJ377)="USD",AO377,IF(RIGHT(AJ377,3)="USD",1,IFERROR(VLOOKUP(E377&amp;"USD"&amp;RIGHT(AJ377,3),$AN:$AO,2,FALSE),VLOOKUP(E377&amp;"USD"&amp;RIGHT(AB377,3),$AF:$AG,2,FALSE)))))</f>
        <v>77</v>
      </c>
      <c r="AR377" s="179">
        <f>-Q377*(1-Z377)/(1+X377)*IF(W377="CLIENT",IF(S377=RIGHT(AJ377,3),1/AM377,AM377),IF(W377="VENDOR",IF(S377=RIGHT(AJ377,3),1/AE377,AE377),AE377^(VLOOKUP(AB377,'FX RATES'!$H$1:$J$26,3,FALSE))/AM377^(VLOOKUP(AJ377,'FX RATES'!$H$1:$J$26,3,FALSE))))</f>
        <v>0</v>
      </c>
      <c r="AS377" s="179">
        <f>-I377*(1+X377)/(1-Z377)*IF(W377="VENDOR",IF(K377=RIGHT(AB377,3),1/AE377,AE377),IF(W377="CLIENT",IF(K377=RIGHT(AB377,3),1/AM377,AM377),AM377^(VLOOKUP(AJ377,'FX RATES'!$H$1:$J$26,3,FALSE))/AE377^(VLOOKUP(AB377,'FX RATES'!$H$1:$J$26,3,FALSE))))</f>
        <v>6428781.011450381</v>
      </c>
      <c r="AT377" s="170">
        <f ca="1">IF(AB377&lt;&gt;AJ377,J377/IF(K377=RIGHT(AB377,3),AE377,1/AE377),IF(S377="USD",J377/IF(K377=RIGHT(AB377,3),IF(W377="CLIENT",AM377,AE377),1/IF(W377="CLIENT",AM377,AE377)),J377*VLOOKUP(K377,'FX RATES'!$E$1:$F$10,2,FALSE)))</f>
        <v>-1756339.5702582751</v>
      </c>
      <c r="AU377" s="170">
        <f ca="1">IF(AB377&lt;&gt;AJ377,R377/IF(S377=RIGHT(AJ377,3),AM377,1/AM377),IF(K377="USD",R377/IF(S377=RIGHT(AJ377,3),IF(W377="CLIENT",AM377,AE377),1/IF(W377="CLIENT",AM377,AE377)),R377*VLOOKUP(S377,'FX RATES'!$E$1:$F$10,2,FALSE)))</f>
        <v>1750471.3313321301</v>
      </c>
      <c r="AV377" s="170">
        <f ca="1">AT377+AU377</f>
        <v>-5868.2389261450153</v>
      </c>
      <c r="AW377" s="169"/>
      <c r="AX377" s="170">
        <f ca="1">IF(AND(ISERROR(SEARCH("INVOICE",T377)),ISERROR(SEARCH("SWITCH",T377)),ISERROR(SEARCH("FOREX",T377)),ISERROR(SEARCH("REFUND",A377)),ISERROR(SEARCH("CANCELLED",A377))),IF(AW377="",-AT377*X377+AU377*Z377,AW377),0)</f>
        <v>0</v>
      </c>
      <c r="AY377" s="170">
        <f>IF(AZ377="USD",AT377,IF(AZ377=K377,J377,-R377))</f>
        <v>-6428781.011450381</v>
      </c>
      <c r="AZ377" s="170" t="str">
        <f>LEFT(AB377,3)</f>
        <v>AED</v>
      </c>
      <c r="BA377" s="542">
        <f>IF(OR(A377="REFUND",A377="CANCELLED"),0,IFERROR((IF(OR(AB377="USDAED",LEFT(AB377,3)=RIGHT(AB377,3)),AI377,AG377)-AE377)*-AY377*VLOOKUP(AB377,'FX RATES'!$H$1:$J$26,3,FALSE),0))</f>
        <v>42429.954675564986</v>
      </c>
      <c r="BB377" s="170" t="str">
        <f>RIGHT(AB377,3)</f>
        <v>RUB</v>
      </c>
      <c r="BC377" s="542">
        <f>IF(BA377=0,0,IFERROR(BA377/IF(BB377&lt;&gt;"USD",AI377,1),"???"))</f>
        <v>551.03837240993494</v>
      </c>
      <c r="BD377" s="170">
        <f>IFERROR(-AC377/(IF(OR(AB377="USDAED",LEFT(AB377,3)=RIGHT(AB377,3)),AH377,AG377)-AE377)*BC377,0)</f>
        <v>0</v>
      </c>
      <c r="BE377" s="542">
        <f>BC377-BD377</f>
        <v>551.03837240993494</v>
      </c>
      <c r="BF377" s="170">
        <f>IF(BG377="USD",AU377,IF(BG377=S377,R377,-J377))</f>
        <v>6428781.011450381</v>
      </c>
      <c r="BG377" s="170" t="str">
        <f>LEFT(AJ377,3)</f>
        <v>AED</v>
      </c>
      <c r="BH377" s="542">
        <f>IF(OR(A377="REFUND",A377="CANCELLED"),0,IFERROR((IF(OR(AJ377="USDAED",LEFT(AJ377,3)=RIGHT(AJ377,3)),AQ377,AO377)-AM377)*-BF377*VLOOKUP(AJ377,'FX RATES'!$H$1:$J$26,3,FALSE),0))</f>
        <v>0</v>
      </c>
      <c r="BI377" s="170" t="str">
        <f>RIGHT(AJ377,3)</f>
        <v>RUB</v>
      </c>
      <c r="BJ377" s="542">
        <f>IF(BH377=0,0,IFERROR(BH377/IF(BI377&lt;&gt;"USD",AQ377,1),"???"))</f>
        <v>0</v>
      </c>
      <c r="BK377" s="170">
        <f>IFERROR(-AK377/(IF(OR(AJ377="USDAED",LEFT(AJ377,3)=RIGHT(AJ377,3)),AP377,AO377)-AM377)*BJ377,0)</f>
        <v>0</v>
      </c>
      <c r="BL377" s="542">
        <f>BJ377-BK377</f>
        <v>0</v>
      </c>
      <c r="BM377" s="170">
        <f>IF(AND(ISERROR(SEARCH("REFUND",A377)),ISERROR(SEARCH("CANCELLED",A377))),BD377+BK377,0)</f>
        <v>0</v>
      </c>
      <c r="BN377" s="542">
        <f>IF(AND(ISERROR(SEARCH("REFUND",A377)),ISERROR(SEARCH("CANCELLED",A377))),BE377+BL377,0)</f>
        <v>551.03837240993494</v>
      </c>
    </row>
    <row r="378" spans="1:66" ht="19.5" customHeight="1">
      <c r="J378" s="450"/>
    </row>
    <row r="379" spans="1:66" ht="19.5" customHeight="1">
      <c r="A379" s="167" t="s">
        <v>366</v>
      </c>
      <c r="B379" s="168" t="s">
        <v>39</v>
      </c>
      <c r="C379" s="168" t="s">
        <v>367</v>
      </c>
      <c r="D379" s="168" t="s">
        <v>368</v>
      </c>
      <c r="E379" s="171">
        <v>46056</v>
      </c>
      <c r="F379" s="171"/>
      <c r="G379" s="168" t="s">
        <v>39</v>
      </c>
      <c r="H379" s="181" t="s">
        <v>407</v>
      </c>
      <c r="I379" s="169">
        <v>-6404804.7549999999</v>
      </c>
      <c r="J379" s="170">
        <f>IF(I379="",AR379,I379)</f>
        <v>-6404804.7549999999</v>
      </c>
      <c r="K379" s="168" t="s">
        <v>8</v>
      </c>
      <c r="L379" s="171" t="s">
        <v>15</v>
      </c>
      <c r="M379" s="168" t="s">
        <v>17</v>
      </c>
      <c r="N379" s="167" t="s">
        <v>371</v>
      </c>
      <c r="O379" s="168" t="s">
        <v>39</v>
      </c>
      <c r="P379" s="168" t="s">
        <v>408</v>
      </c>
      <c r="Q379" s="169"/>
      <c r="R379" s="170">
        <f>IF(Q379="",AS379,Q379)</f>
        <v>134747475.94250533</v>
      </c>
      <c r="S379" s="168" t="s">
        <v>9</v>
      </c>
      <c r="T379" s="171" t="s">
        <v>409</v>
      </c>
      <c r="U379" s="168" t="s">
        <v>374</v>
      </c>
      <c r="V379" s="167" t="s">
        <v>371</v>
      </c>
      <c r="W379" s="172" t="s">
        <v>375</v>
      </c>
      <c r="X379" s="173">
        <f>IF(Y379="",VLOOKUP(H379,CLIENTS!$A$1:$O$649,5,FALSE),Y379)</f>
        <v>3.0000000000000001E-3</v>
      </c>
      <c r="Y379" s="174">
        <v>3.0000000000000001E-3</v>
      </c>
      <c r="Z379" s="173">
        <f>IF(AA379="",VLOOKUP(P379,CLIENTS!$A$1:$O$649,5,FALSE),AA379)</f>
        <v>0</v>
      </c>
      <c r="AA379" s="174">
        <v>0</v>
      </c>
      <c r="AB379" s="173" t="str">
        <f>IF(W379="via USD",IF(K379="EUR",K379&amp;"USD","USD"&amp;K379),IFERROR(VLOOKUP(K379&amp;S379,'FX RATES'!$H$2:$H$20,1,FALSE),S379&amp;K379))</f>
        <v>USDAED</v>
      </c>
      <c r="AC379" s="175">
        <f>IF(LEFT(AB379,3)=RIGHT(AB379,3),0,IFERROR(INDEX(CLIENTS!$A$1:$O$649,MATCH(H379,CLIENTS!$A$1:$A$649,0),MATCH(AB379,CLIENTS!$A$1:$O$1,0)),0))</f>
        <v>-5.0000000000000001E-4</v>
      </c>
      <c r="AD379" s="176"/>
      <c r="AE379" s="177">
        <f>IF(W379="CLIENT","",IF(AD379="",AH379+AC379,AD379+AC379))</f>
        <v>3.6719999999999997</v>
      </c>
      <c r="AF379" s="177" t="str">
        <f>E379&amp;AB379</f>
        <v>46056USDAED</v>
      </c>
      <c r="AG379" s="176"/>
      <c r="AH379" s="178">
        <f>IF(LEFT(AB379,3)=RIGHT(AB379,3),1,VLOOKUP(AB379,'FX RATES'!$H$1:$I$20,2,FALSE))</f>
        <v>3.6724999999999999</v>
      </c>
      <c r="AI379" s="178">
        <f>IF(OR(AB379="USDAED",LEFT(AB379,3)=RIGHT(AB379,3)),AH379,IF(LEFT(AB379)="USD",AG379,IF(RIGHT(AB379,3)="USD",1,IFERROR(VLOOKUP(E379&amp;"USD"&amp;RIGHT(AB379,3),$AF:$AG,2,FALSE),VLOOKUP(E379&amp;"USD"&amp;RIGHT(AJ379,3),$AN:$AO,2,FALSE)))))</f>
        <v>3.6724999999999999</v>
      </c>
      <c r="AJ379" s="173" t="str">
        <f>IF(W379="via USD",IF(S379="EUR",S379&amp;"USD","USD"&amp;S379),IFERROR(VLOOKUP(K379&amp;S379,'FX RATES'!$H$2:$H$20,1,FALSE),S379&amp;K379))</f>
        <v>USDRUB</v>
      </c>
      <c r="AK379" s="175">
        <f>IF(LEFT(AJ379,3)=RIGHT(AJ379,3),0,IFERROR(INDEX(CLIENTS!$A$1:$O$649,MATCH(P379,CLIENTS!$A$1:$A$649,0),MATCH(AJ379,CLIENTS!$A$1:$O$1,0)),0))</f>
        <v>0</v>
      </c>
      <c r="AL379" s="176">
        <v>77.022300000000001</v>
      </c>
      <c r="AM379" s="177">
        <f>IF(W379="VENDOR","",IF(AL379="",AP379+AK379,AL379+AK379))</f>
        <v>77.022300000000001</v>
      </c>
      <c r="AN379" s="177" t="str">
        <f>E379&amp;AJ379</f>
        <v>46056USDRUB</v>
      </c>
      <c r="AO379" s="176">
        <v>77</v>
      </c>
      <c r="AP379" s="178">
        <f ca="1">IF(LEFT(AJ379,3)=RIGHT(AJ379,3),1,VLOOKUP(AJ379,'FX RATES'!$H$1:$I$20,2,FALSE))</f>
        <v>76.720500000000001</v>
      </c>
      <c r="AQ379" s="178">
        <f>IF(OR(AJ379="USDAED",LEFT(AJ379,3)=RIGHT(AJ379,3)),AP379,IF(LEFT(AJ379)="USD",AO379,IF(RIGHT(AJ379,3)="USD",1,IFERROR(VLOOKUP(E379&amp;"USD"&amp;RIGHT(AJ379,3),$AN:$AO,2,FALSE),VLOOKUP(E379&amp;"USD"&amp;RIGHT(AB379,3),$AF:$AG,2,FALSE)))))</f>
        <v>77</v>
      </c>
      <c r="AR379" s="179">
        <f>-Q379*(1-Z379)/(1+X379)*IF(W379="CLIENT",IF(S379=RIGHT(AJ379,3),1/AM379,AM379),IF(W379="VENDOR",IF(S379=RIGHT(AJ379,3),1/AE379,AE379),AE379^(VLOOKUP(AB379,'FX RATES'!$H$1:$J$26,3,FALSE))/AM379^(VLOOKUP(AJ379,'FX RATES'!$H$1:$J$26,3,FALSE))))</f>
        <v>0</v>
      </c>
      <c r="AS379" s="179">
        <f>-I379*(1+X379)/(1-Z379)*IF(W379="VENDOR",IF(K379=RIGHT(AB379,3),1/AE379,AE379),IF(W379="CLIENT",IF(K379=RIGHT(AB379,3),1/AM379,AM379),AM379^(VLOOKUP(AJ379,'FX RATES'!$H$1:$J$26,3,FALSE))/AE379^(VLOOKUP(AB379,'FX RATES'!$H$1:$J$26,3,FALSE))))</f>
        <v>134747475.94250533</v>
      </c>
      <c r="AT379" s="170">
        <f>IF(AB379&lt;&gt;AJ379,J379/IF(K379=RIGHT(AB379,3),AE379,1/AE379),IF(S379="USD",J379/IF(K379=RIGHT(AB379,3),IF(W379="CLIENT",AM379,AE379),1/IF(W379="CLIENT",AM379,AE379)),J379*VLOOKUP(K379,'FX RATES'!$E$1:$F$10,2,FALSE)))</f>
        <v>-1744227.8744553379</v>
      </c>
      <c r="AU379" s="170">
        <f>IF(AB379&lt;&gt;AJ379,R379/IF(S379=RIGHT(AJ379,3),AM379,1/AM379),IF(K379="USD",R379/IF(S379=RIGHT(AJ379,3),IF(W379="CLIENT",AM379,AE379),1/IF(W379="CLIENT",AM379,AE379)),R379*VLOOKUP(S379,'FX RATES'!$E$1:$F$10,2,FALSE)))</f>
        <v>1749460.5580787035</v>
      </c>
      <c r="AV379" s="170">
        <f>AT379+AU379</f>
        <v>5232.6836233655922</v>
      </c>
      <c r="AW379" s="169"/>
      <c r="AX379" s="170">
        <f>IF(AND(ISERROR(SEARCH("INVOICE",T379)),ISERROR(SEARCH("SWITCH",T379)),ISERROR(SEARCH("FOREX",T379)),ISERROR(SEARCH("REFUND",A379)),ISERROR(SEARCH("CANCELLED",A379))),IF(AW379="",-AT379*X379+AU379*Z379,AW379),0)</f>
        <v>5232.6836233660133</v>
      </c>
      <c r="AY379" s="170">
        <f>IF(AZ379="USD",AT379,IF(AZ379=K379,J379,-R379))</f>
        <v>-1744227.8744553379</v>
      </c>
      <c r="AZ379" s="170" t="str">
        <f>LEFT(AB379,3)</f>
        <v>USD</v>
      </c>
      <c r="BA379" s="542">
        <f>IF(OR(A379="REFUND",A379="CANCELLED"),0,IFERROR((IF(OR(AB379="USDAED",LEFT(AB379,3)=RIGHT(AB379,3)),AI379,AG379)-AE379)*-AY379*VLOOKUP(AB379,'FX RATES'!$H$1:$J$26,3,FALSE),0))</f>
        <v>872.11393722796015</v>
      </c>
      <c r="BB379" s="170" t="str">
        <f>RIGHT(AB379,3)</f>
        <v>AED</v>
      </c>
      <c r="BC379" s="542">
        <f>IF(BA379=0,0,IFERROR(BA379/IF(BB379&lt;&gt;"USD",AI379,1),"???"))</f>
        <v>237.47146010291632</v>
      </c>
      <c r="BD379" s="170">
        <f>IFERROR(-AC379/(IF(OR(AB379="USDAED",LEFT(AB379,3)=RIGHT(AB379,3)),AH379,AG379)-AE379)*BC379,0)</f>
        <v>237.47146010283703</v>
      </c>
      <c r="BE379" s="542">
        <f>BC379-BD379</f>
        <v>7.9296569310827181E-11</v>
      </c>
      <c r="BF379" s="170">
        <f>IF(BG379="USD",AU379,IF(BG379=S379,R379,-J379))</f>
        <v>1749460.5580787035</v>
      </c>
      <c r="BG379" s="170" t="str">
        <f>LEFT(AJ379,3)</f>
        <v>USD</v>
      </c>
      <c r="BH379" s="542">
        <f>IF(OR(A379="REFUND",A379="CANCELLED"),0,IFERROR((IF(OR(AJ379="USDAED",LEFT(AJ379,3)=RIGHT(AJ379,3)),AQ379,AO379)-AM379)*-BF379*VLOOKUP(AJ379,'FX RATES'!$H$1:$J$26,3,FALSE),0))</f>
        <v>39012.970445157393</v>
      </c>
      <c r="BI379" s="170" t="str">
        <f>RIGHT(AJ379,3)</f>
        <v>RUB</v>
      </c>
      <c r="BJ379" s="542">
        <f>IF(BH379=0,0,IFERROR(BH379/IF(BI379&lt;&gt;"USD",AQ379,1),"???"))</f>
        <v>506.66195383321286</v>
      </c>
      <c r="BK379" s="170">
        <f>IFERROR(-AK379/(IF(OR(AJ379="USDAED",LEFT(AJ379,3)=RIGHT(AJ379,3)),AP379,AO379)-AM379)*BJ379,0)</f>
        <v>0</v>
      </c>
      <c r="BL379" s="542">
        <f>BJ379-BK379</f>
        <v>506.66195383321286</v>
      </c>
      <c r="BM379" s="170">
        <f>IF(AND(ISERROR(SEARCH("REFUND",A379)),ISERROR(SEARCH("CANCELLED",A379))),BD379+BK379,0)</f>
        <v>237.47146010283703</v>
      </c>
      <c r="BN379" s="542">
        <f>IF(AND(ISERROR(SEARCH("REFUND",A379)),ISERROR(SEARCH("CANCELLED",A379))),BE379+BL379,0)</f>
        <v>506.66195383329216</v>
      </c>
    </row>
    <row r="380" spans="1:66" ht="19.5" customHeight="1">
      <c r="A380" s="167" t="s">
        <v>366</v>
      </c>
      <c r="B380" s="168" t="s">
        <v>39</v>
      </c>
      <c r="C380" s="168" t="s">
        <v>383</v>
      </c>
      <c r="D380" s="168" t="s">
        <v>128</v>
      </c>
      <c r="E380" s="171">
        <v>46056</v>
      </c>
      <c r="F380" s="171"/>
      <c r="G380" s="168" t="s">
        <v>39</v>
      </c>
      <c r="H380" s="168" t="s">
        <v>384</v>
      </c>
      <c r="I380" s="169">
        <v>-134747250</v>
      </c>
      <c r="J380" s="170">
        <f>IF(I380="",AR380,I380)</f>
        <v>-134747250</v>
      </c>
      <c r="K380" s="168" t="s">
        <v>9</v>
      </c>
      <c r="L380" s="171" t="s">
        <v>374</v>
      </c>
      <c r="M380" s="168" t="s">
        <v>374</v>
      </c>
      <c r="N380" s="167" t="s">
        <v>371</v>
      </c>
      <c r="O380" s="168" t="s">
        <v>39</v>
      </c>
      <c r="P380" s="349" t="s">
        <v>384</v>
      </c>
      <c r="Q380" s="169"/>
      <c r="R380" s="170">
        <f>IF(Q380="",AS380,Q380)</f>
        <v>6428781.011450381</v>
      </c>
      <c r="S380" s="168" t="s">
        <v>8</v>
      </c>
      <c r="T380" s="171" t="s">
        <v>385</v>
      </c>
      <c r="U380" s="168" t="s">
        <v>20</v>
      </c>
      <c r="V380" s="167" t="s">
        <v>371</v>
      </c>
      <c r="W380" s="172" t="s">
        <v>382</v>
      </c>
      <c r="X380" s="173">
        <f>IF(Y380="",VLOOKUP(H380,CLIENTS!$A$1:$O$649,5,FALSE),Y380)</f>
        <v>0</v>
      </c>
      <c r="Y380" s="174">
        <v>0</v>
      </c>
      <c r="Z380" s="173">
        <f>IF(AA380="",VLOOKUP(P380,CLIENTS!$A$1:$O$649,5,FALSE),AA380)</f>
        <v>0</v>
      </c>
      <c r="AA380" s="174">
        <v>0</v>
      </c>
      <c r="AB380" s="173" t="str">
        <f>IF(W380="via USD",IF(K380="EUR",K380&amp;"USD","USD"&amp;K380),IFERROR(VLOOKUP(K380&amp;S380,'FX RATES'!$H$2:$H$20,1,FALSE),S380&amp;K380))</f>
        <v>AEDRUB</v>
      </c>
      <c r="AC380" s="175">
        <f>IF(LEFT(AB380,3)=RIGHT(AB380,3),0,IFERROR(INDEX(CLIENTS!$A$1:$O$649,MATCH(H380,CLIENTS!$A$1:$A$649,0),MATCH(AB380,CLIENTS!$A$1:$O$1,0)),0))</f>
        <v>0</v>
      </c>
      <c r="AD380" s="176">
        <v>20.96</v>
      </c>
      <c r="AE380" s="177">
        <f>IF(W380="CLIENT","",IF(AD380="",AH380+AC380,AD380+AC380))</f>
        <v>20.96</v>
      </c>
      <c r="AF380" s="177" t="str">
        <f>E380&amp;AB380</f>
        <v>46056AEDRUB</v>
      </c>
      <c r="AG380" s="176">
        <v>20.9666</v>
      </c>
      <c r="AH380" s="178">
        <f ca="1">IF(LEFT(AB380,3)=RIGHT(AB380,3),1,VLOOKUP(AB380,'FX RATES'!$H$1:$I$20,2,FALSE))</f>
        <v>20.8843</v>
      </c>
      <c r="AI380" s="178">
        <f>IF(OR(AB380="USDAED",LEFT(AB380,3)=RIGHT(AB380,3)),AH380,IF(LEFT(AB380)="USD",AG380,IF(RIGHT(AB380,3)="USD",1,IFERROR(VLOOKUP(E380&amp;"USD"&amp;RIGHT(AB380,3),$AF:$AG,2,FALSE),VLOOKUP(E380&amp;"USD"&amp;RIGHT(AJ380,3),$AN:$AO,2,FALSE)))))</f>
        <v>77</v>
      </c>
      <c r="AJ380" s="173" t="str">
        <f>IF(W380="via USD",IF(S380="EUR",S380&amp;"USD","USD"&amp;S380),IFERROR(VLOOKUP(K380&amp;S380,'FX RATES'!$H$2:$H$20,1,FALSE),S380&amp;K380))</f>
        <v>AEDRUB</v>
      </c>
      <c r="AK380" s="175">
        <f>IF(LEFT(AJ380,3)=RIGHT(AJ380,3),0,IFERROR(INDEX(CLIENTS!$A$1:$O$649,MATCH(P380,CLIENTS!$A$1:$A$649,0),MATCH(AJ380,CLIENTS!$A$1:$O$1,0)),0))</f>
        <v>0</v>
      </c>
      <c r="AL380" s="176"/>
      <c r="AM380" s="177" t="str">
        <f>IF(W380="VENDOR","",IF(AL380="",AP380+AK380,AL380+AK380))</f>
        <v/>
      </c>
      <c r="AN380" s="177" t="str">
        <f>E380&amp;AJ380</f>
        <v>46056AEDRUB</v>
      </c>
      <c r="AO380" s="176"/>
      <c r="AP380" s="178">
        <f ca="1">IF(LEFT(AJ380,3)=RIGHT(AJ380,3),1,VLOOKUP(AJ380,'FX RATES'!$H$1:$I$20,2,FALSE))</f>
        <v>20.8843</v>
      </c>
      <c r="AQ380" s="178">
        <f>IF(OR(AJ380="USDAED",LEFT(AJ380,3)=RIGHT(AJ380,3)),AP380,IF(LEFT(AJ380)="USD",AO380,IF(RIGHT(AJ380,3)="USD",1,IFERROR(VLOOKUP(E380&amp;"USD"&amp;RIGHT(AJ380,3),$AN:$AO,2,FALSE),VLOOKUP(E380&amp;"USD"&amp;RIGHT(AB380,3),$AF:$AG,2,FALSE)))))</f>
        <v>77</v>
      </c>
      <c r="AR380" s="179">
        <f>-Q380*(1-Z380)/(1+X380)*IF(W380="CLIENT",IF(S380=RIGHT(AJ380,3),1/AM380,AM380),IF(W380="VENDOR",IF(S380=RIGHT(AJ380,3),1/AE380,AE380),AE380^(VLOOKUP(AB380,'FX RATES'!$H$1:$J$26,3,FALSE))/AM380^(VLOOKUP(AJ380,'FX RATES'!$H$1:$J$26,3,FALSE))))</f>
        <v>0</v>
      </c>
      <c r="AS380" s="179">
        <f>-I380*(1+X380)/(1-Z380)*IF(W380="VENDOR",IF(K380=RIGHT(AB380,3),1/AE380,AE380),IF(W380="CLIENT",IF(K380=RIGHT(AB380,3),1/AM380,AM380),AM380^(VLOOKUP(AJ380,'FX RATES'!$H$1:$J$26,3,FALSE))/AE380^(VLOOKUP(AB380,'FX RATES'!$H$1:$J$26,3,FALSE))))</f>
        <v>6428781.011450381</v>
      </c>
      <c r="AT380" s="170">
        <f ca="1">IF(AB380&lt;&gt;AJ380,J380/IF(K380=RIGHT(AB380,3),AE380,1/AE380),IF(S380="USD",J380/IF(K380=RIGHT(AB380,3),IF(W380="CLIENT",AM380,AE380),1/IF(W380="CLIENT",AM380,AE380)),J380*VLOOKUP(K380,'FX RATES'!$E$1:$F$10,2,FALSE)))</f>
        <v>-1756339.5702582751</v>
      </c>
      <c r="AU380" s="170">
        <f ca="1">IF(AB380&lt;&gt;AJ380,R380/IF(S380=RIGHT(AJ380,3),AM380,1/AM380),IF(K380="USD",R380/IF(S380=RIGHT(AJ380,3),IF(W380="CLIENT",AM380,AE380),1/IF(W380="CLIENT",AM380,AE380)),R380*VLOOKUP(S380,'FX RATES'!$E$1:$F$10,2,FALSE)))</f>
        <v>1750471.3313321301</v>
      </c>
      <c r="AV380" s="170">
        <f ca="1">AT380+AU380</f>
        <v>-5868.2389261450153</v>
      </c>
      <c r="AW380" s="169"/>
      <c r="AX380" s="170">
        <f ca="1">IF(AND(ISERROR(SEARCH("INVOICE",T380)),ISERROR(SEARCH("SWITCH",T380)),ISERROR(SEARCH("FOREX",T380)),ISERROR(SEARCH("REFUND",A380)),ISERROR(SEARCH("CANCELLED",A380))),IF(AW380="",-AT380*X380+AU380*Z380,AW380),0)</f>
        <v>0</v>
      </c>
      <c r="AY380" s="170">
        <f>IF(AZ380="USD",AT380,IF(AZ380=K380,J380,-R380))</f>
        <v>-6428781.011450381</v>
      </c>
      <c r="AZ380" s="170" t="str">
        <f>LEFT(AB380,3)</f>
        <v>AED</v>
      </c>
      <c r="BA380" s="542">
        <f>IF(OR(A380="REFUND",A380="CANCELLED"),0,IFERROR((IF(OR(AB380="USDAED",LEFT(AB380,3)=RIGHT(AB380,3)),AI380,AG380)-AE380)*-AY380*VLOOKUP(AB380,'FX RATES'!$H$1:$J$26,3,FALSE),0))</f>
        <v>42429.954675564986</v>
      </c>
      <c r="BB380" s="170" t="str">
        <f>RIGHT(AB380,3)</f>
        <v>RUB</v>
      </c>
      <c r="BC380" s="542">
        <f>IF(BA380=0,0,IFERROR(BA380/IF(BB380&lt;&gt;"USD",AI380,1),"???"))</f>
        <v>551.03837240993494</v>
      </c>
      <c r="BD380" s="170">
        <f>IFERROR(-AC380/(IF(OR(AB380="USDAED",LEFT(AB380,3)=RIGHT(AB380,3)),AH380,AG380)-AE380)*BC380,0)</f>
        <v>0</v>
      </c>
      <c r="BE380" s="542">
        <f>BC380-BD380</f>
        <v>551.03837240993494</v>
      </c>
      <c r="BF380" s="170">
        <f>IF(BG380="USD",AU380,IF(BG380=S380,R380,-J380))</f>
        <v>6428781.011450381</v>
      </c>
      <c r="BG380" s="170" t="str">
        <f>LEFT(AJ380,3)</f>
        <v>AED</v>
      </c>
      <c r="BH380" s="542">
        <f>IF(OR(A380="REFUND",A380="CANCELLED"),0,IFERROR((IF(OR(AJ380="USDAED",LEFT(AJ380,3)=RIGHT(AJ380,3)),AQ380,AO380)-AM380)*-BF380*VLOOKUP(AJ380,'FX RATES'!$H$1:$J$26,3,FALSE),0))</f>
        <v>0</v>
      </c>
      <c r="BI380" s="170" t="str">
        <f>RIGHT(AJ380,3)</f>
        <v>RUB</v>
      </c>
      <c r="BJ380" s="542">
        <f>IF(BH380=0,0,IFERROR(BH380/IF(BI380&lt;&gt;"USD",AQ380,1),"???"))</f>
        <v>0</v>
      </c>
      <c r="BK380" s="170">
        <f>IFERROR(-AK380/(IF(OR(AJ380="USDAED",LEFT(AJ380,3)=RIGHT(AJ380,3)),AP380,AO380)-AM380)*BJ380,0)</f>
        <v>0</v>
      </c>
      <c r="BL380" s="542">
        <f>BJ380-BK380</f>
        <v>0</v>
      </c>
      <c r="BM380" s="170">
        <f>IF(AND(ISERROR(SEARCH("REFUND",A380)),ISERROR(SEARCH("CANCELLED",A380))),BD380+BK380,0)</f>
        <v>0</v>
      </c>
      <c r="BN380" s="542">
        <f>IF(AND(ISERROR(SEARCH("REFUND",A380)),ISERROR(SEARCH("CANCELLED",A380))),BE380+BL380,0)</f>
        <v>551.03837240993494</v>
      </c>
    </row>
    <row r="381" spans="1:66" ht="19.5" customHeight="1">
      <c r="J381" s="450"/>
    </row>
    <row r="382" spans="1:66" ht="19.5" customHeight="1">
      <c r="A382" s="167" t="s">
        <v>366</v>
      </c>
      <c r="B382" s="168" t="s">
        <v>39</v>
      </c>
      <c r="C382" s="168" t="s">
        <v>367</v>
      </c>
      <c r="D382" s="168" t="s">
        <v>368</v>
      </c>
      <c r="E382" s="171">
        <v>46056</v>
      </c>
      <c r="F382" s="171"/>
      <c r="G382" s="168" t="s">
        <v>39</v>
      </c>
      <c r="H382" s="181" t="s">
        <v>407</v>
      </c>
      <c r="I382" s="169">
        <v>-6404804.7549999999</v>
      </c>
      <c r="J382" s="170">
        <f>IF(I382="",AR382,I382)</f>
        <v>-6404804.7549999999</v>
      </c>
      <c r="K382" s="168" t="s">
        <v>8</v>
      </c>
      <c r="L382" s="171" t="s">
        <v>15</v>
      </c>
      <c r="M382" s="168" t="s">
        <v>17</v>
      </c>
      <c r="N382" s="167" t="s">
        <v>371</v>
      </c>
      <c r="O382" s="168" t="s">
        <v>39</v>
      </c>
      <c r="P382" s="168" t="s">
        <v>408</v>
      </c>
      <c r="Q382" s="169"/>
      <c r="R382" s="170">
        <f>IF(Q382="",AS382,Q382)</f>
        <v>134747475.94250533</v>
      </c>
      <c r="S382" s="168" t="s">
        <v>9</v>
      </c>
      <c r="T382" s="171" t="s">
        <v>409</v>
      </c>
      <c r="U382" s="168" t="s">
        <v>374</v>
      </c>
      <c r="V382" s="167" t="s">
        <v>371</v>
      </c>
      <c r="W382" s="172" t="s">
        <v>375</v>
      </c>
      <c r="X382" s="173">
        <f>IF(Y382="",VLOOKUP(H382,CLIENTS!$A$1:$O$649,5,FALSE),Y382)</f>
        <v>3.0000000000000001E-3</v>
      </c>
      <c r="Y382" s="174">
        <v>3.0000000000000001E-3</v>
      </c>
      <c r="Z382" s="173">
        <f>IF(AA382="",VLOOKUP(P382,CLIENTS!$A$1:$O$649,5,FALSE),AA382)</f>
        <v>0</v>
      </c>
      <c r="AA382" s="174">
        <v>0</v>
      </c>
      <c r="AB382" s="173" t="str">
        <f>IF(W382="via USD",IF(K382="EUR",K382&amp;"USD","USD"&amp;K382),IFERROR(VLOOKUP(K382&amp;S382,'FX RATES'!$H$2:$H$20,1,FALSE),S382&amp;K382))</f>
        <v>USDAED</v>
      </c>
      <c r="AC382" s="175">
        <f>IF(LEFT(AB382,3)=RIGHT(AB382,3),0,IFERROR(INDEX(CLIENTS!$A$1:$O$649,MATCH(H382,CLIENTS!$A$1:$A$649,0),MATCH(AB382,CLIENTS!$A$1:$O$1,0)),0))</f>
        <v>-5.0000000000000001E-4</v>
      </c>
      <c r="AD382" s="176"/>
      <c r="AE382" s="177">
        <f>IF(W382="CLIENT","",IF(AD382="",AH382+AC382,AD382+AC382))</f>
        <v>3.6719999999999997</v>
      </c>
      <c r="AF382" s="177" t="str">
        <f>E382&amp;AB382</f>
        <v>46056USDAED</v>
      </c>
      <c r="AG382" s="176"/>
      <c r="AH382" s="178">
        <f>IF(LEFT(AB382,3)=RIGHT(AB382,3),1,VLOOKUP(AB382,'FX RATES'!$H$1:$I$20,2,FALSE))</f>
        <v>3.6724999999999999</v>
      </c>
      <c r="AI382" s="178">
        <f>IF(OR(AB382="USDAED",LEFT(AB382,3)=RIGHT(AB382,3)),AH382,IF(LEFT(AB382)="USD",AG382,IF(RIGHT(AB382,3)="USD",1,IFERROR(VLOOKUP(E382&amp;"USD"&amp;RIGHT(AB382,3),$AF:$AG,2,FALSE),VLOOKUP(E382&amp;"USD"&amp;RIGHT(AJ382,3),$AN:$AO,2,FALSE)))))</f>
        <v>3.6724999999999999</v>
      </c>
      <c r="AJ382" s="173" t="str">
        <f>IF(W382="via USD",IF(S382="EUR",S382&amp;"USD","USD"&amp;S382),IFERROR(VLOOKUP(K382&amp;S382,'FX RATES'!$H$2:$H$20,1,FALSE),S382&amp;K382))</f>
        <v>USDRUB</v>
      </c>
      <c r="AK382" s="175">
        <f>IF(LEFT(AJ382,3)=RIGHT(AJ382,3),0,IFERROR(INDEX(CLIENTS!$A$1:$O$649,MATCH(P382,CLIENTS!$A$1:$A$649,0),MATCH(AJ382,CLIENTS!$A$1:$O$1,0)),0))</f>
        <v>0</v>
      </c>
      <c r="AL382" s="176">
        <v>77.022300000000001</v>
      </c>
      <c r="AM382" s="177">
        <f>IF(W382="VENDOR","",IF(AL382="",AP382+AK382,AL382+AK382))</f>
        <v>77.022300000000001</v>
      </c>
      <c r="AN382" s="177" t="str">
        <f>E382&amp;AJ382</f>
        <v>46056USDRUB</v>
      </c>
      <c r="AO382" s="176">
        <v>77</v>
      </c>
      <c r="AP382" s="178">
        <f ca="1">IF(LEFT(AJ382,3)=RIGHT(AJ382,3),1,VLOOKUP(AJ382,'FX RATES'!$H$1:$I$20,2,FALSE))</f>
        <v>76.720500000000001</v>
      </c>
      <c r="AQ382" s="178">
        <f>IF(OR(AJ382="USDAED",LEFT(AJ382,3)=RIGHT(AJ382,3)),AP382,IF(LEFT(AJ382)="USD",AO382,IF(RIGHT(AJ382,3)="USD",1,IFERROR(VLOOKUP(E382&amp;"USD"&amp;RIGHT(AJ382,3),$AN:$AO,2,FALSE),VLOOKUP(E382&amp;"USD"&amp;RIGHT(AB382,3),$AF:$AG,2,FALSE)))))</f>
        <v>77</v>
      </c>
      <c r="AR382" s="179">
        <f>-Q382*(1-Z382)/(1+X382)*IF(W382="CLIENT",IF(S382=RIGHT(AJ382,3),1/AM382,AM382),IF(W382="VENDOR",IF(S382=RIGHT(AJ382,3),1/AE382,AE382),AE382^(VLOOKUP(AB382,'FX RATES'!$H$1:$J$26,3,FALSE))/AM382^(VLOOKUP(AJ382,'FX RATES'!$H$1:$J$26,3,FALSE))))</f>
        <v>0</v>
      </c>
      <c r="AS382" s="179">
        <f>-I382*(1+X382)/(1-Z382)*IF(W382="VENDOR",IF(K382=RIGHT(AB382,3),1/AE382,AE382),IF(W382="CLIENT",IF(K382=RIGHT(AB382,3),1/AM382,AM382),AM382^(VLOOKUP(AJ382,'FX RATES'!$H$1:$J$26,3,FALSE))/AE382^(VLOOKUP(AB382,'FX RATES'!$H$1:$J$26,3,FALSE))))</f>
        <v>134747475.94250533</v>
      </c>
      <c r="AT382" s="170">
        <f>IF(AB382&lt;&gt;AJ382,J382/IF(K382=RIGHT(AB382,3),AE382,1/AE382),IF(S382="USD",J382/IF(K382=RIGHT(AB382,3),IF(W382="CLIENT",AM382,AE382),1/IF(W382="CLIENT",AM382,AE382)),J382*VLOOKUP(K382,'FX RATES'!$E$1:$F$10,2,FALSE)))</f>
        <v>-1744227.8744553379</v>
      </c>
      <c r="AU382" s="170">
        <f>IF(AB382&lt;&gt;AJ382,R382/IF(S382=RIGHT(AJ382,3),AM382,1/AM382),IF(K382="USD",R382/IF(S382=RIGHT(AJ382,3),IF(W382="CLIENT",AM382,AE382),1/IF(W382="CLIENT",AM382,AE382)),R382*VLOOKUP(S382,'FX RATES'!$E$1:$F$10,2,FALSE)))</f>
        <v>1749460.5580787035</v>
      </c>
      <c r="AV382" s="170">
        <f>AT382+AU382</f>
        <v>5232.6836233655922</v>
      </c>
      <c r="AW382" s="169"/>
      <c r="AX382" s="170">
        <f>IF(AND(ISERROR(SEARCH("INVOICE",T382)),ISERROR(SEARCH("SWITCH",T382)),ISERROR(SEARCH("FOREX",T382)),ISERROR(SEARCH("REFUND",A382)),ISERROR(SEARCH("CANCELLED",A382))),IF(AW382="",-AT382*X382+AU382*Z382,AW382),0)</f>
        <v>5232.6836233660133</v>
      </c>
      <c r="AY382" s="170">
        <f>IF(AZ382="USD",AT382,IF(AZ382=K382,J382,-R382))</f>
        <v>-1744227.8744553379</v>
      </c>
      <c r="AZ382" s="170" t="str">
        <f>LEFT(AB382,3)</f>
        <v>USD</v>
      </c>
      <c r="BA382" s="542">
        <f>IF(OR(A382="REFUND",A382="CANCELLED"),0,IFERROR((IF(OR(AB382="USDAED",LEFT(AB382,3)=RIGHT(AB382,3)),AI382,AG382)-AE382)*-AY382*VLOOKUP(AB382,'FX RATES'!$H$1:$J$26,3,FALSE),0))</f>
        <v>872.11393722796015</v>
      </c>
      <c r="BB382" s="170" t="str">
        <f>RIGHT(AB382,3)</f>
        <v>AED</v>
      </c>
      <c r="BC382" s="542">
        <f>IF(BA382=0,0,IFERROR(BA382/IF(BB382&lt;&gt;"USD",AI382,1),"???"))</f>
        <v>237.47146010291632</v>
      </c>
      <c r="BD382" s="170">
        <f>IFERROR(-AC382/(IF(OR(AB382="USDAED",LEFT(AB382,3)=RIGHT(AB382,3)),AH382,AG382)-AE382)*BC382,0)</f>
        <v>237.47146010283703</v>
      </c>
      <c r="BE382" s="542">
        <f>BC382-BD382</f>
        <v>7.9296569310827181E-11</v>
      </c>
      <c r="BF382" s="170">
        <f>IF(BG382="USD",AU382,IF(BG382=S382,R382,-J382))</f>
        <v>1749460.5580787035</v>
      </c>
      <c r="BG382" s="170" t="str">
        <f>LEFT(AJ382,3)</f>
        <v>USD</v>
      </c>
      <c r="BH382" s="542">
        <f>IF(OR(A382="REFUND",A382="CANCELLED"),0,IFERROR((IF(OR(AJ382="USDAED",LEFT(AJ382,3)=RIGHT(AJ382,3)),AQ382,AO382)-AM382)*-BF382*VLOOKUP(AJ382,'FX RATES'!$H$1:$J$26,3,FALSE),0))</f>
        <v>39012.970445157393</v>
      </c>
      <c r="BI382" s="170" t="str">
        <f>RIGHT(AJ382,3)</f>
        <v>RUB</v>
      </c>
      <c r="BJ382" s="542">
        <f>IF(BH382=0,0,IFERROR(BH382/IF(BI382&lt;&gt;"USD",AQ382,1),"???"))</f>
        <v>506.66195383321286</v>
      </c>
      <c r="BK382" s="170">
        <f>IFERROR(-AK382/(IF(OR(AJ382="USDAED",LEFT(AJ382,3)=RIGHT(AJ382,3)),AP382,AO382)-AM382)*BJ382,0)</f>
        <v>0</v>
      </c>
      <c r="BL382" s="542">
        <f>BJ382-BK382</f>
        <v>506.66195383321286</v>
      </c>
      <c r="BM382" s="170">
        <f>IF(AND(ISERROR(SEARCH("REFUND",A382)),ISERROR(SEARCH("CANCELLED",A382))),BD382+BK382,0)</f>
        <v>237.47146010283703</v>
      </c>
      <c r="BN382" s="542">
        <f>IF(AND(ISERROR(SEARCH("REFUND",A382)),ISERROR(SEARCH("CANCELLED",A382))),BE382+BL382,0)</f>
        <v>506.66195383329216</v>
      </c>
    </row>
    <row r="383" spans="1:66" ht="19.5" customHeight="1">
      <c r="A383" s="167" t="s">
        <v>366</v>
      </c>
      <c r="B383" s="168" t="s">
        <v>39</v>
      </c>
      <c r="C383" s="168" t="s">
        <v>383</v>
      </c>
      <c r="D383" s="168" t="s">
        <v>128</v>
      </c>
      <c r="E383" s="171">
        <v>46056</v>
      </c>
      <c r="F383" s="171"/>
      <c r="G383" s="168" t="s">
        <v>39</v>
      </c>
      <c r="H383" s="168" t="s">
        <v>384</v>
      </c>
      <c r="I383" s="169">
        <v>-134747250</v>
      </c>
      <c r="J383" s="170">
        <f>IF(I383="",AR383,I383)</f>
        <v>-134747250</v>
      </c>
      <c r="K383" s="168" t="s">
        <v>9</v>
      </c>
      <c r="L383" s="171" t="s">
        <v>374</v>
      </c>
      <c r="M383" s="168" t="s">
        <v>374</v>
      </c>
      <c r="N383" s="167" t="s">
        <v>371</v>
      </c>
      <c r="O383" s="168" t="s">
        <v>39</v>
      </c>
      <c r="P383" s="349" t="s">
        <v>384</v>
      </c>
      <c r="Q383" s="169"/>
      <c r="R383" s="170">
        <f>IF(Q383="",AS383,Q383)</f>
        <v>6428781.011450381</v>
      </c>
      <c r="S383" s="168" t="s">
        <v>8</v>
      </c>
      <c r="T383" s="171" t="s">
        <v>385</v>
      </c>
      <c r="U383" s="168" t="s">
        <v>20</v>
      </c>
      <c r="V383" s="167" t="s">
        <v>371</v>
      </c>
      <c r="W383" s="172" t="s">
        <v>382</v>
      </c>
      <c r="X383" s="173">
        <f>IF(Y383="",VLOOKUP(H383,CLIENTS!$A$1:$O$649,5,FALSE),Y383)</f>
        <v>0</v>
      </c>
      <c r="Y383" s="174">
        <v>0</v>
      </c>
      <c r="Z383" s="173">
        <f>IF(AA383="",VLOOKUP(P383,CLIENTS!$A$1:$O$649,5,FALSE),AA383)</f>
        <v>0</v>
      </c>
      <c r="AA383" s="174">
        <v>0</v>
      </c>
      <c r="AB383" s="173" t="str">
        <f>IF(W383="via USD",IF(K383="EUR",K383&amp;"USD","USD"&amp;K383),IFERROR(VLOOKUP(K383&amp;S383,'FX RATES'!$H$2:$H$20,1,FALSE),S383&amp;K383))</f>
        <v>AEDRUB</v>
      </c>
      <c r="AC383" s="175">
        <f>IF(LEFT(AB383,3)=RIGHT(AB383,3),0,IFERROR(INDEX(CLIENTS!$A$1:$O$649,MATCH(H383,CLIENTS!$A$1:$A$649,0),MATCH(AB383,CLIENTS!$A$1:$O$1,0)),0))</f>
        <v>0</v>
      </c>
      <c r="AD383" s="176">
        <v>20.96</v>
      </c>
      <c r="AE383" s="177">
        <f>IF(W383="CLIENT","",IF(AD383="",AH383+AC383,AD383+AC383))</f>
        <v>20.96</v>
      </c>
      <c r="AF383" s="177" t="str">
        <f>E383&amp;AB383</f>
        <v>46056AEDRUB</v>
      </c>
      <c r="AG383" s="176">
        <v>20.9666</v>
      </c>
      <c r="AH383" s="178">
        <f ca="1">IF(LEFT(AB383,3)=RIGHT(AB383,3),1,VLOOKUP(AB383,'FX RATES'!$H$1:$I$20,2,FALSE))</f>
        <v>20.8843</v>
      </c>
      <c r="AI383" s="178">
        <f>IF(OR(AB383="USDAED",LEFT(AB383,3)=RIGHT(AB383,3)),AH383,IF(LEFT(AB383)="USD",AG383,IF(RIGHT(AB383,3)="USD",1,IFERROR(VLOOKUP(E383&amp;"USD"&amp;RIGHT(AB383,3),$AF:$AG,2,FALSE),VLOOKUP(E383&amp;"USD"&amp;RIGHT(AJ383,3),$AN:$AO,2,FALSE)))))</f>
        <v>77</v>
      </c>
      <c r="AJ383" s="173" t="str">
        <f>IF(W383="via USD",IF(S383="EUR",S383&amp;"USD","USD"&amp;S383),IFERROR(VLOOKUP(K383&amp;S383,'FX RATES'!$H$2:$H$20,1,FALSE),S383&amp;K383))</f>
        <v>AEDRUB</v>
      </c>
      <c r="AK383" s="175">
        <f>IF(LEFT(AJ383,3)=RIGHT(AJ383,3),0,IFERROR(INDEX(CLIENTS!$A$1:$O$649,MATCH(P383,CLIENTS!$A$1:$A$649,0),MATCH(AJ383,CLIENTS!$A$1:$O$1,0)),0))</f>
        <v>0</v>
      </c>
      <c r="AL383" s="176"/>
      <c r="AM383" s="177" t="str">
        <f>IF(W383="VENDOR","",IF(AL383="",AP383+AK383,AL383+AK383))</f>
        <v/>
      </c>
      <c r="AN383" s="177" t="str">
        <f>E383&amp;AJ383</f>
        <v>46056AEDRUB</v>
      </c>
      <c r="AO383" s="176"/>
      <c r="AP383" s="178">
        <f ca="1">IF(LEFT(AJ383,3)=RIGHT(AJ383,3),1,VLOOKUP(AJ383,'FX RATES'!$H$1:$I$20,2,FALSE))</f>
        <v>20.8843</v>
      </c>
      <c r="AQ383" s="178">
        <f>IF(OR(AJ383="USDAED",LEFT(AJ383,3)=RIGHT(AJ383,3)),AP383,IF(LEFT(AJ383)="USD",AO383,IF(RIGHT(AJ383,3)="USD",1,IFERROR(VLOOKUP(E383&amp;"USD"&amp;RIGHT(AJ383,3),$AN:$AO,2,FALSE),VLOOKUP(E383&amp;"USD"&amp;RIGHT(AB383,3),$AF:$AG,2,FALSE)))))</f>
        <v>77</v>
      </c>
      <c r="AR383" s="179">
        <f>-Q383*(1-Z383)/(1+X383)*IF(W383="CLIENT",IF(S383=RIGHT(AJ383,3),1/AM383,AM383),IF(W383="VENDOR",IF(S383=RIGHT(AJ383,3),1/AE383,AE383),AE383^(VLOOKUP(AB383,'FX RATES'!$H$1:$J$26,3,FALSE))/AM383^(VLOOKUP(AJ383,'FX RATES'!$H$1:$J$26,3,FALSE))))</f>
        <v>0</v>
      </c>
      <c r="AS383" s="179">
        <f>-I383*(1+X383)/(1-Z383)*IF(W383="VENDOR",IF(K383=RIGHT(AB383,3),1/AE383,AE383),IF(W383="CLIENT",IF(K383=RIGHT(AB383,3),1/AM383,AM383),AM383^(VLOOKUP(AJ383,'FX RATES'!$H$1:$J$26,3,FALSE))/AE383^(VLOOKUP(AB383,'FX RATES'!$H$1:$J$26,3,FALSE))))</f>
        <v>6428781.011450381</v>
      </c>
      <c r="AT383" s="170">
        <f ca="1">IF(AB383&lt;&gt;AJ383,J383/IF(K383=RIGHT(AB383,3),AE383,1/AE383),IF(S383="USD",J383/IF(K383=RIGHT(AB383,3),IF(W383="CLIENT",AM383,AE383),1/IF(W383="CLIENT",AM383,AE383)),J383*VLOOKUP(K383,'FX RATES'!$E$1:$F$10,2,FALSE)))</f>
        <v>-1756339.5702582751</v>
      </c>
      <c r="AU383" s="170">
        <f ca="1">IF(AB383&lt;&gt;AJ383,R383/IF(S383=RIGHT(AJ383,3),AM383,1/AM383),IF(K383="USD",R383/IF(S383=RIGHT(AJ383,3),IF(W383="CLIENT",AM383,AE383),1/IF(W383="CLIENT",AM383,AE383)),R383*VLOOKUP(S383,'FX RATES'!$E$1:$F$10,2,FALSE)))</f>
        <v>1750471.3313321301</v>
      </c>
      <c r="AV383" s="170">
        <f ca="1">AT383+AU383</f>
        <v>-5868.2389261450153</v>
      </c>
      <c r="AW383" s="169"/>
      <c r="AX383" s="170">
        <f ca="1">IF(AND(ISERROR(SEARCH("INVOICE",T383)),ISERROR(SEARCH("SWITCH",T383)),ISERROR(SEARCH("FOREX",T383)),ISERROR(SEARCH("REFUND",A383)),ISERROR(SEARCH("CANCELLED",A383))),IF(AW383="",-AT383*X383+AU383*Z383,AW383),0)</f>
        <v>0</v>
      </c>
      <c r="AY383" s="170">
        <f>IF(AZ383="USD",AT383,IF(AZ383=K383,J383,-R383))</f>
        <v>-6428781.011450381</v>
      </c>
      <c r="AZ383" s="170" t="str">
        <f>LEFT(AB383,3)</f>
        <v>AED</v>
      </c>
      <c r="BA383" s="542">
        <f>IF(OR(A383="REFUND",A383="CANCELLED"),0,IFERROR((IF(OR(AB383="USDAED",LEFT(AB383,3)=RIGHT(AB383,3)),AI383,AG383)-AE383)*-AY383*VLOOKUP(AB383,'FX RATES'!$H$1:$J$26,3,FALSE),0))</f>
        <v>42429.954675564986</v>
      </c>
      <c r="BB383" s="170" t="str">
        <f>RIGHT(AB383,3)</f>
        <v>RUB</v>
      </c>
      <c r="BC383" s="542">
        <f>IF(BA383=0,0,IFERROR(BA383/IF(BB383&lt;&gt;"USD",AI383,1),"???"))</f>
        <v>551.03837240993494</v>
      </c>
      <c r="BD383" s="170">
        <f>IFERROR(-AC383/(IF(OR(AB383="USDAED",LEFT(AB383,3)=RIGHT(AB383,3)),AH383,AG383)-AE383)*BC383,0)</f>
        <v>0</v>
      </c>
      <c r="BE383" s="542">
        <f>BC383-BD383</f>
        <v>551.03837240993494</v>
      </c>
      <c r="BF383" s="170">
        <f>IF(BG383="USD",AU383,IF(BG383=S383,R383,-J383))</f>
        <v>6428781.011450381</v>
      </c>
      <c r="BG383" s="170" t="str">
        <f>LEFT(AJ383,3)</f>
        <v>AED</v>
      </c>
      <c r="BH383" s="542">
        <f>IF(OR(A383="REFUND",A383="CANCELLED"),0,IFERROR((IF(OR(AJ383="USDAED",LEFT(AJ383,3)=RIGHT(AJ383,3)),AQ383,AO383)-AM383)*-BF383*VLOOKUP(AJ383,'FX RATES'!$H$1:$J$26,3,FALSE),0))</f>
        <v>0</v>
      </c>
      <c r="BI383" s="170" t="str">
        <f>RIGHT(AJ383,3)</f>
        <v>RUB</v>
      </c>
      <c r="BJ383" s="542">
        <f>IF(BH383=0,0,IFERROR(BH383/IF(BI383&lt;&gt;"USD",AQ383,1),"???"))</f>
        <v>0</v>
      </c>
      <c r="BK383" s="170">
        <f>IFERROR(-AK383/(IF(OR(AJ383="USDAED",LEFT(AJ383,3)=RIGHT(AJ383,3)),AP383,AO383)-AM383)*BJ383,0)</f>
        <v>0</v>
      </c>
      <c r="BL383" s="542">
        <f>BJ383-BK383</f>
        <v>0</v>
      </c>
      <c r="BM383" s="170">
        <f>IF(AND(ISERROR(SEARCH("REFUND",A383)),ISERROR(SEARCH("CANCELLED",A383))),BD383+BK383,0)</f>
        <v>0</v>
      </c>
      <c r="BN383" s="542">
        <f>IF(AND(ISERROR(SEARCH("REFUND",A383)),ISERROR(SEARCH("CANCELLED",A383))),BE383+BL383,0)</f>
        <v>551.03837240993494</v>
      </c>
    </row>
    <row r="384" spans="1:66" ht="19.5" customHeight="1">
      <c r="J384" s="450"/>
    </row>
    <row r="385" spans="1:66" ht="19.5" customHeight="1">
      <c r="A385" s="167" t="s">
        <v>366</v>
      </c>
      <c r="B385" s="168" t="s">
        <v>39</v>
      </c>
      <c r="C385" s="168" t="s">
        <v>367</v>
      </c>
      <c r="D385" s="168" t="s">
        <v>368</v>
      </c>
      <c r="E385" s="171">
        <v>46056</v>
      </c>
      <c r="F385" s="171"/>
      <c r="G385" s="168" t="s">
        <v>39</v>
      </c>
      <c r="H385" s="181" t="s">
        <v>407</v>
      </c>
      <c r="I385" s="169">
        <v>-6404804.7549999999</v>
      </c>
      <c r="J385" s="170">
        <f>IF(I385="",AR385,I385)</f>
        <v>-6404804.7549999999</v>
      </c>
      <c r="K385" s="168" t="s">
        <v>8</v>
      </c>
      <c r="L385" s="171" t="s">
        <v>15</v>
      </c>
      <c r="M385" s="168" t="s">
        <v>17</v>
      </c>
      <c r="N385" s="167" t="s">
        <v>371</v>
      </c>
      <c r="O385" s="168" t="s">
        <v>39</v>
      </c>
      <c r="P385" s="168" t="s">
        <v>408</v>
      </c>
      <c r="Q385" s="169"/>
      <c r="R385" s="170">
        <f>IF(Q385="",AS385,Q385)</f>
        <v>134747475.94250533</v>
      </c>
      <c r="S385" s="168" t="s">
        <v>9</v>
      </c>
      <c r="T385" s="171" t="s">
        <v>409</v>
      </c>
      <c r="U385" s="168" t="s">
        <v>374</v>
      </c>
      <c r="V385" s="167" t="s">
        <v>371</v>
      </c>
      <c r="W385" s="172" t="s">
        <v>375</v>
      </c>
      <c r="X385" s="173">
        <f>IF(Y385="",VLOOKUP(H385,CLIENTS!$A$1:$O$649,5,FALSE),Y385)</f>
        <v>3.0000000000000001E-3</v>
      </c>
      <c r="Y385" s="174">
        <v>3.0000000000000001E-3</v>
      </c>
      <c r="Z385" s="173">
        <f>IF(AA385="",VLOOKUP(P385,CLIENTS!$A$1:$O$649,5,FALSE),AA385)</f>
        <v>0</v>
      </c>
      <c r="AA385" s="174">
        <v>0</v>
      </c>
      <c r="AB385" s="173" t="str">
        <f>IF(W385="via USD",IF(K385="EUR",K385&amp;"USD","USD"&amp;K385),IFERROR(VLOOKUP(K385&amp;S385,'FX RATES'!$H$2:$H$20,1,FALSE),S385&amp;K385))</f>
        <v>USDAED</v>
      </c>
      <c r="AC385" s="175">
        <f>IF(LEFT(AB385,3)=RIGHT(AB385,3),0,IFERROR(INDEX(CLIENTS!$A$1:$O$649,MATCH(H385,CLIENTS!$A$1:$A$649,0),MATCH(AB385,CLIENTS!$A$1:$O$1,0)),0))</f>
        <v>-5.0000000000000001E-4</v>
      </c>
      <c r="AD385" s="176"/>
      <c r="AE385" s="177">
        <f>IF(W385="CLIENT","",IF(AD385="",AH385+AC385,AD385+AC385))</f>
        <v>3.6719999999999997</v>
      </c>
      <c r="AF385" s="177" t="str">
        <f>E385&amp;AB385</f>
        <v>46056USDAED</v>
      </c>
      <c r="AG385" s="176"/>
      <c r="AH385" s="178">
        <f>IF(LEFT(AB385,3)=RIGHT(AB385,3),1,VLOOKUP(AB385,'FX RATES'!$H$1:$I$20,2,FALSE))</f>
        <v>3.6724999999999999</v>
      </c>
      <c r="AI385" s="178">
        <f>IF(OR(AB385="USDAED",LEFT(AB385,3)=RIGHT(AB385,3)),AH385,IF(LEFT(AB385)="USD",AG385,IF(RIGHT(AB385,3)="USD",1,IFERROR(VLOOKUP(E385&amp;"USD"&amp;RIGHT(AB385,3),$AF:$AG,2,FALSE),VLOOKUP(E385&amp;"USD"&amp;RIGHT(AJ385,3),$AN:$AO,2,FALSE)))))</f>
        <v>3.6724999999999999</v>
      </c>
      <c r="AJ385" s="173" t="str">
        <f>IF(W385="via USD",IF(S385="EUR",S385&amp;"USD","USD"&amp;S385),IFERROR(VLOOKUP(K385&amp;S385,'FX RATES'!$H$2:$H$20,1,FALSE),S385&amp;K385))</f>
        <v>USDRUB</v>
      </c>
      <c r="AK385" s="175">
        <f>IF(LEFT(AJ385,3)=RIGHT(AJ385,3),0,IFERROR(INDEX(CLIENTS!$A$1:$O$649,MATCH(P385,CLIENTS!$A$1:$A$649,0),MATCH(AJ385,CLIENTS!$A$1:$O$1,0)),0))</f>
        <v>0</v>
      </c>
      <c r="AL385" s="176">
        <v>77.022300000000001</v>
      </c>
      <c r="AM385" s="177">
        <f>IF(W385="VENDOR","",IF(AL385="",AP385+AK385,AL385+AK385))</f>
        <v>77.022300000000001</v>
      </c>
      <c r="AN385" s="177" t="str">
        <f>E385&amp;AJ385</f>
        <v>46056USDRUB</v>
      </c>
      <c r="AO385" s="176">
        <v>77</v>
      </c>
      <c r="AP385" s="178">
        <f ca="1">IF(LEFT(AJ385,3)=RIGHT(AJ385,3),1,VLOOKUP(AJ385,'FX RATES'!$H$1:$I$20,2,FALSE))</f>
        <v>76.720500000000001</v>
      </c>
      <c r="AQ385" s="178">
        <f>IF(OR(AJ385="USDAED",LEFT(AJ385,3)=RIGHT(AJ385,3)),AP385,IF(LEFT(AJ385)="USD",AO385,IF(RIGHT(AJ385,3)="USD",1,IFERROR(VLOOKUP(E385&amp;"USD"&amp;RIGHT(AJ385,3),$AN:$AO,2,FALSE),VLOOKUP(E385&amp;"USD"&amp;RIGHT(AB385,3),$AF:$AG,2,FALSE)))))</f>
        <v>77</v>
      </c>
      <c r="AR385" s="179">
        <f>-Q385*(1-Z385)/(1+X385)*IF(W385="CLIENT",IF(S385=RIGHT(AJ385,3),1/AM385,AM385),IF(W385="VENDOR",IF(S385=RIGHT(AJ385,3),1/AE385,AE385),AE385^(VLOOKUP(AB385,'FX RATES'!$H$1:$J$26,3,FALSE))/AM385^(VLOOKUP(AJ385,'FX RATES'!$H$1:$J$26,3,FALSE))))</f>
        <v>0</v>
      </c>
      <c r="AS385" s="179">
        <f>-I385*(1+X385)/(1-Z385)*IF(W385="VENDOR",IF(K385=RIGHT(AB385,3),1/AE385,AE385),IF(W385="CLIENT",IF(K385=RIGHT(AB385,3),1/AM385,AM385),AM385^(VLOOKUP(AJ385,'FX RATES'!$H$1:$J$26,3,FALSE))/AE385^(VLOOKUP(AB385,'FX RATES'!$H$1:$J$26,3,FALSE))))</f>
        <v>134747475.94250533</v>
      </c>
      <c r="AT385" s="170">
        <f>IF(AB385&lt;&gt;AJ385,J385/IF(K385=RIGHT(AB385,3),AE385,1/AE385),IF(S385="USD",J385/IF(K385=RIGHT(AB385,3),IF(W385="CLIENT",AM385,AE385),1/IF(W385="CLIENT",AM385,AE385)),J385*VLOOKUP(K385,'FX RATES'!$E$1:$F$10,2,FALSE)))</f>
        <v>-1744227.8744553379</v>
      </c>
      <c r="AU385" s="170">
        <f>IF(AB385&lt;&gt;AJ385,R385/IF(S385=RIGHT(AJ385,3),AM385,1/AM385),IF(K385="USD",R385/IF(S385=RIGHT(AJ385,3),IF(W385="CLIENT",AM385,AE385),1/IF(W385="CLIENT",AM385,AE385)),R385*VLOOKUP(S385,'FX RATES'!$E$1:$F$10,2,FALSE)))</f>
        <v>1749460.5580787035</v>
      </c>
      <c r="AV385" s="170">
        <f>AT385+AU385</f>
        <v>5232.6836233655922</v>
      </c>
      <c r="AW385" s="169"/>
      <c r="AX385" s="170">
        <f>IF(AND(ISERROR(SEARCH("INVOICE",T385)),ISERROR(SEARCH("SWITCH",T385)),ISERROR(SEARCH("FOREX",T385)),ISERROR(SEARCH("REFUND",A385)),ISERROR(SEARCH("CANCELLED",A385))),IF(AW385="",-AT385*X385+AU385*Z385,AW385),0)</f>
        <v>5232.6836233660133</v>
      </c>
      <c r="AY385" s="170">
        <f>IF(AZ385="USD",AT385,IF(AZ385=K385,J385,-R385))</f>
        <v>-1744227.8744553379</v>
      </c>
      <c r="AZ385" s="170" t="str">
        <f>LEFT(AB385,3)</f>
        <v>USD</v>
      </c>
      <c r="BA385" s="542">
        <f>IF(OR(A385="REFUND",A385="CANCELLED"),0,IFERROR((IF(OR(AB385="USDAED",LEFT(AB385,3)=RIGHT(AB385,3)),AI385,AG385)-AE385)*-AY385*VLOOKUP(AB385,'FX RATES'!$H$1:$J$26,3,FALSE),0))</f>
        <v>872.11393722796015</v>
      </c>
      <c r="BB385" s="170" t="str">
        <f>RIGHT(AB385,3)</f>
        <v>AED</v>
      </c>
      <c r="BC385" s="542">
        <f>IF(BA385=0,0,IFERROR(BA385/IF(BB385&lt;&gt;"USD",AI385,1),"???"))</f>
        <v>237.47146010291632</v>
      </c>
      <c r="BD385" s="170">
        <f>IFERROR(-AC385/(IF(OR(AB385="USDAED",LEFT(AB385,3)=RIGHT(AB385,3)),AH385,AG385)-AE385)*BC385,0)</f>
        <v>237.47146010283703</v>
      </c>
      <c r="BE385" s="542">
        <f>BC385-BD385</f>
        <v>7.9296569310827181E-11</v>
      </c>
      <c r="BF385" s="170">
        <f>IF(BG385="USD",AU385,IF(BG385=S385,R385,-J385))</f>
        <v>1749460.5580787035</v>
      </c>
      <c r="BG385" s="170" t="str">
        <f>LEFT(AJ385,3)</f>
        <v>USD</v>
      </c>
      <c r="BH385" s="542">
        <f>IF(OR(A385="REFUND",A385="CANCELLED"),0,IFERROR((IF(OR(AJ385="USDAED",LEFT(AJ385,3)=RIGHT(AJ385,3)),AQ385,AO385)-AM385)*-BF385*VLOOKUP(AJ385,'FX RATES'!$H$1:$J$26,3,FALSE),0))</f>
        <v>39012.970445157393</v>
      </c>
      <c r="BI385" s="170" t="str">
        <f>RIGHT(AJ385,3)</f>
        <v>RUB</v>
      </c>
      <c r="BJ385" s="542">
        <f>IF(BH385=0,0,IFERROR(BH385/IF(BI385&lt;&gt;"USD",AQ385,1),"???"))</f>
        <v>506.66195383321286</v>
      </c>
      <c r="BK385" s="170">
        <f>IFERROR(-AK385/(IF(OR(AJ385="USDAED",LEFT(AJ385,3)=RIGHT(AJ385,3)),AP385,AO385)-AM385)*BJ385,0)</f>
        <v>0</v>
      </c>
      <c r="BL385" s="542">
        <f>BJ385-BK385</f>
        <v>506.66195383321286</v>
      </c>
      <c r="BM385" s="170">
        <f>IF(AND(ISERROR(SEARCH("REFUND",A385)),ISERROR(SEARCH("CANCELLED",A385))),BD385+BK385,0)</f>
        <v>237.47146010283703</v>
      </c>
      <c r="BN385" s="542">
        <f>IF(AND(ISERROR(SEARCH("REFUND",A385)),ISERROR(SEARCH("CANCELLED",A385))),BE385+BL385,0)</f>
        <v>506.66195383329216</v>
      </c>
    </row>
    <row r="386" spans="1:66" ht="19.5" customHeight="1">
      <c r="A386" s="167" t="s">
        <v>366</v>
      </c>
      <c r="B386" s="168" t="s">
        <v>39</v>
      </c>
      <c r="C386" s="168" t="s">
        <v>383</v>
      </c>
      <c r="D386" s="168" t="s">
        <v>128</v>
      </c>
      <c r="E386" s="171">
        <v>46056</v>
      </c>
      <c r="F386" s="171"/>
      <c r="G386" s="168" t="s">
        <v>39</v>
      </c>
      <c r="H386" s="168" t="s">
        <v>384</v>
      </c>
      <c r="I386" s="169">
        <v>-134747250</v>
      </c>
      <c r="J386" s="170">
        <f>IF(I386="",AR386,I386)</f>
        <v>-134747250</v>
      </c>
      <c r="K386" s="168" t="s">
        <v>9</v>
      </c>
      <c r="L386" s="171" t="s">
        <v>374</v>
      </c>
      <c r="M386" s="168" t="s">
        <v>374</v>
      </c>
      <c r="N386" s="167" t="s">
        <v>371</v>
      </c>
      <c r="O386" s="168" t="s">
        <v>39</v>
      </c>
      <c r="P386" s="349" t="s">
        <v>384</v>
      </c>
      <c r="Q386" s="169"/>
      <c r="R386" s="170">
        <f>IF(Q386="",AS386,Q386)</f>
        <v>6428781.011450381</v>
      </c>
      <c r="S386" s="168" t="s">
        <v>8</v>
      </c>
      <c r="T386" s="171" t="s">
        <v>385</v>
      </c>
      <c r="U386" s="168" t="s">
        <v>20</v>
      </c>
      <c r="V386" s="167" t="s">
        <v>371</v>
      </c>
      <c r="W386" s="172" t="s">
        <v>382</v>
      </c>
      <c r="X386" s="173">
        <f>IF(Y386="",VLOOKUP(H386,CLIENTS!$A$1:$O$649,5,FALSE),Y386)</f>
        <v>0</v>
      </c>
      <c r="Y386" s="174">
        <v>0</v>
      </c>
      <c r="Z386" s="173">
        <f>IF(AA386="",VLOOKUP(P386,CLIENTS!$A$1:$O$649,5,FALSE),AA386)</f>
        <v>0</v>
      </c>
      <c r="AA386" s="174">
        <v>0</v>
      </c>
      <c r="AB386" s="173" t="str">
        <f>IF(W386="via USD",IF(K386="EUR",K386&amp;"USD","USD"&amp;K386),IFERROR(VLOOKUP(K386&amp;S386,'FX RATES'!$H$2:$H$20,1,FALSE),S386&amp;K386))</f>
        <v>AEDRUB</v>
      </c>
      <c r="AC386" s="175">
        <f>IF(LEFT(AB386,3)=RIGHT(AB386,3),0,IFERROR(INDEX(CLIENTS!$A$1:$O$649,MATCH(H386,CLIENTS!$A$1:$A$649,0),MATCH(AB386,CLIENTS!$A$1:$O$1,0)),0))</f>
        <v>0</v>
      </c>
      <c r="AD386" s="176">
        <v>20.96</v>
      </c>
      <c r="AE386" s="177">
        <f>IF(W386="CLIENT","",IF(AD386="",AH386+AC386,AD386+AC386))</f>
        <v>20.96</v>
      </c>
      <c r="AF386" s="177" t="str">
        <f>E386&amp;AB386</f>
        <v>46056AEDRUB</v>
      </c>
      <c r="AG386" s="176">
        <v>20.9666</v>
      </c>
      <c r="AH386" s="178">
        <f ca="1">IF(LEFT(AB386,3)=RIGHT(AB386,3),1,VLOOKUP(AB386,'FX RATES'!$H$1:$I$20,2,FALSE))</f>
        <v>20.8843</v>
      </c>
      <c r="AI386" s="178">
        <f>IF(OR(AB386="USDAED",LEFT(AB386,3)=RIGHT(AB386,3)),AH386,IF(LEFT(AB386)="USD",AG386,IF(RIGHT(AB386,3)="USD",1,IFERROR(VLOOKUP(E386&amp;"USD"&amp;RIGHT(AB386,3),$AF:$AG,2,FALSE),VLOOKUP(E386&amp;"USD"&amp;RIGHT(AJ386,3),$AN:$AO,2,FALSE)))))</f>
        <v>77</v>
      </c>
      <c r="AJ386" s="173" t="str">
        <f>IF(W386="via USD",IF(S386="EUR",S386&amp;"USD","USD"&amp;S386),IFERROR(VLOOKUP(K386&amp;S386,'FX RATES'!$H$2:$H$20,1,FALSE),S386&amp;K386))</f>
        <v>AEDRUB</v>
      </c>
      <c r="AK386" s="175">
        <f>IF(LEFT(AJ386,3)=RIGHT(AJ386,3),0,IFERROR(INDEX(CLIENTS!$A$1:$O$649,MATCH(P386,CLIENTS!$A$1:$A$649,0),MATCH(AJ386,CLIENTS!$A$1:$O$1,0)),0))</f>
        <v>0</v>
      </c>
      <c r="AL386" s="176"/>
      <c r="AM386" s="177" t="str">
        <f>IF(W386="VENDOR","",IF(AL386="",AP386+AK386,AL386+AK386))</f>
        <v/>
      </c>
      <c r="AN386" s="177" t="str">
        <f>E386&amp;AJ386</f>
        <v>46056AEDRUB</v>
      </c>
      <c r="AO386" s="176"/>
      <c r="AP386" s="178">
        <f ca="1">IF(LEFT(AJ386,3)=RIGHT(AJ386,3),1,VLOOKUP(AJ386,'FX RATES'!$H$1:$I$20,2,FALSE))</f>
        <v>20.8843</v>
      </c>
      <c r="AQ386" s="178">
        <f>IF(OR(AJ386="USDAED",LEFT(AJ386,3)=RIGHT(AJ386,3)),AP386,IF(LEFT(AJ386)="USD",AO386,IF(RIGHT(AJ386,3)="USD",1,IFERROR(VLOOKUP(E386&amp;"USD"&amp;RIGHT(AJ386,3),$AN:$AO,2,FALSE),VLOOKUP(E386&amp;"USD"&amp;RIGHT(AB386,3),$AF:$AG,2,FALSE)))))</f>
        <v>77</v>
      </c>
      <c r="AR386" s="179">
        <f>-Q386*(1-Z386)/(1+X386)*IF(W386="CLIENT",IF(S386=RIGHT(AJ386,3),1/AM386,AM386),IF(W386="VENDOR",IF(S386=RIGHT(AJ386,3),1/AE386,AE386),AE386^(VLOOKUP(AB386,'FX RATES'!$H$1:$J$26,3,FALSE))/AM386^(VLOOKUP(AJ386,'FX RATES'!$H$1:$J$26,3,FALSE))))</f>
        <v>0</v>
      </c>
      <c r="AS386" s="179">
        <f>-I386*(1+X386)/(1-Z386)*IF(W386="VENDOR",IF(K386=RIGHT(AB386,3),1/AE386,AE386),IF(W386="CLIENT",IF(K386=RIGHT(AB386,3),1/AM386,AM386),AM386^(VLOOKUP(AJ386,'FX RATES'!$H$1:$J$26,3,FALSE))/AE386^(VLOOKUP(AB386,'FX RATES'!$H$1:$J$26,3,FALSE))))</f>
        <v>6428781.011450381</v>
      </c>
      <c r="AT386" s="170">
        <f ca="1">IF(AB386&lt;&gt;AJ386,J386/IF(K386=RIGHT(AB386,3),AE386,1/AE386),IF(S386="USD",J386/IF(K386=RIGHT(AB386,3),IF(W386="CLIENT",AM386,AE386),1/IF(W386="CLIENT",AM386,AE386)),J386*VLOOKUP(K386,'FX RATES'!$E$1:$F$10,2,FALSE)))</f>
        <v>-1756339.5702582751</v>
      </c>
      <c r="AU386" s="170">
        <f ca="1">IF(AB386&lt;&gt;AJ386,R386/IF(S386=RIGHT(AJ386,3),AM386,1/AM386),IF(K386="USD",R386/IF(S386=RIGHT(AJ386,3),IF(W386="CLIENT",AM386,AE386),1/IF(W386="CLIENT",AM386,AE386)),R386*VLOOKUP(S386,'FX RATES'!$E$1:$F$10,2,FALSE)))</f>
        <v>1750471.3313321301</v>
      </c>
      <c r="AV386" s="170">
        <f ca="1">AT386+AU386</f>
        <v>-5868.2389261450153</v>
      </c>
      <c r="AW386" s="169"/>
      <c r="AX386" s="170">
        <f ca="1">IF(AND(ISERROR(SEARCH("INVOICE",T386)),ISERROR(SEARCH("SWITCH",T386)),ISERROR(SEARCH("FOREX",T386)),ISERROR(SEARCH("REFUND",A386)),ISERROR(SEARCH("CANCELLED",A386))),IF(AW386="",-AT386*X386+AU386*Z386,AW386),0)</f>
        <v>0</v>
      </c>
      <c r="AY386" s="170">
        <f>IF(AZ386="USD",AT386,IF(AZ386=K386,J386,-R386))</f>
        <v>-6428781.011450381</v>
      </c>
      <c r="AZ386" s="170" t="str">
        <f>LEFT(AB386,3)</f>
        <v>AED</v>
      </c>
      <c r="BA386" s="542">
        <f>IF(OR(A386="REFUND",A386="CANCELLED"),0,IFERROR((IF(OR(AB386="USDAED",LEFT(AB386,3)=RIGHT(AB386,3)),AI386,AG386)-AE386)*-AY386*VLOOKUP(AB386,'FX RATES'!$H$1:$J$26,3,FALSE),0))</f>
        <v>42429.954675564986</v>
      </c>
      <c r="BB386" s="170" t="str">
        <f>RIGHT(AB386,3)</f>
        <v>RUB</v>
      </c>
      <c r="BC386" s="542">
        <f>IF(BA386=0,0,IFERROR(BA386/IF(BB386&lt;&gt;"USD",AI386,1),"???"))</f>
        <v>551.03837240993494</v>
      </c>
      <c r="BD386" s="170">
        <f>IFERROR(-AC386/(IF(OR(AB386="USDAED",LEFT(AB386,3)=RIGHT(AB386,3)),AH386,AG386)-AE386)*BC386,0)</f>
        <v>0</v>
      </c>
      <c r="BE386" s="542">
        <f>BC386-BD386</f>
        <v>551.03837240993494</v>
      </c>
      <c r="BF386" s="170">
        <f>IF(BG386="USD",AU386,IF(BG386=S386,R386,-J386))</f>
        <v>6428781.011450381</v>
      </c>
      <c r="BG386" s="170" t="str">
        <f>LEFT(AJ386,3)</f>
        <v>AED</v>
      </c>
      <c r="BH386" s="542">
        <f>IF(OR(A386="REFUND",A386="CANCELLED"),0,IFERROR((IF(OR(AJ386="USDAED",LEFT(AJ386,3)=RIGHT(AJ386,3)),AQ386,AO386)-AM386)*-BF386*VLOOKUP(AJ386,'FX RATES'!$H$1:$J$26,3,FALSE),0))</f>
        <v>0</v>
      </c>
      <c r="BI386" s="170" t="str">
        <f>RIGHT(AJ386,3)</f>
        <v>RUB</v>
      </c>
      <c r="BJ386" s="542">
        <f>IF(BH386=0,0,IFERROR(BH386/IF(BI386&lt;&gt;"USD",AQ386,1),"???"))</f>
        <v>0</v>
      </c>
      <c r="BK386" s="170">
        <f>IFERROR(-AK386/(IF(OR(AJ386="USDAED",LEFT(AJ386,3)=RIGHT(AJ386,3)),AP386,AO386)-AM386)*BJ386,0)</f>
        <v>0</v>
      </c>
      <c r="BL386" s="542">
        <f>BJ386-BK386</f>
        <v>0</v>
      </c>
      <c r="BM386" s="170">
        <f>IF(AND(ISERROR(SEARCH("REFUND",A386)),ISERROR(SEARCH("CANCELLED",A386))),BD386+BK386,0)</f>
        <v>0</v>
      </c>
      <c r="BN386" s="542">
        <f>IF(AND(ISERROR(SEARCH("REFUND",A386)),ISERROR(SEARCH("CANCELLED",A386))),BE386+BL386,0)</f>
        <v>551.03837240993494</v>
      </c>
    </row>
    <row r="387" spans="1:66" ht="19.5" customHeight="1">
      <c r="A387" s="167"/>
      <c r="B387" s="182"/>
      <c r="C387" s="182"/>
      <c r="D387" s="182"/>
      <c r="E387" s="184"/>
      <c r="F387" s="184"/>
      <c r="G387" s="182"/>
      <c r="H387" s="182"/>
      <c r="I387" s="170"/>
      <c r="J387" s="170"/>
      <c r="K387" s="182"/>
      <c r="L387" s="184"/>
      <c r="M387" s="182"/>
      <c r="O387" s="182"/>
      <c r="P387" s="444"/>
      <c r="Q387" s="170"/>
      <c r="R387" s="170"/>
      <c r="S387" s="182"/>
      <c r="T387" s="184"/>
      <c r="U387" s="182"/>
      <c r="X387" s="173"/>
      <c r="Y387" s="173"/>
      <c r="Z387" s="173"/>
      <c r="AA387" s="173"/>
      <c r="AB387" s="173"/>
      <c r="AC387" s="175"/>
      <c r="AD387" s="177"/>
      <c r="AE387" s="177"/>
      <c r="AF387" s="177"/>
      <c r="AG387" s="177"/>
      <c r="AH387" s="178"/>
      <c r="AI387" s="178"/>
      <c r="AJ387" s="173"/>
      <c r="AK387" s="175"/>
      <c r="AL387" s="177"/>
      <c r="AM387" s="177"/>
      <c r="AN387" s="177"/>
      <c r="AO387" s="177"/>
      <c r="AP387" s="178"/>
      <c r="AQ387" s="178"/>
      <c r="AR387" s="185"/>
      <c r="AS387" s="185"/>
      <c r="AT387" s="170"/>
      <c r="AU387" s="170"/>
      <c r="AV387" s="170"/>
      <c r="AW387" s="170"/>
      <c r="AX387" s="170"/>
      <c r="AY387" s="170"/>
      <c r="AZ387" s="170"/>
      <c r="BA387" s="542"/>
      <c r="BB387" s="170"/>
      <c r="BC387" s="542"/>
      <c r="BD387" s="170"/>
      <c r="BE387" s="542"/>
      <c r="BF387" s="170"/>
      <c r="BG387" s="170"/>
      <c r="BH387" s="542"/>
      <c r="BI387" s="170"/>
      <c r="BJ387" s="542"/>
      <c r="BK387" s="170"/>
      <c r="BL387" s="542"/>
      <c r="BM387" s="170"/>
      <c r="BN387" s="542"/>
    </row>
    <row r="388" spans="1:66" ht="19.5" customHeight="1">
      <c r="A388" s="167" t="s">
        <v>366</v>
      </c>
      <c r="B388" s="168" t="s">
        <v>39</v>
      </c>
      <c r="C388" s="168" t="s">
        <v>367</v>
      </c>
      <c r="D388" s="168" t="s">
        <v>368</v>
      </c>
      <c r="E388" s="171">
        <v>46056</v>
      </c>
      <c r="F388" s="171"/>
      <c r="G388" s="168" t="s">
        <v>39</v>
      </c>
      <c r="H388" s="168" t="s">
        <v>544</v>
      </c>
      <c r="I388" s="169">
        <v>-200000</v>
      </c>
      <c r="J388" s="170">
        <f>IF(I388="",AR388,I388)</f>
        <v>-200000</v>
      </c>
      <c r="K388" s="168" t="s">
        <v>5</v>
      </c>
      <c r="L388" s="171" t="s">
        <v>462</v>
      </c>
      <c r="M388" s="168" t="s">
        <v>20</v>
      </c>
      <c r="N388" s="167" t="s">
        <v>371</v>
      </c>
      <c r="O388" s="168" t="s">
        <v>39</v>
      </c>
      <c r="P388" s="168" t="s">
        <v>463</v>
      </c>
      <c r="Q388" s="169"/>
      <c r="R388" s="170">
        <f>IF(Q388="",AS388,Q388)</f>
        <v>15579797.979797982</v>
      </c>
      <c r="S388" s="168" t="s">
        <v>9</v>
      </c>
      <c r="T388" s="171" t="s">
        <v>464</v>
      </c>
      <c r="U388" s="168" t="s">
        <v>374</v>
      </c>
      <c r="V388" s="167" t="s">
        <v>371</v>
      </c>
      <c r="W388" s="172" t="s">
        <v>375</v>
      </c>
      <c r="X388" s="173">
        <f>IF(Y388="",VLOOKUP(H388,CLIENTS!$A$1:$O$649,5,FALSE),Y388)</f>
        <v>0</v>
      </c>
      <c r="Y388" s="174">
        <v>0</v>
      </c>
      <c r="Z388" s="173">
        <f>IF(AA388="",VLOOKUP(P388,CLIENTS!$A$1:$O$649,5,FALSE),AA388)</f>
        <v>0.01</v>
      </c>
      <c r="AA388" s="174">
        <v>0.01</v>
      </c>
      <c r="AB388" s="173" t="str">
        <f>IF(W388="via USD",IF(K388="EUR",K388&amp;"USD","USD"&amp;K388),IFERROR(VLOOKUP(K388&amp;S388,'FX RATES'!$H$2:$H$20,1,FALSE),S388&amp;K388))</f>
        <v>USDUSD</v>
      </c>
      <c r="AC388" s="175">
        <f>IF(LEFT(AB388,3)=RIGHT(AB388,3),0,IFERROR(INDEX(CLIENTS!$A$1:$O$649,MATCH(H388,CLIENTS!$A$1:$A$649,0),MATCH(AB388,CLIENTS!$A$1:$O$1,0)),0))</f>
        <v>0</v>
      </c>
      <c r="AD388" s="176"/>
      <c r="AE388" s="177">
        <f>IF(W388="CLIENT","",IF(AD388="",AH388+AC388,AD388+AC388))</f>
        <v>1</v>
      </c>
      <c r="AF388" s="177" t="str">
        <f>E388&amp;AB388</f>
        <v>46056USDUSD</v>
      </c>
      <c r="AG388" s="176"/>
      <c r="AH388" s="178">
        <f>IF(LEFT(AB388,3)=RIGHT(AB388,3),1,VLOOKUP(AB388,'FX RATES'!$H$1:$I$20,2,FALSE))</f>
        <v>1</v>
      </c>
      <c r="AI388" s="178">
        <f>IF(OR(AB388="USDAED",LEFT(AB388,3)=RIGHT(AB388,3)),AH388,IF(LEFT(AB388)="USD",AG388,IF(RIGHT(AB388,3)="USD",1,IFERROR(VLOOKUP(E388&amp;"USD"&amp;RIGHT(AB388,3),$AF:$AG,2,FALSE),VLOOKUP(E388&amp;"USD"&amp;RIGHT(AJ388,3),$AN:$AO,2,FALSE)))))</f>
        <v>1</v>
      </c>
      <c r="AJ388" s="173" t="str">
        <f>IF(W388="via USD",IF(S388="EUR",S388&amp;"USD","USD"&amp;S388),IFERROR(VLOOKUP(K388&amp;S388,'FX RATES'!$H$2:$H$20,1,FALSE),S388&amp;K388))</f>
        <v>USDRUB</v>
      </c>
      <c r="AK388" s="175">
        <f>IF(LEFT(AJ388,3)=RIGHT(AJ388,3),0,IFERROR(INDEX(CLIENTS!$A$1:$O$649,MATCH(P388,CLIENTS!$A$1:$A$649,0),MATCH(AJ388,CLIENTS!$A$1:$O$1,0)),0))</f>
        <v>0</v>
      </c>
      <c r="AL388" s="176">
        <v>77.12</v>
      </c>
      <c r="AM388" s="177">
        <f>IF(W388="VENDOR","",IF(AL388="",AP388+AK388,AL388+AK388))</f>
        <v>77.12</v>
      </c>
      <c r="AN388" s="177" t="str">
        <f>E388&amp;AJ388</f>
        <v>46056USDRUB</v>
      </c>
      <c r="AO388" s="176">
        <v>77</v>
      </c>
      <c r="AP388" s="178">
        <f ca="1">IF(LEFT(AJ388,3)=RIGHT(AJ388,3),1,VLOOKUP(AJ388,'FX RATES'!$H$1:$I$20,2,FALSE))</f>
        <v>76.720500000000001</v>
      </c>
      <c r="AQ388" s="178">
        <f>IF(OR(AJ388="USDAED",LEFT(AJ388,3)=RIGHT(AJ388,3)),AP388,IF(LEFT(AJ388)="USD",AO388,IF(RIGHT(AJ388,3)="USD",1,IFERROR(VLOOKUP(E388&amp;"USD"&amp;RIGHT(AJ388,3),$AN:$AO,2,FALSE),VLOOKUP(E388&amp;"USD"&amp;RIGHT(AB388,3),$AF:$AG,2,FALSE)))))</f>
        <v>77</v>
      </c>
      <c r="AR388" s="179">
        <f>-Q388*(1-Z388)/(1+X388)*IF(W388="CLIENT",IF(S388=RIGHT(AJ388,3),1/AM388,AM388),IF(W388="VENDOR",IF(S388=RIGHT(AJ388,3),1/AE388,AE388),AE388^(VLOOKUP(AB388,'FX RATES'!$H$1:$J$26,3,FALSE))/AM388^(VLOOKUP(AJ388,'FX RATES'!$H$1:$J$26,3,FALSE))))</f>
        <v>0</v>
      </c>
      <c r="AS388" s="179">
        <f>-I388*(1+X388)/(1-Z388)*IF(W388="VENDOR",IF(K388=RIGHT(AB388,3),1/AE388,AE388),IF(W388="CLIENT",IF(K388=RIGHT(AB388,3),1/AM388,AM388),AM388^(VLOOKUP(AJ388,'FX RATES'!$H$1:$J$26,3,FALSE))/AE388^(VLOOKUP(AB388,'FX RATES'!$H$1:$J$26,3,FALSE))))</f>
        <v>15579797.979797982</v>
      </c>
      <c r="AT388" s="170">
        <f>IF(AB388&lt;&gt;AJ388,J388/IF(K388=RIGHT(AB388,3),AE388,1/AE388),IF(S388="USD",J388/IF(K388=RIGHT(AB388,3),IF(W388="CLIENT",AM388,AE388),1/IF(W388="CLIENT",AM388,AE388)),J388*VLOOKUP(K388,'FX RATES'!$E$1:$F$10,2,FALSE)))</f>
        <v>-200000</v>
      </c>
      <c r="AU388" s="170">
        <f>IF(AB388&lt;&gt;AJ388,R388/IF(S388=RIGHT(AJ388,3),AM388,1/AM388),IF(K388="USD",R388/IF(S388=RIGHT(AJ388,3),IF(W388="CLIENT",AM388,AE388),1/IF(W388="CLIENT",AM388,AE388)),R388*VLOOKUP(S388,'FX RATES'!$E$1:$F$10,2,FALSE)))</f>
        <v>202020.20202020204</v>
      </c>
      <c r="AV388" s="170">
        <f>AT388+AU388</f>
        <v>2020.2020202020358</v>
      </c>
      <c r="AW388" s="169"/>
      <c r="AX388" s="170">
        <f>IF(AND(ISERROR(SEARCH("INVOICE",T388)),ISERROR(SEARCH("SWITCH",T388)),ISERROR(SEARCH("FOREX",T388)),ISERROR(SEARCH("REFUND",A388)),ISERROR(SEARCH("CANCELLED",A388))),IF(AW388="",-AT388*X388+AU388*Z388,AW388),0)</f>
        <v>2020.2020202020203</v>
      </c>
      <c r="AY388" s="170">
        <f>IF(AZ388="USD",AT388,IF(AZ388=K388,J388,-R388))</f>
        <v>-200000</v>
      </c>
      <c r="AZ388" s="170" t="str">
        <f>LEFT(AB388,3)</f>
        <v>USD</v>
      </c>
      <c r="BA388" s="542">
        <f>IF(OR(A388="REFUND",A388="CANCELLED"),0,IFERROR((IF(OR(AB388="USDAED",LEFT(AB388,3)=RIGHT(AB388,3)),AI388,AG388)-AE388)*-AY388*VLOOKUP(AB388,'FX RATES'!$H$1:$J$26,3,FALSE),0))</f>
        <v>0</v>
      </c>
      <c r="BB388" s="170" t="str">
        <f>RIGHT(AB388,3)</f>
        <v>USD</v>
      </c>
      <c r="BC388" s="542">
        <f>IF(BA388=0,0,IFERROR(BA388/IF(BB388&lt;&gt;"USD",AI388,1),"???"))</f>
        <v>0</v>
      </c>
      <c r="BD388" s="170">
        <f>IFERROR(-AC388/(IF(OR(AB388="USDAED",LEFT(AB388,3)=RIGHT(AB388,3)),AH388,AG388)-AE388)*BC388,0)</f>
        <v>0</v>
      </c>
      <c r="BE388" s="542">
        <f>BC388-BD388</f>
        <v>0</v>
      </c>
      <c r="BF388" s="170">
        <f>IF(BG388="USD",AU388,IF(BG388=S388,R388,-J388))</f>
        <v>202020.20202020204</v>
      </c>
      <c r="BG388" s="170" t="str">
        <f>LEFT(AJ388,3)</f>
        <v>USD</v>
      </c>
      <c r="BH388" s="542">
        <f>IF(OR(A388="REFUND",A388="CANCELLED"),0,IFERROR((IF(OR(AJ388="USDAED",LEFT(AJ388,3)=RIGHT(AJ388,3)),AQ388,AO388)-AM388)*-BF388*VLOOKUP(AJ388,'FX RATES'!$H$1:$J$26,3,FALSE),0))</f>
        <v>24242.424242425164</v>
      </c>
      <c r="BI388" s="170" t="str">
        <f>RIGHT(AJ388,3)</f>
        <v>RUB</v>
      </c>
      <c r="BJ388" s="542">
        <f>IF(BH388=0,0,IFERROR(BH388/IF(BI388&lt;&gt;"USD",AQ388,1),"???"))</f>
        <v>314.83667847305406</v>
      </c>
      <c r="BK388" s="170">
        <f>IFERROR(-AK388/(IF(OR(AJ388="USDAED",LEFT(AJ388,3)=RIGHT(AJ388,3)),AP388,AO388)-AM388)*BJ388,0)</f>
        <v>0</v>
      </c>
      <c r="BL388" s="542">
        <f>BJ388-BK388</f>
        <v>314.83667847305406</v>
      </c>
      <c r="BM388" s="170">
        <f>IF(AND(ISERROR(SEARCH("REFUND",A388)),ISERROR(SEARCH("CANCELLED",A388))),BD388+BK388,0)</f>
        <v>0</v>
      </c>
      <c r="BN388" s="542">
        <f>IF(AND(ISERROR(SEARCH("REFUND",A388)),ISERROR(SEARCH("CANCELLED",A388))),BE388+BL388,0)</f>
        <v>314.83667847305406</v>
      </c>
    </row>
    <row r="389" spans="1:66" ht="19.5" customHeight="1">
      <c r="A389" s="167" t="s">
        <v>366</v>
      </c>
      <c r="B389" s="168" t="s">
        <v>39</v>
      </c>
      <c r="C389" s="168" t="s">
        <v>367</v>
      </c>
      <c r="D389" s="168" t="s">
        <v>368</v>
      </c>
      <c r="E389" s="171">
        <v>46056</v>
      </c>
      <c r="F389" s="171"/>
      <c r="G389" s="168" t="s">
        <v>39</v>
      </c>
      <c r="H389" s="168" t="s">
        <v>578</v>
      </c>
      <c r="I389" s="169"/>
      <c r="J389" s="170">
        <f>IF(I389="",AR389,I389)</f>
        <v>-556980.65976714098</v>
      </c>
      <c r="K389" s="168" t="s">
        <v>8</v>
      </c>
      <c r="L389" s="168" t="s">
        <v>16</v>
      </c>
      <c r="M389" s="168" t="s">
        <v>17</v>
      </c>
      <c r="N389" s="167" t="s">
        <v>371</v>
      </c>
      <c r="O389" s="168" t="s">
        <v>39</v>
      </c>
      <c r="P389" s="168" t="s">
        <v>578</v>
      </c>
      <c r="Q389" s="169">
        <v>11850000</v>
      </c>
      <c r="R389" s="202">
        <f>IF(Q389="",AS389,Q389)</f>
        <v>11850000</v>
      </c>
      <c r="S389" s="168" t="s">
        <v>9</v>
      </c>
      <c r="T389" s="171" t="s">
        <v>579</v>
      </c>
      <c r="U389" s="168" t="s">
        <v>374</v>
      </c>
      <c r="V389" s="167" t="s">
        <v>371</v>
      </c>
      <c r="W389" s="172" t="s">
        <v>375</v>
      </c>
      <c r="X389" s="173">
        <f>IF(Y389="",VLOOKUP(H389,CLIENTS!$A$1:$O$649,5,FALSE),Y389)</f>
        <v>0</v>
      </c>
      <c r="Y389" s="174">
        <v>0</v>
      </c>
      <c r="Z389" s="173">
        <f>IF(AA389="",VLOOKUP(P389,CLIENTS!$A$1:$O$649,5,FALSE),AA389)</f>
        <v>0.01</v>
      </c>
      <c r="AA389" s="174">
        <v>0.01</v>
      </c>
      <c r="AB389" s="173" t="str">
        <f>IF(W389="via USD",IF(K389="EUR",K389&amp;"USD","USD"&amp;K389),IFERROR(VLOOKUP(K389&amp;S389,'FX RATES'!$H$2:$H$20,1,FALSE),S389&amp;K389))</f>
        <v>USDAED</v>
      </c>
      <c r="AC389" s="175">
        <f>IF(LEFT(AB389,3)=RIGHT(AB389,3),0,IFERROR(INDEX(CLIENTS!$A$1:$O$649,MATCH(H389,CLIENTS!$A$1:$A$649,0),MATCH(AB389,CLIENTS!$A$1:$O$1,0)),0))+0.001</f>
        <v>0</v>
      </c>
      <c r="AD389" s="176">
        <v>3.67</v>
      </c>
      <c r="AE389" s="177">
        <f>IF(W389="CLIENT","",IF(AD389="",AH389+AC389,AD389+AC389))</f>
        <v>3.67</v>
      </c>
      <c r="AF389" s="177" t="str">
        <f>E389&amp;AB389</f>
        <v>46056USDAED</v>
      </c>
      <c r="AG389" s="176"/>
      <c r="AH389" s="178">
        <f>IF(LEFT(AB389,3)=RIGHT(AB389,3),1,VLOOKUP(AB389,'FX RATES'!$H$1:$I$20,2,FALSE))</f>
        <v>3.6724999999999999</v>
      </c>
      <c r="AI389" s="178">
        <f>IF(OR(AB389="USDAED",LEFT(AB389,3)=RIGHT(AB389,3)),AH389,IF(LEFT(AB389)="USD",AG389,IF(RIGHT(AB389,3)="USD",1,IFERROR(VLOOKUP(E389&amp;"USD"&amp;RIGHT(AB389,3),$AF:$AG,2,FALSE),VLOOKUP(E389&amp;"USD"&amp;RIGHT(AJ389,3),$AN:$AO,2,FALSE)))))</f>
        <v>3.6724999999999999</v>
      </c>
      <c r="AJ389" s="173" t="str">
        <f>IF(W389="via USD",IF(S389="EUR",S389&amp;"USD","USD"&amp;S389),IFERROR(VLOOKUP(K389&amp;S389,'FX RATES'!$H$2:$H$20,1,FALSE),S389&amp;K389))</f>
        <v>USDRUB</v>
      </c>
      <c r="AK389" s="175">
        <f>IF(LEFT(AJ389,3)=RIGHT(AJ389,3),0,IFERROR(INDEX(CLIENTS!$A$1:$O$649,MATCH(P389,CLIENTS!$A$1:$A$649,0),MATCH(AJ389,CLIENTS!$A$1:$O$1,0)),0))</f>
        <v>0</v>
      </c>
      <c r="AL389" s="176">
        <v>77.3</v>
      </c>
      <c r="AM389" s="177">
        <f>IF(W389="VENDOR","",IF(AL389="",AP389+AK389,AL389+AK389))</f>
        <v>77.3</v>
      </c>
      <c r="AN389" s="177" t="str">
        <f>E389&amp;AJ389</f>
        <v>46056USDRUB</v>
      </c>
      <c r="AO389" s="176">
        <v>77</v>
      </c>
      <c r="AP389" s="178">
        <f ca="1">IF(LEFT(AJ389,3)=RIGHT(AJ389,3),1,VLOOKUP(AJ389,'FX RATES'!$H$1:$I$20,2,FALSE))</f>
        <v>76.720500000000001</v>
      </c>
      <c r="AQ389" s="178">
        <f>IF(OR(AJ389="USDAED",LEFT(AJ389,3)=RIGHT(AJ389,3)),AP389,IF(LEFT(AJ389)="USD",AO389,IF(RIGHT(AJ389,3)="USD",1,IFERROR(VLOOKUP(E389&amp;"USD"&amp;RIGHT(AJ389,3),$AN:$AO,2,FALSE),VLOOKUP(E389&amp;"USD"&amp;RIGHT(AB389,3),$AF:$AG,2,FALSE)))))</f>
        <v>77</v>
      </c>
      <c r="AR389" s="179">
        <f>-Q389*(1-Z389)/(1+X389)*IF(W389="CLIENT",IF(S389=RIGHT(AJ389,3),1/AM389,AM389),IF(W389="VENDOR",IF(S389=RIGHT(AJ389,3),1/AE389,AE389),AE389^(VLOOKUP(AB389,'FX RATES'!$H$1:$J$26,3,FALSE))/AM389^(VLOOKUP(AJ389,'FX RATES'!$H$1:$J$26,3,FALSE))))</f>
        <v>-556980.65976714098</v>
      </c>
      <c r="AS389" s="179">
        <f>-I389*(1+X389)/(1-Z389)*IF(W389="VENDOR",IF(K389=RIGHT(AB389,3),1/AE389,AE389),IF(W389="CLIENT",IF(K389=RIGHT(AB389,3),1/AM389,AM389),AM389^(VLOOKUP(AJ389,'FX RATES'!$H$1:$J$26,3,FALSE))/AE389^(VLOOKUP(AB389,'FX RATES'!$H$1:$J$26,3,FALSE))))</f>
        <v>0</v>
      </c>
      <c r="AT389" s="170">
        <f>IF(AB389&lt;&gt;AJ389,J389/IF(K389=RIGHT(AB389,3),AE389,1/AE389),IF(S389="USD",J389/IF(K389=RIGHT(AB389,3),IF(W389="CLIENT",AM389,AE389),1/IF(W389="CLIENT",AM389,AE389)),J389*VLOOKUP(K389,'FX RATES'!$E$1:$F$10,2,FALSE)))</f>
        <v>-151765.84734799483</v>
      </c>
      <c r="AU389" s="170">
        <f>IF(AB389&lt;&gt;AJ389,R389/IF(S389=RIGHT(AJ389,3),AM389,1/AM389),IF(K389="USD",R389/IF(S389=RIGHT(AJ389,3),IF(W389="CLIENT",AM389,AE389),1/IF(W389="CLIENT",AM389,AE389)),R389*VLOOKUP(S389,'FX RATES'!$E$1:$F$10,2,FALSE)))</f>
        <v>153298.83570504529</v>
      </c>
      <c r="AV389" s="170">
        <f>AT389+AU389</f>
        <v>1532.9883570504608</v>
      </c>
      <c r="AW389" s="169"/>
      <c r="AX389" s="170">
        <f>IF(AND(ISERROR(SEARCH("INVOICE",T389)),ISERROR(SEARCH("SWITCH",T389)),ISERROR(SEARCH("FOREX",T389)),ISERROR(SEARCH("REFUND",A389)),ISERROR(SEARCH("CANCELLED",A389))),IF(AW389="",-AT389*X389+AU389*Z389,AW389),0)</f>
        <v>1532.988357050453</v>
      </c>
      <c r="AY389" s="170">
        <f>IF(AZ389="USD",AT389,IF(AZ389=K389,J389,-R389))</f>
        <v>-151765.84734799483</v>
      </c>
      <c r="AZ389" s="170" t="str">
        <f>LEFT(AB389,3)</f>
        <v>USD</v>
      </c>
      <c r="BA389" s="542">
        <f>IF(OR(A389="REFUND",A389="CANCELLED"),0,IFERROR((IF(OR(AB389="USDAED",LEFT(AB389,3)=RIGHT(AB389,3)),AI389,AG389)-AE389)*-AY389*VLOOKUP(AB389,'FX RATES'!$H$1:$J$26,3,FALSE),0))</f>
        <v>379.414618369979</v>
      </c>
      <c r="BB389" s="170" t="str">
        <f>RIGHT(AB389,3)</f>
        <v>AED</v>
      </c>
      <c r="BC389" s="542">
        <f>IF(BA389=0,0,IFERROR(BA389/IF(BB389&lt;&gt;"USD",AI389,1),"???"))</f>
        <v>103.31235353845582</v>
      </c>
      <c r="BD389" s="170">
        <f>IFERROR(-AC389/(IF(OR(AB389="USDAED",LEFT(AB389,3)=RIGHT(AB389,3)),AH389,AG389)-AE389)*BC389,0)</f>
        <v>0</v>
      </c>
      <c r="BE389" s="542">
        <f>BC389-BD389</f>
        <v>103.31235353845582</v>
      </c>
      <c r="BF389" s="170">
        <f>IF(BG389="USD",AU389,IF(BG389=S389,R389,-J389))</f>
        <v>153298.83570504529</v>
      </c>
      <c r="BG389" s="170" t="str">
        <f>LEFT(AJ389,3)</f>
        <v>USD</v>
      </c>
      <c r="BH389" s="542">
        <f>IF(OR(A389="REFUND",A389="CANCELLED"),0,IFERROR((IF(OR(AJ389="USDAED",LEFT(AJ389,3)=RIGHT(AJ389,3)),AQ389,AO389)-AM389)*-BF389*VLOOKUP(AJ389,'FX RATES'!$H$1:$J$26,3,FALSE),0))</f>
        <v>45989.650711513154</v>
      </c>
      <c r="BI389" s="170" t="str">
        <f>RIGHT(AJ389,3)</f>
        <v>RUB</v>
      </c>
      <c r="BJ389" s="542">
        <f>IF(BH389=0,0,IFERROR(BH389/IF(BI389&lt;&gt;"USD",AQ389,1),"???"))</f>
        <v>597.26819105861239</v>
      </c>
      <c r="BK389" s="170">
        <f>IFERROR(-AK389/(IF(OR(AJ389="USDAED",LEFT(AJ389,3)=RIGHT(AJ389,3)),AP389,AO389)-AM389)*BJ389,0)</f>
        <v>0</v>
      </c>
      <c r="BL389" s="542">
        <f>BJ389-BK389</f>
        <v>597.26819105861239</v>
      </c>
      <c r="BM389" s="170">
        <f>IF(AND(ISERROR(SEARCH("REFUND",A389)),ISERROR(SEARCH("CANCELLED",A389))),BD389+BK389,0)</f>
        <v>0</v>
      </c>
      <c r="BN389" s="542">
        <f>IF(AND(ISERROR(SEARCH("REFUND",A389)),ISERROR(SEARCH("CANCELLED",A389))),BE389+BL389,0)</f>
        <v>700.58054459706818</v>
      </c>
    </row>
    <row r="390" spans="1:66" ht="19.5" customHeight="1">
      <c r="A390" s="167" t="s">
        <v>366</v>
      </c>
      <c r="B390" s="168" t="s">
        <v>39</v>
      </c>
      <c r="C390" s="168" t="s">
        <v>383</v>
      </c>
      <c r="D390" s="168" t="s">
        <v>128</v>
      </c>
      <c r="E390" s="171">
        <v>46056</v>
      </c>
      <c r="F390" s="171"/>
      <c r="G390" s="168" t="s">
        <v>39</v>
      </c>
      <c r="H390" s="168" t="s">
        <v>384</v>
      </c>
      <c r="I390" s="169">
        <v>-27429000</v>
      </c>
      <c r="J390" s="170">
        <f>IF(I390="",AR390,I390)</f>
        <v>-27429000</v>
      </c>
      <c r="K390" s="168" t="s">
        <v>9</v>
      </c>
      <c r="L390" s="171" t="s">
        <v>374</v>
      </c>
      <c r="M390" s="168" t="s">
        <v>374</v>
      </c>
      <c r="N390" s="167" t="s">
        <v>371</v>
      </c>
      <c r="O390" s="168" t="s">
        <v>39</v>
      </c>
      <c r="P390" s="349" t="s">
        <v>384</v>
      </c>
      <c r="Q390" s="169"/>
      <c r="R390" s="170">
        <f>IF(Q390="",AS390,Q390)</f>
        <v>1307387.9885605338</v>
      </c>
      <c r="S390" s="168" t="s">
        <v>8</v>
      </c>
      <c r="T390" s="171" t="s">
        <v>385</v>
      </c>
      <c r="U390" s="168" t="s">
        <v>20</v>
      </c>
      <c r="V390" s="167" t="s">
        <v>371</v>
      </c>
      <c r="W390" s="172" t="s">
        <v>382</v>
      </c>
      <c r="X390" s="173">
        <f>IF(Y390="",VLOOKUP(H390,CLIENTS!$A$1:$O$649,5,FALSE),Y390)</f>
        <v>0</v>
      </c>
      <c r="Y390" s="174">
        <v>0</v>
      </c>
      <c r="Z390" s="173">
        <f>IF(AA390="",VLOOKUP(P390,CLIENTS!$A$1:$O$649,5,FALSE),AA390)</f>
        <v>0</v>
      </c>
      <c r="AA390" s="174">
        <v>0</v>
      </c>
      <c r="AB390" s="173" t="str">
        <f>IF(W390="via USD",IF(K390="EUR",K390&amp;"USD","USD"&amp;K390),IFERROR(VLOOKUP(K390&amp;S390,'FX RATES'!$H$2:$H$20,1,FALSE),S390&amp;K390))</f>
        <v>AEDRUB</v>
      </c>
      <c r="AC390" s="175">
        <f>IF(LEFT(AB390,3)=RIGHT(AB390,3),0,IFERROR(INDEX(CLIENTS!$A$1:$O$649,MATCH(H390,CLIENTS!$A$1:$A$649,0),MATCH(AB390,CLIENTS!$A$1:$O$1,0)),0))</f>
        <v>0</v>
      </c>
      <c r="AD390" s="176">
        <v>20.98</v>
      </c>
      <c r="AE390" s="177">
        <f>IF(W390="CLIENT","",IF(AD390="",AH390+AC390,AD390+AC390))</f>
        <v>20.98</v>
      </c>
      <c r="AF390" s="177" t="str">
        <f>E390&amp;AB390</f>
        <v>46056AEDRUB</v>
      </c>
      <c r="AG390" s="176">
        <v>20.9666</v>
      </c>
      <c r="AH390" s="178">
        <f ca="1">IF(LEFT(AB390,3)=RIGHT(AB390,3),1,VLOOKUP(AB390,'FX RATES'!$H$1:$I$20,2,FALSE))</f>
        <v>20.8843</v>
      </c>
      <c r="AI390" s="178">
        <f>IF(OR(AB390="USDAED",LEFT(AB390,3)=RIGHT(AB390,3)),AH390,IF(LEFT(AB390)="USD",AG390,IF(RIGHT(AB390,3)="USD",1,IFERROR(VLOOKUP(E390&amp;"USD"&amp;RIGHT(AB390,3),$AF:$AG,2,FALSE),VLOOKUP(E390&amp;"USD"&amp;RIGHT(AJ390,3),$AN:$AO,2,FALSE)))))</f>
        <v>77</v>
      </c>
      <c r="AJ390" s="173" t="str">
        <f>IF(W390="via USD",IF(S390="EUR",S390&amp;"USD","USD"&amp;S390),IFERROR(VLOOKUP(K390&amp;S390,'FX RATES'!$H$2:$H$20,1,FALSE),S390&amp;K390))</f>
        <v>AEDRUB</v>
      </c>
      <c r="AK390" s="175">
        <f>IF(LEFT(AJ390,3)=RIGHT(AJ390,3),0,IFERROR(INDEX(CLIENTS!$A$1:$O$649,MATCH(P390,CLIENTS!$A$1:$A$649,0),MATCH(AJ390,CLIENTS!$A$1:$O$1,0)),0))</f>
        <v>0</v>
      </c>
      <c r="AL390" s="176"/>
      <c r="AM390" s="177" t="str">
        <f>IF(W390="VENDOR","",IF(AL390="",AP390+AK390,AL390+AK390))</f>
        <v/>
      </c>
      <c r="AN390" s="177" t="str">
        <f>E390&amp;AJ390</f>
        <v>46056AEDRUB</v>
      </c>
      <c r="AO390" s="176"/>
      <c r="AP390" s="178">
        <f ca="1">IF(LEFT(AJ390,3)=RIGHT(AJ390,3),1,VLOOKUP(AJ390,'FX RATES'!$H$1:$I$20,2,FALSE))</f>
        <v>20.8843</v>
      </c>
      <c r="AQ390" s="178">
        <f>IF(OR(AJ390="USDAED",LEFT(AJ390,3)=RIGHT(AJ390,3)),AP390,IF(LEFT(AJ390)="USD",AO390,IF(RIGHT(AJ390,3)="USD",1,IFERROR(VLOOKUP(E390&amp;"USD"&amp;RIGHT(AJ390,3),$AN:$AO,2,FALSE),VLOOKUP(E390&amp;"USD"&amp;RIGHT(AB390,3),$AF:$AG,2,FALSE)))))</f>
        <v>77</v>
      </c>
      <c r="AR390" s="179">
        <f>-Q390*(1-Z390)/(1+X390)*IF(W390="CLIENT",IF(S390=RIGHT(AJ390,3),1/AM390,AM390),IF(W390="VENDOR",IF(S390=RIGHT(AJ390,3),1/AE390,AE390),AE390^(VLOOKUP(AB390,'FX RATES'!$H$1:$J$26,3,FALSE))/AM390^(VLOOKUP(AJ390,'FX RATES'!$H$1:$J$26,3,FALSE))))</f>
        <v>0</v>
      </c>
      <c r="AS390" s="179">
        <f>-I390*(1+X390)/(1-Z390)*IF(W390="VENDOR",IF(K390=RIGHT(AB390,3),1/AE390,AE390),IF(W390="CLIENT",IF(K390=RIGHT(AB390,3),1/AM390,AM390),AM390^(VLOOKUP(AJ390,'FX RATES'!$H$1:$J$26,3,FALSE))/AE390^(VLOOKUP(AB390,'FX RATES'!$H$1:$J$26,3,FALSE))))</f>
        <v>1307387.9885605338</v>
      </c>
      <c r="AT390" s="170">
        <f ca="1">IF(AB390&lt;&gt;AJ390,J390/IF(K390=RIGHT(AB390,3),AE390,1/AE390),IF(S390="USD",J390/IF(K390=RIGHT(AB390,3),IF(W390="CLIENT",AM390,AE390),1/IF(W390="CLIENT",AM390,AE390)),J390*VLOOKUP(K390,'FX RATES'!$E$1:$F$10,2,FALSE)))</f>
        <v>-357518.52503568144</v>
      </c>
      <c r="AU390" s="170">
        <f ca="1">IF(AB390&lt;&gt;AJ390,R390/IF(S390=RIGHT(AJ390,3),AM390,1/AM390),IF(K390="USD",R390/IF(S390=RIGHT(AJ390,3),IF(W390="CLIENT",AM390,AE390),1/IF(W390="CLIENT",AM390,AE390)),R390*VLOOKUP(S390,'FX RATES'!$E$1:$F$10,2,FALSE)))</f>
        <v>355984.3131733741</v>
      </c>
      <c r="AV390" s="170">
        <f ca="1">AT390+AU390</f>
        <v>-1534.2118623073329</v>
      </c>
      <c r="AW390" s="169"/>
      <c r="AX390" s="170">
        <f ca="1">IF(AND(ISERROR(SEARCH("INVOICE",T390)),ISERROR(SEARCH("SWITCH",T390)),ISERROR(SEARCH("FOREX",T390)),ISERROR(SEARCH("REFUND",A390)),ISERROR(SEARCH("CANCELLED",A390))),IF(AW390="",-AT390*X390+AU390*Z390,AW390),0)</f>
        <v>0</v>
      </c>
      <c r="AY390" s="170">
        <f>IF(AZ390="USD",AT390,IF(AZ390=K390,J390,-R390))</f>
        <v>-1307387.9885605338</v>
      </c>
      <c r="AZ390" s="170" t="str">
        <f>LEFT(AB390,3)</f>
        <v>AED</v>
      </c>
      <c r="BA390" s="542">
        <f>IF(OR(A390="REFUND",A390="CANCELLED"),0,IFERROR((IF(OR(AB390="USDAED",LEFT(AB390,3)=RIGHT(AB390,3)),AI390,AG390)-AE390)*-AY390*VLOOKUP(AB390,'FX RATES'!$H$1:$J$26,3,FALSE),0))</f>
        <v>-17518.999046712128</v>
      </c>
      <c r="BB390" s="170" t="str">
        <f>RIGHT(AB390,3)</f>
        <v>RUB</v>
      </c>
      <c r="BC390" s="542">
        <f>IF(BA390=0,0,IFERROR(BA390/IF(BB390&lt;&gt;"USD",AI390,1),"???"))</f>
        <v>-227.51946813911854</v>
      </c>
      <c r="BD390" s="170">
        <f>IFERROR(-AC390/(IF(OR(AB390="USDAED",LEFT(AB390,3)=RIGHT(AB390,3)),AH390,AG390)-AE390)*BC390,0)</f>
        <v>0</v>
      </c>
      <c r="BE390" s="542">
        <f>BC390-BD390</f>
        <v>-227.51946813911854</v>
      </c>
      <c r="BF390" s="170">
        <f>IF(BG390="USD",AU390,IF(BG390=S390,R390,-J390))</f>
        <v>1307387.9885605338</v>
      </c>
      <c r="BG390" s="170" t="str">
        <f>LEFT(AJ390,3)</f>
        <v>AED</v>
      </c>
      <c r="BH390" s="542">
        <f>IF(OR(A390="REFUND",A390="CANCELLED"),0,IFERROR((IF(OR(AJ390="USDAED",LEFT(AJ390,3)=RIGHT(AJ390,3)),AQ390,AO390)-AM390)*-BF390*VLOOKUP(AJ390,'FX RATES'!$H$1:$J$26,3,FALSE),0))</f>
        <v>0</v>
      </c>
      <c r="BI390" s="170" t="str">
        <f>RIGHT(AJ390,3)</f>
        <v>RUB</v>
      </c>
      <c r="BJ390" s="542">
        <f>IF(BH390=0,0,IFERROR(BH390/IF(BI390&lt;&gt;"USD",AQ390,1),"???"))</f>
        <v>0</v>
      </c>
      <c r="BK390" s="170">
        <f>IFERROR(-AK390/(IF(OR(AJ390="USDAED",LEFT(AJ390,3)=RIGHT(AJ390,3)),AP390,AO390)-AM390)*BJ390,0)</f>
        <v>0</v>
      </c>
      <c r="BL390" s="542">
        <f>BJ390-BK390</f>
        <v>0</v>
      </c>
      <c r="BM390" s="170">
        <f>IF(AND(ISERROR(SEARCH("REFUND",A390)),ISERROR(SEARCH("CANCELLED",A390))),BD390+BK390,0)</f>
        <v>0</v>
      </c>
      <c r="BN390" s="542">
        <f>IF(AND(ISERROR(SEARCH("REFUND",A390)),ISERROR(SEARCH("CANCELLED",A390))),BE390+BL390,0)</f>
        <v>-227.51946813911854</v>
      </c>
    </row>
    <row r="391" spans="1:66" ht="19.5" customHeight="1">
      <c r="A391" s="167"/>
      <c r="B391" s="182"/>
      <c r="C391" s="182"/>
      <c r="D391" s="182"/>
      <c r="E391" s="184"/>
      <c r="F391" s="184"/>
      <c r="G391" s="182"/>
      <c r="H391" s="182"/>
      <c r="I391" s="170"/>
      <c r="J391" s="170"/>
      <c r="K391" s="182"/>
      <c r="L391" s="184"/>
      <c r="M391" s="182"/>
      <c r="O391" s="182"/>
      <c r="P391" s="444"/>
      <c r="Q391" s="170"/>
      <c r="R391" s="170"/>
      <c r="S391" s="182"/>
      <c r="T391" s="184"/>
      <c r="U391" s="182"/>
      <c r="X391" s="173"/>
      <c r="Y391" s="173"/>
      <c r="Z391" s="173"/>
      <c r="AA391" s="173"/>
      <c r="AB391" s="173"/>
      <c r="AC391" s="175"/>
      <c r="AD391" s="177"/>
      <c r="AE391" s="177"/>
      <c r="AF391" s="177"/>
      <c r="AG391" s="177"/>
      <c r="AH391" s="178"/>
      <c r="AI391" s="178"/>
      <c r="AJ391" s="173"/>
      <c r="AK391" s="175"/>
      <c r="AL391" s="177"/>
      <c r="AM391" s="177"/>
      <c r="AN391" s="177"/>
      <c r="AO391" s="177"/>
      <c r="AP391" s="178"/>
      <c r="AQ391" s="178"/>
      <c r="AR391" s="185"/>
      <c r="AS391" s="185"/>
      <c r="AT391" s="170"/>
      <c r="AU391" s="170"/>
      <c r="AV391" s="170"/>
      <c r="AW391" s="170"/>
      <c r="AX391" s="170"/>
      <c r="AY391" s="170"/>
      <c r="AZ391" s="170"/>
      <c r="BA391" s="542"/>
      <c r="BB391" s="170"/>
      <c r="BC391" s="542"/>
      <c r="BD391" s="170"/>
      <c r="BE391" s="542"/>
      <c r="BF391" s="170"/>
      <c r="BG391" s="170"/>
      <c r="BH391" s="542"/>
      <c r="BI391" s="170"/>
      <c r="BJ391" s="542"/>
      <c r="BK391" s="170"/>
      <c r="BL391" s="542"/>
      <c r="BM391" s="170"/>
      <c r="BN391" s="542"/>
    </row>
    <row r="392" spans="1:66" ht="19.5" customHeight="1">
      <c r="A392" s="167" t="s">
        <v>366</v>
      </c>
      <c r="B392" s="168" t="s">
        <v>52</v>
      </c>
      <c r="C392" s="168" t="s">
        <v>367</v>
      </c>
      <c r="D392" s="168" t="s">
        <v>368</v>
      </c>
      <c r="E392" s="171">
        <v>46056</v>
      </c>
      <c r="F392" s="171"/>
      <c r="G392" s="168" t="s">
        <v>52</v>
      </c>
      <c r="H392" s="169" t="s">
        <v>550</v>
      </c>
      <c r="I392" s="169">
        <v>-70000</v>
      </c>
      <c r="J392" s="170">
        <f t="shared" ref="J392" si="474">IF(I392="",AR392,I392)</f>
        <v>-70000</v>
      </c>
      <c r="K392" s="168" t="s">
        <v>53</v>
      </c>
      <c r="L392" s="168" t="s">
        <v>420</v>
      </c>
      <c r="M392" s="168" t="s">
        <v>54</v>
      </c>
      <c r="N392" s="167" t="s">
        <v>371</v>
      </c>
      <c r="O392" s="168" t="s">
        <v>52</v>
      </c>
      <c r="P392" s="169" t="s">
        <v>551</v>
      </c>
      <c r="Q392" s="169"/>
      <c r="R392" s="170">
        <f t="shared" ref="R392" si="475">IF(Q392="",AS392,Q392)</f>
        <v>5432000</v>
      </c>
      <c r="S392" s="168" t="s">
        <v>9</v>
      </c>
      <c r="T392" s="168" t="s">
        <v>502</v>
      </c>
      <c r="U392" s="168" t="s">
        <v>374</v>
      </c>
      <c r="V392" s="167" t="s">
        <v>371</v>
      </c>
      <c r="W392" s="172" t="s">
        <v>375</v>
      </c>
      <c r="X392" s="173">
        <f>IF(Y392="",VLOOKUP(H392,CLIENTS!$A$1:$O$649,5,FALSE),Y392)</f>
        <v>0</v>
      </c>
      <c r="Y392" s="174">
        <v>0</v>
      </c>
      <c r="Z392" s="173">
        <f>IF(AA392="",VLOOKUP(P392,CLIENTS!$A$1:$O$649,5,FALSE),AA392)</f>
        <v>0</v>
      </c>
      <c r="AA392" s="174">
        <v>0</v>
      </c>
      <c r="AB392" s="173" t="str">
        <f>IF(W392="via USD",IF(K392="EUR",K392&amp;"USD","USD"&amp;K392),IFERROR(VLOOKUP(K392&amp;S392,'FX RATES'!$H$2:$H$20,1,FALSE),S392&amp;K392))</f>
        <v>USDUSDT</v>
      </c>
      <c r="AC392" s="175">
        <f>IF(LEFT(AB392,3)=RIGHT(AB392,3),0,IFERROR(INDEX(CLIENTS!$A$1:$O$649,MATCH(H392,CLIENTS!$A$1:$A$649,0),MATCH(AB392,CLIENTS!$A$1:$O$1,0)),0))</f>
        <v>0</v>
      </c>
      <c r="AD392" s="176"/>
      <c r="AE392" s="177">
        <f t="shared" ref="AE392" si="476">IF(W392="CLIENT","",IF(AD392="",AH392+AC392,AD392+AC392))</f>
        <v>1</v>
      </c>
      <c r="AF392" s="177" t="str">
        <f t="shared" ref="AF392" si="477">E392&amp;AB392</f>
        <v>46056USDUSDT</v>
      </c>
      <c r="AG392" s="176"/>
      <c r="AH392" s="178">
        <f>IF(LEFT(AB392,3)=RIGHT(AB392,3),1,VLOOKUP(AB392,'FX RATES'!$H$1:$I$50,2,FALSE))</f>
        <v>1</v>
      </c>
      <c r="AI392" s="178">
        <f>IF(OR(AB392="USDAED",LEFT(AB392,3)=RIGHT(AB392,3),AB392="USDUSDT",AB392="USDTUSD"),AH392,IF(LEFT(AB392)="USD",AG392,IF(RIGHT(AB392,3)="USD",1,IFERROR(VLOOKUP(E392&amp;"USD"&amp;RIGHT(AB392,3),$AF:$AG,2,FALSE),VLOOKUP(E392&amp;"USD"&amp;RIGHT(AJ392,3),$AN:$AO,2,FALSE)))))</f>
        <v>1</v>
      </c>
      <c r="AJ392" s="173" t="str">
        <f>IF(W392="via USD",IF(S392="EUR",S392&amp;"USD","USD"&amp;S392),IFERROR(VLOOKUP(K392&amp;S392,'FX RATES'!$H$2:$H$20,1,FALSE),S392&amp;K392))</f>
        <v>USDRUB</v>
      </c>
      <c r="AK392" s="175">
        <f>IF(LEFT(AJ392,3)=RIGHT(AJ392,3),0,IFERROR(INDEX(CLIENTS!$A$1:$O$649,MATCH(P392,CLIENTS!$A$1:$A$649,0),MATCH(AJ392,CLIENTS!$A$1:$O$1,0)),0))</f>
        <v>0</v>
      </c>
      <c r="AL392" s="176">
        <v>77.599999999999994</v>
      </c>
      <c r="AM392" s="177">
        <f t="shared" ref="AM392" si="478">IF(W392="VENDOR","",IF(AL392="",AP392+AK392,AL392+AK392))</f>
        <v>77.599999999999994</v>
      </c>
      <c r="AN392" s="177" t="str">
        <f t="shared" ref="AN392" si="479">E392&amp;AJ392</f>
        <v>46056USDRUB</v>
      </c>
      <c r="AO392" s="176">
        <v>77</v>
      </c>
      <c r="AP392" s="178">
        <f ca="1">IF(LEFT(AJ392,3)=RIGHT(AJ392,3),1,VLOOKUP(AJ392,'FX RATES'!$H$1:$I$20,2,FALSE))</f>
        <v>76.720500000000001</v>
      </c>
      <c r="AQ392" s="178">
        <f>IF(OR(AJ392="USDAED",LEFT(AJ392,3)=RIGHT(AJ392,3)),AP392,IF(LEFT(AJ392)="USD",AO392,IF(RIGHT(AJ392,3)="USD",1,IFERROR(VLOOKUP(E392&amp;"USD"&amp;RIGHT(AJ392,3),$AN:$AO,2,FALSE),VLOOKUP(E392&amp;"USD"&amp;RIGHT(AB392,3),$AF:$AG,2,FALSE)))))</f>
        <v>77</v>
      </c>
      <c r="AR392" s="179">
        <f>-Q392*(1-Z392)/(1+X392)*IF(W392="CLIENT",IF(S392=RIGHT(AJ392,3),1/AM392,AM392),IF(W392="VENDOR",IF(S392=RIGHT(AJ392,3),1/AE392,AE392),AE392^(VLOOKUP(AB392,'FX RATES'!$H$1:$J$26,3,FALSE))/AM392^(VLOOKUP(AJ392,'FX RATES'!$H$1:$J$26,3,FALSE))))</f>
        <v>0</v>
      </c>
      <c r="AS392" s="179">
        <f>-I392*(1+X392)/(1-Z392)*IF(W392="VENDOR",IF(K392=RIGHT(AB392,3),1/AE392,AE392),IF(W392="CLIENT",IF(K392=RIGHT(AB392,3),1/AM392,AM392),AM392^(VLOOKUP(AJ392,'FX RATES'!$H$1:$J$26,3,FALSE))/AE392^(VLOOKUP(AB392,'FX RATES'!$H$1:$J$26,3,FALSE))))</f>
        <v>5432000</v>
      </c>
      <c r="AT392" s="170">
        <f>IF(AB392&lt;&gt;AJ392,J392/IF(K392=RIGHT(AB392,3),AE392,1/AE392),IF(S392="USD",J392/IF(K392=RIGHT(AB392,3),IF(W392="CLIENT",AM392,AE392),1/IF(W392="CLIENT",AM392,AE392)),J392*VLOOKUP(K392,'FX RATES'!$E$1:$F$10,2,FALSE)))</f>
        <v>-70000</v>
      </c>
      <c r="AU392" s="170">
        <f>IF(AB392&lt;&gt;AJ392,R392/IF(S392=RIGHT(AJ392,3),AM392,1/AM392),IF(K392="USD",R392/IF(S392=RIGHT(AJ392,3),IF(W392="CLIENT",AM392,AE392),1/IF(W392="CLIENT",AM392,AE392)),R392*VLOOKUP(S392,'FX RATES'!$E$1:$F$10,2,FALSE)))</f>
        <v>70000</v>
      </c>
      <c r="AV392" s="170">
        <f t="shared" ref="AV392" si="480">AT392+AU392</f>
        <v>0</v>
      </c>
      <c r="AW392" s="169"/>
      <c r="AX392" s="170">
        <f t="shared" ref="AX392" si="481">IF(AND(ISERROR(SEARCH("INVOICE",T392)),ISERROR(SEARCH("SWITCH",T392)),ISERROR(SEARCH("FOREX",T392)),ISERROR(SEARCH("REFUND",A392)),ISERROR(SEARCH("CANCELLED",A392))),IF(AW392="",-AT392*X392+AU392*Z392,AW392),0)</f>
        <v>0</v>
      </c>
      <c r="AY392" s="170">
        <f t="shared" ref="AY392" si="482">IF(AZ392="USD",AT392,IF(AZ392=K392,J392,-R392))</f>
        <v>-70000</v>
      </c>
      <c r="AZ392" s="170" t="str">
        <f t="shared" ref="AZ392" si="483">LEFT(AB392,3)</f>
        <v>USD</v>
      </c>
      <c r="BA392" s="542">
        <f>IF(OR(A392="REFUND",A392="CANCELLED"),0,IFERROR((IF(OR(AB392="USDAED",LEFT(AB392,3)=RIGHT(AB392,3),AB392="USDUSDT",AB392="USDTUSD"),AI392,AG392)-AE392)*-AY392*VLOOKUP(AB392,'FX RATES'!$H$1:$J$26,3,FALSE),0))</f>
        <v>0</v>
      </c>
      <c r="BB392" s="170" t="str">
        <f>RIGHT(AB392,4)</f>
        <v>USDT</v>
      </c>
      <c r="BC392" s="542">
        <f t="shared" ref="BC392" si="484">IF(BA392=0,0,IFERROR(BA392/IF(BB392&lt;&gt;"USD",AI392,1),"???"))</f>
        <v>0</v>
      </c>
      <c r="BD392" s="170">
        <f t="shared" ref="BD392" si="485">IFERROR(-AC392/(IF(OR(AB392="USDAED",LEFT(AB392,3)=RIGHT(AB392,3)),AH392,AG392)-AE392)*BC392,0)</f>
        <v>0</v>
      </c>
      <c r="BE392" s="542">
        <f t="shared" ref="BE392" si="486">BC392-BD392</f>
        <v>0</v>
      </c>
      <c r="BF392" s="170">
        <f t="shared" ref="BF392" si="487">IF(BG392="USD",AU392,IF(BG392=S392,R392,-J392))</f>
        <v>70000</v>
      </c>
      <c r="BG392" s="170" t="str">
        <f t="shared" ref="BG392" si="488">LEFT(AJ392,3)</f>
        <v>USD</v>
      </c>
      <c r="BH392" s="542">
        <f>IF(OR(A392="REFUND",A392="CANCELLED"),0,IFERROR((IF(OR(AJ392="USDAED",LEFT(AJ392,3)=RIGHT(AJ392,3)),AQ392,AO392)-AM392)*-BF392*VLOOKUP(AJ392,'FX RATES'!$H$1:$J$26,3,FALSE),0))</f>
        <v>41999.9999999996</v>
      </c>
      <c r="BI392" s="170" t="str">
        <f t="shared" ref="BI392" si="489">RIGHT(AJ392,3)</f>
        <v>RUB</v>
      </c>
      <c r="BJ392" s="542">
        <f t="shared" ref="BJ392" si="490">IF(BH392=0,0,IFERROR(BH392/IF(BI392&lt;&gt;"USD",AQ392,1),"???"))</f>
        <v>545.45454545454027</v>
      </c>
      <c r="BK392" s="170">
        <f t="shared" ref="BK392" si="491">IFERROR(-AK392/(IF(OR(AJ392="USDAED",LEFT(AJ392,3)=RIGHT(AJ392,3)),AP392,AO392)-AM392)*BJ392,0)</f>
        <v>0</v>
      </c>
      <c r="BL392" s="542">
        <f t="shared" ref="BL392" si="492">BJ392-BK392</f>
        <v>545.45454545454027</v>
      </c>
      <c r="BM392" s="170">
        <f t="shared" ref="BM392" si="493">IF(AND(ISERROR(SEARCH("REFUND",A392)),ISERROR(SEARCH("CANCELLED",A392))),BD392+BK392,0)</f>
        <v>0</v>
      </c>
      <c r="BN392" s="542">
        <f t="shared" ref="BN392" si="494">IF(AND(ISERROR(SEARCH("REFUND",A392)),ISERROR(SEARCH("CANCELLED",A392))),BE392+BL392,0)</f>
        <v>545.45454545454027</v>
      </c>
    </row>
    <row r="393" spans="1:66" ht="19.5" customHeight="1">
      <c r="A393" s="167" t="s">
        <v>366</v>
      </c>
      <c r="B393" s="168" t="s">
        <v>39</v>
      </c>
      <c r="C393" s="168" t="s">
        <v>383</v>
      </c>
      <c r="D393" s="168" t="s">
        <v>128</v>
      </c>
      <c r="E393" s="171">
        <v>46056</v>
      </c>
      <c r="F393" s="171"/>
      <c r="G393" s="168" t="s">
        <v>39</v>
      </c>
      <c r="H393" s="168" t="s">
        <v>384</v>
      </c>
      <c r="I393" s="169">
        <f>-R392</f>
        <v>-5432000</v>
      </c>
      <c r="J393" s="170">
        <f>IF(I393="",AR393,I393)</f>
        <v>-5432000</v>
      </c>
      <c r="K393" s="168" t="s">
        <v>9</v>
      </c>
      <c r="L393" s="171" t="s">
        <v>374</v>
      </c>
      <c r="M393" s="168" t="s">
        <v>374</v>
      </c>
      <c r="N393" s="167" t="s">
        <v>371</v>
      </c>
      <c r="O393" s="168" t="s">
        <v>39</v>
      </c>
      <c r="P393" s="349" t="s">
        <v>384</v>
      </c>
      <c r="Q393" s="169"/>
      <c r="R393" s="170">
        <f>IF(Q393="",AS393,Q393)</f>
        <v>258052.2565320665</v>
      </c>
      <c r="S393" s="168" t="s">
        <v>8</v>
      </c>
      <c r="T393" s="171" t="s">
        <v>385</v>
      </c>
      <c r="U393" s="168" t="s">
        <v>20</v>
      </c>
      <c r="V393" s="167" t="s">
        <v>371</v>
      </c>
      <c r="W393" s="172" t="s">
        <v>382</v>
      </c>
      <c r="X393" s="173">
        <f>IF(Y393="",VLOOKUP(H393,CLIENTS!$A$1:$O$649,5,FALSE),Y393)</f>
        <v>0</v>
      </c>
      <c r="Y393" s="174">
        <v>0</v>
      </c>
      <c r="Z393" s="173">
        <f>IF(AA393="",VLOOKUP(P393,CLIENTS!$A$1:$O$649,5,FALSE),AA393)</f>
        <v>0</v>
      </c>
      <c r="AA393" s="174">
        <v>0</v>
      </c>
      <c r="AB393" s="173" t="str">
        <f>IF(W393="via USD",IF(K393="EUR",K393&amp;"USD","USD"&amp;K393),IFERROR(VLOOKUP(K393&amp;S393,'FX RATES'!$H$2:$H$20,1,FALSE),S393&amp;K393))</f>
        <v>AEDRUB</v>
      </c>
      <c r="AC393" s="175">
        <f>IF(LEFT(AB393,3)=RIGHT(AB393,3),0,IFERROR(INDEX(CLIENTS!$A$1:$O$649,MATCH(H393,CLIENTS!$A$1:$A$649,0),MATCH(AB393,CLIENTS!$A$1:$O$1,0)),0))</f>
        <v>0</v>
      </c>
      <c r="AD393" s="176">
        <v>21.05</v>
      </c>
      <c r="AE393" s="177">
        <f>IF(W393="CLIENT","",IF(AD393="",AH393+AC393,AD393+AC393))</f>
        <v>21.05</v>
      </c>
      <c r="AF393" s="177" t="str">
        <f>E393&amp;AB393</f>
        <v>46056AEDRUB</v>
      </c>
      <c r="AG393" s="176">
        <v>20.9666</v>
      </c>
      <c r="AH393" s="178">
        <f ca="1">IF(LEFT(AB393,3)=RIGHT(AB393,3),1,VLOOKUP(AB393,'FX RATES'!$H$1:$I$20,2,FALSE))</f>
        <v>20.8843</v>
      </c>
      <c r="AI393" s="178">
        <f>IF(OR(AB393="USDAED",LEFT(AB393,3)=RIGHT(AB393,3)),AH393,IF(LEFT(AB393)="USD",AG393,IF(RIGHT(AB393,3)="USD",1,IFERROR(VLOOKUP(E393&amp;"USD"&amp;RIGHT(AB393,3),$AF:$AG,2,FALSE),VLOOKUP(E393&amp;"USD"&amp;RIGHT(AJ393,3),$AN:$AO,2,FALSE)))))</f>
        <v>77</v>
      </c>
      <c r="AJ393" s="173" t="str">
        <f>IF(W393="via USD",IF(S393="EUR",S393&amp;"USD","USD"&amp;S393),IFERROR(VLOOKUP(K393&amp;S393,'FX RATES'!$H$2:$H$20,1,FALSE),S393&amp;K393))</f>
        <v>AEDRUB</v>
      </c>
      <c r="AK393" s="175">
        <f>IF(LEFT(AJ393,3)=RIGHT(AJ393,3),0,IFERROR(INDEX(CLIENTS!$A$1:$O$649,MATCH(P393,CLIENTS!$A$1:$A$649,0),MATCH(AJ393,CLIENTS!$A$1:$O$1,0)),0))</f>
        <v>0</v>
      </c>
      <c r="AL393" s="176"/>
      <c r="AM393" s="177" t="str">
        <f>IF(W393="VENDOR","",IF(AL393="",AP393+AK393,AL393+AK393))</f>
        <v/>
      </c>
      <c r="AN393" s="177" t="str">
        <f>E393&amp;AJ393</f>
        <v>46056AEDRUB</v>
      </c>
      <c r="AO393" s="176"/>
      <c r="AP393" s="178">
        <f ca="1">IF(LEFT(AJ393,3)=RIGHT(AJ393,3),1,VLOOKUP(AJ393,'FX RATES'!$H$1:$I$20,2,FALSE))</f>
        <v>20.8843</v>
      </c>
      <c r="AQ393" s="178">
        <f>IF(OR(AJ393="USDAED",LEFT(AJ393,3)=RIGHT(AJ393,3)),AP393,IF(LEFT(AJ393)="USD",AO393,IF(RIGHT(AJ393,3)="USD",1,IFERROR(VLOOKUP(E393&amp;"USD"&amp;RIGHT(AJ393,3),$AN:$AO,2,FALSE),VLOOKUP(E393&amp;"USD"&amp;RIGHT(AB393,3),$AF:$AG,2,FALSE)))))</f>
        <v>77</v>
      </c>
      <c r="AR393" s="179">
        <f>-Q393*(1-Z393)/(1+X393)*IF(W393="CLIENT",IF(S393=RIGHT(AJ393,3),1/AM393,AM393),IF(W393="VENDOR",IF(S393=RIGHT(AJ393,3),1/AE393,AE393),AE393^(VLOOKUP(AB393,'FX RATES'!$H$1:$J$26,3,FALSE))/AM393^(VLOOKUP(AJ393,'FX RATES'!$H$1:$J$26,3,FALSE))))</f>
        <v>0</v>
      </c>
      <c r="AS393" s="179">
        <f>-I393*(1+X393)/(1-Z393)*IF(W393="VENDOR",IF(K393=RIGHT(AB393,3),1/AE393,AE393),IF(W393="CLIENT",IF(K393=RIGHT(AB393,3),1/AM393,AM393),AM393^(VLOOKUP(AJ393,'FX RATES'!$H$1:$J$26,3,FALSE))/AE393^(VLOOKUP(AB393,'FX RATES'!$H$1:$J$26,3,FALSE))))</f>
        <v>258052.2565320665</v>
      </c>
      <c r="AT393" s="170">
        <f ca="1">IF(AB393&lt;&gt;AJ393,J393/IF(K393=RIGHT(AB393,3),AE393,1/AE393),IF(S393="USD",J393/IF(K393=RIGHT(AB393,3),IF(W393="CLIENT",AM393,AE393),1/IF(W393="CLIENT",AM393,AE393)),J393*VLOOKUP(K393,'FX RATES'!$E$1:$F$10,2,FALSE)))</f>
        <v>-70802.45827386422</v>
      </c>
      <c r="AU393" s="170">
        <f ca="1">IF(AB393&lt;&gt;AJ393,R393/IF(S393=RIGHT(AJ393,3),AM393,1/AM393),IF(K393="USD",R393/IF(S393=RIGHT(AJ393,3),IF(W393="CLIENT",AM393,AE393),1/IF(W393="CLIENT",AM393,AE393)),R393*VLOOKUP(S393,'FX RATES'!$E$1:$F$10,2,FALSE)))</f>
        <v>70264.187913757691</v>
      </c>
      <c r="AV393" s="170">
        <f ca="1">AT393+AU393</f>
        <v>-538.27036010652955</v>
      </c>
      <c r="AW393" s="169"/>
      <c r="AX393" s="170">
        <f ca="1">IF(AND(ISERROR(SEARCH("INVOICE",T393)),ISERROR(SEARCH("SWITCH",T393)),ISERROR(SEARCH("FOREX",T393)),ISERROR(SEARCH("REFUND",A393)),ISERROR(SEARCH("CANCELLED",A393))),IF(AW393="",-AT393*X393+AU393*Z393,AW393),0)</f>
        <v>0</v>
      </c>
      <c r="AY393" s="170">
        <f>IF(AZ393="USD",AT393,IF(AZ393=K393,J393,-R393))</f>
        <v>-258052.2565320665</v>
      </c>
      <c r="AZ393" s="170" t="str">
        <f>LEFT(AB393,3)</f>
        <v>AED</v>
      </c>
      <c r="BA393" s="542">
        <f>IF(OR(A393="REFUND",A393="CANCELLED"),0,IFERROR((IF(OR(AB393="USDAED",LEFT(AB393,3)=RIGHT(AB393,3)),AI393,AG393)-AE393)*-AY393*VLOOKUP(AB393,'FX RATES'!$H$1:$J$26,3,FALSE),0))</f>
        <v>-21521.55819477461</v>
      </c>
      <c r="BB393" s="170" t="str">
        <f>RIGHT(AB393,3)</f>
        <v>RUB</v>
      </c>
      <c r="BC393" s="542">
        <f>IF(BA393=0,0,IFERROR(BA393/IF(BB393&lt;&gt;"USD",AI393,1),"???"))</f>
        <v>-279.50075577629366</v>
      </c>
      <c r="BD393" s="170">
        <f>IFERROR(-AC393/(IF(OR(AB393="USDAED",LEFT(AB393,3)=RIGHT(AB393,3)),AH393,AG393)-AE393)*BC393,0)</f>
        <v>0</v>
      </c>
      <c r="BE393" s="542">
        <f>BC393-BD393</f>
        <v>-279.50075577629366</v>
      </c>
      <c r="BF393" s="170">
        <f>IF(BG393="USD",AU393,IF(BG393=S393,R393,-J393))</f>
        <v>258052.2565320665</v>
      </c>
      <c r="BG393" s="170" t="str">
        <f>LEFT(AJ393,3)</f>
        <v>AED</v>
      </c>
      <c r="BH393" s="542">
        <f>IF(OR(A393="REFUND",A393="CANCELLED"),0,IFERROR((IF(OR(AJ393="USDAED",LEFT(AJ393,3)=RIGHT(AJ393,3)),AQ393,AO393)-AM393)*-BF393*VLOOKUP(AJ393,'FX RATES'!$H$1:$J$26,3,FALSE),0))</f>
        <v>0</v>
      </c>
      <c r="BI393" s="170" t="str">
        <f>RIGHT(AJ393,3)</f>
        <v>RUB</v>
      </c>
      <c r="BJ393" s="542">
        <f>IF(BH393=0,0,IFERROR(BH393/IF(BI393&lt;&gt;"USD",AQ393,1),"???"))</f>
        <v>0</v>
      </c>
      <c r="BK393" s="170">
        <f>IFERROR(-AK393/(IF(OR(AJ393="USDAED",LEFT(AJ393,3)=RIGHT(AJ393,3)),AP393,AO393)-AM393)*BJ393,0)</f>
        <v>0</v>
      </c>
      <c r="BL393" s="542">
        <f>BJ393-BK393</f>
        <v>0</v>
      </c>
      <c r="BM393" s="170">
        <f>IF(AND(ISERROR(SEARCH("REFUND",A393)),ISERROR(SEARCH("CANCELLED",A393))),BD393+BK393,0)</f>
        <v>0</v>
      </c>
      <c r="BN393" s="542">
        <f>IF(AND(ISERROR(SEARCH("REFUND",A393)),ISERROR(SEARCH("CANCELLED",A393))),BE393+BL393,0)</f>
        <v>-279.50075577629366</v>
      </c>
    </row>
    <row r="394" spans="1:66" ht="19.5" customHeight="1">
      <c r="A394" s="167"/>
      <c r="B394" s="182"/>
      <c r="C394" s="182"/>
      <c r="D394" s="182"/>
      <c r="E394" s="184"/>
      <c r="F394" s="184"/>
      <c r="G394" s="182"/>
      <c r="H394" s="182"/>
      <c r="I394" s="170"/>
      <c r="J394" s="170"/>
      <c r="K394" s="182"/>
      <c r="L394" s="184"/>
      <c r="M394" s="182"/>
      <c r="O394" s="182"/>
      <c r="P394" s="444"/>
      <c r="Q394" s="170"/>
      <c r="R394" s="170"/>
      <c r="S394" s="182"/>
      <c r="T394" s="184"/>
      <c r="U394" s="182"/>
      <c r="X394" s="173"/>
      <c r="Y394" s="173"/>
      <c r="Z394" s="173"/>
      <c r="AA394" s="173"/>
      <c r="AB394" s="173"/>
      <c r="AC394" s="175"/>
      <c r="AD394" s="177"/>
      <c r="AE394" s="177"/>
      <c r="AF394" s="177"/>
      <c r="AG394" s="177"/>
      <c r="AH394" s="178"/>
      <c r="AI394" s="178"/>
      <c r="AJ394" s="173"/>
      <c r="AK394" s="175"/>
      <c r="AL394" s="177"/>
      <c r="AM394" s="177"/>
      <c r="AN394" s="177"/>
      <c r="AO394" s="177"/>
      <c r="AP394" s="178"/>
      <c r="AQ394" s="178"/>
      <c r="AR394" s="185"/>
      <c r="AS394" s="185"/>
      <c r="AT394" s="170"/>
      <c r="AU394" s="170"/>
      <c r="AV394" s="170"/>
      <c r="AW394" s="170"/>
      <c r="AX394" s="170"/>
      <c r="AY394" s="170"/>
      <c r="AZ394" s="170"/>
      <c r="BA394" s="542"/>
      <c r="BB394" s="170"/>
      <c r="BC394" s="542"/>
      <c r="BD394" s="170"/>
      <c r="BE394" s="542"/>
      <c r="BF394" s="170"/>
      <c r="BG394" s="170"/>
      <c r="BH394" s="542"/>
      <c r="BI394" s="170"/>
      <c r="BJ394" s="542"/>
      <c r="BK394" s="170"/>
      <c r="BL394" s="542"/>
      <c r="BM394" s="170"/>
      <c r="BN394" s="542"/>
    </row>
    <row r="395" spans="1:66" ht="19.5" customHeight="1">
      <c r="A395" s="167" t="s">
        <v>366</v>
      </c>
      <c r="B395" s="168" t="s">
        <v>45</v>
      </c>
      <c r="C395" s="168" t="s">
        <v>367</v>
      </c>
      <c r="D395" s="168" t="s">
        <v>368</v>
      </c>
      <c r="E395" s="171">
        <v>46056</v>
      </c>
      <c r="F395" s="171"/>
      <c r="G395" s="168" t="s">
        <v>45</v>
      </c>
      <c r="H395" s="181" t="s">
        <v>580</v>
      </c>
      <c r="I395" s="169">
        <v>-70000</v>
      </c>
      <c r="J395" s="170">
        <f>IF(I395="",AR395,I395)</f>
        <v>-70000</v>
      </c>
      <c r="K395" s="168" t="s">
        <v>6</v>
      </c>
      <c r="L395" s="168" t="s">
        <v>581</v>
      </c>
      <c r="M395" s="168" t="s">
        <v>49</v>
      </c>
      <c r="N395" s="167" t="s">
        <v>371</v>
      </c>
      <c r="O395" s="168" t="s">
        <v>39</v>
      </c>
      <c r="P395" s="168" t="s">
        <v>582</v>
      </c>
      <c r="Q395" s="169"/>
      <c r="R395" s="202">
        <f>IF(Q395="",AS395,Q395)</f>
        <v>70210.631895687067</v>
      </c>
      <c r="S395" s="168" t="s">
        <v>6</v>
      </c>
      <c r="T395" s="171" t="s">
        <v>380</v>
      </c>
      <c r="U395" s="168" t="s">
        <v>14</v>
      </c>
      <c r="V395" s="167" t="s">
        <v>371</v>
      </c>
      <c r="W395" s="172" t="s">
        <v>382</v>
      </c>
      <c r="X395" s="173">
        <f>IF(Y395="",VLOOKUP(H395,CLIENTS!$A$1:$O$649,5,FALSE),Y395)</f>
        <v>0</v>
      </c>
      <c r="Y395" s="174">
        <v>0</v>
      </c>
      <c r="Z395" s="173">
        <f>IF(AA395="",VLOOKUP(P395,CLIENTS!$A$1:$O$649,5,FALSE),AA395)</f>
        <v>3.0000000000000001E-3</v>
      </c>
      <c r="AA395" s="174">
        <v>3.0000000000000001E-3</v>
      </c>
      <c r="AB395" s="173" t="str">
        <f>IF(W395="via USD",IF(K395="EUR",K395&amp;"USD","USD"&amp;K395),IFERROR(VLOOKUP(K395&amp;S395,'FX RATES'!$H$2:$H$20,1,FALSE),S395&amp;K395))</f>
        <v>EUREUR</v>
      </c>
      <c r="AC395" s="175">
        <f>IF(LEFT(AB395,3)=RIGHT(AB395,3),0,IFERROR(INDEX(CLIENTS!$A$1:$O$649,MATCH(H395,CLIENTS!$A$1:$A$649,0),MATCH(AB395,CLIENTS!$A$1:$O$1,0)),0))</f>
        <v>0</v>
      </c>
      <c r="AD395" s="176"/>
      <c r="AE395" s="177">
        <f>IF(W395="CLIENT","",IF(AD395="",AH395+AC395,AD395+AC395))</f>
        <v>1</v>
      </c>
      <c r="AF395" s="177" t="str">
        <f>E395&amp;AB395</f>
        <v>46056EUREUR</v>
      </c>
      <c r="AG395" s="176"/>
      <c r="AH395" s="178">
        <f>IF(LEFT(AB395,3)=RIGHT(AB395,3),1,VLOOKUP(AB395,'FX RATES'!$H$1:$I$20,2,FALSE))</f>
        <v>1</v>
      </c>
      <c r="AI395" s="178">
        <f>IF(OR(AB395="USDAED",LEFT(AB395,3)=RIGHT(AB395,3)),AH395,IF(LEFT(AB395)="USD",AG395,IF(RIGHT(AB395,3)="USD",1,IFERROR(VLOOKUP(E395&amp;"USD"&amp;RIGHT(AB395,3),$AF:$AG,2,FALSE),VLOOKUP(E395&amp;"USD"&amp;RIGHT(AJ395,3),$AN:$AO,2,FALSE)))))</f>
        <v>1</v>
      </c>
      <c r="AJ395" s="173" t="str">
        <f>IF(W395="via USD",IF(S395="EUR",S395&amp;"USD","USD"&amp;S395),IFERROR(VLOOKUP(K395&amp;S395,'FX RATES'!$H$2:$H$20,1,FALSE),S395&amp;K395))</f>
        <v>EUREUR</v>
      </c>
      <c r="AK395" s="175">
        <f>IF(LEFT(AJ395,3)=RIGHT(AJ395,3),0,IFERROR(INDEX(CLIENTS!$A$1:$O$649,MATCH(P395,CLIENTS!$A$1:$A$649,0),MATCH(AJ395,CLIENTS!$A$1:$O$1,0)),0))</f>
        <v>0</v>
      </c>
      <c r="AL395" s="176"/>
      <c r="AM395" s="177" t="str">
        <f>IF(W395="VENDOR","",IF(AL395="",AP395+AK395,AL395+AK395))</f>
        <v/>
      </c>
      <c r="AN395" s="177" t="str">
        <f>E395&amp;AJ395</f>
        <v>46056EUREUR</v>
      </c>
      <c r="AO395" s="176"/>
      <c r="AP395" s="178">
        <f>IF(LEFT(AJ395,3)=RIGHT(AJ395,3),1,VLOOKUP(AJ395,'FX RATES'!$H$1:$I$20,2,FALSE))</f>
        <v>1</v>
      </c>
      <c r="AQ395" s="178">
        <f>IF(OR(AJ395="USDAED",LEFT(AJ395,3)=RIGHT(AJ395,3)),AP395,IF(LEFT(AJ395)="USD",AO395,IF(RIGHT(AJ395,3)="USD",1,IFERROR(VLOOKUP(E395&amp;"USD"&amp;RIGHT(AJ395,3),$AN:$AO,2,FALSE),VLOOKUP(E395&amp;"USD"&amp;RIGHT(AB395,3),$AF:$AG,2,FALSE)))))</f>
        <v>1</v>
      </c>
      <c r="AR395" s="179">
        <f>-Q395*(1-Z395)/(1+X395)*IF(W395="CLIENT",IF(S395=RIGHT(AJ395,3),1/AM395,AM395),IF(W395="VENDOR",IF(S395=RIGHT(AJ395,3),1/AE395,AE395),AE395^(VLOOKUP(AB395,'FX RATES'!$H$1:$J$26,3,FALSE))/AM395^(VLOOKUP(AJ395,'FX RATES'!$H$1:$J$26,3,FALSE))))</f>
        <v>0</v>
      </c>
      <c r="AS395" s="179">
        <f>-I395*(1+X395)/(1-Z395)*IF(W395="VENDOR",IF(K395=RIGHT(AB395,3),1/AE395,AE395),IF(W395="CLIENT",IF(K395=RIGHT(AB395,3),1/AM395,AM395),AM395^(VLOOKUP(AJ395,'FX RATES'!$H$1:$J$26,3,FALSE))/AE395^(VLOOKUP(AB395,'FX RATES'!$H$1:$J$26,3,FALSE))))</f>
        <v>70210.631895687067</v>
      </c>
      <c r="AT395" s="170">
        <f ca="1">IF(AB395&lt;&gt;AJ395,J395/IF(K395=RIGHT(AB395,3),AE395,1/AE395),IF(S395="USD",J395/IF(K395=RIGHT(AB395,3),IF(W395="CLIENT",AM395,AE395),1/IF(W395="CLIENT",AM395,AE395)),J395*VLOOKUP(K395,'FX RATES'!$E$1:$F$10,2,FALSE)))</f>
        <v>-82460</v>
      </c>
      <c r="AU395" s="170">
        <f ca="1">IF(AB395&lt;&gt;AJ395,R395/IF(S395=RIGHT(AJ395,3),AM395,1/AM395),IF(K395="USD",R395/IF(S395=RIGHT(AJ395,3),IF(W395="CLIENT",AM395,AE395),1/IF(W395="CLIENT",AM395,AE395)),R395*VLOOKUP(S395,'FX RATES'!$E$1:$F$10,2,FALSE)))</f>
        <v>82708.124373119354</v>
      </c>
      <c r="AV395" s="170">
        <f ca="1">AT395+AU395</f>
        <v>248.12437311935355</v>
      </c>
      <c r="AW395" s="169"/>
      <c r="AX395" s="170">
        <f ca="1">IF(AND(ISERROR(SEARCH("INVOICE",T395)),ISERROR(SEARCH("SWITCH",T395)),ISERROR(SEARCH("FOREX",T395)),ISERROR(SEARCH("REFUND",A395)),ISERROR(SEARCH("CANCELLED",A395))),IF(AW395="",-AT395*X395+AU395*Z395,AW395),0)</f>
        <v>248.12437311935807</v>
      </c>
      <c r="AY395" s="170">
        <f>IF(AZ395="USD",AT395,IF(AZ395=K395,J395,-R395))</f>
        <v>-70000</v>
      </c>
      <c r="AZ395" s="170" t="str">
        <f>LEFT(AB395,3)</f>
        <v>EUR</v>
      </c>
      <c r="BA395" s="542">
        <f>IF(OR(A395="REFUND",A395="CANCELLED"),0,IFERROR((IF(OR(AB395="USDAED",LEFT(AB395,3)=RIGHT(AB395,3)),AI395,AG395)-AE395)*-AY395*VLOOKUP(AB395,'FX RATES'!$H$1:$J$26,3,FALSE),0))</f>
        <v>0</v>
      </c>
      <c r="BB395" s="170" t="str">
        <f>RIGHT(AB395,3)</f>
        <v>EUR</v>
      </c>
      <c r="BC395" s="542">
        <f>IF(BA395=0,0,IFERROR(BA395/IF(BB395&lt;&gt;"USD",AI395,1),"???"))</f>
        <v>0</v>
      </c>
      <c r="BD395" s="170">
        <f>IFERROR(-AC395/(IF(OR(AB395="USDAED",LEFT(AB395,3)=RIGHT(AB395,3)),AH395,AG395)-AE395)*BC395,0)</f>
        <v>0</v>
      </c>
      <c r="BE395" s="542">
        <f>BC395-BD395</f>
        <v>0</v>
      </c>
      <c r="BF395" s="170">
        <f>IF(BG395="USD",AU395,IF(BG395=S395,R395,-J395))</f>
        <v>70210.631895687067</v>
      </c>
      <c r="BG395" s="170" t="str">
        <f>LEFT(AJ395,3)</f>
        <v>EUR</v>
      </c>
      <c r="BH395" s="542">
        <f>IF(OR(A395="REFUND",A395="CANCELLED"),0,IFERROR((IF(OR(AJ395="USDAED",LEFT(AJ395,3)=RIGHT(AJ395,3)),AQ395,AO395)-AM395)*-BF395*VLOOKUP(AJ395,'FX RATES'!$H$1:$J$26,3,FALSE),0))</f>
        <v>0</v>
      </c>
      <c r="BI395" s="170" t="str">
        <f>RIGHT(AJ395,3)</f>
        <v>EUR</v>
      </c>
      <c r="BJ395" s="542">
        <f>IF(BH395=0,0,IFERROR(BH395/IF(BI395&lt;&gt;"USD",AQ395,1),"???"))</f>
        <v>0</v>
      </c>
      <c r="BK395" s="170">
        <f>IFERROR(-AK395/(IF(OR(AJ395="USDAED",LEFT(AJ395,3)=RIGHT(AJ395,3)),AP395,AO395)-AM395)*BJ395,0)</f>
        <v>0</v>
      </c>
      <c r="BL395" s="542">
        <f>BJ395-BK395</f>
        <v>0</v>
      </c>
      <c r="BM395" s="170">
        <f>IF(AND(ISERROR(SEARCH("REFUND",A395)),ISERROR(SEARCH("CANCELLED",A395))),BD395+BK395,0)</f>
        <v>0</v>
      </c>
      <c r="BN395" s="542">
        <f>IF(AND(ISERROR(SEARCH("REFUND",A395)),ISERROR(SEARCH("CANCELLED",A395))),BE395+BL395,0)</f>
        <v>0</v>
      </c>
    </row>
    <row r="396" spans="1:66" ht="19.5" customHeight="1">
      <c r="A396" s="167"/>
      <c r="B396" s="182"/>
      <c r="C396" s="182"/>
      <c r="D396" s="182"/>
      <c r="E396" s="184"/>
      <c r="F396" s="184"/>
      <c r="G396" s="182"/>
      <c r="H396" s="182"/>
      <c r="I396" s="170"/>
      <c r="J396" s="170"/>
      <c r="K396" s="182"/>
      <c r="L396" s="184"/>
      <c r="M396" s="182"/>
      <c r="O396" s="182"/>
      <c r="P396" s="444"/>
      <c r="Q396" s="170"/>
      <c r="R396" s="170"/>
      <c r="S396" s="182"/>
      <c r="T396" s="184"/>
      <c r="U396" s="182"/>
      <c r="X396" s="173"/>
      <c r="Y396" s="173"/>
      <c r="Z396" s="173"/>
      <c r="AA396" s="173"/>
      <c r="AB396" s="173"/>
      <c r="AC396" s="175"/>
      <c r="AD396" s="177"/>
      <c r="AE396" s="177"/>
      <c r="AF396" s="177"/>
      <c r="AG396" s="177"/>
      <c r="AH396" s="178"/>
      <c r="AI396" s="178"/>
      <c r="AJ396" s="173"/>
      <c r="AK396" s="175"/>
      <c r="AL396" s="177"/>
      <c r="AM396" s="177"/>
      <c r="AN396" s="177"/>
      <c r="AO396" s="177"/>
      <c r="AP396" s="178"/>
      <c r="AQ396" s="178"/>
      <c r="AR396" s="185"/>
      <c r="AS396" s="185"/>
      <c r="AT396" s="170"/>
      <c r="AU396" s="170"/>
      <c r="AV396" s="170"/>
      <c r="AW396" s="170"/>
      <c r="AX396" s="170"/>
      <c r="AY396" s="170"/>
      <c r="AZ396" s="170"/>
      <c r="BA396" s="542"/>
      <c r="BB396" s="170"/>
      <c r="BC396" s="542"/>
      <c r="BD396" s="170"/>
      <c r="BE396" s="542"/>
      <c r="BF396" s="170"/>
      <c r="BG396" s="170"/>
      <c r="BH396" s="542"/>
      <c r="BI396" s="170"/>
      <c r="BJ396" s="542"/>
      <c r="BK396" s="170"/>
      <c r="BL396" s="542"/>
      <c r="BM396" s="170"/>
      <c r="BN396" s="542"/>
    </row>
    <row r="397" spans="1:66" ht="19.5" customHeight="1">
      <c r="A397" s="167" t="s">
        <v>366</v>
      </c>
      <c r="B397" s="168" t="s">
        <v>39</v>
      </c>
      <c r="C397" s="168" t="s">
        <v>367</v>
      </c>
      <c r="D397" s="168" t="s">
        <v>368</v>
      </c>
      <c r="E397" s="171">
        <v>46056</v>
      </c>
      <c r="F397" s="171"/>
      <c r="G397" s="168" t="s">
        <v>39</v>
      </c>
      <c r="H397" s="181" t="s">
        <v>369</v>
      </c>
      <c r="I397" s="169">
        <v>-349021.6</v>
      </c>
      <c r="J397" s="170">
        <f>IF(I397="",AR397,I397)</f>
        <v>-349021.6</v>
      </c>
      <c r="K397" s="168" t="s">
        <v>5</v>
      </c>
      <c r="L397" s="168" t="s">
        <v>569</v>
      </c>
      <c r="M397" s="168" t="s">
        <v>20</v>
      </c>
      <c r="N397" s="167" t="s">
        <v>371</v>
      </c>
      <c r="O397" s="168" t="s">
        <v>39</v>
      </c>
      <c r="P397" s="168" t="s">
        <v>372</v>
      </c>
      <c r="Q397" s="169"/>
      <c r="R397" s="170">
        <f>IF(Q397="",AS397,Q397)</f>
        <v>27112286.684883952</v>
      </c>
      <c r="S397" s="168" t="s">
        <v>9</v>
      </c>
      <c r="T397" s="171" t="s">
        <v>373</v>
      </c>
      <c r="U397" s="168" t="s">
        <v>374</v>
      </c>
      <c r="V397" s="167" t="s">
        <v>371</v>
      </c>
      <c r="W397" s="172" t="s">
        <v>375</v>
      </c>
      <c r="X397" s="173">
        <f>IF(Y397="",VLOOKUP(H397,CLIENTS!$A$1:$O$649,5,FALSE),Y397)</f>
        <v>0</v>
      </c>
      <c r="Y397" s="174">
        <v>0</v>
      </c>
      <c r="Z397" s="173">
        <f>IF(AA397="",VLOOKUP(P397,CLIENTS!$A$1:$O$649,5,FALSE),AA397)</f>
        <v>5.2886595125855029E-3</v>
      </c>
      <c r="AA397" s="174">
        <v>5.2886595125855029E-3</v>
      </c>
      <c r="AB397" s="173" t="str">
        <f>IF(W397="via USD",IF(K397="EUR",K397&amp;"USD","USD"&amp;K397),IFERROR(VLOOKUP(K397&amp;S397,'FX RATES'!$H$2:$H$20,1,FALSE),S397&amp;K397))</f>
        <v>USDUSD</v>
      </c>
      <c r="AC397" s="175">
        <f>IF(LEFT(AB397,3)=RIGHT(AB397,3),0,IFERROR(INDEX(CLIENTS!$A$1:$O$649,MATCH(H397,CLIENTS!$A$1:$A$649,0),MATCH(AB397,CLIENTS!$A$1:$O$1,0)),0))</f>
        <v>0</v>
      </c>
      <c r="AD397" s="176"/>
      <c r="AE397" s="177">
        <f>IF(W397="CLIENT","",IF(AD397="",AH397+AC397,AD397+AC397))</f>
        <v>1</v>
      </c>
      <c r="AF397" s="177" t="str">
        <f>E397&amp;AB397</f>
        <v>46056USDUSD</v>
      </c>
      <c r="AG397" s="176"/>
      <c r="AH397" s="178">
        <f>IF(LEFT(AB397,3)=RIGHT(AB397,3),1,VLOOKUP(AB397,'FX RATES'!$H$1:$I$20,2,FALSE))</f>
        <v>1</v>
      </c>
      <c r="AI397" s="178">
        <f>IF(OR(AB397="USDAED",LEFT(AB397,3)=RIGHT(AB397,3)),AH397,IF(LEFT(AB397)="USD",AG397,IF(RIGHT(AB397,3)="USD",1,IFERROR(VLOOKUP(E397&amp;"USD"&amp;RIGHT(AB397,3),$AF:$AG,2,FALSE),VLOOKUP(E397&amp;"USD"&amp;RIGHT(AJ397,3),$AN:$AO,2,FALSE)))))</f>
        <v>1</v>
      </c>
      <c r="AJ397" s="173" t="str">
        <f>IF(W397="via USD",IF(S397="EUR",S397&amp;"USD","USD"&amp;S397),IFERROR(VLOOKUP(K397&amp;S397,'FX RATES'!$H$2:$H$20,1,FALSE),S397&amp;K397))</f>
        <v>USDRUB</v>
      </c>
      <c r="AK397" s="175">
        <f>IF(LEFT(AJ397,3)=RIGHT(AJ397,3),0,IFERROR(INDEX(CLIENTS!$A$1:$O$649,MATCH(P397,CLIENTS!$A$1:$A$649,0),MATCH(AJ397,CLIENTS!$A$1:$O$1,0)),0))</f>
        <v>0</v>
      </c>
      <c r="AL397" s="176">
        <v>77.27</v>
      </c>
      <c r="AM397" s="177">
        <f>IF(W397="VENDOR","",IF(AL397="",AP397+AK397,AL397+AK397))</f>
        <v>77.27</v>
      </c>
      <c r="AN397" s="177" t="str">
        <f>E397&amp;AJ397</f>
        <v>46056USDRUB</v>
      </c>
      <c r="AO397" s="176">
        <v>77</v>
      </c>
      <c r="AP397" s="178">
        <f ca="1">IF(LEFT(AJ397,3)=RIGHT(AJ397,3),1,VLOOKUP(AJ397,'FX RATES'!$H$1:$I$20,2,FALSE))</f>
        <v>76.720500000000001</v>
      </c>
      <c r="AQ397" s="178">
        <f>IF(OR(AJ397="USDAED",LEFT(AJ397,3)=RIGHT(AJ397,3)),AP397,IF(LEFT(AJ397)="USD",AO397,IF(RIGHT(AJ397,3)="USD",1,IFERROR(VLOOKUP(E397&amp;"USD"&amp;RIGHT(AJ397,3),$AN:$AO,2,FALSE),VLOOKUP(E397&amp;"USD"&amp;RIGHT(AB397,3),$AF:$AG,2,FALSE)))))</f>
        <v>77</v>
      </c>
      <c r="AR397" s="179">
        <f>-Q397*(1-Z397)/(1+X397)*IF(W397="CLIENT",IF(S397=RIGHT(AJ397,3),1/AM397,AM397),IF(W397="VENDOR",IF(S397=RIGHT(AJ397,3),1/AE397,AE397),AE397^(VLOOKUP(AB397,'FX RATES'!$H$1:$J$26,3,FALSE))/AM397^(VLOOKUP(AJ397,'FX RATES'!$H$1:$J$26,3,FALSE))))</f>
        <v>0</v>
      </c>
      <c r="AS397" s="179">
        <f>-I397*(1+X397)/(1-Z397)*IF(W397="VENDOR",IF(K397=RIGHT(AB397,3),1/AE397,AE397),IF(W397="CLIENT",IF(K397=RIGHT(AB397,3),1/AM397,AM397),AM397^(VLOOKUP(AJ397,'FX RATES'!$H$1:$J$26,3,FALSE))/AE397^(VLOOKUP(AB397,'FX RATES'!$H$1:$J$26,3,FALSE))))</f>
        <v>27112286.684883952</v>
      </c>
      <c r="AT397" s="170">
        <f>IF(AB397&lt;&gt;AJ397,J397/IF(K397=RIGHT(AB397,3),AE397,1/AE397),IF(S397="USD",J397/IF(K397=RIGHT(AB397,3),IF(W397="CLIENT",AM397,AE397),1/IF(W397="CLIENT",AM397,AE397)),J397*VLOOKUP(K397,'FX RATES'!$E$1:$F$10,2,FALSE)))</f>
        <v>-349021.6</v>
      </c>
      <c r="AU397" s="170">
        <f>IF(AB397&lt;&gt;AJ397,R397/IF(S397=RIGHT(AJ397,3),AM397,1/AM397),IF(K397="USD",R397/IF(S397=RIGHT(AJ397,3),IF(W397="CLIENT",AM397,AE397),1/IF(W397="CLIENT",AM397,AE397)),R397*VLOOKUP(S397,'FX RATES'!$E$1:$F$10,2,FALSE)))</f>
        <v>350877.27041392459</v>
      </c>
      <c r="AV397" s="170">
        <f>AT397+AU397</f>
        <v>1855.670413924614</v>
      </c>
      <c r="AW397" s="169"/>
      <c r="AX397" s="170">
        <f>IF(AND(ISERROR(SEARCH("INVOICE",T397)),ISERROR(SEARCH("SWITCH",T397)),ISERROR(SEARCH("FOREX",T397)),ISERROR(SEARCH("REFUND",A397)),ISERROR(SEARCH("CANCELLED",A397))),IF(AW397="",-AT397*X397+AU397*Z397,AW397),0)</f>
        <v>1855.6704139246381</v>
      </c>
      <c r="AY397" s="170">
        <f>IF(AZ397="USD",AT397,IF(AZ397=K397,J397,-R397))</f>
        <v>-349021.6</v>
      </c>
      <c r="AZ397" s="170" t="str">
        <f>LEFT(AB397,3)</f>
        <v>USD</v>
      </c>
      <c r="BA397" s="542">
        <f>IF(OR(A397="REFUND",A397="CANCELLED"),0,IFERROR((IF(OR(AB397="USDAED",LEFT(AB397,3)=RIGHT(AB397,3)),AI397,AG397)-AE397)*-AY397*VLOOKUP(AB397,'FX RATES'!$H$1:$J$26,3,FALSE),0))</f>
        <v>0</v>
      </c>
      <c r="BB397" s="170" t="str">
        <f>RIGHT(AB397,3)</f>
        <v>USD</v>
      </c>
      <c r="BC397" s="542">
        <f>IF(BA397=0,0,IFERROR(BA397/IF(BB397&lt;&gt;"USD",AI397,1),"???"))</f>
        <v>0</v>
      </c>
      <c r="BD397" s="170">
        <f>IFERROR(-AC397/(IF(OR(AB397="USDAED",LEFT(AB397,3)=RIGHT(AB397,3)),AH397,AG397)-AE397)*BC397,0)</f>
        <v>0</v>
      </c>
      <c r="BE397" s="542">
        <f>BC397-BD397</f>
        <v>0</v>
      </c>
      <c r="BF397" s="170">
        <f>IF(BG397="USD",AU397,IF(BG397=S397,R397,-J397))</f>
        <v>350877.27041392459</v>
      </c>
      <c r="BG397" s="170" t="str">
        <f>LEFT(AJ397,3)</f>
        <v>USD</v>
      </c>
      <c r="BH397" s="542">
        <f>IF(OR(A397="REFUND",A397="CANCELLED"),0,IFERROR((IF(OR(AJ397="USDAED",LEFT(AJ397,3)=RIGHT(AJ397,3)),AQ397,AO397)-AM397)*-BF397*VLOOKUP(AJ397,'FX RATES'!$H$1:$J$26,3,FALSE),0))</f>
        <v>94736.863011758236</v>
      </c>
      <c r="BI397" s="170" t="str">
        <f>RIGHT(AJ397,3)</f>
        <v>RUB</v>
      </c>
      <c r="BJ397" s="542">
        <f>IF(BH397=0,0,IFERROR(BH397/IF(BI397&lt;&gt;"USD",AQ397,1),"???"))</f>
        <v>1230.3488702825746</v>
      </c>
      <c r="BK397" s="170">
        <f>IFERROR(-AK397/(IF(OR(AJ397="USDAED",LEFT(AJ397,3)=RIGHT(AJ397,3)),AP397,AO397)-AM397)*BJ397,0)</f>
        <v>0</v>
      </c>
      <c r="BL397" s="542">
        <f>BJ397-BK397</f>
        <v>1230.3488702825746</v>
      </c>
      <c r="BM397" s="170">
        <f>IF(AND(ISERROR(SEARCH("REFUND",A397)),ISERROR(SEARCH("CANCELLED",A397))),BD397+BK397,0)</f>
        <v>0</v>
      </c>
      <c r="BN397" s="542">
        <f>IF(AND(ISERROR(SEARCH("REFUND",A397)),ISERROR(SEARCH("CANCELLED",A397))),BE397+BL397,0)</f>
        <v>1230.3488702825746</v>
      </c>
    </row>
    <row r="398" spans="1:66" ht="19.5" customHeight="1">
      <c r="A398" s="167" t="s">
        <v>366</v>
      </c>
      <c r="B398" s="168" t="s">
        <v>39</v>
      </c>
      <c r="C398" s="168" t="s">
        <v>383</v>
      </c>
      <c r="D398" s="168" t="s">
        <v>128</v>
      </c>
      <c r="E398" s="171">
        <v>46056</v>
      </c>
      <c r="F398" s="171"/>
      <c r="G398" s="168" t="s">
        <v>39</v>
      </c>
      <c r="H398" s="168" t="s">
        <v>384</v>
      </c>
      <c r="I398" s="169">
        <v>-27112000</v>
      </c>
      <c r="J398" s="170">
        <f>IF(I398="",AR398,I398)</f>
        <v>-27112000</v>
      </c>
      <c r="K398" s="168" t="s">
        <v>9</v>
      </c>
      <c r="L398" s="171" t="s">
        <v>374</v>
      </c>
      <c r="M398" s="168" t="s">
        <v>374</v>
      </c>
      <c r="N398" s="167" t="s">
        <v>371</v>
      </c>
      <c r="O398" s="168" t="s">
        <v>39</v>
      </c>
      <c r="P398" s="349" t="s">
        <v>384</v>
      </c>
      <c r="Q398" s="169"/>
      <c r="R398" s="170">
        <f>IF(Q398="",AS398,Q398)</f>
        <v>1288593.1558935363</v>
      </c>
      <c r="S398" s="168" t="s">
        <v>8</v>
      </c>
      <c r="T398" s="171" t="s">
        <v>385</v>
      </c>
      <c r="U398" s="168" t="s">
        <v>20</v>
      </c>
      <c r="V398" s="167" t="s">
        <v>371</v>
      </c>
      <c r="W398" s="172" t="s">
        <v>382</v>
      </c>
      <c r="X398" s="173">
        <f>IF(Y398="",VLOOKUP(H398,CLIENTS!$A$1:$O$649,5,FALSE),Y398)</f>
        <v>0</v>
      </c>
      <c r="Y398" s="174">
        <v>0</v>
      </c>
      <c r="Z398" s="173">
        <f>IF(AA398="",VLOOKUP(P398,CLIENTS!$A$1:$O$649,5,FALSE),AA398)</f>
        <v>0</v>
      </c>
      <c r="AA398" s="174">
        <v>0</v>
      </c>
      <c r="AB398" s="173" t="str">
        <f>IF(W398="via USD",IF(K398="EUR",K398&amp;"USD","USD"&amp;K398),IFERROR(VLOOKUP(K398&amp;S398,'FX RATES'!$H$2:$H$20,1,FALSE),S398&amp;K398))</f>
        <v>AEDRUB</v>
      </c>
      <c r="AC398" s="175">
        <f>IF(LEFT(AB398,3)=RIGHT(AB398,3),0,IFERROR(INDEX(CLIENTS!$A$1:$O$649,MATCH(H398,CLIENTS!$A$1:$A$649,0),MATCH(AB398,CLIENTS!$A$1:$O$1,0)),0))</f>
        <v>0</v>
      </c>
      <c r="AD398" s="176">
        <v>21.04</v>
      </c>
      <c r="AE398" s="177">
        <f>IF(W398="CLIENT","",IF(AD398="",AH398+AC398,AD398+AC398))</f>
        <v>21.04</v>
      </c>
      <c r="AF398" s="177" t="str">
        <f>E398&amp;AB398</f>
        <v>46056AEDRUB</v>
      </c>
      <c r="AG398" s="176">
        <v>20.9666</v>
      </c>
      <c r="AH398" s="178">
        <f ca="1">IF(LEFT(AB398,3)=RIGHT(AB398,3),1,VLOOKUP(AB398,'FX RATES'!$H$1:$I$20,2,FALSE))</f>
        <v>20.8843</v>
      </c>
      <c r="AI398" s="178">
        <f>IF(OR(AB398="USDAED",LEFT(AB398,3)=RIGHT(AB398,3)),AH398,IF(LEFT(AB398)="USD",AG398,IF(RIGHT(AB398,3)="USD",1,IFERROR(VLOOKUP(E398&amp;"USD"&amp;RIGHT(AB398,3),$AF:$AG,2,FALSE),VLOOKUP(E398&amp;"USD"&amp;RIGHT(AJ398,3),$AN:$AO,2,FALSE)))))</f>
        <v>77</v>
      </c>
      <c r="AJ398" s="173" t="str">
        <f>IF(W398="via USD",IF(S398="EUR",S398&amp;"USD","USD"&amp;S398),IFERROR(VLOOKUP(K398&amp;S398,'FX RATES'!$H$2:$H$20,1,FALSE),S398&amp;K398))</f>
        <v>AEDRUB</v>
      </c>
      <c r="AK398" s="175">
        <f>IF(LEFT(AJ398,3)=RIGHT(AJ398,3),0,IFERROR(INDEX(CLIENTS!$A$1:$O$649,MATCH(P398,CLIENTS!$A$1:$A$649,0),MATCH(AJ398,CLIENTS!$A$1:$O$1,0)),0))</f>
        <v>0</v>
      </c>
      <c r="AL398" s="176"/>
      <c r="AM398" s="177" t="str">
        <f>IF(W398="VENDOR","",IF(AL398="",AP398+AK398,AL398+AK398))</f>
        <v/>
      </c>
      <c r="AN398" s="177" t="str">
        <f>E398&amp;AJ398</f>
        <v>46056AEDRUB</v>
      </c>
      <c r="AO398" s="176"/>
      <c r="AP398" s="178">
        <f ca="1">IF(LEFT(AJ398,3)=RIGHT(AJ398,3),1,VLOOKUP(AJ398,'FX RATES'!$H$1:$I$20,2,FALSE))</f>
        <v>20.8843</v>
      </c>
      <c r="AQ398" s="178">
        <f>IF(OR(AJ398="USDAED",LEFT(AJ398,3)=RIGHT(AJ398,3)),AP398,IF(LEFT(AJ398)="USD",AO398,IF(RIGHT(AJ398,3)="USD",1,IFERROR(VLOOKUP(E398&amp;"USD"&amp;RIGHT(AJ398,3),$AN:$AO,2,FALSE),VLOOKUP(E398&amp;"USD"&amp;RIGHT(AB398,3),$AF:$AG,2,FALSE)))))</f>
        <v>77</v>
      </c>
      <c r="AR398" s="179">
        <f>-Q398*(1-Z398)/(1+X398)*IF(W398="CLIENT",IF(S398=RIGHT(AJ398,3),1/AM398,AM398),IF(W398="VENDOR",IF(S398=RIGHT(AJ398,3),1/AE398,AE398),AE398^(VLOOKUP(AB398,'FX RATES'!$H$1:$J$26,3,FALSE))/AM398^(VLOOKUP(AJ398,'FX RATES'!$H$1:$J$26,3,FALSE))))</f>
        <v>0</v>
      </c>
      <c r="AS398" s="179">
        <f>-I398*(1+X398)/(1-Z398)*IF(W398="VENDOR",IF(K398=RIGHT(AB398,3),1/AE398,AE398),IF(W398="CLIENT",IF(K398=RIGHT(AB398,3),1/AM398,AM398),AM398^(VLOOKUP(AJ398,'FX RATES'!$H$1:$J$26,3,FALSE))/AE398^(VLOOKUP(AB398,'FX RATES'!$H$1:$J$26,3,FALSE))))</f>
        <v>1288593.1558935363</v>
      </c>
      <c r="AT398" s="170">
        <f ca="1">IF(AB398&lt;&gt;AJ398,J398/IF(K398=RIGHT(AB398,3),AE398,1/AE398),IF(S398="USD",J398/IF(K398=RIGHT(AB398,3),IF(W398="CLIENT",AM398,AE398),1/IF(W398="CLIENT",AM398,AE398)),J398*VLOOKUP(K398,'FX RATES'!$E$1:$F$10,2,FALSE)))</f>
        <v>-353386.64372625307</v>
      </c>
      <c r="AU398" s="170">
        <f ca="1">IF(AB398&lt;&gt;AJ398,R398/IF(S398=RIGHT(AJ398,3),AM398,1/AM398),IF(K398="USD",R398/IF(S398=RIGHT(AJ398,3),IF(W398="CLIENT",AM398,AE398),1/IF(W398="CLIENT",AM398,AE398)),R398*VLOOKUP(S398,'FX RATES'!$E$1:$F$10,2,FALSE)))</f>
        <v>350866.73089733056</v>
      </c>
      <c r="AV398" s="170">
        <f ca="1">AT398+AU398</f>
        <v>-2519.9128289225046</v>
      </c>
      <c r="AW398" s="169"/>
      <c r="AX398" s="170">
        <f ca="1">IF(AND(ISERROR(SEARCH("INVOICE",T398)),ISERROR(SEARCH("SWITCH",T398)),ISERROR(SEARCH("FOREX",T398)),ISERROR(SEARCH("REFUND",A398)),ISERROR(SEARCH("CANCELLED",A398))),IF(AW398="",-AT398*X398+AU398*Z398,AW398),0)</f>
        <v>0</v>
      </c>
      <c r="AY398" s="170">
        <f>IF(AZ398="USD",AT398,IF(AZ398=K398,J398,-R398))</f>
        <v>-1288593.1558935363</v>
      </c>
      <c r="AZ398" s="170" t="str">
        <f>LEFT(AB398,3)</f>
        <v>AED</v>
      </c>
      <c r="BA398" s="542">
        <f>IF(OR(A398="REFUND",A398="CANCELLED"),0,IFERROR((IF(OR(AB398="USDAED",LEFT(AB398,3)=RIGHT(AB398,3)),AI398,AG398)-AE398)*-AY398*VLOOKUP(AB398,'FX RATES'!$H$1:$J$26,3,FALSE),0))</f>
        <v>-94582.737642584878</v>
      </c>
      <c r="BB398" s="170" t="str">
        <f>RIGHT(AB398,3)</f>
        <v>RUB</v>
      </c>
      <c r="BC398" s="542">
        <f>IF(BA398=0,0,IFERROR(BA398/IF(BB398&lt;&gt;"USD",AI398,1),"???"))</f>
        <v>-1228.3472421114918</v>
      </c>
      <c r="BD398" s="170">
        <f>IFERROR(-AC398/(IF(OR(AB398="USDAED",LEFT(AB398,3)=RIGHT(AB398,3)),AH398,AG398)-AE398)*BC398,0)</f>
        <v>0</v>
      </c>
      <c r="BE398" s="542">
        <f>BC398-BD398</f>
        <v>-1228.3472421114918</v>
      </c>
      <c r="BF398" s="170">
        <f>IF(BG398="USD",AU398,IF(BG398=S398,R398,-J398))</f>
        <v>1288593.1558935363</v>
      </c>
      <c r="BG398" s="170" t="str">
        <f>LEFT(AJ398,3)</f>
        <v>AED</v>
      </c>
      <c r="BH398" s="542">
        <f>IF(OR(A398="REFUND",A398="CANCELLED"),0,IFERROR((IF(OR(AJ398="USDAED",LEFT(AJ398,3)=RIGHT(AJ398,3)),AQ398,AO398)-AM398)*-BF398*VLOOKUP(AJ398,'FX RATES'!$H$1:$J$26,3,FALSE),0))</f>
        <v>0</v>
      </c>
      <c r="BI398" s="170" t="str">
        <f>RIGHT(AJ398,3)</f>
        <v>RUB</v>
      </c>
      <c r="BJ398" s="542">
        <f>IF(BH398=0,0,IFERROR(BH398/IF(BI398&lt;&gt;"USD",AQ398,1),"???"))</f>
        <v>0</v>
      </c>
      <c r="BK398" s="170">
        <f>IFERROR(-AK398/(IF(OR(AJ398="USDAED",LEFT(AJ398,3)=RIGHT(AJ398,3)),AP398,AO398)-AM398)*BJ398,0)</f>
        <v>0</v>
      </c>
      <c r="BL398" s="542">
        <f>BJ398-BK398</f>
        <v>0</v>
      </c>
      <c r="BM398" s="170">
        <f>IF(AND(ISERROR(SEARCH("REFUND",A398)),ISERROR(SEARCH("CANCELLED",A398))),BD398+BK398,0)</f>
        <v>0</v>
      </c>
      <c r="BN398" s="542">
        <f>IF(AND(ISERROR(SEARCH("REFUND",A398)),ISERROR(SEARCH("CANCELLED",A398))),BE398+BL398,0)</f>
        <v>-1228.3472421114918</v>
      </c>
    </row>
    <row r="399" spans="1:66" ht="19.5" customHeight="1">
      <c r="A399" s="167"/>
      <c r="B399" s="182"/>
      <c r="C399" s="182"/>
      <c r="D399" s="182"/>
      <c r="E399" s="184"/>
      <c r="F399" s="184"/>
      <c r="G399" s="182"/>
      <c r="H399" s="182"/>
      <c r="I399" s="170"/>
      <c r="J399" s="170"/>
      <c r="K399" s="182"/>
      <c r="L399" s="184"/>
      <c r="M399" s="182"/>
      <c r="O399" s="182"/>
      <c r="P399" s="444"/>
      <c r="Q399" s="170"/>
      <c r="R399" s="170"/>
      <c r="S399" s="182"/>
      <c r="T399" s="184"/>
      <c r="U399" s="182"/>
      <c r="X399" s="173"/>
      <c r="Y399" s="173"/>
      <c r="Z399" s="173"/>
      <c r="AA399" s="173"/>
      <c r="AB399" s="173"/>
      <c r="AC399" s="175"/>
      <c r="AD399" s="177"/>
      <c r="AE399" s="177"/>
      <c r="AF399" s="177"/>
      <c r="AG399" s="177"/>
      <c r="AH399" s="178"/>
      <c r="AI399" s="178"/>
      <c r="AJ399" s="173"/>
      <c r="AK399" s="175"/>
      <c r="AL399" s="177"/>
      <c r="AM399" s="177"/>
      <c r="AN399" s="177"/>
      <c r="AO399" s="177"/>
      <c r="AP399" s="178"/>
      <c r="AQ399" s="178"/>
      <c r="AR399" s="185"/>
      <c r="AS399" s="185"/>
      <c r="AT399" s="170"/>
      <c r="AU399" s="170"/>
      <c r="AV399" s="170"/>
      <c r="AW399" s="170"/>
      <c r="AX399" s="170"/>
      <c r="AY399" s="170"/>
      <c r="AZ399" s="170"/>
      <c r="BA399" s="542"/>
      <c r="BB399" s="170"/>
      <c r="BC399" s="542"/>
      <c r="BD399" s="170"/>
      <c r="BE399" s="542"/>
      <c r="BF399" s="170"/>
      <c r="BG399" s="170"/>
      <c r="BH399" s="542"/>
      <c r="BI399" s="170"/>
      <c r="BJ399" s="542"/>
      <c r="BK399" s="170"/>
      <c r="BL399" s="542"/>
      <c r="BM399" s="170"/>
      <c r="BN399" s="542"/>
    </row>
    <row r="400" spans="1:66" ht="19.5" customHeight="1">
      <c r="A400" s="167" t="s">
        <v>366</v>
      </c>
      <c r="B400" s="168" t="s">
        <v>39</v>
      </c>
      <c r="C400" s="168" t="s">
        <v>367</v>
      </c>
      <c r="D400" s="168" t="s">
        <v>368</v>
      </c>
      <c r="E400" s="171">
        <v>46057</v>
      </c>
      <c r="F400" s="171"/>
      <c r="G400" s="168" t="s">
        <v>39</v>
      </c>
      <c r="H400" s="168" t="s">
        <v>478</v>
      </c>
      <c r="I400" s="169">
        <v>-53978.11</v>
      </c>
      <c r="J400" s="170">
        <f>IF(I400="",AR400,I400)</f>
        <v>-53978.11</v>
      </c>
      <c r="K400" s="168" t="s">
        <v>5</v>
      </c>
      <c r="L400" s="171" t="s">
        <v>378</v>
      </c>
      <c r="M400" s="168" t="s">
        <v>20</v>
      </c>
      <c r="N400" s="167" t="s">
        <v>371</v>
      </c>
      <c r="O400" s="168" t="s">
        <v>39</v>
      </c>
      <c r="P400" s="168" t="s">
        <v>394</v>
      </c>
      <c r="Q400" s="169">
        <v>4240129.12</v>
      </c>
      <c r="R400" s="170">
        <f>IF(Q400="",AS400,Q400)</f>
        <v>4240129.12</v>
      </c>
      <c r="S400" s="168" t="s">
        <v>9</v>
      </c>
      <c r="T400" s="171" t="s">
        <v>25</v>
      </c>
      <c r="U400" s="168" t="s">
        <v>374</v>
      </c>
      <c r="V400" s="167" t="s">
        <v>371</v>
      </c>
      <c r="W400" s="172" t="s">
        <v>389</v>
      </c>
      <c r="X400" s="173">
        <f>IF(Y400="",VLOOKUP(H400,CLIENTS!$A$1:$O$649,5,FALSE),Y400)</f>
        <v>0</v>
      </c>
      <c r="Y400" s="174">
        <v>0</v>
      </c>
      <c r="Z400" s="173">
        <f>IF(AA400="",VLOOKUP(P400,CLIENTS!$A$1:$O$649,5,FALSE),AA400)</f>
        <v>3.1521777253583627E-3</v>
      </c>
      <c r="AA400" s="174">
        <v>3.1521777253583627E-3</v>
      </c>
      <c r="AB400" s="173" t="str">
        <f>IF(W400="via USD",IF(K400="EUR",K400&amp;"USD","USD"&amp;K400),IFERROR(VLOOKUP(K400&amp;S400,'FX RATES'!$H$2:$H$20,1,FALSE),S400&amp;K400))</f>
        <v>USDRUB</v>
      </c>
      <c r="AC400" s="175">
        <f>IF(LEFT(AB400,3)=RIGHT(AB400,3),0,IFERROR(INDEX(CLIENTS!$A$1:$O$649,MATCH(H400,CLIENTS!$A$1:$A$649,0),MATCH(AB400,CLIENTS!$A$1:$O$1,0)),0))</f>
        <v>0</v>
      </c>
      <c r="AD400" s="176"/>
      <c r="AE400" s="177" t="str">
        <f>IF(W400="CLIENT","",IF(AD400="",AH400+AC400,AD400+AC400))</f>
        <v/>
      </c>
      <c r="AF400" s="177" t="str">
        <f>E400&amp;AB400</f>
        <v>46057USDRUB</v>
      </c>
      <c r="AG400" s="176">
        <v>77</v>
      </c>
      <c r="AH400" s="178">
        <f ca="1">IF(LEFT(AB400,3)=RIGHT(AB400,3),1,VLOOKUP(AB400,'FX RATES'!$H$1:$I$20,2,FALSE))</f>
        <v>76.720500000000001</v>
      </c>
      <c r="AI400" s="178">
        <f>IF(OR(AB400="USDAED",LEFT(AB400,3)=RIGHT(AB400,3)),AH400,IF(LEFT(AB400)="USD",AG400,IF(RIGHT(AB400,3)="USD",1,IFERROR(VLOOKUP(E400&amp;"USD"&amp;RIGHT(AB400,3),$AF:$AG,2,FALSE),VLOOKUP(E400&amp;"USD"&amp;RIGHT(AJ400,3),$AN:$AO,2,FALSE)))))</f>
        <v>77</v>
      </c>
      <c r="AJ400" s="173" t="str">
        <f>IF(W400="via USD",IF(S400="EUR",S400&amp;"USD","USD"&amp;S400),IFERROR(VLOOKUP(K400&amp;S400,'FX RATES'!$H$2:$H$20,1,FALSE),S400&amp;K400))</f>
        <v>USDRUB</v>
      </c>
      <c r="AK400" s="175">
        <f>IF(LEFT(AJ400,3)=RIGHT(AJ400,3),0,IFERROR(INDEX(CLIENTS!$A$1:$O$649,MATCH(P400,CLIENTS!$A$1:$A$649,0),MATCH(AJ400,CLIENTS!$A$1:$O$1,0)),0))</f>
        <v>0</v>
      </c>
      <c r="AL400" s="176">
        <v>77.28</v>
      </c>
      <c r="AM400" s="177">
        <f>IF(W400="VENDOR","",IF(AL400="",AP400+AK400,AL400+AK400))</f>
        <v>77.28</v>
      </c>
      <c r="AN400" s="177" t="str">
        <f>E400&amp;AJ400</f>
        <v>46057USDRUB</v>
      </c>
      <c r="AO400" s="176">
        <v>77</v>
      </c>
      <c r="AP400" s="178">
        <f ca="1">IF(LEFT(AJ400,3)=RIGHT(AJ400,3),1,VLOOKUP(AJ400,'FX RATES'!$H$1:$I$20,2,FALSE))</f>
        <v>76.720500000000001</v>
      </c>
      <c r="AQ400" s="178">
        <f>IF(OR(AJ400="USDAED",LEFT(AJ400,3)=RIGHT(AJ400,3)),AP400,IF(LEFT(AJ400)="USD",AO400,IF(RIGHT(AJ400,3)="USD",1,IFERROR(VLOOKUP(E400&amp;"USD"&amp;RIGHT(AJ400,3),$AN:$AO,2,FALSE),VLOOKUP(E400&amp;"USD"&amp;RIGHT(AB400,3),$AF:$AG,2,FALSE)))))</f>
        <v>77</v>
      </c>
      <c r="AR400" s="179">
        <f>-Q400*(1-Z400)/(1+X400)*IF(W400="CLIENT",IF(S400=RIGHT(AJ400,3),1/AM400,AM400),IF(W400="VENDOR",IF(S400=RIGHT(AJ400,3),1/AE400,AE400),AE400^(VLOOKUP(AB400,'FX RATES'!$H$1:$J$26,3,FALSE))/AM400^(VLOOKUP(AJ400,'FX RATES'!$H$1:$J$26,3,FALSE))))</f>
        <v>-54694.144402630598</v>
      </c>
      <c r="AS400" s="179">
        <f>-I400*(1+X400)/(1-Z400)*IF(W400="VENDOR",IF(K400=RIGHT(AB400,3),1/AE400,AE400),IF(W400="CLIENT",IF(K400=RIGHT(AB400,3),1/AM400,AM400),AM400^(VLOOKUP(AJ400,'FX RATES'!$H$1:$J$26,3,FALSE))/AE400^(VLOOKUP(AB400,'FX RATES'!$H$1:$J$26,3,FALSE))))</f>
        <v>4184619.0036122981</v>
      </c>
      <c r="AT400" s="170">
        <f>IF(AB400&lt;&gt;AJ400,J400/IF(K400=RIGHT(AB400,3),AE400,1/AE400),IF(S400="USD",J400/IF(K400=RIGHT(AB400,3),IF(W400="CLIENT",AM400,AE400),1/IF(W400="CLIENT",AM400,AE400)),J400*VLOOKUP(K400,'FX RATES'!$E$1:$F$10,2,FALSE)))</f>
        <v>-53978.11</v>
      </c>
      <c r="AU400" s="170">
        <f>IF(AB400&lt;&gt;AJ400,R400/IF(S400=RIGHT(AJ400,3),AM400,1/AM400),IF(K400="USD",R400/IF(S400=RIGHT(AJ400,3),IF(W400="CLIENT",AM400,AE400),1/IF(W400="CLIENT",AM400,AE400)),R400*VLOOKUP(S400,'FX RATES'!$E$1:$F$10,2,FALSE)))</f>
        <v>54867.095238095237</v>
      </c>
      <c r="AV400" s="170">
        <f>AT400+AU400</f>
        <v>888.98523809523613</v>
      </c>
      <c r="AW400" s="169"/>
      <c r="AX400" s="170">
        <f>IF(AND(ISERROR(SEARCH("INVOICE",T400)),ISERROR(SEARCH("SWITCH",T400)),ISERROR(SEARCH("FOREX",T400)),ISERROR(SEARCH("REFUND",A400)),ISERROR(SEARCH("CANCELLED",A400))),IF(AW400="",-AT400*X400+AU400*Z400,AW400),0)</f>
        <v>172.95083546463971</v>
      </c>
      <c r="AY400" s="170">
        <f>IF(AZ400="USD",AT400,IF(AZ400=K400,J400,-R400))</f>
        <v>-53978.11</v>
      </c>
      <c r="AZ400" s="170" t="str">
        <f>LEFT(AB400,3)</f>
        <v>USD</v>
      </c>
      <c r="BA400" s="542">
        <f>IF(OR(A400="REFUND",A400="CANCELLED"),0,IFERROR((IF(OR(AB400="USDAED",LEFT(AB400,3)=RIGHT(AB400,3)),AI400,AG400)-AE400)*-AY400*VLOOKUP(AB400,'FX RATES'!$H$1:$J$26,3,FALSE),0))</f>
        <v>0</v>
      </c>
      <c r="BB400" s="170" t="str">
        <f>RIGHT(AB400,3)</f>
        <v>RUB</v>
      </c>
      <c r="BC400" s="542">
        <f>IF(BA400=0,0,IFERROR(BA400/IF(BB400&lt;&gt;"USD",AI400,1),"???"))</f>
        <v>0</v>
      </c>
      <c r="BD400" s="170">
        <f>IFERROR(-AC400/(IF(OR(AB400="USDAED",LEFT(AB400,3)=RIGHT(AB400,3)),AH400,AG400)-AE400)*BC400,0)</f>
        <v>0</v>
      </c>
      <c r="BE400" s="542">
        <f>BC400-BD400</f>
        <v>0</v>
      </c>
      <c r="BF400" s="170">
        <f>IF(BG400="USD",AU400,IF(BG400=S400,R400,-J400))</f>
        <v>54867.095238095237</v>
      </c>
      <c r="BG400" s="170" t="str">
        <f>LEFT(AJ400,3)</f>
        <v>USD</v>
      </c>
      <c r="BH400" s="542">
        <f>IF(OR(A400="REFUND",A400="CANCELLED"),0,IFERROR((IF(OR(AJ400="USDAED",LEFT(AJ400,3)=RIGHT(AJ400,3)),AQ400,AO400)-AM400)*-BF400*VLOOKUP(AJ400,'FX RATES'!$H$1:$J$26,3,FALSE),0))</f>
        <v>15362.786666666729</v>
      </c>
      <c r="BI400" s="170" t="str">
        <f>RIGHT(AJ400,3)</f>
        <v>RUB</v>
      </c>
      <c r="BJ400" s="542">
        <f>IF(BH400=0,0,IFERROR(BH400/IF(BI400&lt;&gt;"USD",AQ400,1),"???"))</f>
        <v>199.51670995671077</v>
      </c>
      <c r="BK400" s="170">
        <f>IFERROR(-AK400/(IF(OR(AJ400="USDAED",LEFT(AJ400,3)=RIGHT(AJ400,3)),AP400,AO400)-AM400)*BJ400,0)</f>
        <v>0</v>
      </c>
      <c r="BL400" s="542">
        <f>BJ400-BK400</f>
        <v>199.51670995671077</v>
      </c>
      <c r="BM400" s="170">
        <f>IF(AND(ISERROR(SEARCH("REFUND",A400)),ISERROR(SEARCH("CANCELLED",A400))),BD400+BK400,0)</f>
        <v>0</v>
      </c>
      <c r="BN400" s="542">
        <f>IF(AND(ISERROR(SEARCH("REFUND",A400)),ISERROR(SEARCH("CANCELLED",A400))),BE400+BL400,0)</f>
        <v>199.51670995671077</v>
      </c>
    </row>
    <row r="401" spans="1:66" ht="19.5" customHeight="1">
      <c r="A401" s="167" t="s">
        <v>366</v>
      </c>
      <c r="B401" s="168" t="s">
        <v>39</v>
      </c>
      <c r="C401" s="168" t="s">
        <v>367</v>
      </c>
      <c r="D401" s="168" t="s">
        <v>368</v>
      </c>
      <c r="E401" s="171">
        <v>46057</v>
      </c>
      <c r="F401" s="171"/>
      <c r="G401" s="168" t="s">
        <v>39</v>
      </c>
      <c r="H401" s="168" t="s">
        <v>393</v>
      </c>
      <c r="I401" s="169">
        <v>-270132.2</v>
      </c>
      <c r="J401" s="170">
        <f>IF(I401="",AR401,I401)</f>
        <v>-270132.2</v>
      </c>
      <c r="K401" s="168" t="s">
        <v>5</v>
      </c>
      <c r="L401" s="171" t="s">
        <v>378</v>
      </c>
      <c r="M401" s="168" t="s">
        <v>20</v>
      </c>
      <c r="N401" s="167" t="s">
        <v>371</v>
      </c>
      <c r="O401" s="168" t="s">
        <v>39</v>
      </c>
      <c r="P401" s="168" t="s">
        <v>394</v>
      </c>
      <c r="Q401" s="169">
        <f>25126442.84-R400</f>
        <v>20886313.719999999</v>
      </c>
      <c r="R401" s="170">
        <f>IF(Q401="",AS401,Q401)</f>
        <v>20886313.719999999</v>
      </c>
      <c r="S401" s="168" t="s">
        <v>9</v>
      </c>
      <c r="T401" s="171" t="s">
        <v>25</v>
      </c>
      <c r="U401" s="168" t="s">
        <v>374</v>
      </c>
      <c r="V401" s="167" t="s">
        <v>371</v>
      </c>
      <c r="W401" s="172" t="s">
        <v>389</v>
      </c>
      <c r="X401" s="173">
        <f>IF(Y401="",VLOOKUP(H401,CLIENTS!$A$1:$O$649,5,FALSE),Y401)</f>
        <v>0</v>
      </c>
      <c r="Y401" s="174">
        <v>0</v>
      </c>
      <c r="Z401" s="173">
        <f>IF(AA401="",VLOOKUP(P401,CLIENTS!$A$1:$O$649,5,FALSE),AA401)</f>
        <v>3.1521777253583627E-3</v>
      </c>
      <c r="AA401" s="174">
        <v>3.1521777253583627E-3</v>
      </c>
      <c r="AB401" s="173" t="str">
        <f>IF(W401="via USD",IF(K401="EUR",K401&amp;"USD","USD"&amp;K401),IFERROR(VLOOKUP(K401&amp;S401,'FX RATES'!$H$2:$H$20,1,FALSE),S401&amp;K401))</f>
        <v>USDRUB</v>
      </c>
      <c r="AC401" s="175">
        <f>IF(LEFT(AB401,3)=RIGHT(AB401,3),0,IFERROR(INDEX(CLIENTS!$A$1:$O$649,MATCH(H401,CLIENTS!$A$1:$A$649,0),MATCH(AB401,CLIENTS!$A$1:$O$1,0)),0))</f>
        <v>0</v>
      </c>
      <c r="AD401" s="176"/>
      <c r="AE401" s="177" t="str">
        <f>IF(W401="CLIENT","",IF(AD401="",AH401+AC401,AD401+AC401))</f>
        <v/>
      </c>
      <c r="AF401" s="177" t="str">
        <f>E401&amp;AB401</f>
        <v>46057USDRUB</v>
      </c>
      <c r="AG401" s="176"/>
      <c r="AH401" s="178">
        <f ca="1">IF(LEFT(AB401,3)=RIGHT(AB401,3),1,VLOOKUP(AB401,'FX RATES'!$H$1:$I$20,2,FALSE))</f>
        <v>76.720500000000001</v>
      </c>
      <c r="AI401" s="178">
        <f>IF(OR(AB401="USDAED",LEFT(AB401,3)=RIGHT(AB401,3)),AH401,IF(LEFT(AB401)="USD",AG401,IF(RIGHT(AB401,3)="USD",1,IFERROR(VLOOKUP(E401&amp;"USD"&amp;RIGHT(AB401,3),$AF:$AG,2,FALSE),VLOOKUP(E401&amp;"USD"&amp;RIGHT(AJ401,3),$AN:$AO,2,FALSE)))))</f>
        <v>77</v>
      </c>
      <c r="AJ401" s="173" t="str">
        <f>IF(W401="via USD",IF(S401="EUR",S401&amp;"USD","USD"&amp;S401),IFERROR(VLOOKUP(K401&amp;S401,'FX RATES'!$H$2:$H$20,1,FALSE),S401&amp;K401))</f>
        <v>USDRUB</v>
      </c>
      <c r="AK401" s="175">
        <f>IF(LEFT(AJ401,3)=RIGHT(AJ401,3),0,IFERROR(INDEX(CLIENTS!$A$1:$O$649,MATCH(P401,CLIENTS!$A$1:$A$649,0),MATCH(AJ401,CLIENTS!$A$1:$O$1,0)),0))</f>
        <v>0</v>
      </c>
      <c r="AL401" s="176">
        <v>77.28</v>
      </c>
      <c r="AM401" s="177">
        <f>IF(W401="VENDOR","",IF(AL401="",AP401+AK401,AL401+AK401))</f>
        <v>77.28</v>
      </c>
      <c r="AN401" s="177" t="str">
        <f>E401&amp;AJ401</f>
        <v>46057USDRUB</v>
      </c>
      <c r="AO401" s="176">
        <v>77</v>
      </c>
      <c r="AP401" s="178">
        <f ca="1">IF(LEFT(AJ401,3)=RIGHT(AJ401,3),1,VLOOKUP(AJ401,'FX RATES'!$H$1:$I$20,2,FALSE))</f>
        <v>76.720500000000001</v>
      </c>
      <c r="AQ401" s="178">
        <f>IF(OR(AJ401="USDAED",LEFT(AJ401,3)=RIGHT(AJ401,3)),AP401,IF(LEFT(AJ401)="USD",AO401,IF(RIGHT(AJ401,3)="USD",1,IFERROR(VLOOKUP(E401&amp;"USD"&amp;RIGHT(AJ401,3),$AN:$AO,2,FALSE),VLOOKUP(E401&amp;"USD"&amp;RIGHT(AB401,3),$AF:$AG,2,FALSE)))))</f>
        <v>77</v>
      </c>
      <c r="AR401" s="179">
        <f>-Q401*(1-Z401)/(1+X401)*IF(W401="CLIENT",IF(S401=RIGHT(AJ401,3),1/AM401,AM401),IF(W401="VENDOR",IF(S401=RIGHT(AJ401,3),1/AE401,AE401),AE401^(VLOOKUP(AB401,'FX RATES'!$H$1:$J$26,3,FALSE))/AM401^(VLOOKUP(AJ401,'FX RATES'!$H$1:$J$26,3,FALSE))))</f>
        <v>-269416.10180029721</v>
      </c>
      <c r="AS401" s="179">
        <f>-I401*(1+X401)/(1-Z401)*IF(W401="VENDOR",IF(K401=RIGHT(AB401,3),1/AE401,AE401),IF(W401="CLIENT",IF(K401=RIGHT(AB401,3),1/AM401,AM401),AM401^(VLOOKUP(AJ401,'FX RATES'!$H$1:$J$26,3,FALSE))/AE401^(VLOOKUP(AB401,'FX RATES'!$H$1:$J$26,3,FALSE))))</f>
        <v>20941828.782215569</v>
      </c>
      <c r="AT401" s="170">
        <f>IF(AB401&lt;&gt;AJ401,J401/IF(K401=RIGHT(AB401,3),AE401,1/AE401),IF(S401="USD",J401/IF(K401=RIGHT(AB401,3),IF(W401="CLIENT",AM401,AE401),1/IF(W401="CLIENT",AM401,AE401)),J401*VLOOKUP(K401,'FX RATES'!$E$1:$F$10,2,FALSE)))</f>
        <v>-270132.2</v>
      </c>
      <c r="AU401" s="170">
        <f>IF(AB401&lt;&gt;AJ401,R401/IF(S401=RIGHT(AJ401,3),AM401,1/AM401),IF(K401="USD",R401/IF(S401=RIGHT(AJ401,3),IF(W401="CLIENT",AM401,AE401),1/IF(W401="CLIENT",AM401,AE401)),R401*VLOOKUP(S401,'FX RATES'!$E$1:$F$10,2,FALSE)))</f>
        <v>270268.03467908903</v>
      </c>
      <c r="AV401" s="170">
        <f>AT401+AU401</f>
        <v>135.83467908902094</v>
      </c>
      <c r="AW401" s="169"/>
      <c r="AX401" s="170">
        <f>IF(AND(ISERROR(SEARCH("INVOICE",T401)),ISERROR(SEARCH("SWITCH",T401)),ISERROR(SEARCH("FOREX",T401)),ISERROR(SEARCH("REFUND",A401)),ISERROR(SEARCH("CANCELLED",A401))),IF(AW401="",-AT401*X401+AU401*Z401,AW401),0)</f>
        <v>851.93287879180593</v>
      </c>
      <c r="AY401" s="170">
        <f>IF(AZ401="USD",AT401,IF(AZ401=K401,J401,-R401))</f>
        <v>-270132.2</v>
      </c>
      <c r="AZ401" s="170" t="str">
        <f>LEFT(AB401,3)</f>
        <v>USD</v>
      </c>
      <c r="BA401" s="542">
        <f>IF(OR(A401="REFUND",A401="CANCELLED"),0,IFERROR((IF(OR(AB401="USDAED",LEFT(AB401,3)=RIGHT(AB401,3)),AI401,AG401)-AE401)*-AY401*VLOOKUP(AB401,'FX RATES'!$H$1:$J$26,3,FALSE),0))</f>
        <v>0</v>
      </c>
      <c r="BB401" s="170" t="str">
        <f>RIGHT(AB401,3)</f>
        <v>RUB</v>
      </c>
      <c r="BC401" s="542">
        <f>IF(BA401=0,0,IFERROR(BA401/IF(BB401&lt;&gt;"USD",AI401,1),"???"))</f>
        <v>0</v>
      </c>
      <c r="BD401" s="170">
        <f>IFERROR(-AC401/(IF(OR(AB401="USDAED",LEFT(AB401,3)=RIGHT(AB401,3)),AH401,AG401)-AE401)*BC401,0)</f>
        <v>0</v>
      </c>
      <c r="BE401" s="542">
        <f>BC401-BD401</f>
        <v>0</v>
      </c>
      <c r="BF401" s="170">
        <f>IF(BG401="USD",AU401,IF(BG401=S401,R401,-J401))</f>
        <v>270268.03467908903</v>
      </c>
      <c r="BG401" s="170" t="str">
        <f>LEFT(AJ401,3)</f>
        <v>USD</v>
      </c>
      <c r="BH401" s="542">
        <f>IF(OR(A401="REFUND",A401="CANCELLED"),0,IFERROR((IF(OR(AJ401="USDAED",LEFT(AJ401,3)=RIGHT(AJ401,3)),AQ401,AO401)-AM401)*-BF401*VLOOKUP(AJ401,'FX RATES'!$H$1:$J$26,3,FALSE),0))</f>
        <v>75675.049710145235</v>
      </c>
      <c r="BI401" s="170" t="str">
        <f>RIGHT(AJ401,3)</f>
        <v>RUB</v>
      </c>
      <c r="BJ401" s="542">
        <f>IF(BH401=0,0,IFERROR(BH401/IF(BI401&lt;&gt;"USD",AQ401,1),"???"))</f>
        <v>982.79285337850956</v>
      </c>
      <c r="BK401" s="170">
        <f>IFERROR(-AK401/(IF(OR(AJ401="USDAED",LEFT(AJ401,3)=RIGHT(AJ401,3)),AP401,AO401)-AM401)*BJ401,0)</f>
        <v>0</v>
      </c>
      <c r="BL401" s="542">
        <f>BJ401-BK401</f>
        <v>982.79285337850956</v>
      </c>
      <c r="BM401" s="170">
        <f>IF(AND(ISERROR(SEARCH("REFUND",A401)),ISERROR(SEARCH("CANCELLED",A401))),BD401+BK401,0)</f>
        <v>0</v>
      </c>
      <c r="BN401" s="542">
        <f>IF(AND(ISERROR(SEARCH("REFUND",A401)),ISERROR(SEARCH("CANCELLED",A401))),BE401+BL401,0)</f>
        <v>982.79285337850956</v>
      </c>
    </row>
    <row r="402" spans="1:66" ht="19.5" customHeight="1">
      <c r="A402" s="167" t="s">
        <v>366</v>
      </c>
      <c r="B402" s="168" t="s">
        <v>39</v>
      </c>
      <c r="C402" s="168" t="s">
        <v>383</v>
      </c>
      <c r="D402" s="168" t="s">
        <v>128</v>
      </c>
      <c r="E402" s="171">
        <v>46057</v>
      </c>
      <c r="F402" s="171"/>
      <c r="G402" s="168" t="s">
        <v>39</v>
      </c>
      <c r="H402" s="168" t="s">
        <v>384</v>
      </c>
      <c r="I402" s="169">
        <v>-25126000</v>
      </c>
      <c r="J402" s="509">
        <f>IF(I402="",AR402,I402)</f>
        <v>-25126000</v>
      </c>
      <c r="K402" s="168" t="s">
        <v>9</v>
      </c>
      <c r="L402" s="171" t="s">
        <v>374</v>
      </c>
      <c r="M402" s="168" t="s">
        <v>374</v>
      </c>
      <c r="N402" s="167" t="s">
        <v>371</v>
      </c>
      <c r="O402" s="168" t="s">
        <v>39</v>
      </c>
      <c r="P402" s="349" t="s">
        <v>384</v>
      </c>
      <c r="Q402" s="169"/>
      <c r="R402" s="170">
        <f>IF(Q402="",AS402,Q402)</f>
        <v>1194201.5209125476</v>
      </c>
      <c r="S402" s="168" t="s">
        <v>8</v>
      </c>
      <c r="T402" s="171" t="s">
        <v>385</v>
      </c>
      <c r="U402" s="168" t="s">
        <v>20</v>
      </c>
      <c r="V402" s="167" t="s">
        <v>371</v>
      </c>
      <c r="W402" s="172" t="s">
        <v>382</v>
      </c>
      <c r="X402" s="173">
        <f>IF(Y402="",VLOOKUP(H402,CLIENTS!$A$1:$O$649,5,FALSE),Y402)</f>
        <v>0</v>
      </c>
      <c r="Y402" s="174">
        <v>0</v>
      </c>
      <c r="Z402" s="173">
        <f>IF(AA402="",VLOOKUP(P402,CLIENTS!$A$1:$O$649,5,FALSE),AA402)</f>
        <v>0</v>
      </c>
      <c r="AA402" s="174">
        <v>0</v>
      </c>
      <c r="AB402" s="173" t="str">
        <f>IF(W402="via USD",IF(K402="EUR",K402&amp;"USD","USD"&amp;K402),IFERROR(VLOOKUP(K402&amp;S402,'FX RATES'!$H$2:$H$20,1,FALSE),S402&amp;K402))</f>
        <v>AEDRUB</v>
      </c>
      <c r="AC402" s="175">
        <f>IF(LEFT(AB402,3)=RIGHT(AB402,3),0,IFERROR(INDEX(CLIENTS!$A$1:$O$649,MATCH(H402,CLIENTS!$A$1:$A$649,0),MATCH(AB402,CLIENTS!$A$1:$O$1,0)),0))</f>
        <v>0</v>
      </c>
      <c r="AD402" s="176">
        <v>21.04</v>
      </c>
      <c r="AE402" s="177">
        <f>IF(W402="CLIENT","",IF(AD402="",AH402+AC402,AD402+AC402))</f>
        <v>21.04</v>
      </c>
      <c r="AF402" s="177" t="str">
        <f>E402&amp;AB402</f>
        <v>46057AEDRUB</v>
      </c>
      <c r="AG402" s="176">
        <v>20.9666</v>
      </c>
      <c r="AH402" s="178">
        <f ca="1">IF(LEFT(AB402,3)=RIGHT(AB402,3),1,VLOOKUP(AB402,'FX RATES'!$H$1:$I$20,2,FALSE))</f>
        <v>20.8843</v>
      </c>
      <c r="AI402" s="178">
        <f>IF(OR(AB402="USDAED",LEFT(AB402,3)=RIGHT(AB402,3)),AH402,IF(LEFT(AB402)="USD",AG402,IF(RIGHT(AB402,3)="USD",1,IFERROR(VLOOKUP(E402&amp;"USD"&amp;RIGHT(AB402,3),$AF:$AG,2,FALSE),VLOOKUP(E402&amp;"USD"&amp;RIGHT(AJ402,3),$AN:$AO,2,FALSE)))))</f>
        <v>77</v>
      </c>
      <c r="AJ402" s="173" t="str">
        <f>IF(W402="via USD",IF(S402="EUR",S402&amp;"USD","USD"&amp;S402),IFERROR(VLOOKUP(K402&amp;S402,'FX RATES'!$H$2:$H$20,1,FALSE),S402&amp;K402))</f>
        <v>AEDRUB</v>
      </c>
      <c r="AK402" s="175">
        <f>IF(LEFT(AJ402,3)=RIGHT(AJ402,3),0,IFERROR(INDEX(CLIENTS!$A$1:$O$649,MATCH(P402,CLIENTS!$A$1:$A$649,0),MATCH(AJ402,CLIENTS!$A$1:$O$1,0)),0))</f>
        <v>0</v>
      </c>
      <c r="AL402" s="176"/>
      <c r="AM402" s="177" t="str">
        <f>IF(W402="VENDOR","",IF(AL402="",AP402+AK402,AL402+AK402))</f>
        <v/>
      </c>
      <c r="AN402" s="177" t="str">
        <f>E402&amp;AJ402</f>
        <v>46057AEDRUB</v>
      </c>
      <c r="AO402" s="176"/>
      <c r="AP402" s="178">
        <f ca="1">IF(LEFT(AJ402,3)=RIGHT(AJ402,3),1,VLOOKUP(AJ402,'FX RATES'!$H$1:$I$20,2,FALSE))</f>
        <v>20.8843</v>
      </c>
      <c r="AQ402" s="178">
        <f>IF(OR(AJ402="USDAED",LEFT(AJ402,3)=RIGHT(AJ402,3)),AP402,IF(LEFT(AJ402)="USD",AO402,IF(RIGHT(AJ402,3)="USD",1,IFERROR(VLOOKUP(E402&amp;"USD"&amp;RIGHT(AJ402,3),$AN:$AO,2,FALSE),VLOOKUP(E402&amp;"USD"&amp;RIGHT(AB402,3),$AF:$AG,2,FALSE)))))</f>
        <v>77</v>
      </c>
      <c r="AR402" s="179">
        <f>-Q402*(1-Z402)/(1+X402)*IF(W402="CLIENT",IF(S402=RIGHT(AJ402,3),1/AM402,AM402),IF(W402="VENDOR",IF(S402=RIGHT(AJ402,3),1/AE402,AE402),AE402^(VLOOKUP(AB402,'FX RATES'!$H$1:$J$26,3,FALSE))/AM402^(VLOOKUP(AJ402,'FX RATES'!$H$1:$J$26,3,FALSE))))</f>
        <v>0</v>
      </c>
      <c r="AS402" s="179">
        <f>-I402*(1+X402)/(1-Z402)*IF(W402="VENDOR",IF(K402=RIGHT(AB402,3),1/AE402,AE402),IF(W402="CLIENT",IF(K402=RIGHT(AB402,3),1/AM402,AM402),AM402^(VLOOKUP(AJ402,'FX RATES'!$H$1:$J$26,3,FALSE))/AE402^(VLOOKUP(AB402,'FX RATES'!$H$1:$J$26,3,FALSE))))</f>
        <v>1194201.5209125476</v>
      </c>
      <c r="AT402" s="170">
        <f ca="1">IF(AB402&lt;&gt;AJ402,J402/IF(K402=RIGHT(AB402,3),AE402,1/AE402),IF(S402="USD",J402/IF(K402=RIGHT(AB402,3),IF(W402="CLIENT",AM402,AE402),1/IF(W402="CLIENT",AM402,AE402)),J402*VLOOKUP(K402,'FX RATES'!$E$1:$F$10,2,FALSE)))</f>
        <v>-327500.47249431378</v>
      </c>
      <c r="AU402" s="170">
        <f ca="1">IF(AB402&lt;&gt;AJ402,R402/IF(S402=RIGHT(AJ402,3),AM402,1/AM402),IF(K402="USD",R402/IF(S402=RIGHT(AJ402,3),IF(W402="CLIENT",AM402,AE402),1/IF(W402="CLIENT",AM402,AE402)),R402*VLOOKUP(S402,'FX RATES'!$E$1:$F$10,2,FALSE)))</f>
        <v>325165.14755555941</v>
      </c>
      <c r="AV402" s="170">
        <f ca="1">AT402+AU402</f>
        <v>-2335.3249387543765</v>
      </c>
      <c r="AW402" s="169"/>
      <c r="AX402" s="170">
        <f ca="1">IF(AND(ISERROR(SEARCH("INVOICE",T402)),ISERROR(SEARCH("SWITCH",T402)),ISERROR(SEARCH("FOREX",T402)),ISERROR(SEARCH("REFUND",A402)),ISERROR(SEARCH("CANCELLED",A402))),IF(AW402="",-AT402*X402+AU402*Z402,AW402),0)</f>
        <v>0</v>
      </c>
      <c r="AY402" s="170">
        <f>IF(AZ402="USD",AT402,IF(AZ402=K402,J402,-R402))</f>
        <v>-1194201.5209125476</v>
      </c>
      <c r="AZ402" s="170" t="str">
        <f>LEFT(AB402,3)</f>
        <v>AED</v>
      </c>
      <c r="BA402" s="542">
        <f>IF(OR(A402="REFUND",A402="CANCELLED"),0,IFERROR((IF(OR(AB402="USDAED",LEFT(AB402,3)=RIGHT(AB402,3)),AI402,AG402)-AE402)*-AY402*VLOOKUP(AB402,'FX RATES'!$H$1:$J$26,3,FALSE),0))</f>
        <v>-87654.391634980362</v>
      </c>
      <c r="BB402" s="170" t="str">
        <f>RIGHT(AB402,3)</f>
        <v>RUB</v>
      </c>
      <c r="BC402" s="542">
        <f>IF(BA402=0,0,IFERROR(BA402/IF(BB402&lt;&gt;"USD",AI402,1),"???"))</f>
        <v>-1138.3687225322126</v>
      </c>
      <c r="BD402" s="170">
        <f>IFERROR(-AC402/(IF(OR(AB402="USDAED",LEFT(AB402,3)=RIGHT(AB402,3)),AH402,AG402)-AE402)*BC402,0)</f>
        <v>0</v>
      </c>
      <c r="BE402" s="542">
        <f>BC402-BD402</f>
        <v>-1138.3687225322126</v>
      </c>
      <c r="BF402" s="170">
        <f>IF(BG402="USD",AU402,IF(BG402=S402,R402,-J402))</f>
        <v>1194201.5209125476</v>
      </c>
      <c r="BG402" s="170" t="str">
        <f>LEFT(AJ402,3)</f>
        <v>AED</v>
      </c>
      <c r="BH402" s="542">
        <f>IF(OR(A402="REFUND",A402="CANCELLED"),0,IFERROR((IF(OR(AJ402="USDAED",LEFT(AJ402,3)=RIGHT(AJ402,3)),AQ402,AO402)-AM402)*-BF402*VLOOKUP(AJ402,'FX RATES'!$H$1:$J$26,3,FALSE),0))</f>
        <v>0</v>
      </c>
      <c r="BI402" s="170" t="str">
        <f>RIGHT(AJ402,3)</f>
        <v>RUB</v>
      </c>
      <c r="BJ402" s="542">
        <f>IF(BH402=0,0,IFERROR(BH402/IF(BI402&lt;&gt;"USD",AQ402,1),"???"))</f>
        <v>0</v>
      </c>
      <c r="BK402" s="170">
        <f>IFERROR(-AK402/(IF(OR(AJ402="USDAED",LEFT(AJ402,3)=RIGHT(AJ402,3)),AP402,AO402)-AM402)*BJ402,0)</f>
        <v>0</v>
      </c>
      <c r="BL402" s="542">
        <f>BJ402-BK402</f>
        <v>0</v>
      </c>
      <c r="BM402" s="170">
        <f>IF(AND(ISERROR(SEARCH("REFUND",A402)),ISERROR(SEARCH("CANCELLED",A402))),BD402+BK402,0)</f>
        <v>0</v>
      </c>
      <c r="BN402" s="542">
        <f>IF(AND(ISERROR(SEARCH("REFUND",A402)),ISERROR(SEARCH("CANCELLED",A402))),BE402+BL402,0)</f>
        <v>-1138.3687225322126</v>
      </c>
    </row>
    <row r="403" spans="1:66" ht="19.5" customHeight="1">
      <c r="A403" s="167"/>
      <c r="B403" s="182"/>
      <c r="C403" s="182"/>
      <c r="D403" s="182"/>
      <c r="E403" s="184"/>
      <c r="F403" s="184"/>
      <c r="G403" s="182"/>
      <c r="H403" s="182"/>
      <c r="I403" s="170"/>
      <c r="J403" s="170"/>
      <c r="K403" s="182"/>
      <c r="L403" s="184"/>
      <c r="M403" s="182"/>
      <c r="O403" s="182"/>
      <c r="P403" s="444"/>
      <c r="Q403" s="170"/>
      <c r="R403" s="170"/>
      <c r="S403" s="182"/>
      <c r="T403" s="184"/>
      <c r="U403" s="182"/>
      <c r="X403" s="173"/>
      <c r="Y403" s="173"/>
      <c r="Z403" s="173"/>
      <c r="AA403" s="173"/>
      <c r="AB403" s="173"/>
      <c r="AC403" s="175"/>
      <c r="AD403" s="177"/>
      <c r="AE403" s="177"/>
      <c r="AF403" s="177"/>
      <c r="AG403" s="177"/>
      <c r="AH403" s="178"/>
      <c r="AI403" s="178"/>
      <c r="AJ403" s="173"/>
      <c r="AK403" s="175"/>
      <c r="AL403" s="177"/>
      <c r="AM403" s="177"/>
      <c r="AN403" s="177"/>
      <c r="AO403" s="177"/>
      <c r="AP403" s="178"/>
      <c r="AQ403" s="178"/>
      <c r="AR403" s="185"/>
      <c r="AS403" s="185"/>
      <c r="AT403" s="170"/>
      <c r="AU403" s="170"/>
      <c r="AV403" s="170"/>
      <c r="AW403" s="170"/>
      <c r="AX403" s="170"/>
      <c r="AY403" s="170"/>
      <c r="AZ403" s="170"/>
      <c r="BA403" s="542"/>
      <c r="BB403" s="170"/>
      <c r="BC403" s="542"/>
      <c r="BD403" s="170"/>
      <c r="BE403" s="542"/>
      <c r="BF403" s="170"/>
      <c r="BG403" s="170"/>
      <c r="BH403" s="542"/>
      <c r="BI403" s="170"/>
      <c r="BJ403" s="542"/>
      <c r="BK403" s="170"/>
      <c r="BL403" s="542"/>
      <c r="BM403" s="170"/>
      <c r="BN403" s="542"/>
    </row>
    <row r="404" spans="1:66" ht="19.5" customHeight="1">
      <c r="A404" s="167" t="s">
        <v>366</v>
      </c>
      <c r="B404" s="168" t="s">
        <v>39</v>
      </c>
      <c r="C404" s="168" t="s">
        <v>367</v>
      </c>
      <c r="D404" s="168" t="s">
        <v>583</v>
      </c>
      <c r="E404" s="171">
        <v>46057</v>
      </c>
      <c r="F404" s="171"/>
      <c r="G404" s="168" t="s">
        <v>39</v>
      </c>
      <c r="H404" s="181" t="s">
        <v>584</v>
      </c>
      <c r="I404" s="169">
        <f>-280000*3.67</f>
        <v>-1027600</v>
      </c>
      <c r="J404" s="170">
        <f>IF(I404="",AR404,I404)</f>
        <v>-1027600</v>
      </c>
      <c r="K404" s="168" t="s">
        <v>8</v>
      </c>
      <c r="L404" s="171" t="s">
        <v>585</v>
      </c>
      <c r="M404" s="168" t="s">
        <v>17</v>
      </c>
      <c r="N404" s="167" t="s">
        <v>371</v>
      </c>
      <c r="O404" s="168" t="s">
        <v>39</v>
      </c>
      <c r="P404" s="168" t="s">
        <v>586</v>
      </c>
      <c r="Q404" s="169"/>
      <c r="R404" s="170">
        <f>IF(Q404="",AS404,Q404)</f>
        <v>21808450.704225354</v>
      </c>
      <c r="S404" s="168" t="s">
        <v>9</v>
      </c>
      <c r="T404" s="171" t="s">
        <v>391</v>
      </c>
      <c r="U404" s="168" t="s">
        <v>374</v>
      </c>
      <c r="V404" s="182" t="s">
        <v>371</v>
      </c>
      <c r="W404" s="172" t="s">
        <v>375</v>
      </c>
      <c r="X404" s="173">
        <f>IF(Y404="",VLOOKUP(H404,CLIENTS!$A$1:$O$649,5,FALSE),Y404)</f>
        <v>0</v>
      </c>
      <c r="Y404" s="174"/>
      <c r="Z404" s="173">
        <f>IF(AA404="",VLOOKUP(P404,CLIENTS!$A$1:$O$649,5,FALSE),AA404)</f>
        <v>6.0000000000000001E-3</v>
      </c>
      <c r="AA404" s="174">
        <v>6.0000000000000001E-3</v>
      </c>
      <c r="AB404" s="173" t="str">
        <f>IF(W404="via USD",IF(K404="EUR",K404&amp;"USD","USD"&amp;K404),IFERROR(VLOOKUP(K404&amp;S404,'FX RATES'!$H$2:$H$20,1,FALSE),S404&amp;K404))</f>
        <v>USDAED</v>
      </c>
      <c r="AC404" s="175">
        <f>IF(LEFT(AB404,3)=RIGHT(AB404,3),0,IFERROR(INDEX(CLIENTS!$A$1:$O$649,MATCH(H404,CLIENTS!$A$1:$A$649,0),MATCH(AB404,CLIENTS!$A$1:$O$1,0)),0))</f>
        <v>-2.5000000000000001E-3</v>
      </c>
      <c r="AD404" s="176"/>
      <c r="AE404" s="177">
        <f>IF(W404="CLIENT","",IF(AD404="",AH404+AC404,AD404+AC404))</f>
        <v>3.67</v>
      </c>
      <c r="AF404" s="177" t="str">
        <f>E404&amp;AB404</f>
        <v>46057USDAED</v>
      </c>
      <c r="AG404" s="176"/>
      <c r="AH404" s="178">
        <f>IF(LEFT(AB404,3)=RIGHT(AB404,3),1,VLOOKUP(AB404,'FX RATES'!$H$1:$I$20,2,FALSE))</f>
        <v>3.6724999999999999</v>
      </c>
      <c r="AI404" s="178">
        <f>IF(OR(AB404="USDAED",LEFT(AB404,3)=RIGHT(AB404,3)),AH404,IF(LEFT(AB404)="USD",AG404,IF(RIGHT(AB404,3)="USD",1,IFERROR(VLOOKUP(E404&amp;"USD"&amp;RIGHT(AB404,3),$AF:$AG,2,FALSE),VLOOKUP(E404&amp;"USD"&amp;RIGHT(AJ404,3),$AN:$AO,2,FALSE)))))</f>
        <v>3.6724999999999999</v>
      </c>
      <c r="AJ404" s="173" t="str">
        <f>IF(W404="via USD",IF(S404="EUR",S404&amp;"USD","USD"&amp;S404),IFERROR(VLOOKUP(K404&amp;S404,'FX RATES'!$H$2:$H$20,1,FALSE),S404&amp;K404))</f>
        <v>USDRUB</v>
      </c>
      <c r="AK404" s="175">
        <f>IF(LEFT(AJ404,3)=RIGHT(AJ404,3),0,IFERROR(INDEX(CLIENTS!$A$1:$O$649,MATCH(P404,CLIENTS!$A$1:$A$649,0),MATCH(AJ404,CLIENTS!$A$1:$O$1,0)),0))-0.15</f>
        <v>0</v>
      </c>
      <c r="AL404" s="176">
        <v>77.42</v>
      </c>
      <c r="AM404" s="177">
        <f>IF(W404="VENDOR","",IF(AL404="",AP404+AK404,AL404+AK404))</f>
        <v>77.42</v>
      </c>
      <c r="AN404" s="177" t="str">
        <f>E404&amp;AJ404</f>
        <v>46057USDRUB</v>
      </c>
      <c r="AO404" s="176">
        <v>77</v>
      </c>
      <c r="AP404" s="178">
        <f ca="1">IF(LEFT(AJ404,3)=RIGHT(AJ404,3),1,VLOOKUP(AJ404,'FX RATES'!$H$1:$I$20,2,FALSE))</f>
        <v>76.720500000000001</v>
      </c>
      <c r="AQ404" s="178">
        <f>IF(OR(AJ404="USDAED",LEFT(AJ404,3)=RIGHT(AJ404,3)),AP404,IF(LEFT(AJ404)="USD",AO404,IF(RIGHT(AJ404,3)="USD",1,IFERROR(VLOOKUP(E404&amp;"USD"&amp;RIGHT(AJ404,3),$AN:$AO,2,FALSE),VLOOKUP(E404&amp;"USD"&amp;RIGHT(AB404,3),$AF:$AG,2,FALSE)))))</f>
        <v>77</v>
      </c>
      <c r="AR404" s="179">
        <f>-Q404*(1-Z404)/(1+X404)*IF(W404="CLIENT",IF(S404=RIGHT(AJ404,3),1/AM404,AM404),IF(W404="VENDOR",IF(S404=RIGHT(AJ404,3),1/AE404,AE404),AE404^(VLOOKUP(AB404,'FX RATES'!$H$1:$J$26,3,FALSE))/AM404^(VLOOKUP(AJ404,'FX RATES'!$H$1:$J$26,3,FALSE))))</f>
        <v>0</v>
      </c>
      <c r="AS404" s="179">
        <f>-I404*(1+X404)/(1-Z404)*IF(W404="VENDOR",IF(K404=RIGHT(AB404,3),1/AE404,AE404),IF(W404="CLIENT",IF(K404=RIGHT(AB404,3),1/AM404,AM404),AM404^(VLOOKUP(AJ404,'FX RATES'!$H$1:$J$26,3,FALSE))/AE404^(VLOOKUP(AB404,'FX RATES'!$H$1:$J$26,3,FALSE))))</f>
        <v>21808450.704225354</v>
      </c>
      <c r="AT404" s="170">
        <f>IF(AB404&lt;&gt;AJ404,J404/IF(K404=RIGHT(AB404,3),AE404,1/AE404),IF(S404="USD",J404/IF(K404=RIGHT(AB404,3),IF(W404="CLIENT",AM404,AE404),1/IF(W404="CLIENT",AM404,AE404)),J404*VLOOKUP(K404,'FX RATES'!$E$1:$F$10,2,FALSE)))</f>
        <v>-280000</v>
      </c>
      <c r="AU404" s="170">
        <f>IF(AB404&lt;&gt;AJ404,R404/IF(S404=RIGHT(AJ404,3),AM404,1/AM404),IF(K404="USD",R404/IF(S404=RIGHT(AJ404,3),IF(W404="CLIENT",AM404,AE404),1/IF(W404="CLIENT",AM404,AE404)),R404*VLOOKUP(S404,'FX RATES'!$E$1:$F$10,2,FALSE)))</f>
        <v>281690.14084507042</v>
      </c>
      <c r="AV404" s="170">
        <f>AT404+AU404</f>
        <v>1690.1408450704184</v>
      </c>
      <c r="AW404" s="169"/>
      <c r="AX404" s="170">
        <f>IF(AND(ISERROR(SEARCH("INVOICE",T404)),ISERROR(SEARCH("SWITCH",T404)),ISERROR(SEARCH("FOREX",T404)),ISERROR(SEARCH("REFUND",A404)),ISERROR(SEARCH("CANCELLED",A404))),IF(AW404="",-AT404*X404+AU404*Z404,AW404),0)</f>
        <v>1690.1408450704225</v>
      </c>
      <c r="AY404" s="170">
        <f>IF(AZ404="USD",AT404,IF(AZ404=K404,J404,-R404))</f>
        <v>-280000</v>
      </c>
      <c r="AZ404" s="170" t="str">
        <f>LEFT(AB404,3)</f>
        <v>USD</v>
      </c>
      <c r="BA404" s="542">
        <f>IF(OR(A404="REFUND",A404="CANCELLED"),0,IFERROR((IF(OR(AB404="USDAED",LEFT(AB404,3)=RIGHT(AB404,3)),AI404,AG404)-AE404)*-AY404*VLOOKUP(AB404,'FX RATES'!$H$1:$J$26,3,FALSE),0))</f>
        <v>699.99999999998511</v>
      </c>
      <c r="BB404" s="170" t="str">
        <f>RIGHT(AB404,3)</f>
        <v>AED</v>
      </c>
      <c r="BC404" s="542">
        <f>IF(BA404=0,0,IFERROR(BA404/IF(BB404&lt;&gt;"USD",AI404,1),"???"))</f>
        <v>190.60585432266444</v>
      </c>
      <c r="BD404" s="170">
        <f>IFERROR(-AC404/(IF(OR(AB404="USDAED",LEFT(AB404,3)=RIGHT(AB404,3)),AH404,AG404)-AE404)*BC404,0)</f>
        <v>190.60585432266851</v>
      </c>
      <c r="BE404" s="542">
        <f>BC404-BD404</f>
        <v>-4.0643044485477731E-12</v>
      </c>
      <c r="BF404" s="170">
        <f>IF(BG404="USD",AU404,IF(BG404=S404,R404,-J404))</f>
        <v>281690.14084507042</v>
      </c>
      <c r="BG404" s="170" t="str">
        <f>LEFT(AJ404,3)</f>
        <v>USD</v>
      </c>
      <c r="BH404" s="542">
        <f>IF(OR(A404="REFUND",A404="CANCELLED"),0,IFERROR((IF(OR(AJ404="USDAED",LEFT(AJ404,3)=RIGHT(AJ404,3)),AQ404,AO404)-AM404)*-BF404*VLOOKUP(AJ404,'FX RATES'!$H$1:$J$26,3,FALSE),0))</f>
        <v>118309.85915493006</v>
      </c>
      <c r="BI404" s="170" t="str">
        <f>RIGHT(AJ404,3)</f>
        <v>RUB</v>
      </c>
      <c r="BJ404" s="542">
        <f>IF(BH404=0,0,IFERROR(BH404/IF(BI404&lt;&gt;"USD",AQ404,1),"???"))</f>
        <v>1536.491677336754</v>
      </c>
      <c r="BK404" s="170">
        <f>IFERROR(-AK404/(IF(OR(AJ404="USDAED",LEFT(AJ404,3)=RIGHT(AJ404,3)),AP404,AO404)-AM404)*BJ404,0)</f>
        <v>0</v>
      </c>
      <c r="BL404" s="542">
        <f>BJ404-BK404</f>
        <v>1536.491677336754</v>
      </c>
      <c r="BM404" s="170">
        <f>IF(AND(ISERROR(SEARCH("REFUND",A404)),ISERROR(SEARCH("CANCELLED",A404))),BD404+BK404,0)</f>
        <v>190.60585432266851</v>
      </c>
      <c r="BN404" s="542">
        <f>IF(AND(ISERROR(SEARCH("REFUND",A404)),ISERROR(SEARCH("CANCELLED",A404))),BE404+BL404,0)</f>
        <v>1536.4916773367499</v>
      </c>
    </row>
    <row r="405" spans="1:66" ht="19.5" customHeight="1">
      <c r="A405" s="167" t="s">
        <v>366</v>
      </c>
      <c r="B405" s="168" t="s">
        <v>39</v>
      </c>
      <c r="C405" s="168" t="s">
        <v>383</v>
      </c>
      <c r="D405" s="168" t="s">
        <v>128</v>
      </c>
      <c r="E405" s="171">
        <v>46057</v>
      </c>
      <c r="F405" s="171"/>
      <c r="G405" s="168" t="s">
        <v>39</v>
      </c>
      <c r="H405" s="168" t="s">
        <v>384</v>
      </c>
      <c r="I405" s="169">
        <v>-21808000</v>
      </c>
      <c r="J405" s="509">
        <f>IF(I405="",AR405,I405)</f>
        <v>-21808000</v>
      </c>
      <c r="K405" s="168" t="s">
        <v>9</v>
      </c>
      <c r="L405" s="171" t="s">
        <v>374</v>
      </c>
      <c r="M405" s="168" t="s">
        <v>374</v>
      </c>
      <c r="N405" s="167" t="s">
        <v>371</v>
      </c>
      <c r="O405" s="168" t="s">
        <v>39</v>
      </c>
      <c r="P405" s="349" t="s">
        <v>384</v>
      </c>
      <c r="Q405" s="169"/>
      <c r="R405" s="170">
        <f>IF(Q405="",AS405,Q405)</f>
        <v>1035026.1034646416</v>
      </c>
      <c r="S405" s="168" t="s">
        <v>8</v>
      </c>
      <c r="T405" s="171" t="s">
        <v>385</v>
      </c>
      <c r="U405" s="168" t="s">
        <v>20</v>
      </c>
      <c r="V405" s="167" t="s">
        <v>371</v>
      </c>
      <c r="W405" s="172" t="s">
        <v>382</v>
      </c>
      <c r="X405" s="173">
        <f>IF(Y405="",VLOOKUP(H405,CLIENTS!$A$1:$O$649,5,FALSE),Y405)</f>
        <v>0</v>
      </c>
      <c r="Y405" s="174">
        <v>0</v>
      </c>
      <c r="Z405" s="173">
        <f>IF(AA405="",VLOOKUP(P405,CLIENTS!$A$1:$O$649,5,FALSE),AA405)</f>
        <v>0</v>
      </c>
      <c r="AA405" s="174">
        <v>0</v>
      </c>
      <c r="AB405" s="173" t="str">
        <f>IF(W405="via USD",IF(K405="EUR",K405&amp;"USD","USD"&amp;K405),IFERROR(VLOOKUP(K405&amp;S405,'FX RATES'!$H$2:$H$20,1,FALSE),S405&amp;K405))</f>
        <v>AEDRUB</v>
      </c>
      <c r="AC405" s="175">
        <f>IF(LEFT(AB405,3)=RIGHT(AB405,3),0,IFERROR(INDEX(CLIENTS!$A$1:$O$649,MATCH(H405,CLIENTS!$A$1:$A$649,0),MATCH(AB405,CLIENTS!$A$1:$O$1,0)),0))</f>
        <v>0</v>
      </c>
      <c r="AD405" s="176">
        <v>21.07</v>
      </c>
      <c r="AE405" s="177">
        <f>IF(W405="CLIENT","",IF(AD405="",AH405+AC405,AD405+AC405))</f>
        <v>21.07</v>
      </c>
      <c r="AF405" s="177" t="str">
        <f>E405&amp;AB405</f>
        <v>46057AEDRUB</v>
      </c>
      <c r="AG405" s="176">
        <v>20.9666</v>
      </c>
      <c r="AH405" s="178">
        <f ca="1">IF(LEFT(AB405,3)=RIGHT(AB405,3),1,VLOOKUP(AB405,'FX RATES'!$H$1:$I$20,2,FALSE))</f>
        <v>20.8843</v>
      </c>
      <c r="AI405" s="178">
        <f>IF(OR(AB405="USDAED",LEFT(AB405,3)=RIGHT(AB405,3)),AH405,IF(LEFT(AB405)="USD",AG405,IF(RIGHT(AB405,3)="USD",1,IFERROR(VLOOKUP(E405&amp;"USD"&amp;RIGHT(AB405,3),$AF:$AG,2,FALSE),VLOOKUP(E405&amp;"USD"&amp;RIGHT(AJ405,3),$AN:$AO,2,FALSE)))))</f>
        <v>77</v>
      </c>
      <c r="AJ405" s="173" t="str">
        <f>IF(W405="via USD",IF(S405="EUR",S405&amp;"USD","USD"&amp;S405),IFERROR(VLOOKUP(K405&amp;S405,'FX RATES'!$H$2:$H$20,1,FALSE),S405&amp;K405))</f>
        <v>AEDRUB</v>
      </c>
      <c r="AK405" s="175">
        <f>IF(LEFT(AJ405,3)=RIGHT(AJ405,3),0,IFERROR(INDEX(CLIENTS!$A$1:$O$649,MATCH(P405,CLIENTS!$A$1:$A$649,0),MATCH(AJ405,CLIENTS!$A$1:$O$1,0)),0))</f>
        <v>0</v>
      </c>
      <c r="AL405" s="176"/>
      <c r="AM405" s="177" t="str">
        <f>IF(W405="VENDOR","",IF(AL405="",AP405+AK405,AL405+AK405))</f>
        <v/>
      </c>
      <c r="AN405" s="177" t="str">
        <f>E405&amp;AJ405</f>
        <v>46057AEDRUB</v>
      </c>
      <c r="AO405" s="176"/>
      <c r="AP405" s="178">
        <f ca="1">IF(LEFT(AJ405,3)=RIGHT(AJ405,3),1,VLOOKUP(AJ405,'FX RATES'!$H$1:$I$20,2,FALSE))</f>
        <v>20.8843</v>
      </c>
      <c r="AQ405" s="178">
        <f>IF(OR(AJ405="USDAED",LEFT(AJ405,3)=RIGHT(AJ405,3)),AP405,IF(LEFT(AJ405)="USD",AO405,IF(RIGHT(AJ405,3)="USD",1,IFERROR(VLOOKUP(E405&amp;"USD"&amp;RIGHT(AJ405,3),$AN:$AO,2,FALSE),VLOOKUP(E405&amp;"USD"&amp;RIGHT(AB405,3),$AF:$AG,2,FALSE)))))</f>
        <v>77</v>
      </c>
      <c r="AR405" s="179">
        <f>-Q405*(1-Z405)/(1+X405)*IF(W405="CLIENT",IF(S405=RIGHT(AJ405,3),1/AM405,AM405),IF(W405="VENDOR",IF(S405=RIGHT(AJ405,3),1/AE405,AE405),AE405^(VLOOKUP(AB405,'FX RATES'!$H$1:$J$26,3,FALSE))/AM405^(VLOOKUP(AJ405,'FX RATES'!$H$1:$J$26,3,FALSE))))</f>
        <v>0</v>
      </c>
      <c r="AS405" s="179">
        <f>-I405*(1+X405)/(1-Z405)*IF(W405="VENDOR",IF(K405=RIGHT(AB405,3),1/AE405,AE405),IF(W405="CLIENT",IF(K405=RIGHT(AB405,3),1/AM405,AM405),AM405^(VLOOKUP(AJ405,'FX RATES'!$H$1:$J$26,3,FALSE))/AE405^(VLOOKUP(AB405,'FX RATES'!$H$1:$J$26,3,FALSE))))</f>
        <v>1035026.1034646416</v>
      </c>
      <c r="AT405" s="170">
        <f ca="1">IF(AB405&lt;&gt;AJ405,J405/IF(K405=RIGHT(AB405,3),AE405,1/AE405),IF(S405="USD",J405/IF(K405=RIGHT(AB405,3),IF(W405="CLIENT",AM405,AE405),1/IF(W405="CLIENT",AM405,AE405)),J405*VLOOKUP(K405,'FX RATES'!$E$1:$F$10,2,FALSE)))</f>
        <v>-284252.57916723692</v>
      </c>
      <c r="AU405" s="170">
        <f ca="1">IF(AB405&lt;&gt;AJ405,R405/IF(S405=RIGHT(AJ405,3),AM405,1/AM405),IF(K405="USD",R405/IF(S405=RIGHT(AJ405,3),IF(W405="CLIENT",AM405,AE405),1/IF(W405="CLIENT",AM405,AE405)),R405*VLOOKUP(S405,'FX RATES'!$E$1:$F$10,2,FALSE)))</f>
        <v>281823.80424349004</v>
      </c>
      <c r="AV405" s="170">
        <f ca="1">AT405+AU405</f>
        <v>-2428.7749237468815</v>
      </c>
      <c r="AW405" s="169"/>
      <c r="AX405" s="170">
        <f ca="1">IF(AND(ISERROR(SEARCH("INVOICE",T405)),ISERROR(SEARCH("SWITCH",T405)),ISERROR(SEARCH("FOREX",T405)),ISERROR(SEARCH("REFUND",A405)),ISERROR(SEARCH("CANCELLED",A405))),IF(AW405="",-AT405*X405+AU405*Z405,AW405),0)</f>
        <v>0</v>
      </c>
      <c r="AY405" s="170">
        <f>IF(AZ405="USD",AT405,IF(AZ405=K405,J405,-R405))</f>
        <v>-1035026.1034646416</v>
      </c>
      <c r="AZ405" s="170" t="str">
        <f>LEFT(AB405,3)</f>
        <v>AED</v>
      </c>
      <c r="BA405" s="542">
        <f>IF(OR(A405="REFUND",A405="CANCELLED"),0,IFERROR((IF(OR(AB405="USDAED",LEFT(AB405,3)=RIGHT(AB405,3)),AI405,AG405)-AE405)*-AY405*VLOOKUP(AB405,'FX RATES'!$H$1:$J$26,3,FALSE),0))</f>
        <v>-107021.69909824457</v>
      </c>
      <c r="BB405" s="170" t="str">
        <f>RIGHT(AB405,3)</f>
        <v>RUB</v>
      </c>
      <c r="BC405" s="542">
        <f>IF(BA405=0,0,IFERROR(BA405/IF(BB405&lt;&gt;"USD",AI405,1),"???"))</f>
        <v>-1389.8921960810983</v>
      </c>
      <c r="BD405" s="170">
        <f>IFERROR(-AC405/(IF(OR(AB405="USDAED",LEFT(AB405,3)=RIGHT(AB405,3)),AH405,AG405)-AE405)*BC405,0)</f>
        <v>0</v>
      </c>
      <c r="BE405" s="542">
        <f>BC405-BD405</f>
        <v>-1389.8921960810983</v>
      </c>
      <c r="BF405" s="170">
        <f>IF(BG405="USD",AU405,IF(BG405=S405,R405,-J405))</f>
        <v>1035026.1034646416</v>
      </c>
      <c r="BG405" s="170" t="str">
        <f>LEFT(AJ405,3)</f>
        <v>AED</v>
      </c>
      <c r="BH405" s="542">
        <f>IF(OR(A405="REFUND",A405="CANCELLED"),0,IFERROR((IF(OR(AJ405="USDAED",LEFT(AJ405,3)=RIGHT(AJ405,3)),AQ405,AO405)-AM405)*-BF405*VLOOKUP(AJ405,'FX RATES'!$H$1:$J$26,3,FALSE),0))</f>
        <v>0</v>
      </c>
      <c r="BI405" s="170" t="str">
        <f>RIGHT(AJ405,3)</f>
        <v>RUB</v>
      </c>
      <c r="BJ405" s="542">
        <f>IF(BH405=0,0,IFERROR(BH405/IF(BI405&lt;&gt;"USD",AQ405,1),"???"))</f>
        <v>0</v>
      </c>
      <c r="BK405" s="170">
        <f>IFERROR(-AK405/(IF(OR(AJ405="USDAED",LEFT(AJ405,3)=RIGHT(AJ405,3)),AP405,AO405)-AM405)*BJ405,0)</f>
        <v>0</v>
      </c>
      <c r="BL405" s="542">
        <f>BJ405-BK405</f>
        <v>0</v>
      </c>
      <c r="BM405" s="170">
        <f>IF(AND(ISERROR(SEARCH("REFUND",A405)),ISERROR(SEARCH("CANCELLED",A405))),BD405+BK405,0)</f>
        <v>0</v>
      </c>
      <c r="BN405" s="542">
        <f>IF(AND(ISERROR(SEARCH("REFUND",A405)),ISERROR(SEARCH("CANCELLED",A405))),BE405+BL405,0)</f>
        <v>-1389.8921960810983</v>
      </c>
    </row>
    <row r="406" spans="1:66" ht="19.5" customHeight="1">
      <c r="A406" s="167"/>
      <c r="B406" s="182"/>
      <c r="C406" s="182"/>
      <c r="D406" s="182"/>
      <c r="E406" s="184"/>
      <c r="F406" s="184"/>
      <c r="G406" s="182"/>
      <c r="H406" s="182"/>
      <c r="I406" s="170"/>
      <c r="J406" s="170"/>
      <c r="K406" s="182"/>
      <c r="L406" s="184"/>
      <c r="M406" s="182"/>
      <c r="O406" s="182"/>
      <c r="P406" s="444"/>
      <c r="Q406" s="170"/>
      <c r="R406" s="170"/>
      <c r="S406" s="182"/>
      <c r="T406" s="184"/>
      <c r="U406" s="182"/>
      <c r="X406" s="173"/>
      <c r="Y406" s="173"/>
      <c r="Z406" s="173"/>
      <c r="AA406" s="173"/>
      <c r="AB406" s="173"/>
      <c r="AC406" s="175"/>
      <c r="AD406" s="177"/>
      <c r="AE406" s="177"/>
      <c r="AF406" s="177"/>
      <c r="AG406" s="177"/>
      <c r="AH406" s="178"/>
      <c r="AI406" s="178"/>
      <c r="AJ406" s="173"/>
      <c r="AK406" s="175"/>
      <c r="AL406" s="177"/>
      <c r="AM406" s="177"/>
      <c r="AN406" s="177"/>
      <c r="AO406" s="177"/>
      <c r="AP406" s="178"/>
      <c r="AQ406" s="178"/>
      <c r="AR406" s="185"/>
      <c r="AS406" s="185"/>
      <c r="AT406" s="170"/>
      <c r="AU406" s="170"/>
      <c r="AV406" s="170"/>
      <c r="AW406" s="170"/>
      <c r="AX406" s="170"/>
      <c r="AY406" s="170"/>
      <c r="AZ406" s="170"/>
      <c r="BA406" s="542"/>
      <c r="BB406" s="170"/>
      <c r="BC406" s="542"/>
      <c r="BD406" s="170"/>
      <c r="BE406" s="542"/>
      <c r="BF406" s="170"/>
      <c r="BG406" s="170"/>
      <c r="BH406" s="542"/>
      <c r="BI406" s="170"/>
      <c r="BJ406" s="542"/>
      <c r="BK406" s="170"/>
      <c r="BL406" s="542"/>
      <c r="BM406" s="170"/>
      <c r="BN406" s="542"/>
    </row>
    <row r="407" spans="1:66" ht="19.5" customHeight="1">
      <c r="A407" s="167" t="s">
        <v>366</v>
      </c>
      <c r="B407" s="168" t="s">
        <v>39</v>
      </c>
      <c r="C407" s="168" t="s">
        <v>367</v>
      </c>
      <c r="D407" s="168" t="s">
        <v>583</v>
      </c>
      <c r="E407" s="171">
        <v>46057</v>
      </c>
      <c r="F407" s="171"/>
      <c r="G407" s="168" t="s">
        <v>39</v>
      </c>
      <c r="H407" s="181" t="s">
        <v>587</v>
      </c>
      <c r="I407" s="169"/>
      <c r="J407" s="170">
        <f>IF(I407="",AR407,I407)</f>
        <v>-4425883.0526043009</v>
      </c>
      <c r="K407" s="168" t="s">
        <v>8</v>
      </c>
      <c r="L407" s="171" t="s">
        <v>15</v>
      </c>
      <c r="M407" s="168" t="s">
        <v>17</v>
      </c>
      <c r="N407" s="167" t="s">
        <v>371</v>
      </c>
      <c r="O407" s="168" t="s">
        <v>39</v>
      </c>
      <c r="P407" s="168" t="s">
        <v>588</v>
      </c>
      <c r="Q407" s="169">
        <v>93450000</v>
      </c>
      <c r="R407" s="170">
        <f>IF(Q407="",AS407,Q407)</f>
        <v>93450000</v>
      </c>
      <c r="S407" s="168" t="s">
        <v>9</v>
      </c>
      <c r="T407" s="171" t="s">
        <v>439</v>
      </c>
      <c r="U407" s="168" t="s">
        <v>374</v>
      </c>
      <c r="V407" s="182" t="s">
        <v>371</v>
      </c>
      <c r="W407" s="172" t="s">
        <v>375</v>
      </c>
      <c r="X407" s="173">
        <f>IF(Y407="",VLOOKUP(H407,CLIENTS!$A$1:$O$649,5,FALSE),Y407)</f>
        <v>0</v>
      </c>
      <c r="Y407" s="174">
        <v>0</v>
      </c>
      <c r="Z407" s="173">
        <f>IF(AA407="",VLOOKUP(P407,CLIENTS!$A$1:$O$649,5,FALSE),AA407)</f>
        <v>4.0000000000000001E-3</v>
      </c>
      <c r="AA407" s="174">
        <v>4.0000000000000001E-3</v>
      </c>
      <c r="AB407" s="173" t="str">
        <f>IF(W407="via USD",IF(K407="EUR",K407&amp;"USD","USD"&amp;K407),IFERROR(VLOOKUP(K407&amp;S407,'FX RATES'!$H$2:$H$20,1,FALSE),S407&amp;K407))</f>
        <v>USDAED</v>
      </c>
      <c r="AC407" s="175">
        <f>IF(LEFT(AB407,3)=RIGHT(AB407,3),0,IFERROR(INDEX(CLIENTS!$A$1:$O$649,MATCH(H407,CLIENTS!$A$1:$A$649,0),MATCH(AB407,CLIENTS!$A$1:$O$1,0)),0))</f>
        <v>-2.5000000000000001E-3</v>
      </c>
      <c r="AD407" s="176"/>
      <c r="AE407" s="177">
        <f>IF(W407="CLIENT","",IF(AD407="",AH407+AC407,AD407+AC407))</f>
        <v>3.67</v>
      </c>
      <c r="AF407" s="177" t="str">
        <f>E407&amp;AB407</f>
        <v>46057USDAED</v>
      </c>
      <c r="AG407" s="176"/>
      <c r="AH407" s="178">
        <f>IF(LEFT(AB407,3)=RIGHT(AB407,3),1,VLOOKUP(AB407,'FX RATES'!$H$1:$I$20,2,FALSE))</f>
        <v>3.6724999999999999</v>
      </c>
      <c r="AI407" s="178">
        <f>IF(OR(AB407="USDAED",LEFT(AB407,3)=RIGHT(AB407,3)),AH407,IF(LEFT(AB407)="USD",AG407,IF(RIGHT(AB407,3)="USD",1,IFERROR(VLOOKUP(E407&amp;"USD"&amp;RIGHT(AB407,3),$AF:$AG,2,FALSE),VLOOKUP(E407&amp;"USD"&amp;RIGHT(AJ407,3),$AN:$AO,2,FALSE)))))</f>
        <v>3.6724999999999999</v>
      </c>
      <c r="AJ407" s="173" t="str">
        <f>IF(W407="via USD",IF(S407="EUR",S407&amp;"USD","USD"&amp;S407),IFERROR(VLOOKUP(K407&amp;S407,'FX RATES'!$H$2:$H$20,1,FALSE),S407&amp;K407))</f>
        <v>USDRUB</v>
      </c>
      <c r="AK407" s="175">
        <f>IF(LEFT(AJ407,3)=RIGHT(AJ407,3),0,IFERROR(INDEX(CLIENTS!$A$1:$O$649,MATCH(P407,CLIENTS!$A$1:$A$649,0),MATCH(AJ407,CLIENTS!$A$1:$O$1,0)),0))</f>
        <v>0</v>
      </c>
      <c r="AL407" s="176">
        <v>77.180000000000007</v>
      </c>
      <c r="AM407" s="177">
        <f>IF(W407="VENDOR","",IF(AL407="",AP407+AK407,AL407+AK407))</f>
        <v>77.180000000000007</v>
      </c>
      <c r="AN407" s="177" t="str">
        <f>E407&amp;AJ407</f>
        <v>46057USDRUB</v>
      </c>
      <c r="AO407" s="176">
        <v>77</v>
      </c>
      <c r="AP407" s="178">
        <f ca="1">IF(LEFT(AJ407,3)=RIGHT(AJ407,3),1,VLOOKUP(AJ407,'FX RATES'!$H$1:$I$20,2,FALSE))</f>
        <v>76.720500000000001</v>
      </c>
      <c r="AQ407" s="178">
        <f>IF(OR(AJ407="USDAED",LEFT(AJ407,3)=RIGHT(AJ407,3)),AP407,IF(LEFT(AJ407)="USD",AO407,IF(RIGHT(AJ407,3)="USD",1,IFERROR(VLOOKUP(E407&amp;"USD"&amp;RIGHT(AJ407,3),$AN:$AO,2,FALSE),VLOOKUP(E407&amp;"USD"&amp;RIGHT(AB407,3),$AF:$AG,2,FALSE)))))</f>
        <v>77</v>
      </c>
      <c r="AR407" s="179">
        <f>-Q407*(1-Z407)/(1+X407)*IF(W407="CLIENT",IF(S407=RIGHT(AJ407,3),1/AM407,AM407),IF(W407="VENDOR",IF(S407=RIGHT(AJ407,3),1/AE407,AE407),AE407^(VLOOKUP(AB407,'FX RATES'!$H$1:$J$26,3,FALSE))/AM407^(VLOOKUP(AJ407,'FX RATES'!$H$1:$J$26,3,FALSE))))</f>
        <v>-4425883.0526043009</v>
      </c>
      <c r="AS407" s="179">
        <f>-I407*(1+X407)/(1-Z407)*IF(W407="VENDOR",IF(K407=RIGHT(AB407,3),1/AE407,AE407),IF(W407="CLIENT",IF(K407=RIGHT(AB407,3),1/AM407,AM407),AM407^(VLOOKUP(AJ407,'FX RATES'!$H$1:$J$26,3,FALSE))/AE407^(VLOOKUP(AB407,'FX RATES'!$H$1:$J$26,3,FALSE))))</f>
        <v>0</v>
      </c>
      <c r="AT407" s="170">
        <f>IF(AB407&lt;&gt;AJ407,J407/IF(K407=RIGHT(AB407,3),AE407,1/AE407),IF(S407="USD",J407/IF(K407=RIGHT(AB407,3),IF(W407="CLIENT",AM407,AE407),1/IF(W407="CLIENT",AM407,AE407)),J407*VLOOKUP(K407,'FX RATES'!$E$1:$F$10,2,FALSE)))</f>
        <v>-1205962.6846333246</v>
      </c>
      <c r="AU407" s="170">
        <f>IF(AB407&lt;&gt;AJ407,R407/IF(S407=RIGHT(AJ407,3),AM407,1/AM407),IF(K407="USD",R407/IF(S407=RIGHT(AJ407,3),IF(W407="CLIENT",AM407,AE407),1/IF(W407="CLIENT",AM407,AE407)),R407*VLOOKUP(S407,'FX RATES'!$E$1:$F$10,2,FALSE)))</f>
        <v>1210805.9082663902</v>
      </c>
      <c r="AV407" s="170">
        <f>AT407+AU407</f>
        <v>4843.2236330655869</v>
      </c>
      <c r="AW407" s="169"/>
      <c r="AX407" s="170">
        <f>IF(AND(ISERROR(SEARCH("INVOICE",T407)),ISERROR(SEARCH("SWITCH",T407)),ISERROR(SEARCH("FOREX",T407)),ISERROR(SEARCH("REFUND",A407)),ISERROR(SEARCH("CANCELLED",A407))),IF(AW407="",-AT407*X407+AU407*Z407,AW407),0)</f>
        <v>4843.2236330655605</v>
      </c>
      <c r="AY407" s="170">
        <f>IF(AZ407="USD",AT407,IF(AZ407=K407,J407,-R407))</f>
        <v>-1205962.6846333246</v>
      </c>
      <c r="AZ407" s="170" t="str">
        <f>LEFT(AB407,3)</f>
        <v>USD</v>
      </c>
      <c r="BA407" s="542">
        <f>IF(OR(A407="REFUND",A407="CANCELLED"),0,IFERROR((IF(OR(AB407="USDAED",LEFT(AB407,3)=RIGHT(AB407,3)),AI407,AG407)-AE407)*-AY407*VLOOKUP(AB407,'FX RATES'!$H$1:$J$26,3,FALSE),0))</f>
        <v>3014.9067115832472</v>
      </c>
      <c r="BB407" s="170" t="str">
        <f>RIGHT(AB407,3)</f>
        <v>AED</v>
      </c>
      <c r="BC407" s="542">
        <f>IF(BA407=0,0,IFERROR(BA407/IF(BB407&lt;&gt;"USD",AI407,1),"???"))</f>
        <v>820.9412420921027</v>
      </c>
      <c r="BD407" s="170">
        <f>IFERROR(-AC407/(IF(OR(AB407="USDAED",LEFT(AB407,3)=RIGHT(AB407,3)),AH407,AG407)-AE407)*BC407,0)</f>
        <v>820.94124209212021</v>
      </c>
      <c r="BE407" s="542">
        <f>BC407-BD407</f>
        <v>-1.7507773009128869E-11</v>
      </c>
      <c r="BF407" s="170">
        <f>IF(BG407="USD",AU407,IF(BG407=S407,R407,-J407))</f>
        <v>1210805.9082663902</v>
      </c>
      <c r="BG407" s="170" t="str">
        <f>LEFT(AJ407,3)</f>
        <v>USD</v>
      </c>
      <c r="BH407" s="542">
        <f>IF(OR(A407="REFUND",A407="CANCELLED"),0,IFERROR((IF(OR(AJ407="USDAED",LEFT(AJ407,3)=RIGHT(AJ407,3)),AQ407,AO407)-AM407)*-BF407*VLOOKUP(AJ407,'FX RATES'!$H$1:$J$26,3,FALSE),0))</f>
        <v>217945.06348795848</v>
      </c>
      <c r="BI407" s="170" t="str">
        <f>RIGHT(AJ407,3)</f>
        <v>RUB</v>
      </c>
      <c r="BJ407" s="542">
        <f>IF(BH407=0,0,IFERROR(BH407/IF(BI407&lt;&gt;"USD",AQ407,1),"???"))</f>
        <v>2830.455369973487</v>
      </c>
      <c r="BK407" s="170">
        <f>IFERROR(-AK407/(IF(OR(AJ407="USDAED",LEFT(AJ407,3)=RIGHT(AJ407,3)),AP407,AO407)-AM407)*BJ407,0)</f>
        <v>0</v>
      </c>
      <c r="BL407" s="542">
        <f>BJ407-BK407</f>
        <v>2830.455369973487</v>
      </c>
      <c r="BM407" s="170">
        <f>IF(AND(ISERROR(SEARCH("REFUND",A407)),ISERROR(SEARCH("CANCELLED",A407))),BD407+BK407,0)</f>
        <v>820.94124209212021</v>
      </c>
      <c r="BN407" s="542">
        <f>IF(AND(ISERROR(SEARCH("REFUND",A407)),ISERROR(SEARCH("CANCELLED",A407))),BE407+BL407,0)</f>
        <v>2830.4553699734697</v>
      </c>
    </row>
    <row r="408" spans="1:66" ht="19.5" customHeight="1">
      <c r="A408" s="167" t="s">
        <v>366</v>
      </c>
      <c r="B408" s="168" t="s">
        <v>39</v>
      </c>
      <c r="C408" s="168" t="s">
        <v>367</v>
      </c>
      <c r="D408" s="168" t="s">
        <v>583</v>
      </c>
      <c r="E408" s="171">
        <v>46057</v>
      </c>
      <c r="F408" s="171"/>
      <c r="G408" s="168" t="s">
        <v>39</v>
      </c>
      <c r="H408" s="181" t="s">
        <v>589</v>
      </c>
      <c r="I408" s="169">
        <v>-500506</v>
      </c>
      <c r="J408" s="170">
        <f>IF(I408="",AR408,I408)</f>
        <v>-500506</v>
      </c>
      <c r="K408" s="168" t="s">
        <v>8</v>
      </c>
      <c r="L408" s="171" t="s">
        <v>590</v>
      </c>
      <c r="M408" s="168" t="s">
        <v>17</v>
      </c>
      <c r="N408" s="167" t="s">
        <v>371</v>
      </c>
      <c r="O408" s="168" t="s">
        <v>39</v>
      </c>
      <c r="P408" s="168" t="s">
        <v>429</v>
      </c>
      <c r="Q408" s="169"/>
      <c r="R408" s="170">
        <f>IF(Q408="",AS408,Q408)</f>
        <v>10610511.635316867</v>
      </c>
      <c r="S408" s="168" t="s">
        <v>9</v>
      </c>
      <c r="T408" s="171" t="s">
        <v>391</v>
      </c>
      <c r="U408" s="168" t="s">
        <v>374</v>
      </c>
      <c r="V408" s="182" t="s">
        <v>371</v>
      </c>
      <c r="W408" s="172" t="s">
        <v>375</v>
      </c>
      <c r="X408" s="173">
        <f>IF(Y408="",VLOOKUP(H408,CLIENTS!$A$1:$O$649,5,FALSE),Y408)</f>
        <v>0</v>
      </c>
      <c r="Y408" s="174">
        <v>0</v>
      </c>
      <c r="Z408" s="173">
        <f>IF(AA408="",VLOOKUP(P408,CLIENTS!$A$1:$O$649,5,FALSE),AA408)</f>
        <v>8.0000000000000002E-3</v>
      </c>
      <c r="AA408" s="174">
        <v>8.0000000000000002E-3</v>
      </c>
      <c r="AB408" s="173" t="str">
        <f>IF(W408="via USD",IF(K408="EUR",K408&amp;"USD","USD"&amp;K408),IFERROR(VLOOKUP(K408&amp;S408,'FX RATES'!$H$2:$H$20,1,FALSE),S408&amp;K408))</f>
        <v>USDAED</v>
      </c>
      <c r="AC408" s="175">
        <f>IF(LEFT(AB408,3)=RIGHT(AB408,3),0,IFERROR(INDEX(CLIENTS!$A$1:$O$649,MATCH(H408,CLIENTS!$A$1:$A$649,0),MATCH(AB408,CLIENTS!$A$1:$O$1,0)),0))+0.0025</f>
        <v>0</v>
      </c>
      <c r="AD408" s="176">
        <v>3.67</v>
      </c>
      <c r="AE408" s="177">
        <f>IF(W408="CLIENT","",IF(AD408="",AH408+AC408,AD408+AC408))</f>
        <v>3.67</v>
      </c>
      <c r="AF408" s="177" t="str">
        <f>E408&amp;AB408</f>
        <v>46057USDAED</v>
      </c>
      <c r="AG408" s="176"/>
      <c r="AH408" s="178">
        <f>IF(LEFT(AB408,3)=RIGHT(AB408,3),1,VLOOKUP(AB408,'FX RATES'!$H$1:$I$20,2,FALSE))</f>
        <v>3.6724999999999999</v>
      </c>
      <c r="AI408" s="178">
        <f>IF(OR(AB408="USDAED",LEFT(AB408,3)=RIGHT(AB408,3)),AH408,IF(LEFT(AB408)="USD",AG408,IF(RIGHT(AB408,3)="USD",1,IFERROR(VLOOKUP(E408&amp;"USD"&amp;RIGHT(AB408,3),$AF:$AG,2,FALSE),VLOOKUP(E408&amp;"USD"&amp;RIGHT(AJ408,3),$AN:$AO,2,FALSE)))))</f>
        <v>3.6724999999999999</v>
      </c>
      <c r="AJ408" s="173" t="str">
        <f>IF(W408="via USD",IF(S408="EUR",S408&amp;"USD","USD"&amp;S408),IFERROR(VLOOKUP(K408&amp;S408,'FX RATES'!$H$2:$H$20,1,FALSE),S408&amp;K408))</f>
        <v>USDRUB</v>
      </c>
      <c r="AK408" s="175">
        <f>IF(LEFT(AJ408,3)=RIGHT(AJ408,3),0,IFERROR(INDEX(CLIENTS!$A$1:$O$649,MATCH(P408,CLIENTS!$A$1:$A$649,0),MATCH(AJ408,CLIENTS!$A$1:$O$1,0)),0))</f>
        <v>0</v>
      </c>
      <c r="AL408" s="176">
        <v>77.180000000000007</v>
      </c>
      <c r="AM408" s="177">
        <f>IF(W408="VENDOR","",IF(AL408="",AP408+AK408,AL408+AK408))</f>
        <v>77.180000000000007</v>
      </c>
      <c r="AN408" s="177" t="str">
        <f>E408&amp;AJ408</f>
        <v>46057USDRUB</v>
      </c>
      <c r="AO408" s="176">
        <v>77</v>
      </c>
      <c r="AP408" s="178">
        <f ca="1">IF(LEFT(AJ408,3)=RIGHT(AJ408,3),1,VLOOKUP(AJ408,'FX RATES'!$H$1:$I$20,2,FALSE))</f>
        <v>76.720500000000001</v>
      </c>
      <c r="AQ408" s="178">
        <f>IF(OR(AJ408="USDAED",LEFT(AJ408,3)=RIGHT(AJ408,3)),AP408,IF(LEFT(AJ408)="USD",AO408,IF(RIGHT(AJ408,3)="USD",1,IFERROR(VLOOKUP(E408&amp;"USD"&amp;RIGHT(AJ408,3),$AN:$AO,2,FALSE),VLOOKUP(E408&amp;"USD"&amp;RIGHT(AB408,3),$AF:$AG,2,FALSE)))))</f>
        <v>77</v>
      </c>
      <c r="AR408" s="179">
        <f>-Q408*(1-Z408)/(1+X408)*IF(W408="CLIENT",IF(S408=RIGHT(AJ408,3),1/AM408,AM408),IF(W408="VENDOR",IF(S408=RIGHT(AJ408,3),1/AE408,AE408),AE408^(VLOOKUP(AB408,'FX RATES'!$H$1:$J$26,3,FALSE))/AM408^(VLOOKUP(AJ408,'FX RATES'!$H$1:$J$26,3,FALSE))))</f>
        <v>0</v>
      </c>
      <c r="AS408" s="179">
        <f>-I408*(1+X408)/(1-Z408)*IF(W408="VENDOR",IF(K408=RIGHT(AB408,3),1/AE408,AE408),IF(W408="CLIENT",IF(K408=RIGHT(AB408,3),1/AM408,AM408),AM408^(VLOOKUP(AJ408,'FX RATES'!$H$1:$J$26,3,FALSE))/AE408^(VLOOKUP(AB408,'FX RATES'!$H$1:$J$26,3,FALSE))))</f>
        <v>10610511.635316867</v>
      </c>
      <c r="AT408" s="170">
        <f>IF(AB408&lt;&gt;AJ408,J408/IF(K408=RIGHT(AB408,3),AE408,1/AE408),IF(S408="USD",J408/IF(K408=RIGHT(AB408,3),IF(W408="CLIENT",AM408,AE408),1/IF(W408="CLIENT",AM408,AE408)),J408*VLOOKUP(K408,'FX RATES'!$E$1:$F$10,2,FALSE)))</f>
        <v>-136377.65667574931</v>
      </c>
      <c r="AU408" s="170">
        <f>IF(AB408&lt;&gt;AJ408,R408/IF(S408=RIGHT(AJ408,3),AM408,1/AM408),IF(K408="USD",R408/IF(S408=RIGHT(AJ408,3),IF(W408="CLIENT",AM408,AE408),1/IF(W408="CLIENT",AM408,AE408)),R408*VLOOKUP(S408,'FX RATES'!$E$1:$F$10,2,FALSE)))</f>
        <v>137477.47648765051</v>
      </c>
      <c r="AV408" s="170">
        <f>AT408+AU408</f>
        <v>1099.819811901194</v>
      </c>
      <c r="AW408" s="169"/>
      <c r="AX408" s="170">
        <f>IF(AND(ISERROR(SEARCH("INVOICE",T408)),ISERROR(SEARCH("SWITCH",T408)),ISERROR(SEARCH("FOREX",T408)),ISERROR(SEARCH("REFUND",A408)),ISERROR(SEARCH("CANCELLED",A408))),IF(AW408="",-AT408*X408+AU408*Z408,AW408),0)</f>
        <v>1099.819811901204</v>
      </c>
      <c r="AY408" s="170">
        <f>IF(AZ408="USD",AT408,IF(AZ408=K408,J408,-R408))</f>
        <v>-136377.65667574931</v>
      </c>
      <c r="AZ408" s="170" t="str">
        <f>LEFT(AB408,3)</f>
        <v>USD</v>
      </c>
      <c r="BA408" s="542">
        <f>IF(OR(A408="REFUND",A408="CANCELLED"),0,IFERROR((IF(OR(AB408="USDAED",LEFT(AB408,3)=RIGHT(AB408,3)),AI408,AG408)-AE408)*-AY408*VLOOKUP(AB408,'FX RATES'!$H$1:$J$26,3,FALSE),0))</f>
        <v>340.94414168936601</v>
      </c>
      <c r="BB408" s="170" t="str">
        <f>RIGHT(AB408,3)</f>
        <v>AED</v>
      </c>
      <c r="BC408" s="542">
        <f>IF(BA408=0,0,IFERROR(BA408/IF(BB408&lt;&gt;"USD",AI408,1),"???"))</f>
        <v>92.837070575729342</v>
      </c>
      <c r="BD408" s="170">
        <f>IFERROR(-AC408/(IF(OR(AB408="USDAED",LEFT(AB408,3)=RIGHT(AB408,3)),AH408,AG408)-AE408)*BC408,0)</f>
        <v>0</v>
      </c>
      <c r="BE408" s="542">
        <f>BC408-BD408</f>
        <v>92.837070575729342</v>
      </c>
      <c r="BF408" s="170">
        <f>IF(BG408="USD",AU408,IF(BG408=S408,R408,-J408))</f>
        <v>137477.47648765051</v>
      </c>
      <c r="BG408" s="170" t="str">
        <f>LEFT(AJ408,3)</f>
        <v>USD</v>
      </c>
      <c r="BH408" s="542">
        <f>IF(OR(A408="REFUND",A408="CANCELLED"),0,IFERROR((IF(OR(AJ408="USDAED",LEFT(AJ408,3)=RIGHT(AJ408,3)),AQ408,AO408)-AM408)*-BF408*VLOOKUP(AJ408,'FX RATES'!$H$1:$J$26,3,FALSE),0))</f>
        <v>24745.94576777803</v>
      </c>
      <c r="BI408" s="170" t="str">
        <f>RIGHT(AJ408,3)</f>
        <v>RUB</v>
      </c>
      <c r="BJ408" s="542">
        <f>IF(BH408=0,0,IFERROR(BH408/IF(BI408&lt;&gt;"USD",AQ408,1),"???"))</f>
        <v>321.37591906205233</v>
      </c>
      <c r="BK408" s="170">
        <f>IFERROR(-AK408/(IF(OR(AJ408="USDAED",LEFT(AJ408,3)=RIGHT(AJ408,3)),AP408,AO408)-AM408)*BJ408,0)</f>
        <v>0</v>
      </c>
      <c r="BL408" s="542">
        <f>BJ408-BK408</f>
        <v>321.37591906205233</v>
      </c>
      <c r="BM408" s="170">
        <f>IF(AND(ISERROR(SEARCH("REFUND",A408)),ISERROR(SEARCH("CANCELLED",A408))),BD408+BK408,0)</f>
        <v>0</v>
      </c>
      <c r="BN408" s="542">
        <f>IF(AND(ISERROR(SEARCH("REFUND",A408)),ISERROR(SEARCH("CANCELLED",A408))),BE408+BL408,0)</f>
        <v>414.21298963778167</v>
      </c>
    </row>
    <row r="409" spans="1:66" ht="19.5" customHeight="1">
      <c r="A409" s="167" t="s">
        <v>366</v>
      </c>
      <c r="B409" s="168" t="s">
        <v>39</v>
      </c>
      <c r="C409" s="168" t="s">
        <v>383</v>
      </c>
      <c r="D409" s="168" t="s">
        <v>128</v>
      </c>
      <c r="E409" s="171">
        <v>46057</v>
      </c>
      <c r="F409" s="171"/>
      <c r="G409" s="168" t="s">
        <v>39</v>
      </c>
      <c r="H409" s="168" t="s">
        <v>384</v>
      </c>
      <c r="I409" s="169">
        <v>-104060000</v>
      </c>
      <c r="J409" s="170">
        <f>IF(I409="",AR409,I409)</f>
        <v>-104060000</v>
      </c>
      <c r="K409" s="168" t="s">
        <v>9</v>
      </c>
      <c r="L409" s="171" t="s">
        <v>374</v>
      </c>
      <c r="M409" s="168" t="s">
        <v>374</v>
      </c>
      <c r="N409" s="167" t="s">
        <v>371</v>
      </c>
      <c r="O409" s="168" t="s">
        <v>39</v>
      </c>
      <c r="P409" s="349" t="s">
        <v>384</v>
      </c>
      <c r="Q409" s="169"/>
      <c r="R409" s="170">
        <f>IF(Q409="",AS409,Q409)</f>
        <v>4955238.0952380951</v>
      </c>
      <c r="S409" s="168" t="s">
        <v>8</v>
      </c>
      <c r="T409" s="171" t="s">
        <v>385</v>
      </c>
      <c r="U409" s="168" t="s">
        <v>20</v>
      </c>
      <c r="V409" s="167" t="s">
        <v>371</v>
      </c>
      <c r="W409" s="172" t="s">
        <v>382</v>
      </c>
      <c r="X409" s="173">
        <f>IF(Y409="",VLOOKUP(H409,CLIENTS!$A$1:$O$649,5,FALSE),Y409)</f>
        <v>0</v>
      </c>
      <c r="Y409" s="174">
        <v>0</v>
      </c>
      <c r="Z409" s="173">
        <f>IF(AA409="",VLOOKUP(P409,CLIENTS!$A$1:$O$649,5,FALSE),AA409)</f>
        <v>0</v>
      </c>
      <c r="AA409" s="174">
        <v>0</v>
      </c>
      <c r="AB409" s="173" t="str">
        <f>IF(W409="via USD",IF(K409="EUR",K409&amp;"USD","USD"&amp;K409),IFERROR(VLOOKUP(K409&amp;S409,'FX RATES'!$H$2:$H$20,1,FALSE),S409&amp;K409))</f>
        <v>AEDRUB</v>
      </c>
      <c r="AC409" s="175">
        <f>IF(LEFT(AB409,3)=RIGHT(AB409,3),0,IFERROR(INDEX(CLIENTS!$A$1:$O$649,MATCH(H409,CLIENTS!$A$1:$A$649,0),MATCH(AB409,CLIENTS!$A$1:$O$1,0)),0))</f>
        <v>0</v>
      </c>
      <c r="AD409" s="176">
        <v>21</v>
      </c>
      <c r="AE409" s="177">
        <f>IF(W409="CLIENT","",IF(AD409="",AH409+AC409,AD409+AC409))</f>
        <v>21</v>
      </c>
      <c r="AF409" s="177" t="str">
        <f>E409&amp;AB409</f>
        <v>46057AEDRUB</v>
      </c>
      <c r="AG409" s="176">
        <v>20.9666</v>
      </c>
      <c r="AH409" s="178">
        <f ca="1">IF(LEFT(AB409,3)=RIGHT(AB409,3),1,VLOOKUP(AB409,'FX RATES'!$H$1:$I$20,2,FALSE))</f>
        <v>20.8843</v>
      </c>
      <c r="AI409" s="178">
        <f>IF(OR(AB409="USDAED",LEFT(AB409,3)=RIGHT(AB409,3)),AH409,IF(LEFT(AB409)="USD",AG409,IF(RIGHT(AB409,3)="USD",1,IFERROR(VLOOKUP(E409&amp;"USD"&amp;RIGHT(AB409,3),$AF:$AG,2,FALSE),VLOOKUP(E409&amp;"USD"&amp;RIGHT(AJ409,3),$AN:$AO,2,FALSE)))))</f>
        <v>77</v>
      </c>
      <c r="AJ409" s="173" t="str">
        <f>IF(W409="via USD",IF(S409="EUR",S409&amp;"USD","USD"&amp;S409),IFERROR(VLOOKUP(K409&amp;S409,'FX RATES'!$H$2:$H$20,1,FALSE),S409&amp;K409))</f>
        <v>AEDRUB</v>
      </c>
      <c r="AK409" s="175">
        <f>IF(LEFT(AJ409,3)=RIGHT(AJ409,3),0,IFERROR(INDEX(CLIENTS!$A$1:$O$649,MATCH(P409,CLIENTS!$A$1:$A$649,0),MATCH(AJ409,CLIENTS!$A$1:$O$1,0)),0))</f>
        <v>0</v>
      </c>
      <c r="AL409" s="176"/>
      <c r="AM409" s="177" t="str">
        <f>IF(W409="VENDOR","",IF(AL409="",AP409+AK409,AL409+AK409))</f>
        <v/>
      </c>
      <c r="AN409" s="177" t="str">
        <f>E409&amp;AJ409</f>
        <v>46057AEDRUB</v>
      </c>
      <c r="AO409" s="176"/>
      <c r="AP409" s="178">
        <f ca="1">IF(LEFT(AJ409,3)=RIGHT(AJ409,3),1,VLOOKUP(AJ409,'FX RATES'!$H$1:$I$20,2,FALSE))</f>
        <v>20.8843</v>
      </c>
      <c r="AQ409" s="178">
        <f>IF(OR(AJ409="USDAED",LEFT(AJ409,3)=RIGHT(AJ409,3)),AP409,IF(LEFT(AJ409)="USD",AO409,IF(RIGHT(AJ409,3)="USD",1,IFERROR(VLOOKUP(E409&amp;"USD"&amp;RIGHT(AJ409,3),$AN:$AO,2,FALSE),VLOOKUP(E409&amp;"USD"&amp;RIGHT(AB409,3),$AF:$AG,2,FALSE)))))</f>
        <v>77</v>
      </c>
      <c r="AR409" s="179">
        <f>-Q409*(1-Z409)/(1+X409)*IF(W409="CLIENT",IF(S409=RIGHT(AJ409,3),1/AM409,AM409),IF(W409="VENDOR",IF(S409=RIGHT(AJ409,3),1/AE409,AE409),AE409^(VLOOKUP(AB409,'FX RATES'!$H$1:$J$26,3,FALSE))/AM409^(VLOOKUP(AJ409,'FX RATES'!$H$1:$J$26,3,FALSE))))</f>
        <v>0</v>
      </c>
      <c r="AS409" s="179">
        <f>-I409*(1+X409)/(1-Z409)*IF(W409="VENDOR",IF(K409=RIGHT(AB409,3),1/AE409,AE409),IF(W409="CLIENT",IF(K409=RIGHT(AB409,3),1/AM409,AM409),AM409^(VLOOKUP(AJ409,'FX RATES'!$H$1:$J$26,3,FALSE))/AE409^(VLOOKUP(AB409,'FX RATES'!$H$1:$J$26,3,FALSE))))</f>
        <v>4955238.0952380951</v>
      </c>
      <c r="AT409" s="170">
        <f ca="1">IF(AB409&lt;&gt;AJ409,J409/IF(K409=RIGHT(AB409,3),AE409,1/AE409),IF(S409="USD",J409/IF(K409=RIGHT(AB409,3),IF(W409="CLIENT",AM409,AE409),1/IF(W409="CLIENT",AM409,AE409)),J409*VLOOKUP(K409,'FX RATES'!$E$1:$F$10,2,FALSE)))</f>
        <v>-1356351.9528678774</v>
      </c>
      <c r="AU409" s="170">
        <f ca="1">IF(AB409&lt;&gt;AJ409,R409/IF(S409=RIGHT(AJ409,3),AM409,1/AM409),IF(K409="USD",R409/IF(S409=RIGHT(AJ409,3),IF(W409="CLIENT",AM409,AE409),1/IF(W409="CLIENT",AM409,AE409)),R409*VLOOKUP(S409,'FX RATES'!$E$1:$F$10,2,FALSE)))</f>
        <v>1349245.2473011205</v>
      </c>
      <c r="AV409" s="170">
        <f ca="1">AT409+AU409</f>
        <v>-7106.7055667568929</v>
      </c>
      <c r="AW409" s="169"/>
      <c r="AX409" s="170">
        <f ca="1">IF(AND(ISERROR(SEARCH("INVOICE",T409)),ISERROR(SEARCH("SWITCH",T409)),ISERROR(SEARCH("FOREX",T409)),ISERROR(SEARCH("REFUND",A409)),ISERROR(SEARCH("CANCELLED",A409))),IF(AW409="",-AT409*X409+AU409*Z409,AW409),0)</f>
        <v>0</v>
      </c>
      <c r="AY409" s="170">
        <f>IF(AZ409="USD",AT409,IF(AZ409=K409,J409,-R409))</f>
        <v>-4955238.0952380951</v>
      </c>
      <c r="AZ409" s="170" t="str">
        <f>LEFT(AB409,3)</f>
        <v>AED</v>
      </c>
      <c r="BA409" s="542">
        <f>IF(OR(A409="REFUND",A409="CANCELLED"),0,IFERROR((IF(OR(AB409="USDAED",LEFT(AB409,3)=RIGHT(AB409,3)),AI409,AG409)-AE409)*-AY409*VLOOKUP(AB409,'FX RATES'!$H$1:$J$26,3,FALSE),0))</f>
        <v>-165504.95238095397</v>
      </c>
      <c r="BB409" s="170" t="str">
        <f>RIGHT(AB409,3)</f>
        <v>RUB</v>
      </c>
      <c r="BC409" s="542">
        <f>IF(BA409=0,0,IFERROR(BA409/IF(BB409&lt;&gt;"USD",AI409,1),"???"))</f>
        <v>-2149.4149659864152</v>
      </c>
      <c r="BD409" s="170">
        <f>IFERROR(-AC409/(IF(OR(AB409="USDAED",LEFT(AB409,3)=RIGHT(AB409,3)),AH409,AG409)-AE409)*BC409,0)</f>
        <v>0</v>
      </c>
      <c r="BE409" s="542">
        <f>BC409-BD409</f>
        <v>-2149.4149659864152</v>
      </c>
      <c r="BF409" s="170">
        <f>IF(BG409="USD",AU409,IF(BG409=S409,R409,-J409))</f>
        <v>4955238.0952380951</v>
      </c>
      <c r="BG409" s="170" t="str">
        <f>LEFT(AJ409,3)</f>
        <v>AED</v>
      </c>
      <c r="BH409" s="542">
        <f>IF(OR(A409="REFUND",A409="CANCELLED"),0,IFERROR((IF(OR(AJ409="USDAED",LEFT(AJ409,3)=RIGHT(AJ409,3)),AQ409,AO409)-AM409)*-BF409*VLOOKUP(AJ409,'FX RATES'!$H$1:$J$26,3,FALSE),0))</f>
        <v>0</v>
      </c>
      <c r="BI409" s="170" t="str">
        <f>RIGHT(AJ409,3)</f>
        <v>RUB</v>
      </c>
      <c r="BJ409" s="542">
        <f>IF(BH409=0,0,IFERROR(BH409/IF(BI409&lt;&gt;"USD",AQ409,1),"???"))</f>
        <v>0</v>
      </c>
      <c r="BK409" s="170">
        <f>IFERROR(-AK409/(IF(OR(AJ409="USDAED",LEFT(AJ409,3)=RIGHT(AJ409,3)),AP409,AO409)-AM409)*BJ409,0)</f>
        <v>0</v>
      </c>
      <c r="BL409" s="542">
        <f>BJ409-BK409</f>
        <v>0</v>
      </c>
      <c r="BM409" s="170">
        <f>IF(AND(ISERROR(SEARCH("REFUND",A409)),ISERROR(SEARCH("CANCELLED",A409))),BD409+BK409,0)</f>
        <v>0</v>
      </c>
      <c r="BN409" s="542">
        <f>IF(AND(ISERROR(SEARCH("REFUND",A409)),ISERROR(SEARCH("CANCELLED",A409))),BE409+BL409,0)</f>
        <v>-2149.4149659864152</v>
      </c>
    </row>
    <row r="410" spans="1:66" ht="19.5" customHeight="1">
      <c r="A410" s="167"/>
      <c r="B410" s="182"/>
      <c r="C410" s="182"/>
      <c r="D410" s="182"/>
      <c r="E410" s="184"/>
      <c r="F410" s="184"/>
      <c r="G410" s="182"/>
      <c r="H410" s="182"/>
      <c r="I410" s="170"/>
      <c r="J410" s="170"/>
      <c r="K410" s="182"/>
      <c r="L410" s="184"/>
      <c r="M410" s="182"/>
      <c r="O410" s="182"/>
      <c r="P410" s="444"/>
      <c r="Q410" s="170"/>
      <c r="R410" s="170"/>
      <c r="S410" s="182"/>
      <c r="T410" s="184"/>
      <c r="U410" s="182"/>
      <c r="X410" s="173"/>
      <c r="Y410" s="173"/>
      <c r="Z410" s="173"/>
      <c r="AA410" s="173"/>
      <c r="AB410" s="173"/>
      <c r="AC410" s="175"/>
      <c r="AD410" s="177"/>
      <c r="AE410" s="177"/>
      <c r="AF410" s="177"/>
      <c r="AG410" s="177"/>
      <c r="AH410" s="178"/>
      <c r="AI410" s="178"/>
      <c r="AJ410" s="173"/>
      <c r="AK410" s="175"/>
      <c r="AL410" s="177"/>
      <c r="AM410" s="177"/>
      <c r="AN410" s="177"/>
      <c r="AO410" s="177"/>
      <c r="AP410" s="178"/>
      <c r="AQ410" s="178"/>
      <c r="AR410" s="185"/>
      <c r="AS410" s="185"/>
      <c r="AT410" s="170"/>
      <c r="AU410" s="170"/>
      <c r="AV410" s="170"/>
      <c r="AW410" s="170"/>
      <c r="AX410" s="170"/>
      <c r="AY410" s="170"/>
      <c r="AZ410" s="170"/>
      <c r="BA410" s="542"/>
      <c r="BB410" s="170"/>
      <c r="BC410" s="542"/>
      <c r="BD410" s="170"/>
      <c r="BE410" s="542"/>
      <c r="BF410" s="170"/>
      <c r="BG410" s="170"/>
      <c r="BH410" s="542"/>
      <c r="BI410" s="170"/>
      <c r="BJ410" s="542"/>
      <c r="BK410" s="170"/>
      <c r="BL410" s="542"/>
      <c r="BM410" s="170"/>
      <c r="BN410" s="542"/>
    </row>
    <row r="411" spans="1:66" ht="19.5" customHeight="1">
      <c r="A411" s="167" t="s">
        <v>366</v>
      </c>
      <c r="B411" s="168" t="s">
        <v>39</v>
      </c>
      <c r="C411" s="168" t="s">
        <v>367</v>
      </c>
      <c r="D411" s="168" t="s">
        <v>368</v>
      </c>
      <c r="E411" s="171">
        <v>46057</v>
      </c>
      <c r="F411" s="171"/>
      <c r="G411" s="168" t="s">
        <v>39</v>
      </c>
      <c r="H411" s="168" t="s">
        <v>504</v>
      </c>
      <c r="I411" s="169">
        <f>-270925*2-I412</f>
        <v>-272472</v>
      </c>
      <c r="J411" s="170">
        <f>IF(I411="",AR411,I411)</f>
        <v>-272472</v>
      </c>
      <c r="K411" s="168" t="s">
        <v>5</v>
      </c>
      <c r="L411" s="171" t="s">
        <v>505</v>
      </c>
      <c r="M411" s="168" t="s">
        <v>20</v>
      </c>
      <c r="N411" s="167" t="s">
        <v>371</v>
      </c>
      <c r="O411" s="168" t="s">
        <v>39</v>
      </c>
      <c r="P411" s="168" t="s">
        <v>413</v>
      </c>
      <c r="Q411" s="169"/>
      <c r="R411" s="170">
        <f>IF(Q411="",AS411,Q411)</f>
        <v>21101969.579879276</v>
      </c>
      <c r="S411" s="168" t="s">
        <v>9</v>
      </c>
      <c r="T411" s="171" t="s">
        <v>414</v>
      </c>
      <c r="U411" s="168" t="s">
        <v>374</v>
      </c>
      <c r="V411" s="167" t="s">
        <v>371</v>
      </c>
      <c r="W411" s="172" t="s">
        <v>375</v>
      </c>
      <c r="X411" s="173">
        <f>IF(Y411="",VLOOKUP(H411,CLIENTS!$A$1:$O$649,5,FALSE),Y411)</f>
        <v>0</v>
      </c>
      <c r="Y411" s="174">
        <v>0</v>
      </c>
      <c r="Z411" s="173">
        <f>IF(AA411="",VLOOKUP(P411,CLIENTS!$A$1:$O$649,5,FALSE),AA411)</f>
        <v>6.0000000000000001E-3</v>
      </c>
      <c r="AA411" s="174">
        <v>6.0000000000000001E-3</v>
      </c>
      <c r="AB411" s="173" t="str">
        <f>IF(W411="via USD",IF(K411="EUR",K411&amp;"USD","USD"&amp;K411),IFERROR(VLOOKUP(K411&amp;S411,'FX RATES'!$H$2:$H$20,1,FALSE),S411&amp;K411))</f>
        <v>USDUSD</v>
      </c>
      <c r="AC411" s="175">
        <f>IF(LEFT(AB411,3)=RIGHT(AB411,3),0,IFERROR(INDEX(CLIENTS!$A$1:$O$649,MATCH(H411,CLIENTS!$A$1:$A$649,0),MATCH(AB411,CLIENTS!$A$1:$O$1,0)),0))</f>
        <v>0</v>
      </c>
      <c r="AD411" s="176"/>
      <c r="AE411" s="177">
        <f>IF(W411="CLIENT","",IF(AD411="",AH411+AC411,AD411+AC411))</f>
        <v>1</v>
      </c>
      <c r="AF411" s="177" t="str">
        <f>E411&amp;AB411</f>
        <v>46057USDUSD</v>
      </c>
      <c r="AG411" s="176"/>
      <c r="AH411" s="178">
        <f>IF(LEFT(AB411,3)=RIGHT(AB411,3),1,VLOOKUP(AB411,'FX RATES'!$H$1:$I$20,2,FALSE))</f>
        <v>1</v>
      </c>
      <c r="AI411" s="178">
        <f>IF(OR(AB411="USDAED",LEFT(AB411,3)=RIGHT(AB411,3)),AH411,IF(LEFT(AB411)="USD",AG411,IF(RIGHT(AB411,3)="USD",1,IFERROR(VLOOKUP(E411&amp;"USD"&amp;RIGHT(AB411,3),$AF:$AG,2,FALSE),VLOOKUP(E411&amp;"USD"&amp;RIGHT(AJ411,3),$AN:$AO,2,FALSE)))))</f>
        <v>1</v>
      </c>
      <c r="AJ411" s="173" t="str">
        <f>IF(W411="via USD",IF(S411="EUR",S411&amp;"USD","USD"&amp;S411),IFERROR(VLOOKUP(K411&amp;S411,'FX RATES'!$H$2:$H$20,1,FALSE),S411&amp;K411))</f>
        <v>USDRUB</v>
      </c>
      <c r="AK411" s="175">
        <f>IF(LEFT(AJ411,3)=RIGHT(AJ411,3),0,IFERROR(INDEX(CLIENTS!$A$1:$O$649,MATCH(P411,CLIENTS!$A$1:$A$649,0),MATCH(AJ411,CLIENTS!$A$1:$O$1,0)),0))</f>
        <v>0</v>
      </c>
      <c r="AL411" s="176">
        <v>76.981700000000004</v>
      </c>
      <c r="AM411" s="177">
        <f>IF(W411="VENDOR","",IF(AL411="",AP411+AK411,AL411+AK411))</f>
        <v>76.981700000000004</v>
      </c>
      <c r="AN411" s="177" t="str">
        <f>E411&amp;AJ411</f>
        <v>46057USDRUB</v>
      </c>
      <c r="AO411" s="176">
        <v>77</v>
      </c>
      <c r="AP411" s="178">
        <f ca="1">IF(LEFT(AJ411,3)=RIGHT(AJ411,3),1,VLOOKUP(AJ411,'FX RATES'!$H$1:$I$20,2,FALSE))</f>
        <v>76.720500000000001</v>
      </c>
      <c r="AQ411" s="178">
        <f>IF(OR(AJ411="USDAED",LEFT(AJ411,3)=RIGHT(AJ411,3)),AP411,IF(LEFT(AJ411)="USD",AO411,IF(RIGHT(AJ411,3)="USD",1,IFERROR(VLOOKUP(E411&amp;"USD"&amp;RIGHT(AJ411,3),$AN:$AO,2,FALSE),VLOOKUP(E411&amp;"USD"&amp;RIGHT(AB411,3),$AF:$AG,2,FALSE)))))</f>
        <v>77</v>
      </c>
      <c r="AR411" s="179">
        <f>-Q411*(1-Z411)/(1+X411)*IF(W411="CLIENT",IF(S411=RIGHT(AJ411,3),1/AM411,AM411),IF(W411="VENDOR",IF(S411=RIGHT(AJ411,3),1/AE411,AE411),AE411^(VLOOKUP(AB411,'FX RATES'!$H$1:$J$26,3,FALSE))/AM411^(VLOOKUP(AJ411,'FX RATES'!$H$1:$J$26,3,FALSE))))</f>
        <v>0</v>
      </c>
      <c r="AS411" s="179">
        <f>-I411*(1+X411)/(1-Z411)*IF(W411="VENDOR",IF(K411=RIGHT(AB411,3),1/AE411,AE411),IF(W411="CLIENT",IF(K411=RIGHT(AB411,3),1/AM411,AM411),AM411^(VLOOKUP(AJ411,'FX RATES'!$H$1:$J$26,3,FALSE))/AE411^(VLOOKUP(AB411,'FX RATES'!$H$1:$J$26,3,FALSE))))</f>
        <v>21101969.579879276</v>
      </c>
      <c r="AT411" s="170">
        <f>IF(AB411&lt;&gt;AJ411,J411/IF(K411=RIGHT(AB411,3),AE411,1/AE411),IF(S411="USD",J411/IF(K411=RIGHT(AB411,3),IF(W411="CLIENT",AM411,AE411),1/IF(W411="CLIENT",AM411,AE411)),J411*VLOOKUP(K411,'FX RATES'!$E$1:$F$10,2,FALSE)))</f>
        <v>-272472</v>
      </c>
      <c r="AU411" s="170">
        <f>IF(AB411&lt;&gt;AJ411,R411/IF(S411=RIGHT(AJ411,3),AM411,1/AM411),IF(K411="USD",R411/IF(S411=RIGHT(AJ411,3),IF(W411="CLIENT",AM411,AE411),1/IF(W411="CLIENT",AM411,AE411)),R411*VLOOKUP(S411,'FX RATES'!$E$1:$F$10,2,FALSE)))</f>
        <v>274116.70020120725</v>
      </c>
      <c r="AV411" s="170">
        <f>AT411+AU411</f>
        <v>1644.700201207248</v>
      </c>
      <c r="AW411" s="169"/>
      <c r="AX411" s="170">
        <f>IF(AND(ISERROR(SEARCH("INVOICE",T411)),ISERROR(SEARCH("SWITCH",T411)),ISERROR(SEARCH("FOREX",T411)),ISERROR(SEARCH("REFUND",A411)),ISERROR(SEARCH("CANCELLED",A411))),IF(AW411="",-AT411*X411+AU411*Z411,AW411),0)</f>
        <v>1644.7002012072435</v>
      </c>
      <c r="AY411" s="170">
        <f>IF(AZ411="USD",AT411,IF(AZ411=K411,J411,-R411))</f>
        <v>-272472</v>
      </c>
      <c r="AZ411" s="170" t="str">
        <f>LEFT(AB411,3)</f>
        <v>USD</v>
      </c>
      <c r="BA411" s="542">
        <f>IF(OR(A411="REFUND",A411="CANCELLED"),0,IFERROR((IF(OR(AB411="USDAED",LEFT(AB411,3)=RIGHT(AB411,3)),AI411,AG411)-AE411)*-AY411*VLOOKUP(AB411,'FX RATES'!$H$1:$J$26,3,FALSE),0))</f>
        <v>0</v>
      </c>
      <c r="BB411" s="170" t="str">
        <f>RIGHT(AB411,3)</f>
        <v>USD</v>
      </c>
      <c r="BC411" s="542">
        <f>IF(BA411=0,0,IFERROR(BA411/IF(BB411&lt;&gt;"USD",AI411,1),"???"))</f>
        <v>0</v>
      </c>
      <c r="BD411" s="170">
        <f>IFERROR(-AC411/(IF(OR(AB411="USDAED",LEFT(AB411,3)=RIGHT(AB411,3)),AH411,AG411)-AE411)*BC411,0)</f>
        <v>0</v>
      </c>
      <c r="BE411" s="542">
        <f>BC411-BD411</f>
        <v>0</v>
      </c>
      <c r="BF411" s="170">
        <f>IF(BG411="USD",AU411,IF(BG411=S411,R411,-J411))</f>
        <v>274116.70020120725</v>
      </c>
      <c r="BG411" s="170" t="str">
        <f>LEFT(AJ411,3)</f>
        <v>USD</v>
      </c>
      <c r="BH411" s="542">
        <f>IF(OR(A411="REFUND",A411="CANCELLED"),0,IFERROR((IF(OR(AJ411="USDAED",LEFT(AJ411,3)=RIGHT(AJ411,3)),AQ411,AO411)-AM411)*-BF411*VLOOKUP(AJ411,'FX RATES'!$H$1:$J$26,3,FALSE),0))</f>
        <v>-5016.3356136811144</v>
      </c>
      <c r="BI411" s="170" t="str">
        <f>RIGHT(AJ411,3)</f>
        <v>RUB</v>
      </c>
      <c r="BJ411" s="542">
        <f>IF(BH411=0,0,IFERROR(BH411/IF(BI411&lt;&gt;"USD",AQ411,1),"???"))</f>
        <v>-65.147215762092401</v>
      </c>
      <c r="BK411" s="170">
        <f>IFERROR(-AK411/(IF(OR(AJ411="USDAED",LEFT(AJ411,3)=RIGHT(AJ411,3)),AP411,AO411)-AM411)*BJ411,0)</f>
        <v>0</v>
      </c>
      <c r="BL411" s="542">
        <f>BJ411-BK411</f>
        <v>-65.147215762092401</v>
      </c>
      <c r="BM411" s="170">
        <f>IF(AND(ISERROR(SEARCH("REFUND",A411)),ISERROR(SEARCH("CANCELLED",A411))),BD411+BK411,0)</f>
        <v>0</v>
      </c>
      <c r="BN411" s="542">
        <f>IF(AND(ISERROR(SEARCH("REFUND",A411)),ISERROR(SEARCH("CANCELLED",A411))),BE411+BL411,0)</f>
        <v>-65.147215762092401</v>
      </c>
    </row>
    <row r="412" spans="1:66" ht="19.5" customHeight="1">
      <c r="A412" s="167" t="s">
        <v>366</v>
      </c>
      <c r="B412" s="168" t="s">
        <v>39</v>
      </c>
      <c r="C412" s="168" t="s">
        <v>367</v>
      </c>
      <c r="D412" s="168" t="s">
        <v>368</v>
      </c>
      <c r="E412" s="171">
        <v>46057</v>
      </c>
      <c r="F412" s="171"/>
      <c r="G412" s="168" t="s">
        <v>39</v>
      </c>
      <c r="H412" s="168" t="s">
        <v>504</v>
      </c>
      <c r="I412" s="169">
        <v>-269378</v>
      </c>
      <c r="J412" s="170">
        <f>IF(I412="",AR412,I412)</f>
        <v>-269378</v>
      </c>
      <c r="K412" s="168" t="s">
        <v>5</v>
      </c>
      <c r="L412" s="171" t="s">
        <v>505</v>
      </c>
      <c r="M412" s="168" t="s">
        <v>20</v>
      </c>
      <c r="N412" s="167" t="s">
        <v>371</v>
      </c>
      <c r="O412" s="168" t="s">
        <v>39</v>
      </c>
      <c r="P412" s="168" t="s">
        <v>413</v>
      </c>
      <c r="Q412" s="169"/>
      <c r="R412" s="170">
        <f>IF(Q412="",AS412,Q412)</f>
        <v>20862350.48551308</v>
      </c>
      <c r="S412" s="168" t="s">
        <v>9</v>
      </c>
      <c r="T412" s="171" t="s">
        <v>414</v>
      </c>
      <c r="U412" s="168" t="s">
        <v>374</v>
      </c>
      <c r="V412" s="167" t="s">
        <v>371</v>
      </c>
      <c r="W412" s="172" t="s">
        <v>375</v>
      </c>
      <c r="X412" s="173">
        <f>IF(Y412="",VLOOKUP(H412,CLIENTS!$A$1:$O$649,5,FALSE),Y412)</f>
        <v>0</v>
      </c>
      <c r="Y412" s="174">
        <v>0</v>
      </c>
      <c r="Z412" s="173">
        <f>IF(AA412="",VLOOKUP(P412,CLIENTS!$A$1:$O$649,5,FALSE),AA412)</f>
        <v>6.0000000000000001E-3</v>
      </c>
      <c r="AA412" s="174">
        <v>6.0000000000000001E-3</v>
      </c>
      <c r="AB412" s="173" t="str">
        <f>IF(W412="via USD",IF(K412="EUR",K412&amp;"USD","USD"&amp;K412),IFERROR(VLOOKUP(K412&amp;S412,'FX RATES'!$H$2:$H$20,1,FALSE),S412&amp;K412))</f>
        <v>USDUSD</v>
      </c>
      <c r="AC412" s="175">
        <f>IF(LEFT(AB412,3)=RIGHT(AB412,3),0,IFERROR(INDEX(CLIENTS!$A$1:$O$649,MATCH(H412,CLIENTS!$A$1:$A$649,0),MATCH(AB412,CLIENTS!$A$1:$O$1,0)),0))</f>
        <v>0</v>
      </c>
      <c r="AD412" s="176"/>
      <c r="AE412" s="177">
        <f>IF(W412="CLIENT","",IF(AD412="",AH412+AC412,AD412+AC412))</f>
        <v>1</v>
      </c>
      <c r="AF412" s="177" t="str">
        <f>E412&amp;AB412</f>
        <v>46057USDUSD</v>
      </c>
      <c r="AG412" s="176"/>
      <c r="AH412" s="178">
        <f>IF(LEFT(AB412,3)=RIGHT(AB412,3),1,VLOOKUP(AB412,'FX RATES'!$H$1:$I$20,2,FALSE))</f>
        <v>1</v>
      </c>
      <c r="AI412" s="178">
        <f>IF(OR(AB412="USDAED",LEFT(AB412,3)=RIGHT(AB412,3)),AH412,IF(LEFT(AB412)="USD",AG412,IF(RIGHT(AB412,3)="USD",1,IFERROR(VLOOKUP(E412&amp;"USD"&amp;RIGHT(AB412,3),$AF:$AG,2,FALSE),VLOOKUP(E412&amp;"USD"&amp;RIGHT(AJ412,3),$AN:$AO,2,FALSE)))))</f>
        <v>1</v>
      </c>
      <c r="AJ412" s="173" t="str">
        <f>IF(W412="via USD",IF(S412="EUR",S412&amp;"USD","USD"&amp;S412),IFERROR(VLOOKUP(K412&amp;S412,'FX RATES'!$H$2:$H$20,1,FALSE),S412&amp;K412))</f>
        <v>USDRUB</v>
      </c>
      <c r="AK412" s="175">
        <f>IF(LEFT(AJ412,3)=RIGHT(AJ412,3),0,IFERROR(INDEX(CLIENTS!$A$1:$O$649,MATCH(P412,CLIENTS!$A$1:$A$649,0),MATCH(AJ412,CLIENTS!$A$1:$O$1,0)),0))</f>
        <v>0</v>
      </c>
      <c r="AL412" s="176">
        <v>76.981700000000004</v>
      </c>
      <c r="AM412" s="177">
        <f>IF(W412="VENDOR","",IF(AL412="",AP412+AK412,AL412+AK412))</f>
        <v>76.981700000000004</v>
      </c>
      <c r="AN412" s="177" t="str">
        <f>E412&amp;AJ412</f>
        <v>46057USDRUB</v>
      </c>
      <c r="AO412" s="176">
        <v>77</v>
      </c>
      <c r="AP412" s="178">
        <f ca="1">IF(LEFT(AJ412,3)=RIGHT(AJ412,3),1,VLOOKUP(AJ412,'FX RATES'!$H$1:$I$20,2,FALSE))</f>
        <v>76.720500000000001</v>
      </c>
      <c r="AQ412" s="178">
        <f>IF(OR(AJ412="USDAED",LEFT(AJ412,3)=RIGHT(AJ412,3)),AP412,IF(LEFT(AJ412)="USD",AO412,IF(RIGHT(AJ412,3)="USD",1,IFERROR(VLOOKUP(E412&amp;"USD"&amp;RIGHT(AJ412,3),$AN:$AO,2,FALSE),VLOOKUP(E412&amp;"USD"&amp;RIGHT(AB412,3),$AF:$AG,2,FALSE)))))</f>
        <v>77</v>
      </c>
      <c r="AR412" s="179">
        <f>-Q412*(1-Z412)/(1+X412)*IF(W412="CLIENT",IF(S412=RIGHT(AJ412,3),1/AM412,AM412),IF(W412="VENDOR",IF(S412=RIGHT(AJ412,3),1/AE412,AE412),AE412^(VLOOKUP(AB412,'FX RATES'!$H$1:$J$26,3,FALSE))/AM412^(VLOOKUP(AJ412,'FX RATES'!$H$1:$J$26,3,FALSE))))</f>
        <v>0</v>
      </c>
      <c r="AS412" s="179">
        <f>-I412*(1+X412)/(1-Z412)*IF(W412="VENDOR",IF(K412=RIGHT(AB412,3),1/AE412,AE412),IF(W412="CLIENT",IF(K412=RIGHT(AB412,3),1/AM412,AM412),AM412^(VLOOKUP(AJ412,'FX RATES'!$H$1:$J$26,3,FALSE))/AE412^(VLOOKUP(AB412,'FX RATES'!$H$1:$J$26,3,FALSE))))</f>
        <v>20862350.48551308</v>
      </c>
      <c r="AT412" s="170">
        <f>IF(AB412&lt;&gt;AJ412,J412/IF(K412=RIGHT(AB412,3),AE412,1/AE412),IF(S412="USD",J412/IF(K412=RIGHT(AB412,3),IF(W412="CLIENT",AM412,AE412),1/IF(W412="CLIENT",AM412,AE412)),J412*VLOOKUP(K412,'FX RATES'!$E$1:$F$10,2,FALSE)))</f>
        <v>-269378</v>
      </c>
      <c r="AU412" s="170">
        <f>IF(AB412&lt;&gt;AJ412,R412/IF(S412=RIGHT(AJ412,3),AM412,1/AM412),IF(K412="USD",R412/IF(S412=RIGHT(AJ412,3),IF(W412="CLIENT",AM412,AE412),1/IF(W412="CLIENT",AM412,AE412)),R412*VLOOKUP(S412,'FX RATES'!$E$1:$F$10,2,FALSE)))</f>
        <v>271004.02414486924</v>
      </c>
      <c r="AV412" s="170">
        <f>AT412+AU412</f>
        <v>1626.0241448692395</v>
      </c>
      <c r="AW412" s="169"/>
      <c r="AX412" s="170">
        <f>IF(AND(ISERROR(SEARCH("INVOICE",T412)),ISERROR(SEARCH("SWITCH",T412)),ISERROR(SEARCH("FOREX",T412)),ISERROR(SEARCH("REFUND",A412)),ISERROR(SEARCH("CANCELLED",A412))),IF(AW412="",-AT412*X412+AU412*Z412,AW412),0)</f>
        <v>1626.0241448692154</v>
      </c>
      <c r="AY412" s="170">
        <f>IF(AZ412="USD",AT412,IF(AZ412=K412,J412,-R412))</f>
        <v>-269378</v>
      </c>
      <c r="AZ412" s="170" t="str">
        <f>LEFT(AB412,3)</f>
        <v>USD</v>
      </c>
      <c r="BA412" s="542">
        <f>IF(OR(A412="REFUND",A412="CANCELLED"),0,IFERROR((IF(OR(AB412="USDAED",LEFT(AB412,3)=RIGHT(AB412,3)),AI412,AG412)-AE412)*-AY412*VLOOKUP(AB412,'FX RATES'!$H$1:$J$26,3,FALSE),0))</f>
        <v>0</v>
      </c>
      <c r="BB412" s="170" t="str">
        <f>RIGHT(AB412,3)</f>
        <v>USD</v>
      </c>
      <c r="BC412" s="542">
        <f>IF(BA412=0,0,IFERROR(BA412/IF(BB412&lt;&gt;"USD",AI412,1),"???"))</f>
        <v>0</v>
      </c>
      <c r="BD412" s="170">
        <f>IFERROR(-AC412/(IF(OR(AB412="USDAED",LEFT(AB412,3)=RIGHT(AB412,3)),AH412,AG412)-AE412)*BC412,0)</f>
        <v>0</v>
      </c>
      <c r="BE412" s="542">
        <f>BC412-BD412</f>
        <v>0</v>
      </c>
      <c r="BF412" s="170">
        <f>IF(BG412="USD",AU412,IF(BG412=S412,R412,-J412))</f>
        <v>271004.02414486924</v>
      </c>
      <c r="BG412" s="170" t="str">
        <f>LEFT(AJ412,3)</f>
        <v>USD</v>
      </c>
      <c r="BH412" s="542">
        <f>IF(OR(A412="REFUND",A412="CANCELLED"),0,IFERROR((IF(OR(AJ412="USDAED",LEFT(AJ412,3)=RIGHT(AJ412,3)),AQ412,AO412)-AM412)*-BF412*VLOOKUP(AJ412,'FX RATES'!$H$1:$J$26,3,FALSE),0))</f>
        <v>-4959.3736418501394</v>
      </c>
      <c r="BI412" s="170" t="str">
        <f>RIGHT(AJ412,3)</f>
        <v>RUB</v>
      </c>
      <c r="BJ412" s="542">
        <f>IF(BH412=0,0,IFERROR(BH412/IF(BI412&lt;&gt;"USD",AQ412,1),"???"))</f>
        <v>-64.407449894157651</v>
      </c>
      <c r="BK412" s="170">
        <f>IFERROR(-AK412/(IF(OR(AJ412="USDAED",LEFT(AJ412,3)=RIGHT(AJ412,3)),AP412,AO412)-AM412)*BJ412,0)</f>
        <v>0</v>
      </c>
      <c r="BL412" s="542">
        <f>BJ412-BK412</f>
        <v>-64.407449894157651</v>
      </c>
      <c r="BM412" s="170">
        <f>IF(AND(ISERROR(SEARCH("REFUND",A412)),ISERROR(SEARCH("CANCELLED",A412))),BD412+BK412,0)</f>
        <v>0</v>
      </c>
      <c r="BN412" s="542">
        <f>IF(AND(ISERROR(SEARCH("REFUND",A412)),ISERROR(SEARCH("CANCELLED",A412))),BE412+BL412,0)</f>
        <v>-64.407449894157651</v>
      </c>
    </row>
    <row r="413" spans="1:66" ht="19.5" customHeight="1">
      <c r="A413" s="167" t="s">
        <v>366</v>
      </c>
      <c r="B413" s="168" t="s">
        <v>45</v>
      </c>
      <c r="C413" s="168" t="s">
        <v>367</v>
      </c>
      <c r="D413" s="168" t="s">
        <v>368</v>
      </c>
      <c r="E413" s="171">
        <v>46057</v>
      </c>
      <c r="F413" s="171"/>
      <c r="G413" s="168" t="s">
        <v>45</v>
      </c>
      <c r="H413" s="168" t="s">
        <v>412</v>
      </c>
      <c r="I413" s="169">
        <f>-228655*2-J414</f>
        <v>-233473</v>
      </c>
      <c r="J413" s="170">
        <f>IF(I413="",AR413,I413)</f>
        <v>-233473</v>
      </c>
      <c r="K413" s="168" t="s">
        <v>5</v>
      </c>
      <c r="L413" s="171" t="s">
        <v>22</v>
      </c>
      <c r="M413" s="168" t="s">
        <v>49</v>
      </c>
      <c r="N413" s="167" t="s">
        <v>371</v>
      </c>
      <c r="O413" s="168" t="s">
        <v>39</v>
      </c>
      <c r="P413" s="168" t="s">
        <v>413</v>
      </c>
      <c r="Q413" s="169"/>
      <c r="R413" s="170">
        <f>IF(Q413="",AS413,Q413)</f>
        <v>18081638.273742456</v>
      </c>
      <c r="S413" s="168" t="s">
        <v>9</v>
      </c>
      <c r="T413" s="171" t="s">
        <v>414</v>
      </c>
      <c r="U413" s="168" t="s">
        <v>374</v>
      </c>
      <c r="V413" s="167" t="s">
        <v>371</v>
      </c>
      <c r="W413" s="172" t="s">
        <v>375</v>
      </c>
      <c r="X413" s="173">
        <f>IF(Y413="",VLOOKUP(H413,CLIENTS!$A$1:$O$649,5,FALSE),Y413)</f>
        <v>0</v>
      </c>
      <c r="Y413" s="174">
        <v>0</v>
      </c>
      <c r="Z413" s="173">
        <f>IF(AA413="",VLOOKUP(P413,CLIENTS!$A$1:$O$649,5,FALSE),AA413)</f>
        <v>6.0000000000000001E-3</v>
      </c>
      <c r="AA413" s="174">
        <v>6.0000000000000001E-3</v>
      </c>
      <c r="AB413" s="173" t="str">
        <f>IF(W413="via USD",IF(K413="EUR",K413&amp;"USD","USD"&amp;K413),IFERROR(VLOOKUP(K413&amp;S413,'FX RATES'!$H$2:$H$20,1,FALSE),S413&amp;K413))</f>
        <v>USDUSD</v>
      </c>
      <c r="AC413" s="175">
        <f>IF(LEFT(AB413,3)=RIGHT(AB413,3),0,IFERROR(INDEX(CLIENTS!$A$1:$O$649,MATCH(H413,CLIENTS!$A$1:$A$649,0),MATCH(AB413,CLIENTS!$A$1:$O$1,0)),0))</f>
        <v>0</v>
      </c>
      <c r="AD413" s="176"/>
      <c r="AE413" s="177">
        <f>IF(W413="CLIENT","",IF(AD413="",AH413+AC413,AD413+AC413))</f>
        <v>1</v>
      </c>
      <c r="AF413" s="177" t="str">
        <f>E413&amp;AB413</f>
        <v>46057USDUSD</v>
      </c>
      <c r="AG413" s="176"/>
      <c r="AH413" s="178">
        <f>IF(LEFT(AB413,3)=RIGHT(AB413,3),1,VLOOKUP(AB413,'FX RATES'!$H$1:$I$20,2,FALSE))</f>
        <v>1</v>
      </c>
      <c r="AI413" s="178">
        <f>IF(OR(AB413="USDAED",LEFT(AB413,3)=RIGHT(AB413,3)),AH413,IF(LEFT(AB413)="USD",AG413,IF(RIGHT(AB413,3)="USD",1,IFERROR(VLOOKUP(E413&amp;"USD"&amp;RIGHT(AB413,3),$AF:$AG,2,FALSE),VLOOKUP(E413&amp;"USD"&amp;RIGHT(AJ413,3),$AN:$AO,2,FALSE)))))</f>
        <v>1</v>
      </c>
      <c r="AJ413" s="173" t="str">
        <f>IF(W413="via USD",IF(S413="EUR",S413&amp;"USD","USD"&amp;S413),IFERROR(VLOOKUP(K413&amp;S413,'FX RATES'!$H$2:$H$20,1,FALSE),S413&amp;K413))</f>
        <v>USDRUB</v>
      </c>
      <c r="AK413" s="175">
        <f>IF(LEFT(AJ413,3)=RIGHT(AJ413,3),0,IFERROR(INDEX(CLIENTS!$A$1:$O$649,MATCH(P413,CLIENTS!$A$1:$A$649,0),MATCH(AJ413,CLIENTS!$A$1:$O$1,0)),0))</f>
        <v>0</v>
      </c>
      <c r="AL413" s="176">
        <v>76.981700000000004</v>
      </c>
      <c r="AM413" s="177">
        <f>IF(W413="VENDOR","",IF(AL413="",AP413+AK413,AL413+AK413))</f>
        <v>76.981700000000004</v>
      </c>
      <c r="AN413" s="177" t="str">
        <f>E413&amp;AJ413</f>
        <v>46057USDRUB</v>
      </c>
      <c r="AO413" s="176">
        <v>77</v>
      </c>
      <c r="AP413" s="178">
        <f ca="1">IF(LEFT(AJ413,3)=RIGHT(AJ413,3),1,VLOOKUP(AJ413,'FX RATES'!$H$1:$I$20,2,FALSE))</f>
        <v>76.720500000000001</v>
      </c>
      <c r="AQ413" s="178">
        <f>IF(OR(AJ413="USDAED",LEFT(AJ413,3)=RIGHT(AJ413,3)),AP413,IF(LEFT(AJ413)="USD",AO413,IF(RIGHT(AJ413,3)="USD",1,IFERROR(VLOOKUP(E413&amp;"USD"&amp;RIGHT(AJ413,3),$AN:$AO,2,FALSE),VLOOKUP(E413&amp;"USD"&amp;RIGHT(AB413,3),$AF:$AG,2,FALSE)))))</f>
        <v>77</v>
      </c>
      <c r="AR413" s="179">
        <f>-Q413*(1-Z413)/(1+X413)*IF(W413="CLIENT",IF(S413=RIGHT(AJ413,3),1/AM413,AM413),IF(W413="VENDOR",IF(S413=RIGHT(AJ413,3),1/AE413,AE413),AE413^(VLOOKUP(AB413,'FX RATES'!$H$1:$J$26,3,FALSE))/AM413^(VLOOKUP(AJ413,'FX RATES'!$H$1:$J$26,3,FALSE))))</f>
        <v>0</v>
      </c>
      <c r="AS413" s="179">
        <f>-I413*(1+X413)/(1-Z413)*IF(W413="VENDOR",IF(K413=RIGHT(AB413,3),1/AE413,AE413),IF(W413="CLIENT",IF(K413=RIGHT(AB413,3),1/AM413,AM413),AM413^(VLOOKUP(AJ413,'FX RATES'!$H$1:$J$26,3,FALSE))/AE413^(VLOOKUP(AB413,'FX RATES'!$H$1:$J$26,3,FALSE))))</f>
        <v>18081638.273742456</v>
      </c>
      <c r="AT413" s="170">
        <f>IF(AB413&lt;&gt;AJ413,J413/IF(K413=RIGHT(AB413,3),AE413,1/AE413),IF(S413="USD",J413/IF(K413=RIGHT(AB413,3),IF(W413="CLIENT",AM413,AE413),1/IF(W413="CLIENT",AM413,AE413)),J413*VLOOKUP(K413,'FX RATES'!$E$1:$F$10,2,FALSE)))</f>
        <v>-233473</v>
      </c>
      <c r="AU413" s="170">
        <f>IF(AB413&lt;&gt;AJ413,R413/IF(S413=RIGHT(AJ413,3),AM413,1/AM413),IF(K413="USD",R413/IF(S413=RIGHT(AJ413,3),IF(W413="CLIENT",AM413,AE413),1/IF(W413="CLIENT",AM413,AE413)),R413*VLOOKUP(S413,'FX RATES'!$E$1:$F$10,2,FALSE)))</f>
        <v>234882.29376257546</v>
      </c>
      <c r="AV413" s="170">
        <f>AT413+AU413</f>
        <v>1409.2937625754566</v>
      </c>
      <c r="AW413" s="169"/>
      <c r="AX413" s="170">
        <f>IF(AND(ISERROR(SEARCH("INVOICE",T413)),ISERROR(SEARCH("SWITCH",T413)),ISERROR(SEARCH("FOREX",T413)),ISERROR(SEARCH("REFUND",A413)),ISERROR(SEARCH("CANCELLED",A413))),IF(AW413="",-AT413*X413+AU413*Z413,AW413),0)</f>
        <v>1409.2937625754528</v>
      </c>
      <c r="AY413" s="170">
        <f>IF(AZ413="USD",AT413,IF(AZ413=K413,J413,-R413))</f>
        <v>-233473</v>
      </c>
      <c r="AZ413" s="170" t="str">
        <f>LEFT(AB413,3)</f>
        <v>USD</v>
      </c>
      <c r="BA413" s="542">
        <f>IF(OR(A413="REFUND",A413="CANCELLED"),0,IFERROR((IF(OR(AB413="USDAED",LEFT(AB413,3)=RIGHT(AB413,3)),AI413,AG413)-AE413)*-AY413*VLOOKUP(AB413,'FX RATES'!$H$1:$J$26,3,FALSE),0))</f>
        <v>0</v>
      </c>
      <c r="BB413" s="170" t="str">
        <f>RIGHT(AB413,3)</f>
        <v>USD</v>
      </c>
      <c r="BC413" s="542">
        <f>IF(BA413=0,0,IFERROR(BA413/IF(BB413&lt;&gt;"USD",AI413,1),"???"))</f>
        <v>0</v>
      </c>
      <c r="BD413" s="170">
        <f>IFERROR(-AC413/(IF(OR(AB413="USDAED",LEFT(AB413,3)=RIGHT(AB413,3)),AH413,AG413)-AE413)*BC413,0)</f>
        <v>0</v>
      </c>
      <c r="BE413" s="542">
        <f>BC413-BD413</f>
        <v>0</v>
      </c>
      <c r="BF413" s="170">
        <f>IF(BG413="USD",AU413,IF(BG413=S413,R413,-J413))</f>
        <v>234882.29376257546</v>
      </c>
      <c r="BG413" s="170" t="str">
        <f>LEFT(AJ413,3)</f>
        <v>USD</v>
      </c>
      <c r="BH413" s="542">
        <f>IF(OR(A413="REFUND",A413="CANCELLED"),0,IFERROR((IF(OR(AJ413="USDAED",LEFT(AJ413,3)=RIGHT(AJ413,3)),AQ413,AO413)-AM413)*-BF413*VLOOKUP(AJ413,'FX RATES'!$H$1:$J$26,3,FALSE),0))</f>
        <v>-4298.3459758542922</v>
      </c>
      <c r="BI413" s="170" t="str">
        <f>RIGHT(AJ413,3)</f>
        <v>RUB</v>
      </c>
      <c r="BJ413" s="542">
        <f>IF(BH413=0,0,IFERROR(BH413/IF(BI413&lt;&gt;"USD",AQ413,1),"???"))</f>
        <v>-55.822675011094702</v>
      </c>
      <c r="BK413" s="170">
        <f>IFERROR(-AK413/(IF(OR(AJ413="USDAED",LEFT(AJ413,3)=RIGHT(AJ413,3)),AP413,AO413)-AM413)*BJ413,0)</f>
        <v>0</v>
      </c>
      <c r="BL413" s="542">
        <f>BJ413-BK413</f>
        <v>-55.822675011094702</v>
      </c>
      <c r="BM413" s="170">
        <f>IF(AND(ISERROR(SEARCH("REFUND",A413)),ISERROR(SEARCH("CANCELLED",A413))),BD413+BK413,0)</f>
        <v>0</v>
      </c>
      <c r="BN413" s="542">
        <f>IF(AND(ISERROR(SEARCH("REFUND",A413)),ISERROR(SEARCH("CANCELLED",A413))),BE413+BL413,0)</f>
        <v>-55.822675011094702</v>
      </c>
    </row>
    <row r="414" spans="1:66" ht="19.5" customHeight="1">
      <c r="A414" s="167" t="s">
        <v>366</v>
      </c>
      <c r="B414" s="168" t="s">
        <v>45</v>
      </c>
      <c r="C414" s="168" t="s">
        <v>367</v>
      </c>
      <c r="D414" s="168" t="s">
        <v>368</v>
      </c>
      <c r="E414" s="171">
        <v>46057</v>
      </c>
      <c r="F414" s="171"/>
      <c r="G414" s="168" t="s">
        <v>45</v>
      </c>
      <c r="H414" s="168" t="s">
        <v>412</v>
      </c>
      <c r="I414" s="169">
        <v>-223837</v>
      </c>
      <c r="J414" s="170">
        <f>IF(I414="",AR414,I414)</f>
        <v>-223837</v>
      </c>
      <c r="K414" s="168" t="s">
        <v>5</v>
      </c>
      <c r="L414" s="171" t="s">
        <v>22</v>
      </c>
      <c r="M414" s="168" t="s">
        <v>51</v>
      </c>
      <c r="N414" s="167" t="s">
        <v>371</v>
      </c>
      <c r="O414" s="168" t="s">
        <v>39</v>
      </c>
      <c r="P414" s="168" t="s">
        <v>413</v>
      </c>
      <c r="Q414" s="169"/>
      <c r="R414" s="170">
        <f>IF(Q414="",AS414,Q414)</f>
        <v>17335364.972736422</v>
      </c>
      <c r="S414" s="168" t="s">
        <v>9</v>
      </c>
      <c r="T414" s="171" t="s">
        <v>414</v>
      </c>
      <c r="U414" s="168" t="s">
        <v>374</v>
      </c>
      <c r="V414" s="167" t="s">
        <v>371</v>
      </c>
      <c r="W414" s="172" t="s">
        <v>375</v>
      </c>
      <c r="X414" s="173">
        <f>IF(Y414="",VLOOKUP(H414,CLIENTS!$A$1:$O$649,5,FALSE),Y414)</f>
        <v>0</v>
      </c>
      <c r="Y414" s="174">
        <v>0</v>
      </c>
      <c r="Z414" s="173">
        <f>IF(AA414="",VLOOKUP(P414,CLIENTS!$A$1:$O$649,5,FALSE),AA414)</f>
        <v>6.0000000000000001E-3</v>
      </c>
      <c r="AA414" s="174">
        <v>6.0000000000000001E-3</v>
      </c>
      <c r="AB414" s="173" t="str">
        <f>IF(W414="via USD",IF(K414="EUR",K414&amp;"USD","USD"&amp;K414),IFERROR(VLOOKUP(K414&amp;S414,'FX RATES'!$H$2:$H$20,1,FALSE),S414&amp;K414))</f>
        <v>USDUSD</v>
      </c>
      <c r="AC414" s="175">
        <f>IF(LEFT(AB414,3)=RIGHT(AB414,3),0,IFERROR(INDEX(CLIENTS!$A$1:$O$649,MATCH(H414,CLIENTS!$A$1:$A$649,0),MATCH(AB414,CLIENTS!$A$1:$O$1,0)),0))</f>
        <v>0</v>
      </c>
      <c r="AD414" s="176"/>
      <c r="AE414" s="177">
        <f>IF(W414="CLIENT","",IF(AD414="",AH414+AC414,AD414+AC414))</f>
        <v>1</v>
      </c>
      <c r="AF414" s="177" t="str">
        <f>E414&amp;AB414</f>
        <v>46057USDUSD</v>
      </c>
      <c r="AG414" s="176"/>
      <c r="AH414" s="178">
        <f>IF(LEFT(AB414,3)=RIGHT(AB414,3),1,VLOOKUP(AB414,'FX RATES'!$H$1:$I$20,2,FALSE))</f>
        <v>1</v>
      </c>
      <c r="AI414" s="178">
        <f>IF(OR(AB414="USDAED",LEFT(AB414,3)=RIGHT(AB414,3)),AH414,IF(LEFT(AB414)="USD",AG414,IF(RIGHT(AB414,3)="USD",1,IFERROR(VLOOKUP(E414&amp;"USD"&amp;RIGHT(AB414,3),$AF:$AG,2,FALSE),VLOOKUP(E414&amp;"USD"&amp;RIGHT(AJ414,3),$AN:$AO,2,FALSE)))))</f>
        <v>1</v>
      </c>
      <c r="AJ414" s="173" t="str">
        <f>IF(W414="via USD",IF(S414="EUR",S414&amp;"USD","USD"&amp;S414),IFERROR(VLOOKUP(K414&amp;S414,'FX RATES'!$H$2:$H$20,1,FALSE),S414&amp;K414))</f>
        <v>USDRUB</v>
      </c>
      <c r="AK414" s="175">
        <f>IF(LEFT(AJ414,3)=RIGHT(AJ414,3),0,IFERROR(INDEX(CLIENTS!$A$1:$O$649,MATCH(P414,CLIENTS!$A$1:$A$649,0),MATCH(AJ414,CLIENTS!$A$1:$O$1,0)),0))</f>
        <v>0</v>
      </c>
      <c r="AL414" s="176">
        <v>76.981700000000004</v>
      </c>
      <c r="AM414" s="177">
        <f>IF(W414="VENDOR","",IF(AL414="",AP414+AK414,AL414+AK414))</f>
        <v>76.981700000000004</v>
      </c>
      <c r="AN414" s="177" t="str">
        <f>E414&amp;AJ414</f>
        <v>46057USDRUB</v>
      </c>
      <c r="AO414" s="176">
        <v>77</v>
      </c>
      <c r="AP414" s="178">
        <f ca="1">IF(LEFT(AJ414,3)=RIGHT(AJ414,3),1,VLOOKUP(AJ414,'FX RATES'!$H$1:$I$20,2,FALSE))</f>
        <v>76.720500000000001</v>
      </c>
      <c r="AQ414" s="178">
        <f>IF(OR(AJ414="USDAED",LEFT(AJ414,3)=RIGHT(AJ414,3)),AP414,IF(LEFT(AJ414)="USD",AO414,IF(RIGHT(AJ414,3)="USD",1,IFERROR(VLOOKUP(E414&amp;"USD"&amp;RIGHT(AJ414,3),$AN:$AO,2,FALSE),VLOOKUP(E414&amp;"USD"&amp;RIGHT(AB414,3),$AF:$AG,2,FALSE)))))</f>
        <v>77</v>
      </c>
      <c r="AR414" s="179">
        <f>-Q414*(1-Z414)/(1+X414)*IF(W414="CLIENT",IF(S414=RIGHT(AJ414,3),1/AM414,AM414),IF(W414="VENDOR",IF(S414=RIGHT(AJ414,3),1/AE414,AE414),AE414^(VLOOKUP(AB414,'FX RATES'!$H$1:$J$26,3,FALSE))/AM414^(VLOOKUP(AJ414,'FX RATES'!$H$1:$J$26,3,FALSE))))</f>
        <v>0</v>
      </c>
      <c r="AS414" s="179">
        <f>-I414*(1+X414)/(1-Z414)*IF(W414="VENDOR",IF(K414=RIGHT(AB414,3),1/AE414,AE414),IF(W414="CLIENT",IF(K414=RIGHT(AB414,3),1/AM414,AM414),AM414^(VLOOKUP(AJ414,'FX RATES'!$H$1:$J$26,3,FALSE))/AE414^(VLOOKUP(AB414,'FX RATES'!$H$1:$J$26,3,FALSE))))</f>
        <v>17335364.972736422</v>
      </c>
      <c r="AT414" s="170">
        <f>IF(AB414&lt;&gt;AJ414,J414/IF(K414=RIGHT(AB414,3),AE414,1/AE414),IF(S414="USD",J414/IF(K414=RIGHT(AB414,3),IF(W414="CLIENT",AM414,AE414),1/IF(W414="CLIENT",AM414,AE414)),J414*VLOOKUP(K414,'FX RATES'!$E$1:$F$10,2,FALSE)))</f>
        <v>-223837</v>
      </c>
      <c r="AU414" s="170">
        <f>IF(AB414&lt;&gt;AJ414,R414/IF(S414=RIGHT(AJ414,3),AM414,1/AM414),IF(K414="USD",R414/IF(S414=RIGHT(AJ414,3),IF(W414="CLIENT",AM414,AE414),1/IF(W414="CLIENT",AM414,AE414)),R414*VLOOKUP(S414,'FX RATES'!$E$1:$F$10,2,FALSE)))</f>
        <v>225188.12877263586</v>
      </c>
      <c r="AV414" s="170">
        <f>AT414+AU414</f>
        <v>1351.1287726358569</v>
      </c>
      <c r="AW414" s="169"/>
      <c r="AX414" s="170">
        <f>IF(AND(ISERROR(SEARCH("INVOICE",T414)),ISERROR(SEARCH("SWITCH",T414)),ISERROR(SEARCH("FOREX",T414)),ISERROR(SEARCH("REFUND",A414)),ISERROR(SEARCH("CANCELLED",A414))),IF(AW414="",-AT414*X414+AU414*Z414,AW414),0)</f>
        <v>1351.1287726358153</v>
      </c>
      <c r="AY414" s="170">
        <f>IF(AZ414="USD",AT414,IF(AZ414=K414,J414,-R414))</f>
        <v>-223837</v>
      </c>
      <c r="AZ414" s="170" t="str">
        <f>LEFT(AB414,3)</f>
        <v>USD</v>
      </c>
      <c r="BA414" s="542">
        <f>IF(OR(A414="REFUND",A414="CANCELLED"),0,IFERROR((IF(OR(AB414="USDAED",LEFT(AB414,3)=RIGHT(AB414,3)),AI414,AG414)-AE414)*-AY414*VLOOKUP(AB414,'FX RATES'!$H$1:$J$26,3,FALSE),0))</f>
        <v>0</v>
      </c>
      <c r="BB414" s="170" t="str">
        <f>RIGHT(AB414,3)</f>
        <v>USD</v>
      </c>
      <c r="BC414" s="542">
        <f>IF(BA414=0,0,IFERROR(BA414/IF(BB414&lt;&gt;"USD",AI414,1),"???"))</f>
        <v>0</v>
      </c>
      <c r="BD414" s="170">
        <f>IFERROR(-AC414/(IF(OR(AB414="USDAED",LEFT(AB414,3)=RIGHT(AB414,3)),AH414,AG414)-AE414)*BC414,0)</f>
        <v>0</v>
      </c>
      <c r="BE414" s="542">
        <f>BC414-BD414</f>
        <v>0</v>
      </c>
      <c r="BF414" s="170">
        <f>IF(BG414="USD",AU414,IF(BG414=S414,R414,-J414))</f>
        <v>225188.12877263586</v>
      </c>
      <c r="BG414" s="170" t="str">
        <f>LEFT(AJ414,3)</f>
        <v>USD</v>
      </c>
      <c r="BH414" s="542">
        <f>IF(OR(A414="REFUND",A414="CANCELLED"),0,IFERROR((IF(OR(AJ414="USDAED",LEFT(AJ414,3)=RIGHT(AJ414,3)),AQ414,AO414)-AM414)*-BF414*VLOOKUP(AJ414,'FX RATES'!$H$1:$J$26,3,FALSE),0))</f>
        <v>-4120.9427565384321</v>
      </c>
      <c r="BI414" s="170" t="str">
        <f>RIGHT(AJ414,3)</f>
        <v>RUB</v>
      </c>
      <c r="BJ414" s="542">
        <f>IF(BH414=0,0,IFERROR(BH414/IF(BI414&lt;&gt;"USD",AQ414,1),"???"))</f>
        <v>-53.518737097901713</v>
      </c>
      <c r="BK414" s="170">
        <f>IFERROR(-AK414/(IF(OR(AJ414="USDAED",LEFT(AJ414,3)=RIGHT(AJ414,3)),AP414,AO414)-AM414)*BJ414,0)</f>
        <v>0</v>
      </c>
      <c r="BL414" s="542">
        <f>BJ414-BK414</f>
        <v>-53.518737097901713</v>
      </c>
      <c r="BM414" s="170">
        <f>IF(AND(ISERROR(SEARCH("REFUND",A414)),ISERROR(SEARCH("CANCELLED",A414))),BD414+BK414,0)</f>
        <v>0</v>
      </c>
      <c r="BN414" s="542">
        <f>IF(AND(ISERROR(SEARCH("REFUND",A414)),ISERROR(SEARCH("CANCELLED",A414))),BE414+BL414,0)</f>
        <v>-53.518737097901713</v>
      </c>
    </row>
    <row r="415" spans="1:66" ht="19.5" customHeight="1">
      <c r="A415" s="167" t="s">
        <v>366</v>
      </c>
      <c r="B415" s="168" t="s">
        <v>39</v>
      </c>
      <c r="C415" s="168" t="s">
        <v>383</v>
      </c>
      <c r="D415" s="168" t="s">
        <v>128</v>
      </c>
      <c r="E415" s="171">
        <v>46057</v>
      </c>
      <c r="F415" s="171"/>
      <c r="G415" s="168" t="s">
        <v>39</v>
      </c>
      <c r="H415" s="168" t="s">
        <v>384</v>
      </c>
      <c r="I415" s="169">
        <v>-77381000</v>
      </c>
      <c r="J415" s="170">
        <f>IF(I415="",AR415,I415)</f>
        <v>-77381000</v>
      </c>
      <c r="K415" s="168" t="s">
        <v>9</v>
      </c>
      <c r="L415" s="171" t="s">
        <v>374</v>
      </c>
      <c r="M415" s="168" t="s">
        <v>374</v>
      </c>
      <c r="N415" s="167" t="s">
        <v>371</v>
      </c>
      <c r="O415" s="168" t="s">
        <v>39</v>
      </c>
      <c r="P415" s="349" t="s">
        <v>384</v>
      </c>
      <c r="Q415" s="169"/>
      <c r="R415" s="170">
        <f>IF(Q415="",AS415,Q415)</f>
        <v>3697133.3014811273</v>
      </c>
      <c r="S415" s="168" t="s">
        <v>8</v>
      </c>
      <c r="T415" s="171" t="s">
        <v>385</v>
      </c>
      <c r="U415" s="168" t="s">
        <v>20</v>
      </c>
      <c r="V415" s="167" t="s">
        <v>371</v>
      </c>
      <c r="W415" s="172" t="s">
        <v>382</v>
      </c>
      <c r="X415" s="173">
        <f>IF(Y415="",VLOOKUP(H415,CLIENTS!$A$1:$O$649,5,FALSE),Y415)</f>
        <v>0</v>
      </c>
      <c r="Y415" s="174">
        <v>0</v>
      </c>
      <c r="Z415" s="173">
        <f>IF(AA415="",VLOOKUP(P415,CLIENTS!$A$1:$O$649,5,FALSE),AA415)</f>
        <v>0</v>
      </c>
      <c r="AA415" s="174">
        <v>0</v>
      </c>
      <c r="AB415" s="173" t="str">
        <f>IF(W415="via USD",IF(K415="EUR",K415&amp;"USD","USD"&amp;K415),IFERROR(VLOOKUP(K415&amp;S415,'FX RATES'!$H$2:$H$20,1,FALSE),S415&amp;K415))</f>
        <v>AEDRUB</v>
      </c>
      <c r="AC415" s="175">
        <f>IF(LEFT(AB415,3)=RIGHT(AB415,3),0,IFERROR(INDEX(CLIENTS!$A$1:$O$649,MATCH(H415,CLIENTS!$A$1:$A$649,0),MATCH(AB415,CLIENTS!$A$1:$O$1,0)),0))</f>
        <v>0</v>
      </c>
      <c r="AD415" s="176">
        <v>20.93</v>
      </c>
      <c r="AE415" s="177">
        <f>IF(W415="CLIENT","",IF(AD415="",AH415+AC415,AD415+AC415))</f>
        <v>20.93</v>
      </c>
      <c r="AF415" s="177" t="str">
        <f>E415&amp;AB415</f>
        <v>46057AEDRUB</v>
      </c>
      <c r="AG415" s="176">
        <v>20.9666</v>
      </c>
      <c r="AH415" s="178">
        <f ca="1">IF(LEFT(AB415,3)=RIGHT(AB415,3),1,VLOOKUP(AB415,'FX RATES'!$H$1:$I$20,2,FALSE))</f>
        <v>20.8843</v>
      </c>
      <c r="AI415" s="178">
        <f>IF(OR(AB415="USDAED",LEFT(AB415,3)=RIGHT(AB415,3)),AH415,IF(LEFT(AB415)="USD",AG415,IF(RIGHT(AB415,3)="USD",1,IFERROR(VLOOKUP(E415&amp;"USD"&amp;RIGHT(AB415,3),$AF:$AG,2,FALSE),VLOOKUP(E415&amp;"USD"&amp;RIGHT(AJ415,3),$AN:$AO,2,FALSE)))))</f>
        <v>77</v>
      </c>
      <c r="AJ415" s="173" t="str">
        <f>IF(W415="via USD",IF(S415="EUR",S415&amp;"USD","USD"&amp;S415),IFERROR(VLOOKUP(K415&amp;S415,'FX RATES'!$H$2:$H$20,1,FALSE),S415&amp;K415))</f>
        <v>AEDRUB</v>
      </c>
      <c r="AK415" s="175">
        <f>IF(LEFT(AJ415,3)=RIGHT(AJ415,3),0,IFERROR(INDEX(CLIENTS!$A$1:$O$649,MATCH(P415,CLIENTS!$A$1:$A$649,0),MATCH(AJ415,CLIENTS!$A$1:$O$1,0)),0))</f>
        <v>0</v>
      </c>
      <c r="AL415" s="176"/>
      <c r="AM415" s="177" t="str">
        <f>IF(W415="VENDOR","",IF(AL415="",AP415+AK415,AL415+AK415))</f>
        <v/>
      </c>
      <c r="AN415" s="177" t="str">
        <f>E415&amp;AJ415</f>
        <v>46057AEDRUB</v>
      </c>
      <c r="AO415" s="176"/>
      <c r="AP415" s="178">
        <f ca="1">IF(LEFT(AJ415,3)=RIGHT(AJ415,3),1,VLOOKUP(AJ415,'FX RATES'!$H$1:$I$20,2,FALSE))</f>
        <v>20.8843</v>
      </c>
      <c r="AQ415" s="178">
        <f>IF(OR(AJ415="USDAED",LEFT(AJ415,3)=RIGHT(AJ415,3)),AP415,IF(LEFT(AJ415)="USD",AO415,IF(RIGHT(AJ415,3)="USD",1,IFERROR(VLOOKUP(E415&amp;"USD"&amp;RIGHT(AJ415,3),$AN:$AO,2,FALSE),VLOOKUP(E415&amp;"USD"&amp;RIGHT(AB415,3),$AF:$AG,2,FALSE)))))</f>
        <v>77</v>
      </c>
      <c r="AR415" s="179">
        <f>-Q415*(1-Z415)/(1+X415)*IF(W415="CLIENT",IF(S415=RIGHT(AJ415,3),1/AM415,AM415),IF(W415="VENDOR",IF(S415=RIGHT(AJ415,3),1/AE415,AE415),AE415^(VLOOKUP(AB415,'FX RATES'!$H$1:$J$26,3,FALSE))/AM415^(VLOOKUP(AJ415,'FX RATES'!$H$1:$J$26,3,FALSE))))</f>
        <v>0</v>
      </c>
      <c r="AS415" s="179">
        <f>-I415*(1+X415)/(1-Z415)*IF(W415="VENDOR",IF(K415=RIGHT(AB415,3),1/AE415,AE415),IF(W415="CLIENT",IF(K415=RIGHT(AB415,3),1/AM415,AM415),AM415^(VLOOKUP(AJ415,'FX RATES'!$H$1:$J$26,3,FALSE))/AE415^(VLOOKUP(AB415,'FX RATES'!$H$1:$J$26,3,FALSE))))</f>
        <v>3697133.3014811273</v>
      </c>
      <c r="AT415" s="170">
        <f ca="1">IF(AB415&lt;&gt;AJ415,J415/IF(K415=RIGHT(AB415,3),AE415,1/AE415),IF(S415="USD",J415/IF(K415=RIGHT(AB415,3),IF(W415="CLIENT",AM415,AE415),1/IF(W415="CLIENT",AM415,AE415)),J415*VLOOKUP(K415,'FX RATES'!$E$1:$F$10,2,FALSE)))</f>
        <v>-1008609.1722551339</v>
      </c>
      <c r="AU415" s="170">
        <f ca="1">IF(AB415&lt;&gt;AJ415,R415/IF(S415=RIGHT(AJ415,3),AM415,1/AM415),IF(K415="USD",R415/IF(S415=RIGHT(AJ415,3),IF(W415="CLIENT",AM415,AE415),1/IF(W415="CLIENT",AM415,AE415)),R415*VLOOKUP(S415,'FX RATES'!$E$1:$F$10,2,FALSE)))</f>
        <v>1006680.0908024634</v>
      </c>
      <c r="AV415" s="170">
        <f ca="1">AT415+AU415</f>
        <v>-1929.0814526705071</v>
      </c>
      <c r="AW415" s="169"/>
      <c r="AX415" s="170">
        <f ca="1">IF(AND(ISERROR(SEARCH("INVOICE",T415)),ISERROR(SEARCH("SWITCH",T415)),ISERROR(SEARCH("FOREX",T415)),ISERROR(SEARCH("REFUND",A415)),ISERROR(SEARCH("CANCELLED",A415))),IF(AW415="",-AT415*X415+AU415*Z415,AW415),0)</f>
        <v>0</v>
      </c>
      <c r="AY415" s="170">
        <f>IF(AZ415="USD",AT415,IF(AZ415=K415,J415,-R415))</f>
        <v>-3697133.3014811273</v>
      </c>
      <c r="AZ415" s="170" t="str">
        <f>LEFT(AB415,3)</f>
        <v>AED</v>
      </c>
      <c r="BA415" s="542">
        <f>IF(OR(A415="REFUND",A415="CANCELLED"),0,IFERROR((IF(OR(AB415="USDAED",LEFT(AB415,3)=RIGHT(AB415,3)),AI415,AG415)-AE415)*-AY415*VLOOKUP(AB415,'FX RATES'!$H$1:$J$26,3,FALSE),0))</f>
        <v>135315.07883420913</v>
      </c>
      <c r="BB415" s="170" t="str">
        <f>RIGHT(AB415,3)</f>
        <v>RUB</v>
      </c>
      <c r="BC415" s="542">
        <f>IF(BA415=0,0,IFERROR(BA415/IF(BB415&lt;&gt;"USD",AI415,1),"???"))</f>
        <v>1757.33868615856</v>
      </c>
      <c r="BD415" s="170">
        <f>IFERROR(-AC415/(IF(OR(AB415="USDAED",LEFT(AB415,3)=RIGHT(AB415,3)),AH415,AG415)-AE415)*BC415,0)</f>
        <v>0</v>
      </c>
      <c r="BE415" s="542">
        <f>BC415-BD415</f>
        <v>1757.33868615856</v>
      </c>
      <c r="BF415" s="170">
        <f>IF(BG415="USD",AU415,IF(BG415=S415,R415,-J415))</f>
        <v>3697133.3014811273</v>
      </c>
      <c r="BG415" s="170" t="str">
        <f>LEFT(AJ415,3)</f>
        <v>AED</v>
      </c>
      <c r="BH415" s="542">
        <f>IF(OR(A415="REFUND",A415="CANCELLED"),0,IFERROR((IF(OR(AJ415="USDAED",LEFT(AJ415,3)=RIGHT(AJ415,3)),AQ415,AO415)-AM415)*-BF415*VLOOKUP(AJ415,'FX RATES'!$H$1:$J$26,3,FALSE),0))</f>
        <v>0</v>
      </c>
      <c r="BI415" s="170" t="str">
        <f>RIGHT(AJ415,3)</f>
        <v>RUB</v>
      </c>
      <c r="BJ415" s="542">
        <f>IF(BH415=0,0,IFERROR(BH415/IF(BI415&lt;&gt;"USD",AQ415,1),"???"))</f>
        <v>0</v>
      </c>
      <c r="BK415" s="170">
        <f>IFERROR(-AK415/(IF(OR(AJ415="USDAED",LEFT(AJ415,3)=RIGHT(AJ415,3)),AP415,AO415)-AM415)*BJ415,0)</f>
        <v>0</v>
      </c>
      <c r="BL415" s="542">
        <f>BJ415-BK415</f>
        <v>0</v>
      </c>
      <c r="BM415" s="170">
        <f>IF(AND(ISERROR(SEARCH("REFUND",A415)),ISERROR(SEARCH("CANCELLED",A415))),BD415+BK415,0)</f>
        <v>0</v>
      </c>
      <c r="BN415" s="542">
        <f>IF(AND(ISERROR(SEARCH("REFUND",A415)),ISERROR(SEARCH("CANCELLED",A415))),BE415+BL415,0)</f>
        <v>1757.33868615856</v>
      </c>
    </row>
    <row r="416" spans="1:66" ht="19.5" customHeight="1">
      <c r="A416" s="167"/>
      <c r="B416" s="182"/>
      <c r="C416" s="182"/>
      <c r="D416" s="182"/>
      <c r="E416" s="184"/>
      <c r="F416" s="184"/>
      <c r="G416" s="182"/>
      <c r="H416" s="182"/>
      <c r="I416" s="170"/>
      <c r="J416" s="170"/>
      <c r="K416" s="182"/>
      <c r="L416" s="184"/>
      <c r="M416" s="182"/>
      <c r="O416" s="182"/>
      <c r="P416" s="444"/>
      <c r="Q416" s="170"/>
      <c r="R416" s="170"/>
      <c r="S416" s="182"/>
      <c r="T416" s="184"/>
      <c r="U416" s="182"/>
      <c r="X416" s="173"/>
      <c r="Y416" s="173"/>
      <c r="Z416" s="173"/>
      <c r="AA416" s="173"/>
      <c r="AB416" s="173"/>
      <c r="AC416" s="175"/>
      <c r="AD416" s="177"/>
      <c r="AE416" s="177"/>
      <c r="AF416" s="177"/>
      <c r="AG416" s="177"/>
      <c r="AH416" s="178"/>
      <c r="AI416" s="178"/>
      <c r="AJ416" s="173"/>
      <c r="AK416" s="175"/>
      <c r="AL416" s="177"/>
      <c r="AM416" s="177"/>
      <c r="AN416" s="177"/>
      <c r="AO416" s="177"/>
      <c r="AP416" s="178"/>
      <c r="AQ416" s="178"/>
      <c r="AR416" s="185"/>
      <c r="AS416" s="185"/>
      <c r="AT416" s="170"/>
      <c r="AU416" s="170"/>
      <c r="AV416" s="170"/>
      <c r="AW416" s="170"/>
      <c r="AX416" s="170"/>
      <c r="AY416" s="170"/>
      <c r="AZ416" s="170"/>
      <c r="BA416" s="542"/>
      <c r="BB416" s="170"/>
      <c r="BC416" s="542"/>
      <c r="BD416" s="170"/>
      <c r="BE416" s="542"/>
      <c r="BF416" s="170"/>
      <c r="BG416" s="170"/>
      <c r="BH416" s="542"/>
      <c r="BI416" s="170"/>
      <c r="BJ416" s="542"/>
      <c r="BK416" s="170"/>
      <c r="BL416" s="542"/>
      <c r="BM416" s="170"/>
      <c r="BN416" s="542"/>
    </row>
    <row r="417" spans="1:66" ht="19.5" customHeight="1">
      <c r="A417" s="167" t="s">
        <v>366</v>
      </c>
      <c r="B417" s="168" t="s">
        <v>39</v>
      </c>
      <c r="C417" s="168" t="s">
        <v>367</v>
      </c>
      <c r="D417" s="168" t="s">
        <v>368</v>
      </c>
      <c r="E417" s="171">
        <v>46057</v>
      </c>
      <c r="F417" s="171"/>
      <c r="G417" s="168" t="s">
        <v>39</v>
      </c>
      <c r="H417" s="168" t="s">
        <v>55</v>
      </c>
      <c r="I417" s="169"/>
      <c r="J417" s="170">
        <f>IF(I417="",AR417,I417)</f>
        <v>-1483336.6440628234</v>
      </c>
      <c r="K417" s="168" t="s">
        <v>5</v>
      </c>
      <c r="L417" s="168" t="s">
        <v>40</v>
      </c>
      <c r="M417" s="168" t="s">
        <v>20</v>
      </c>
      <c r="N417" s="167" t="s">
        <v>371</v>
      </c>
      <c r="O417" s="168" t="s">
        <v>39</v>
      </c>
      <c r="P417" s="168" t="s">
        <v>55</v>
      </c>
      <c r="Q417" s="169">
        <v>114250000</v>
      </c>
      <c r="R417" s="170">
        <f>IF(Q417="",AS417,Q417)</f>
        <v>114250000</v>
      </c>
      <c r="S417" s="168" t="s">
        <v>9</v>
      </c>
      <c r="T417" s="171" t="s">
        <v>25</v>
      </c>
      <c r="U417" s="168" t="s">
        <v>374</v>
      </c>
      <c r="V417" s="167" t="s">
        <v>371</v>
      </c>
      <c r="W417" s="172" t="s">
        <v>375</v>
      </c>
      <c r="X417" s="173">
        <f>IF(Y417="",VLOOKUP(H417,CLIENTS!$A$1:$O$649,5,FALSE),Y417)</f>
        <v>0</v>
      </c>
      <c r="Y417" s="174">
        <v>0</v>
      </c>
      <c r="Z417" s="173">
        <f>IF(AA417="",VLOOKUP(P417,CLIENTS!$A$1:$O$649,5,FALSE),AA417)</f>
        <v>0</v>
      </c>
      <c r="AA417" s="174">
        <v>0</v>
      </c>
      <c r="AB417" s="173" t="str">
        <f>IF(W417="via USD",IF(K417="EUR",K417&amp;"USD","USD"&amp;K417),IFERROR(VLOOKUP(K417&amp;S417,'FX RATES'!$H$2:$H$20,1,FALSE),S417&amp;K417))</f>
        <v>USDUSD</v>
      </c>
      <c r="AC417" s="175">
        <f>IF(LEFT(AB417,3)=RIGHT(AB417,3),0,IFERROR(INDEX(CLIENTS!$A$1:$O$649,MATCH(H417,CLIENTS!$A$1:$A$649,0),MATCH(AB417,CLIENTS!$A$1:$O$1,0)),0))</f>
        <v>0</v>
      </c>
      <c r="AD417" s="176"/>
      <c r="AE417" s="177">
        <f>IF(W417="CLIENT","",IF(AD417="",AH417+AC417,AD417+AC417))</f>
        <v>1</v>
      </c>
      <c r="AF417" s="177" t="str">
        <f>E417&amp;AB417</f>
        <v>46057USDUSD</v>
      </c>
      <c r="AG417" s="176"/>
      <c r="AH417" s="178">
        <f>IF(LEFT(AB417,3)=RIGHT(AB417,3),1,VLOOKUP(AB417,'FX RATES'!$H$1:$I$20,2,FALSE))</f>
        <v>1</v>
      </c>
      <c r="AI417" s="178">
        <f>IF(OR(AB417="USDAED",LEFT(AB417,3)=RIGHT(AB417,3)),AH417,IF(LEFT(AB417)="USD",AG417,IF(RIGHT(AB417,3)="USD",1,IFERROR(VLOOKUP(E417&amp;"USD"&amp;RIGHT(AB417,3),$AF:$AG,2,FALSE),VLOOKUP(E417&amp;"USD"&amp;RIGHT(AJ417,3),$AN:$AO,2,FALSE)))))</f>
        <v>1</v>
      </c>
      <c r="AJ417" s="173" t="str">
        <f>IF(W417="via USD",IF(S417="EUR",S417&amp;"USD","USD"&amp;S417),IFERROR(VLOOKUP(K417&amp;S417,'FX RATES'!$H$2:$H$20,1,FALSE),S417&amp;K417))</f>
        <v>USDRUB</v>
      </c>
      <c r="AK417" s="175">
        <f>IF(LEFT(AJ417,3)=RIGHT(AJ417,3),0,IFERROR(INDEX(CLIENTS!$A$1:$O$649,MATCH(P417,CLIENTS!$A$1:$A$649,0),MATCH(AJ417,CLIENTS!$A$1:$O$1,0)),0))</f>
        <v>0</v>
      </c>
      <c r="AL417" s="176">
        <v>77.022300000000001</v>
      </c>
      <c r="AM417" s="177">
        <f>IF(W417="VENDOR","",IF(AL417="",AP417+AK417,AL417+AK417))</f>
        <v>77.022300000000001</v>
      </c>
      <c r="AN417" s="177" t="str">
        <f>E417&amp;AJ417</f>
        <v>46057USDRUB</v>
      </c>
      <c r="AO417" s="176">
        <v>77</v>
      </c>
      <c r="AP417" s="178">
        <f ca="1">IF(LEFT(AJ417,3)=RIGHT(AJ417,3),1,VLOOKUP(AJ417,'FX RATES'!$H$1:$I$20,2,FALSE))</f>
        <v>76.720500000000001</v>
      </c>
      <c r="AQ417" s="178">
        <f>IF(OR(AJ417="USDAED",LEFT(AJ417,3)=RIGHT(AJ417,3)),AP417,IF(LEFT(AJ417)="USD",AO417,IF(RIGHT(AJ417,3)="USD",1,IFERROR(VLOOKUP(E417&amp;"USD"&amp;RIGHT(AJ417,3),$AN:$AO,2,FALSE),VLOOKUP(E417&amp;"USD"&amp;RIGHT(AB417,3),$AF:$AG,2,FALSE)))))</f>
        <v>77</v>
      </c>
      <c r="AR417" s="179">
        <f>-Q417*(1-Z417)/(1+X417)*IF(W417="CLIENT",IF(S417=RIGHT(AJ417,3),1/AM417,AM417),IF(W417="VENDOR",IF(S417=RIGHT(AJ417,3),1/AE417,AE417),AE417^(VLOOKUP(AB417,'FX RATES'!$H$1:$J$26,3,FALSE))/AM417^(VLOOKUP(AJ417,'FX RATES'!$H$1:$J$26,3,FALSE))))</f>
        <v>-1483336.6440628234</v>
      </c>
      <c r="AS417" s="179">
        <f>-I417*(1+X417)/(1-Z417)*IF(W417="VENDOR",IF(K417=RIGHT(AB417,3),1/AE417,AE417),IF(W417="CLIENT",IF(K417=RIGHT(AB417,3),1/AM417,AM417),AM417^(VLOOKUP(AJ417,'FX RATES'!$H$1:$J$26,3,FALSE))/AE417^(VLOOKUP(AB417,'FX RATES'!$H$1:$J$26,3,FALSE))))</f>
        <v>0</v>
      </c>
      <c r="AT417" s="170">
        <f>IF(AB417&lt;&gt;AJ417,J417/IF(K417=RIGHT(AB417,3),AE417,1/AE417),IF(S417="USD",J417/IF(K417=RIGHT(AB417,3),IF(W417="CLIENT",AM417,AE417),1/IF(W417="CLIENT",AM417,AE417)),J417*VLOOKUP(K417,'FX RATES'!$E$1:$F$10,2,FALSE)))</f>
        <v>-1483336.6440628234</v>
      </c>
      <c r="AU417" s="170">
        <f>IF(AB417&lt;&gt;AJ417,R417/IF(S417=RIGHT(AJ417,3),AM417,1/AM417),IF(K417="USD",R417/IF(S417=RIGHT(AJ417,3),IF(W417="CLIENT",AM417,AE417),1/IF(W417="CLIENT",AM417,AE417)),R417*VLOOKUP(S417,'FX RATES'!$E$1:$F$10,2,FALSE)))</f>
        <v>1483336.6440628234</v>
      </c>
      <c r="AV417" s="170">
        <f>AT417+AU417</f>
        <v>0</v>
      </c>
      <c r="AW417" s="169"/>
      <c r="AX417" s="170">
        <f>IF(AND(ISERROR(SEARCH("INVOICE",T417)),ISERROR(SEARCH("SWITCH",T417)),ISERROR(SEARCH("FOREX",T417)),ISERROR(SEARCH("REFUND",A417)),ISERROR(SEARCH("CANCELLED",A417))),IF(AW417="",-AT417*X417+AU417*Z417,AW417),0)</f>
        <v>0</v>
      </c>
      <c r="AY417" s="170">
        <f>IF(AZ417="USD",AT417,IF(AZ417=K417,J417,-R417))</f>
        <v>-1483336.6440628234</v>
      </c>
      <c r="AZ417" s="170" t="str">
        <f>LEFT(AB417,3)</f>
        <v>USD</v>
      </c>
      <c r="BA417" s="542">
        <f>IF(OR(A417="REFUND",A417="CANCELLED"),0,IFERROR((IF(OR(AB417="USDAED",LEFT(AB417,3)=RIGHT(AB417,3)),AI417,AG417)-AE417)*-AY417*VLOOKUP(AB417,'FX RATES'!$H$1:$J$26,3,FALSE),0))</f>
        <v>0</v>
      </c>
      <c r="BB417" s="170" t="str">
        <f>RIGHT(AB417,3)</f>
        <v>USD</v>
      </c>
      <c r="BC417" s="542">
        <f>IF(BA417=0,0,IFERROR(BA417/IF(BB417&lt;&gt;"USD",AI417,1),"???"))</f>
        <v>0</v>
      </c>
      <c r="BD417" s="170">
        <f>IFERROR(-AC417/(IF(OR(AB417="USDAED",LEFT(AB417,3)=RIGHT(AB417,3)),AH417,AG417)-AE417)*BC417,0)</f>
        <v>0</v>
      </c>
      <c r="BE417" s="542">
        <f>BC417-BD417</f>
        <v>0</v>
      </c>
      <c r="BF417" s="170">
        <f>IF(BG417="USD",AU417,IF(BG417=S417,R417,-J417))</f>
        <v>1483336.6440628234</v>
      </c>
      <c r="BG417" s="170" t="str">
        <f>LEFT(AJ417,3)</f>
        <v>USD</v>
      </c>
      <c r="BH417" s="542">
        <f>IF(OR(A417="REFUND",A417="CANCELLED"),0,IFERROR((IF(OR(AJ417="USDAED",LEFT(AJ417,3)=RIGHT(AJ417,3)),AQ417,AO417)-AM417)*-BF417*VLOOKUP(AJ417,'FX RATES'!$H$1:$J$26,3,FALSE),0))</f>
        <v>33078.407162602918</v>
      </c>
      <c r="BI417" s="170" t="str">
        <f>RIGHT(AJ417,3)</f>
        <v>RUB</v>
      </c>
      <c r="BJ417" s="542">
        <f>IF(BH417=0,0,IFERROR(BH417/IF(BI417&lt;&gt;"USD",AQ417,1),"???"))</f>
        <v>429.58970341042749</v>
      </c>
      <c r="BK417" s="170">
        <f>IFERROR(-AK417/(IF(OR(AJ417="USDAED",LEFT(AJ417,3)=RIGHT(AJ417,3)),AP417,AO417)-AM417)*BJ417,0)</f>
        <v>0</v>
      </c>
      <c r="BL417" s="542">
        <f>BJ417-BK417</f>
        <v>429.58970341042749</v>
      </c>
      <c r="BM417" s="170">
        <f>IF(AND(ISERROR(SEARCH("REFUND",A417)),ISERROR(SEARCH("CANCELLED",A417))),BD417+BK417,0)</f>
        <v>0</v>
      </c>
      <c r="BN417" s="542">
        <f>IF(AND(ISERROR(SEARCH("REFUND",A417)),ISERROR(SEARCH("CANCELLED",A417))),BE417+BL417,0)</f>
        <v>429.58970341042749</v>
      </c>
    </row>
    <row r="418" spans="1:66" ht="19.5" customHeight="1">
      <c r="A418" s="167" t="s">
        <v>366</v>
      </c>
      <c r="B418" s="168" t="s">
        <v>39</v>
      </c>
      <c r="C418" s="168" t="s">
        <v>383</v>
      </c>
      <c r="D418" s="168" t="s">
        <v>128</v>
      </c>
      <c r="E418" s="171">
        <v>46057</v>
      </c>
      <c r="F418" s="171"/>
      <c r="G418" s="168" t="s">
        <v>39</v>
      </c>
      <c r="H418" s="168" t="s">
        <v>384</v>
      </c>
      <c r="I418" s="169">
        <f>-R417</f>
        <v>-114250000</v>
      </c>
      <c r="J418" s="170">
        <f>IF(I418="",AR418,I418)</f>
        <v>-114250000</v>
      </c>
      <c r="K418" s="168" t="s">
        <v>9</v>
      </c>
      <c r="L418" s="171" t="s">
        <v>374</v>
      </c>
      <c r="M418" s="168" t="s">
        <v>374</v>
      </c>
      <c r="N418" s="167" t="s">
        <v>371</v>
      </c>
      <c r="O418" s="168" t="s">
        <v>39</v>
      </c>
      <c r="P418" s="349" t="s">
        <v>384</v>
      </c>
      <c r="Q418" s="169"/>
      <c r="R418" s="170">
        <f>IF(Q418="",AS418,Q418)</f>
        <v>5458671.7630195888</v>
      </c>
      <c r="S418" s="168" t="s">
        <v>8</v>
      </c>
      <c r="T418" s="171" t="s">
        <v>385</v>
      </c>
      <c r="U418" s="168" t="s">
        <v>20</v>
      </c>
      <c r="V418" s="167" t="s">
        <v>371</v>
      </c>
      <c r="W418" s="172" t="s">
        <v>382</v>
      </c>
      <c r="X418" s="173">
        <f>IF(Y418="",VLOOKUP(H418,CLIENTS!$A$1:$O$649,5,FALSE),Y418)</f>
        <v>0</v>
      </c>
      <c r="Y418" s="174">
        <v>0</v>
      </c>
      <c r="Z418" s="173">
        <f>IF(AA418="",VLOOKUP(P418,CLIENTS!$A$1:$O$649,5,FALSE),AA418)</f>
        <v>0</v>
      </c>
      <c r="AA418" s="174">
        <v>0</v>
      </c>
      <c r="AB418" s="173" t="str">
        <f>IF(W418="via USD",IF(K418="EUR",K418&amp;"USD","USD"&amp;K418),IFERROR(VLOOKUP(K418&amp;S418,'FX RATES'!$H$2:$H$20,1,FALSE),S418&amp;K418))</f>
        <v>AEDRUB</v>
      </c>
      <c r="AC418" s="175">
        <f>IF(LEFT(AB418,3)=RIGHT(AB418,3),0,IFERROR(INDEX(CLIENTS!$A$1:$O$649,MATCH(H418,CLIENTS!$A$1:$A$649,0),MATCH(AB418,CLIENTS!$A$1:$O$1,0)),0))</f>
        <v>0</v>
      </c>
      <c r="AD418" s="176">
        <v>20.93</v>
      </c>
      <c r="AE418" s="177">
        <f>IF(W418="CLIENT","",IF(AD418="",AH418+AC418,AD418+AC418))</f>
        <v>20.93</v>
      </c>
      <c r="AF418" s="177" t="str">
        <f>E418&amp;AB418</f>
        <v>46057AEDRUB</v>
      </c>
      <c r="AG418" s="176">
        <v>20.9666</v>
      </c>
      <c r="AH418" s="178">
        <f ca="1">IF(LEFT(AB418,3)=RIGHT(AB418,3),1,VLOOKUP(AB418,'FX RATES'!$H$1:$I$20,2,FALSE))</f>
        <v>20.8843</v>
      </c>
      <c r="AI418" s="178">
        <f>IF(OR(AB418="USDAED",LEFT(AB418,3)=RIGHT(AB418,3)),AH418,IF(LEFT(AB418)="USD",AG418,IF(RIGHT(AB418,3)="USD",1,IFERROR(VLOOKUP(E418&amp;"USD"&amp;RIGHT(AB418,3),$AF:$AG,2,FALSE),VLOOKUP(E418&amp;"USD"&amp;RIGHT(AJ418,3),$AN:$AO,2,FALSE)))))</f>
        <v>77</v>
      </c>
      <c r="AJ418" s="173" t="str">
        <f>IF(W418="via USD",IF(S418="EUR",S418&amp;"USD","USD"&amp;S418),IFERROR(VLOOKUP(K418&amp;S418,'FX RATES'!$H$2:$H$20,1,FALSE),S418&amp;K418))</f>
        <v>AEDRUB</v>
      </c>
      <c r="AK418" s="175">
        <f>IF(LEFT(AJ418,3)=RIGHT(AJ418,3),0,IFERROR(INDEX(CLIENTS!$A$1:$O$649,MATCH(P418,CLIENTS!$A$1:$A$649,0),MATCH(AJ418,CLIENTS!$A$1:$O$1,0)),0))</f>
        <v>0</v>
      </c>
      <c r="AL418" s="176"/>
      <c r="AM418" s="177" t="str">
        <f>IF(W418="VENDOR","",IF(AL418="",AP418+AK418,AL418+AK418))</f>
        <v/>
      </c>
      <c r="AN418" s="177" t="str">
        <f>E418&amp;AJ418</f>
        <v>46057AEDRUB</v>
      </c>
      <c r="AO418" s="176"/>
      <c r="AP418" s="178">
        <f ca="1">IF(LEFT(AJ418,3)=RIGHT(AJ418,3),1,VLOOKUP(AJ418,'FX RATES'!$H$1:$I$20,2,FALSE))</f>
        <v>20.8843</v>
      </c>
      <c r="AQ418" s="178">
        <f>IF(OR(AJ418="USDAED",LEFT(AJ418,3)=RIGHT(AJ418,3)),AP418,IF(LEFT(AJ418)="USD",AO418,IF(RIGHT(AJ418,3)="USD",1,IFERROR(VLOOKUP(E418&amp;"USD"&amp;RIGHT(AJ418,3),$AN:$AO,2,FALSE),VLOOKUP(E418&amp;"USD"&amp;RIGHT(AB418,3),$AF:$AG,2,FALSE)))))</f>
        <v>77</v>
      </c>
      <c r="AR418" s="179">
        <f>-Q418*(1-Z418)/(1+X418)*IF(W418="CLIENT",IF(S418=RIGHT(AJ418,3),1/AM418,AM418),IF(W418="VENDOR",IF(S418=RIGHT(AJ418,3),1/AE418,AE418),AE418^(VLOOKUP(AB418,'FX RATES'!$H$1:$J$26,3,FALSE))/AM418^(VLOOKUP(AJ418,'FX RATES'!$H$1:$J$26,3,FALSE))))</f>
        <v>0</v>
      </c>
      <c r="AS418" s="179">
        <f>-I418*(1+X418)/(1-Z418)*IF(W418="VENDOR",IF(K418=RIGHT(AB418,3),1/AE418,AE418),IF(W418="CLIENT",IF(K418=RIGHT(AB418,3),1/AM418,AM418),AM418^(VLOOKUP(AJ418,'FX RATES'!$H$1:$J$26,3,FALSE))/AE418^(VLOOKUP(AB418,'FX RATES'!$H$1:$J$26,3,FALSE))))</f>
        <v>5458671.7630195888</v>
      </c>
      <c r="AT418" s="170">
        <f ca="1">IF(AB418&lt;&gt;AJ418,J418/IF(K418=RIGHT(AB418,3),AE418,1/AE418),IF(S418="USD",J418/IF(K418=RIGHT(AB418,3),IF(W418="CLIENT",AM418,AE418),1/IF(W418="CLIENT",AM418,AE418)),J418*VLOOKUP(K418,'FX RATES'!$E$1:$F$10,2,FALSE)))</f>
        <v>-1489171.7337608591</v>
      </c>
      <c r="AU418" s="170">
        <f ca="1">IF(AB418&lt;&gt;AJ418,R418/IF(S418=RIGHT(AJ418,3),AM418,1/AM418),IF(K418="USD",R418/IF(S418=RIGHT(AJ418,3),IF(W418="CLIENT",AM418,AE418),1/IF(W418="CLIENT",AM418,AE418)),R418*VLOOKUP(S418,'FX RATES'!$E$1:$F$10,2,FALSE)))</f>
        <v>1486323.5209441781</v>
      </c>
      <c r="AV418" s="170">
        <f ca="1">AT418+AU418</f>
        <v>-2848.2128166810144</v>
      </c>
      <c r="AW418" s="169"/>
      <c r="AX418" s="170">
        <f ca="1">IF(AND(ISERROR(SEARCH("INVOICE",T418)),ISERROR(SEARCH("SWITCH",T418)),ISERROR(SEARCH("FOREX",T418)),ISERROR(SEARCH("REFUND",A418)),ISERROR(SEARCH("CANCELLED",A418))),IF(AW418="",-AT418*X418+AU418*Z418,AW418),0)</f>
        <v>0</v>
      </c>
      <c r="AY418" s="170">
        <f>IF(AZ418="USD",AT418,IF(AZ418=K418,J418,-R418))</f>
        <v>-5458671.7630195888</v>
      </c>
      <c r="AZ418" s="170" t="str">
        <f>LEFT(AB418,3)</f>
        <v>AED</v>
      </c>
      <c r="BA418" s="542">
        <f>IF(OR(A418="REFUND",A418="CANCELLED"),0,IFERROR((IF(OR(AB418="USDAED",LEFT(AB418,3)=RIGHT(AB418,3)),AI418,AG418)-AE418)*-AY418*VLOOKUP(AB418,'FX RATES'!$H$1:$J$26,3,FALSE),0))</f>
        <v>199787.38652651676</v>
      </c>
      <c r="BB418" s="170" t="str">
        <f>RIGHT(AB418,3)</f>
        <v>RUB</v>
      </c>
      <c r="BC418" s="542">
        <f>IF(BA418=0,0,IFERROR(BA418/IF(BB418&lt;&gt;"USD",AI418,1),"???"))</f>
        <v>2594.6413834612567</v>
      </c>
      <c r="BD418" s="170">
        <f>IFERROR(-AC418/(IF(OR(AB418="USDAED",LEFT(AB418,3)=RIGHT(AB418,3)),AH418,AG418)-AE418)*BC418,0)</f>
        <v>0</v>
      </c>
      <c r="BE418" s="542">
        <f>BC418-BD418</f>
        <v>2594.6413834612567</v>
      </c>
      <c r="BF418" s="170">
        <f>IF(BG418="USD",AU418,IF(BG418=S418,R418,-J418))</f>
        <v>5458671.7630195888</v>
      </c>
      <c r="BG418" s="170" t="str">
        <f>LEFT(AJ418,3)</f>
        <v>AED</v>
      </c>
      <c r="BH418" s="542">
        <f>IF(OR(A418="REFUND",A418="CANCELLED"),0,IFERROR((IF(OR(AJ418="USDAED",LEFT(AJ418,3)=RIGHT(AJ418,3)),AQ418,AO418)-AM418)*-BF418*VLOOKUP(AJ418,'FX RATES'!$H$1:$J$26,3,FALSE),0))</f>
        <v>0</v>
      </c>
      <c r="BI418" s="170" t="str">
        <f>RIGHT(AJ418,3)</f>
        <v>RUB</v>
      </c>
      <c r="BJ418" s="542">
        <f>IF(BH418=0,0,IFERROR(BH418/IF(BI418&lt;&gt;"USD",AQ418,1),"???"))</f>
        <v>0</v>
      </c>
      <c r="BK418" s="170">
        <f>IFERROR(-AK418/(IF(OR(AJ418="USDAED",LEFT(AJ418,3)=RIGHT(AJ418,3)),AP418,AO418)-AM418)*BJ418,0)</f>
        <v>0</v>
      </c>
      <c r="BL418" s="542">
        <f>BJ418-BK418</f>
        <v>0</v>
      </c>
      <c r="BM418" s="170">
        <f>IF(AND(ISERROR(SEARCH("REFUND",A418)),ISERROR(SEARCH("CANCELLED",A418))),BD418+BK418,0)</f>
        <v>0</v>
      </c>
      <c r="BN418" s="542">
        <f>IF(AND(ISERROR(SEARCH("REFUND",A418)),ISERROR(SEARCH("CANCELLED",A418))),BE418+BL418,0)</f>
        <v>2594.6413834612567</v>
      </c>
    </row>
    <row r="419" spans="1:66" ht="19.5" customHeight="1">
      <c r="A419" s="167"/>
      <c r="B419" s="182"/>
      <c r="C419" s="182"/>
      <c r="D419" s="182"/>
      <c r="E419" s="184"/>
      <c r="F419" s="184"/>
      <c r="G419" s="182"/>
      <c r="H419" s="182"/>
      <c r="I419" s="170"/>
      <c r="J419" s="170"/>
      <c r="K419" s="182"/>
      <c r="L419" s="184"/>
      <c r="M419" s="182"/>
      <c r="O419" s="182"/>
      <c r="P419" s="444"/>
      <c r="Q419" s="170"/>
      <c r="R419" s="170"/>
      <c r="S419" s="182"/>
      <c r="T419" s="184"/>
      <c r="U419" s="182"/>
      <c r="X419" s="173"/>
      <c r="Y419" s="173"/>
      <c r="Z419" s="173"/>
      <c r="AA419" s="173"/>
      <c r="AB419" s="173"/>
      <c r="AC419" s="175"/>
      <c r="AD419" s="177"/>
      <c r="AE419" s="177"/>
      <c r="AF419" s="177"/>
      <c r="AG419" s="177"/>
      <c r="AH419" s="178"/>
      <c r="AI419" s="178"/>
      <c r="AJ419" s="173"/>
      <c r="AK419" s="175"/>
      <c r="AL419" s="177"/>
      <c r="AM419" s="177"/>
      <c r="AN419" s="177"/>
      <c r="AO419" s="177"/>
      <c r="AP419" s="178"/>
      <c r="AQ419" s="178"/>
      <c r="AR419" s="185"/>
      <c r="AS419" s="185"/>
      <c r="AT419" s="170"/>
      <c r="AU419" s="170"/>
      <c r="AV419" s="170"/>
      <c r="AW419" s="170"/>
      <c r="AX419" s="170"/>
      <c r="AY419" s="170"/>
      <c r="AZ419" s="170"/>
      <c r="BA419" s="542"/>
      <c r="BB419" s="170"/>
      <c r="BC419" s="542"/>
      <c r="BD419" s="170"/>
      <c r="BE419" s="542"/>
      <c r="BF419" s="170"/>
      <c r="BG419" s="170"/>
      <c r="BH419" s="542"/>
      <c r="BI419" s="170"/>
      <c r="BJ419" s="542"/>
      <c r="BK419" s="170"/>
      <c r="BL419" s="542"/>
      <c r="BM419" s="170"/>
      <c r="BN419" s="542"/>
    </row>
    <row r="420" spans="1:66" ht="19.5" customHeight="1">
      <c r="A420" s="167" t="s">
        <v>366</v>
      </c>
      <c r="B420" s="168" t="s">
        <v>39</v>
      </c>
      <c r="C420" s="168" t="s">
        <v>367</v>
      </c>
      <c r="D420" s="168" t="s">
        <v>368</v>
      </c>
      <c r="E420" s="171">
        <v>46057</v>
      </c>
      <c r="F420" s="171"/>
      <c r="G420" s="168" t="s">
        <v>39</v>
      </c>
      <c r="H420" s="168" t="s">
        <v>55</v>
      </c>
      <c r="I420" s="169"/>
      <c r="J420" s="170">
        <f>IF(I420="",AR420,I420)</f>
        <v>-1483336.6440628234</v>
      </c>
      <c r="K420" s="168" t="s">
        <v>5</v>
      </c>
      <c r="L420" s="168" t="s">
        <v>40</v>
      </c>
      <c r="M420" s="168" t="s">
        <v>20</v>
      </c>
      <c r="N420" s="167" t="s">
        <v>371</v>
      </c>
      <c r="O420" s="168" t="s">
        <v>39</v>
      </c>
      <c r="P420" s="168" t="s">
        <v>55</v>
      </c>
      <c r="Q420" s="169">
        <v>114250000</v>
      </c>
      <c r="R420" s="170">
        <f>IF(Q420="",AS420,Q420)</f>
        <v>114250000</v>
      </c>
      <c r="S420" s="168" t="s">
        <v>9</v>
      </c>
      <c r="T420" s="171" t="s">
        <v>25</v>
      </c>
      <c r="U420" s="168" t="s">
        <v>374</v>
      </c>
      <c r="V420" s="167" t="s">
        <v>371</v>
      </c>
      <c r="W420" s="172" t="s">
        <v>375</v>
      </c>
      <c r="X420" s="173">
        <f>IF(Y420="",VLOOKUP(H420,CLIENTS!$A$1:$O$649,5,FALSE),Y420)</f>
        <v>0</v>
      </c>
      <c r="Y420" s="174">
        <v>0</v>
      </c>
      <c r="Z420" s="173">
        <f>IF(AA420="",VLOOKUP(P420,CLIENTS!$A$1:$O$649,5,FALSE),AA420)</f>
        <v>0</v>
      </c>
      <c r="AA420" s="174">
        <v>0</v>
      </c>
      <c r="AB420" s="173" t="str">
        <f>IF(W420="via USD",IF(K420="EUR",K420&amp;"USD","USD"&amp;K420),IFERROR(VLOOKUP(K420&amp;S420,'FX RATES'!$H$2:$H$20,1,FALSE),S420&amp;K420))</f>
        <v>USDUSD</v>
      </c>
      <c r="AC420" s="175">
        <f>IF(LEFT(AB420,3)=RIGHT(AB420,3),0,IFERROR(INDEX(CLIENTS!$A$1:$O$649,MATCH(H420,CLIENTS!$A$1:$A$649,0),MATCH(AB420,CLIENTS!$A$1:$O$1,0)),0))</f>
        <v>0</v>
      </c>
      <c r="AD420" s="176"/>
      <c r="AE420" s="177">
        <f>IF(W420="CLIENT","",IF(AD420="",AH420+AC420,AD420+AC420))</f>
        <v>1</v>
      </c>
      <c r="AF420" s="177" t="str">
        <f>E420&amp;AB420</f>
        <v>46057USDUSD</v>
      </c>
      <c r="AG420" s="176"/>
      <c r="AH420" s="178">
        <f>IF(LEFT(AB420,3)=RIGHT(AB420,3),1,VLOOKUP(AB420,'FX RATES'!$H$1:$I$20,2,FALSE))</f>
        <v>1</v>
      </c>
      <c r="AI420" s="178">
        <f>IF(OR(AB420="USDAED",LEFT(AB420,3)=RIGHT(AB420,3)),AH420,IF(LEFT(AB420)="USD",AG420,IF(RIGHT(AB420,3)="USD",1,IFERROR(VLOOKUP(E420&amp;"USD"&amp;RIGHT(AB420,3),$AF:$AG,2,FALSE),VLOOKUP(E420&amp;"USD"&amp;RIGHT(AJ420,3),$AN:$AO,2,FALSE)))))</f>
        <v>1</v>
      </c>
      <c r="AJ420" s="173" t="str">
        <f>IF(W420="via USD",IF(S420="EUR",S420&amp;"USD","USD"&amp;S420),IFERROR(VLOOKUP(K420&amp;S420,'FX RATES'!$H$2:$H$20,1,FALSE),S420&amp;K420))</f>
        <v>USDRUB</v>
      </c>
      <c r="AK420" s="175">
        <f>IF(LEFT(AJ420,3)=RIGHT(AJ420,3),0,IFERROR(INDEX(CLIENTS!$A$1:$O$649,MATCH(P420,CLIENTS!$A$1:$A$649,0),MATCH(AJ420,CLIENTS!$A$1:$O$1,0)),0))</f>
        <v>0</v>
      </c>
      <c r="AL420" s="176">
        <v>77.022300000000001</v>
      </c>
      <c r="AM420" s="177">
        <f>IF(W420="VENDOR","",IF(AL420="",AP420+AK420,AL420+AK420))</f>
        <v>77.022300000000001</v>
      </c>
      <c r="AN420" s="177" t="str">
        <f>E420&amp;AJ420</f>
        <v>46057USDRUB</v>
      </c>
      <c r="AO420" s="176">
        <v>77</v>
      </c>
      <c r="AP420" s="178">
        <f ca="1">IF(LEFT(AJ420,3)=RIGHT(AJ420,3),1,VLOOKUP(AJ420,'FX RATES'!$H$1:$I$20,2,FALSE))</f>
        <v>76.720500000000001</v>
      </c>
      <c r="AQ420" s="178">
        <f>IF(OR(AJ420="USDAED",LEFT(AJ420,3)=RIGHT(AJ420,3)),AP420,IF(LEFT(AJ420)="USD",AO420,IF(RIGHT(AJ420,3)="USD",1,IFERROR(VLOOKUP(E420&amp;"USD"&amp;RIGHT(AJ420,3),$AN:$AO,2,FALSE),VLOOKUP(E420&amp;"USD"&amp;RIGHT(AB420,3),$AF:$AG,2,FALSE)))))</f>
        <v>77</v>
      </c>
      <c r="AR420" s="179">
        <f>-Q420*(1-Z420)/(1+X420)*IF(W420="CLIENT",IF(S420=RIGHT(AJ420,3),1/AM420,AM420),IF(W420="VENDOR",IF(S420=RIGHT(AJ420,3),1/AE420,AE420),AE420^(VLOOKUP(AB420,'FX RATES'!$H$1:$J$26,3,FALSE))/AM420^(VLOOKUP(AJ420,'FX RATES'!$H$1:$J$26,3,FALSE))))</f>
        <v>-1483336.6440628234</v>
      </c>
      <c r="AS420" s="179">
        <f>-I420*(1+X420)/(1-Z420)*IF(W420="VENDOR",IF(K420=RIGHT(AB420,3),1/AE420,AE420),IF(W420="CLIENT",IF(K420=RIGHT(AB420,3),1/AM420,AM420),AM420^(VLOOKUP(AJ420,'FX RATES'!$H$1:$J$26,3,FALSE))/AE420^(VLOOKUP(AB420,'FX RATES'!$H$1:$J$26,3,FALSE))))</f>
        <v>0</v>
      </c>
      <c r="AT420" s="170">
        <f>IF(AB420&lt;&gt;AJ420,J420/IF(K420=RIGHT(AB420,3),AE420,1/AE420),IF(S420="USD",J420/IF(K420=RIGHT(AB420,3),IF(W420="CLIENT",AM420,AE420),1/IF(W420="CLIENT",AM420,AE420)),J420*VLOOKUP(K420,'FX RATES'!$E$1:$F$10,2,FALSE)))</f>
        <v>-1483336.6440628234</v>
      </c>
      <c r="AU420" s="170">
        <f>IF(AB420&lt;&gt;AJ420,R420/IF(S420=RIGHT(AJ420,3),AM420,1/AM420),IF(K420="USD",R420/IF(S420=RIGHT(AJ420,3),IF(W420="CLIENT",AM420,AE420),1/IF(W420="CLIENT",AM420,AE420)),R420*VLOOKUP(S420,'FX RATES'!$E$1:$F$10,2,FALSE)))</f>
        <v>1483336.6440628234</v>
      </c>
      <c r="AV420" s="170">
        <f>AT420+AU420</f>
        <v>0</v>
      </c>
      <c r="AW420" s="169"/>
      <c r="AX420" s="170">
        <f>IF(AND(ISERROR(SEARCH("INVOICE",T420)),ISERROR(SEARCH("SWITCH",T420)),ISERROR(SEARCH("FOREX",T420)),ISERROR(SEARCH("REFUND",A420)),ISERROR(SEARCH("CANCELLED",A420))),IF(AW420="",-AT420*X420+AU420*Z420,AW420),0)</f>
        <v>0</v>
      </c>
      <c r="AY420" s="170">
        <f>IF(AZ420="USD",AT420,IF(AZ420=K420,J420,-R420))</f>
        <v>-1483336.6440628234</v>
      </c>
      <c r="AZ420" s="170" t="str">
        <f>LEFT(AB420,3)</f>
        <v>USD</v>
      </c>
      <c r="BA420" s="542">
        <f>IF(OR(A420="REFUND",A420="CANCELLED"),0,IFERROR((IF(OR(AB420="USDAED",LEFT(AB420,3)=RIGHT(AB420,3)),AI420,AG420)-AE420)*-AY420*VLOOKUP(AB420,'FX RATES'!$H$1:$J$26,3,FALSE),0))</f>
        <v>0</v>
      </c>
      <c r="BB420" s="170" t="str">
        <f>RIGHT(AB420,3)</f>
        <v>USD</v>
      </c>
      <c r="BC420" s="542">
        <f>IF(BA420=0,0,IFERROR(BA420/IF(BB420&lt;&gt;"USD",AI420,1),"???"))</f>
        <v>0</v>
      </c>
      <c r="BD420" s="170">
        <f>IFERROR(-AC420/(IF(OR(AB420="USDAED",LEFT(AB420,3)=RIGHT(AB420,3)),AH420,AG420)-AE420)*BC420,0)</f>
        <v>0</v>
      </c>
      <c r="BE420" s="542">
        <f>BC420-BD420</f>
        <v>0</v>
      </c>
      <c r="BF420" s="170">
        <f>IF(BG420="USD",AU420,IF(BG420=S420,R420,-J420))</f>
        <v>1483336.6440628234</v>
      </c>
      <c r="BG420" s="170" t="str">
        <f>LEFT(AJ420,3)</f>
        <v>USD</v>
      </c>
      <c r="BH420" s="542">
        <f>IF(OR(A420="REFUND",A420="CANCELLED"),0,IFERROR((IF(OR(AJ420="USDAED",LEFT(AJ420,3)=RIGHT(AJ420,3)),AQ420,AO420)-AM420)*-BF420*VLOOKUP(AJ420,'FX RATES'!$H$1:$J$26,3,FALSE),0))</f>
        <v>33078.407162602918</v>
      </c>
      <c r="BI420" s="170" t="str">
        <f>RIGHT(AJ420,3)</f>
        <v>RUB</v>
      </c>
      <c r="BJ420" s="542">
        <f>IF(BH420=0,0,IFERROR(BH420/IF(BI420&lt;&gt;"USD",AQ420,1),"???"))</f>
        <v>429.58970341042749</v>
      </c>
      <c r="BK420" s="170">
        <f>IFERROR(-AK420/(IF(OR(AJ420="USDAED",LEFT(AJ420,3)=RIGHT(AJ420,3)),AP420,AO420)-AM420)*BJ420,0)</f>
        <v>0</v>
      </c>
      <c r="BL420" s="542">
        <f>BJ420-BK420</f>
        <v>429.58970341042749</v>
      </c>
      <c r="BM420" s="170">
        <f>IF(AND(ISERROR(SEARCH("REFUND",A420)),ISERROR(SEARCH("CANCELLED",A420))),BD420+BK420,0)</f>
        <v>0</v>
      </c>
      <c r="BN420" s="542">
        <f>IF(AND(ISERROR(SEARCH("REFUND",A420)),ISERROR(SEARCH("CANCELLED",A420))),BE420+BL420,0)</f>
        <v>429.58970341042749</v>
      </c>
    </row>
    <row r="421" spans="1:66" ht="19.5" customHeight="1">
      <c r="A421" s="167" t="s">
        <v>366</v>
      </c>
      <c r="B421" s="168" t="s">
        <v>39</v>
      </c>
      <c r="C421" s="168" t="s">
        <v>383</v>
      </c>
      <c r="D421" s="168" t="s">
        <v>128</v>
      </c>
      <c r="E421" s="171">
        <v>46057</v>
      </c>
      <c r="F421" s="171"/>
      <c r="G421" s="168" t="s">
        <v>39</v>
      </c>
      <c r="H421" s="168" t="s">
        <v>384</v>
      </c>
      <c r="I421" s="169">
        <f>-R420</f>
        <v>-114250000</v>
      </c>
      <c r="J421" s="170">
        <f>IF(I421="",AR421,I421)</f>
        <v>-114250000</v>
      </c>
      <c r="K421" s="168" t="s">
        <v>9</v>
      </c>
      <c r="L421" s="171" t="s">
        <v>374</v>
      </c>
      <c r="M421" s="168" t="s">
        <v>374</v>
      </c>
      <c r="N421" s="167" t="s">
        <v>371</v>
      </c>
      <c r="O421" s="168" t="s">
        <v>39</v>
      </c>
      <c r="P421" s="349" t="s">
        <v>384</v>
      </c>
      <c r="Q421" s="169"/>
      <c r="R421" s="170">
        <f>IF(Q421="",AS421,Q421)</f>
        <v>5458671.7630195888</v>
      </c>
      <c r="S421" s="168" t="s">
        <v>8</v>
      </c>
      <c r="T421" s="171" t="s">
        <v>385</v>
      </c>
      <c r="U421" s="168" t="s">
        <v>20</v>
      </c>
      <c r="V421" s="167" t="s">
        <v>371</v>
      </c>
      <c r="W421" s="172" t="s">
        <v>382</v>
      </c>
      <c r="X421" s="173">
        <f>IF(Y421="",VLOOKUP(H421,CLIENTS!$A$1:$O$649,5,FALSE),Y421)</f>
        <v>0</v>
      </c>
      <c r="Y421" s="174">
        <v>0</v>
      </c>
      <c r="Z421" s="173">
        <f>IF(AA421="",VLOOKUP(P421,CLIENTS!$A$1:$O$649,5,FALSE),AA421)</f>
        <v>0</v>
      </c>
      <c r="AA421" s="174">
        <v>0</v>
      </c>
      <c r="AB421" s="173" t="str">
        <f>IF(W421="via USD",IF(K421="EUR",K421&amp;"USD","USD"&amp;K421),IFERROR(VLOOKUP(K421&amp;S421,'FX RATES'!$H$2:$H$20,1,FALSE),S421&amp;K421))</f>
        <v>AEDRUB</v>
      </c>
      <c r="AC421" s="175">
        <f>IF(LEFT(AB421,3)=RIGHT(AB421,3),0,IFERROR(INDEX(CLIENTS!$A$1:$O$649,MATCH(H421,CLIENTS!$A$1:$A$649,0),MATCH(AB421,CLIENTS!$A$1:$O$1,0)),0))</f>
        <v>0</v>
      </c>
      <c r="AD421" s="176">
        <v>20.93</v>
      </c>
      <c r="AE421" s="177">
        <f>IF(W421="CLIENT","",IF(AD421="",AH421+AC421,AD421+AC421))</f>
        <v>20.93</v>
      </c>
      <c r="AF421" s="177" t="str">
        <f>E421&amp;AB421</f>
        <v>46057AEDRUB</v>
      </c>
      <c r="AG421" s="176">
        <v>20.9666</v>
      </c>
      <c r="AH421" s="178">
        <f ca="1">IF(LEFT(AB421,3)=RIGHT(AB421,3),1,VLOOKUP(AB421,'FX RATES'!$H$1:$I$20,2,FALSE))</f>
        <v>20.8843</v>
      </c>
      <c r="AI421" s="178">
        <f>IF(OR(AB421="USDAED",LEFT(AB421,3)=RIGHT(AB421,3)),AH421,IF(LEFT(AB421)="USD",AG421,IF(RIGHT(AB421,3)="USD",1,IFERROR(VLOOKUP(E421&amp;"USD"&amp;RIGHT(AB421,3),$AF:$AG,2,FALSE),VLOOKUP(E421&amp;"USD"&amp;RIGHT(AJ421,3),$AN:$AO,2,FALSE)))))</f>
        <v>77</v>
      </c>
      <c r="AJ421" s="173" t="str">
        <f>IF(W421="via USD",IF(S421="EUR",S421&amp;"USD","USD"&amp;S421),IFERROR(VLOOKUP(K421&amp;S421,'FX RATES'!$H$2:$H$20,1,FALSE),S421&amp;K421))</f>
        <v>AEDRUB</v>
      </c>
      <c r="AK421" s="175">
        <f>IF(LEFT(AJ421,3)=RIGHT(AJ421,3),0,IFERROR(INDEX(CLIENTS!$A$1:$O$649,MATCH(P421,CLIENTS!$A$1:$A$649,0),MATCH(AJ421,CLIENTS!$A$1:$O$1,0)),0))</f>
        <v>0</v>
      </c>
      <c r="AL421" s="176"/>
      <c r="AM421" s="177" t="str">
        <f>IF(W421="VENDOR","",IF(AL421="",AP421+AK421,AL421+AK421))</f>
        <v/>
      </c>
      <c r="AN421" s="177" t="str">
        <f>E421&amp;AJ421</f>
        <v>46057AEDRUB</v>
      </c>
      <c r="AO421" s="176"/>
      <c r="AP421" s="178">
        <f ca="1">IF(LEFT(AJ421,3)=RIGHT(AJ421,3),1,VLOOKUP(AJ421,'FX RATES'!$H$1:$I$20,2,FALSE))</f>
        <v>20.8843</v>
      </c>
      <c r="AQ421" s="178">
        <f>IF(OR(AJ421="USDAED",LEFT(AJ421,3)=RIGHT(AJ421,3)),AP421,IF(LEFT(AJ421)="USD",AO421,IF(RIGHT(AJ421,3)="USD",1,IFERROR(VLOOKUP(E421&amp;"USD"&amp;RIGHT(AJ421,3),$AN:$AO,2,FALSE),VLOOKUP(E421&amp;"USD"&amp;RIGHT(AB421,3),$AF:$AG,2,FALSE)))))</f>
        <v>77</v>
      </c>
      <c r="AR421" s="179">
        <f>-Q421*(1-Z421)/(1+X421)*IF(W421="CLIENT",IF(S421=RIGHT(AJ421,3),1/AM421,AM421),IF(W421="VENDOR",IF(S421=RIGHT(AJ421,3),1/AE421,AE421),AE421^(VLOOKUP(AB421,'FX RATES'!$H$1:$J$26,3,FALSE))/AM421^(VLOOKUP(AJ421,'FX RATES'!$H$1:$J$26,3,FALSE))))</f>
        <v>0</v>
      </c>
      <c r="AS421" s="179">
        <f>-I421*(1+X421)/(1-Z421)*IF(W421="VENDOR",IF(K421=RIGHT(AB421,3),1/AE421,AE421),IF(W421="CLIENT",IF(K421=RIGHT(AB421,3),1/AM421,AM421),AM421^(VLOOKUP(AJ421,'FX RATES'!$H$1:$J$26,3,FALSE))/AE421^(VLOOKUP(AB421,'FX RATES'!$H$1:$J$26,3,FALSE))))</f>
        <v>5458671.7630195888</v>
      </c>
      <c r="AT421" s="170">
        <f ca="1">IF(AB421&lt;&gt;AJ421,J421/IF(K421=RIGHT(AB421,3),AE421,1/AE421),IF(S421="USD",J421/IF(K421=RIGHT(AB421,3),IF(W421="CLIENT",AM421,AE421),1/IF(W421="CLIENT",AM421,AE421)),J421*VLOOKUP(K421,'FX RATES'!$E$1:$F$10,2,FALSE)))</f>
        <v>-1489171.7337608591</v>
      </c>
      <c r="AU421" s="170">
        <f ca="1">IF(AB421&lt;&gt;AJ421,R421/IF(S421=RIGHT(AJ421,3),AM421,1/AM421),IF(K421="USD",R421/IF(S421=RIGHT(AJ421,3),IF(W421="CLIENT",AM421,AE421),1/IF(W421="CLIENT",AM421,AE421)),R421*VLOOKUP(S421,'FX RATES'!$E$1:$F$10,2,FALSE)))</f>
        <v>1486323.5209441781</v>
      </c>
      <c r="AV421" s="170">
        <f ca="1">AT421+AU421</f>
        <v>-2848.2128166810144</v>
      </c>
      <c r="AW421" s="169"/>
      <c r="AX421" s="170">
        <f ca="1">IF(AND(ISERROR(SEARCH("INVOICE",T421)),ISERROR(SEARCH("SWITCH",T421)),ISERROR(SEARCH("FOREX",T421)),ISERROR(SEARCH("REFUND",A421)),ISERROR(SEARCH("CANCELLED",A421))),IF(AW421="",-AT421*X421+AU421*Z421,AW421),0)</f>
        <v>0</v>
      </c>
      <c r="AY421" s="170">
        <f>IF(AZ421="USD",AT421,IF(AZ421=K421,J421,-R421))</f>
        <v>-5458671.7630195888</v>
      </c>
      <c r="AZ421" s="170" t="str">
        <f>LEFT(AB421,3)</f>
        <v>AED</v>
      </c>
      <c r="BA421" s="542">
        <f>IF(OR(A421="REFUND",A421="CANCELLED"),0,IFERROR((IF(OR(AB421="USDAED",LEFT(AB421,3)=RIGHT(AB421,3)),AI421,AG421)-AE421)*-AY421*VLOOKUP(AB421,'FX RATES'!$H$1:$J$26,3,FALSE),0))</f>
        <v>199787.38652651676</v>
      </c>
      <c r="BB421" s="170" t="str">
        <f>RIGHT(AB421,3)</f>
        <v>RUB</v>
      </c>
      <c r="BC421" s="542">
        <f>IF(BA421=0,0,IFERROR(BA421/IF(BB421&lt;&gt;"USD",AI421,1),"???"))</f>
        <v>2594.6413834612567</v>
      </c>
      <c r="BD421" s="170">
        <f>IFERROR(-AC421/(IF(OR(AB421="USDAED",LEFT(AB421,3)=RIGHT(AB421,3)),AH421,AG421)-AE421)*BC421,0)</f>
        <v>0</v>
      </c>
      <c r="BE421" s="542">
        <f>BC421-BD421</f>
        <v>2594.6413834612567</v>
      </c>
      <c r="BF421" s="170">
        <f>IF(BG421="USD",AU421,IF(BG421=S421,R421,-J421))</f>
        <v>5458671.7630195888</v>
      </c>
      <c r="BG421" s="170" t="str">
        <f>LEFT(AJ421,3)</f>
        <v>AED</v>
      </c>
      <c r="BH421" s="542">
        <f>IF(OR(A421="REFUND",A421="CANCELLED"),0,IFERROR((IF(OR(AJ421="USDAED",LEFT(AJ421,3)=RIGHT(AJ421,3)),AQ421,AO421)-AM421)*-BF421*VLOOKUP(AJ421,'FX RATES'!$H$1:$J$26,3,FALSE),0))</f>
        <v>0</v>
      </c>
      <c r="BI421" s="170" t="str">
        <f>RIGHT(AJ421,3)</f>
        <v>RUB</v>
      </c>
      <c r="BJ421" s="542">
        <f>IF(BH421=0,0,IFERROR(BH421/IF(BI421&lt;&gt;"USD",AQ421,1),"???"))</f>
        <v>0</v>
      </c>
      <c r="BK421" s="170">
        <f>IFERROR(-AK421/(IF(OR(AJ421="USDAED",LEFT(AJ421,3)=RIGHT(AJ421,3)),AP421,AO421)-AM421)*BJ421,0)</f>
        <v>0</v>
      </c>
      <c r="BL421" s="542">
        <f>BJ421-BK421</f>
        <v>0</v>
      </c>
      <c r="BM421" s="170">
        <f>IF(AND(ISERROR(SEARCH("REFUND",A421)),ISERROR(SEARCH("CANCELLED",A421))),BD421+BK421,0)</f>
        <v>0</v>
      </c>
      <c r="BN421" s="542">
        <f>IF(AND(ISERROR(SEARCH("REFUND",A421)),ISERROR(SEARCH("CANCELLED",A421))),BE421+BL421,0)</f>
        <v>2594.6413834612567</v>
      </c>
    </row>
    <row r="422" spans="1:66" ht="19.5" customHeight="1">
      <c r="A422" s="167"/>
      <c r="B422" s="182"/>
      <c r="C422" s="182"/>
      <c r="D422" s="182"/>
      <c r="E422" s="184"/>
      <c r="F422" s="184"/>
      <c r="G422" s="182"/>
      <c r="H422" s="182"/>
      <c r="I422" s="170"/>
      <c r="J422" s="170"/>
      <c r="K422" s="182"/>
      <c r="L422" s="184"/>
      <c r="M422" s="182"/>
      <c r="O422" s="182"/>
      <c r="P422" s="444"/>
      <c r="Q422" s="170"/>
      <c r="R422" s="170"/>
      <c r="S422" s="182"/>
      <c r="T422" s="184"/>
      <c r="U422" s="182"/>
      <c r="X422" s="173"/>
      <c r="Y422" s="173"/>
      <c r="Z422" s="173"/>
      <c r="AA422" s="173"/>
      <c r="AB422" s="173"/>
      <c r="AC422" s="175"/>
      <c r="AD422" s="177"/>
      <c r="AE422" s="177"/>
      <c r="AF422" s="177"/>
      <c r="AG422" s="177"/>
      <c r="AH422" s="178"/>
      <c r="AI422" s="178"/>
      <c r="AJ422" s="173"/>
      <c r="AK422" s="175"/>
      <c r="AL422" s="177"/>
      <c r="AM422" s="177"/>
      <c r="AN422" s="177"/>
      <c r="AO422" s="177"/>
      <c r="AP422" s="178"/>
      <c r="AQ422" s="178"/>
      <c r="AR422" s="185"/>
      <c r="AS422" s="185"/>
      <c r="AT422" s="170"/>
      <c r="AU422" s="170"/>
      <c r="AV422" s="170"/>
      <c r="AW422" s="170"/>
      <c r="AX422" s="170"/>
      <c r="AY422" s="170"/>
      <c r="AZ422" s="170"/>
      <c r="BA422" s="542"/>
      <c r="BB422" s="170"/>
      <c r="BC422" s="542"/>
      <c r="BD422" s="170"/>
      <c r="BE422" s="542"/>
      <c r="BF422" s="170"/>
      <c r="BG422" s="170"/>
      <c r="BH422" s="542"/>
      <c r="BI422" s="170"/>
      <c r="BJ422" s="542"/>
      <c r="BK422" s="170"/>
      <c r="BL422" s="542"/>
      <c r="BM422" s="170"/>
      <c r="BN422" s="542"/>
    </row>
    <row r="423" spans="1:66" ht="19.5" customHeight="1">
      <c r="A423" s="167" t="s">
        <v>366</v>
      </c>
      <c r="B423" s="168" t="s">
        <v>39</v>
      </c>
      <c r="C423" s="168" t="s">
        <v>367</v>
      </c>
      <c r="D423" s="168" t="s">
        <v>368</v>
      </c>
      <c r="E423" s="171">
        <v>46057</v>
      </c>
      <c r="F423" s="171"/>
      <c r="G423" s="168" t="s">
        <v>39</v>
      </c>
      <c r="H423" s="168" t="s">
        <v>55</v>
      </c>
      <c r="I423" s="169"/>
      <c r="J423" s="170">
        <f>IF(I423="",AR423,I423)</f>
        <v>-1483336.6440628234</v>
      </c>
      <c r="K423" s="168" t="s">
        <v>5</v>
      </c>
      <c r="L423" s="168" t="s">
        <v>40</v>
      </c>
      <c r="M423" s="168" t="s">
        <v>20</v>
      </c>
      <c r="N423" s="167" t="s">
        <v>371</v>
      </c>
      <c r="O423" s="168" t="s">
        <v>39</v>
      </c>
      <c r="P423" s="168" t="s">
        <v>55</v>
      </c>
      <c r="Q423" s="169">
        <v>114250000</v>
      </c>
      <c r="R423" s="170">
        <f>IF(Q423="",AS423,Q423)</f>
        <v>114250000</v>
      </c>
      <c r="S423" s="168" t="s">
        <v>9</v>
      </c>
      <c r="T423" s="171" t="s">
        <v>25</v>
      </c>
      <c r="U423" s="168" t="s">
        <v>374</v>
      </c>
      <c r="V423" s="167" t="s">
        <v>371</v>
      </c>
      <c r="W423" s="172" t="s">
        <v>375</v>
      </c>
      <c r="X423" s="173">
        <f>IF(Y423="",VLOOKUP(H423,CLIENTS!$A$1:$O$649,5,FALSE),Y423)</f>
        <v>0</v>
      </c>
      <c r="Y423" s="174">
        <v>0</v>
      </c>
      <c r="Z423" s="173">
        <f>IF(AA423="",VLOOKUP(P423,CLIENTS!$A$1:$O$649,5,FALSE),AA423)</f>
        <v>0</v>
      </c>
      <c r="AA423" s="174">
        <v>0</v>
      </c>
      <c r="AB423" s="173" t="str">
        <f>IF(W423="via USD",IF(K423="EUR",K423&amp;"USD","USD"&amp;K423),IFERROR(VLOOKUP(K423&amp;S423,'FX RATES'!$H$2:$H$20,1,FALSE),S423&amp;K423))</f>
        <v>USDUSD</v>
      </c>
      <c r="AC423" s="175">
        <f>IF(LEFT(AB423,3)=RIGHT(AB423,3),0,IFERROR(INDEX(CLIENTS!$A$1:$O$649,MATCH(H423,CLIENTS!$A$1:$A$649,0),MATCH(AB423,CLIENTS!$A$1:$O$1,0)),0))</f>
        <v>0</v>
      </c>
      <c r="AD423" s="176"/>
      <c r="AE423" s="177">
        <f>IF(W423="CLIENT","",IF(AD423="",AH423+AC423,AD423+AC423))</f>
        <v>1</v>
      </c>
      <c r="AF423" s="177" t="str">
        <f>E423&amp;AB423</f>
        <v>46057USDUSD</v>
      </c>
      <c r="AG423" s="176"/>
      <c r="AH423" s="178">
        <f>IF(LEFT(AB423,3)=RIGHT(AB423,3),1,VLOOKUP(AB423,'FX RATES'!$H$1:$I$20,2,FALSE))</f>
        <v>1</v>
      </c>
      <c r="AI423" s="178">
        <f>IF(OR(AB423="USDAED",LEFT(AB423,3)=RIGHT(AB423,3)),AH423,IF(LEFT(AB423)="USD",AG423,IF(RIGHT(AB423,3)="USD",1,IFERROR(VLOOKUP(E423&amp;"USD"&amp;RIGHT(AB423,3),$AF:$AG,2,FALSE),VLOOKUP(E423&amp;"USD"&amp;RIGHT(AJ423,3),$AN:$AO,2,FALSE)))))</f>
        <v>1</v>
      </c>
      <c r="AJ423" s="173" t="str">
        <f>IF(W423="via USD",IF(S423="EUR",S423&amp;"USD","USD"&amp;S423),IFERROR(VLOOKUP(K423&amp;S423,'FX RATES'!$H$2:$H$20,1,FALSE),S423&amp;K423))</f>
        <v>USDRUB</v>
      </c>
      <c r="AK423" s="175">
        <f>IF(LEFT(AJ423,3)=RIGHT(AJ423,3),0,IFERROR(INDEX(CLIENTS!$A$1:$O$649,MATCH(P423,CLIENTS!$A$1:$A$649,0),MATCH(AJ423,CLIENTS!$A$1:$O$1,0)),0))</f>
        <v>0</v>
      </c>
      <c r="AL423" s="176">
        <v>77.022300000000001</v>
      </c>
      <c r="AM423" s="177">
        <f>IF(W423="VENDOR","",IF(AL423="",AP423+AK423,AL423+AK423))</f>
        <v>77.022300000000001</v>
      </c>
      <c r="AN423" s="177" t="str">
        <f>E423&amp;AJ423</f>
        <v>46057USDRUB</v>
      </c>
      <c r="AO423" s="176">
        <v>77</v>
      </c>
      <c r="AP423" s="178">
        <f ca="1">IF(LEFT(AJ423,3)=RIGHT(AJ423,3),1,VLOOKUP(AJ423,'FX RATES'!$H$1:$I$20,2,FALSE))</f>
        <v>76.720500000000001</v>
      </c>
      <c r="AQ423" s="178">
        <f>IF(OR(AJ423="USDAED",LEFT(AJ423,3)=RIGHT(AJ423,3)),AP423,IF(LEFT(AJ423)="USD",AO423,IF(RIGHT(AJ423,3)="USD",1,IFERROR(VLOOKUP(E423&amp;"USD"&amp;RIGHT(AJ423,3),$AN:$AO,2,FALSE),VLOOKUP(E423&amp;"USD"&amp;RIGHT(AB423,3),$AF:$AG,2,FALSE)))))</f>
        <v>77</v>
      </c>
      <c r="AR423" s="179">
        <f>-Q423*(1-Z423)/(1+X423)*IF(W423="CLIENT",IF(S423=RIGHT(AJ423,3),1/AM423,AM423),IF(W423="VENDOR",IF(S423=RIGHT(AJ423,3),1/AE423,AE423),AE423^(VLOOKUP(AB423,'FX RATES'!$H$1:$J$26,3,FALSE))/AM423^(VLOOKUP(AJ423,'FX RATES'!$H$1:$J$26,3,FALSE))))</f>
        <v>-1483336.6440628234</v>
      </c>
      <c r="AS423" s="179">
        <f>-I423*(1+X423)/(1-Z423)*IF(W423="VENDOR",IF(K423=RIGHT(AB423,3),1/AE423,AE423),IF(W423="CLIENT",IF(K423=RIGHT(AB423,3),1/AM423,AM423),AM423^(VLOOKUP(AJ423,'FX RATES'!$H$1:$J$26,3,FALSE))/AE423^(VLOOKUP(AB423,'FX RATES'!$H$1:$J$26,3,FALSE))))</f>
        <v>0</v>
      </c>
      <c r="AT423" s="170">
        <f>IF(AB423&lt;&gt;AJ423,J423/IF(K423=RIGHT(AB423,3),AE423,1/AE423),IF(S423="USD",J423/IF(K423=RIGHT(AB423,3),IF(W423="CLIENT",AM423,AE423),1/IF(W423="CLIENT",AM423,AE423)),J423*VLOOKUP(K423,'FX RATES'!$E$1:$F$10,2,FALSE)))</f>
        <v>-1483336.6440628234</v>
      </c>
      <c r="AU423" s="170">
        <f>IF(AB423&lt;&gt;AJ423,R423/IF(S423=RIGHT(AJ423,3),AM423,1/AM423),IF(K423="USD",R423/IF(S423=RIGHT(AJ423,3),IF(W423="CLIENT",AM423,AE423),1/IF(W423="CLIENT",AM423,AE423)),R423*VLOOKUP(S423,'FX RATES'!$E$1:$F$10,2,FALSE)))</f>
        <v>1483336.6440628234</v>
      </c>
      <c r="AV423" s="170">
        <f>AT423+AU423</f>
        <v>0</v>
      </c>
      <c r="AW423" s="169"/>
      <c r="AX423" s="170">
        <f>IF(AND(ISERROR(SEARCH("INVOICE",T423)),ISERROR(SEARCH("SWITCH",T423)),ISERROR(SEARCH("FOREX",T423)),ISERROR(SEARCH("REFUND",A423)),ISERROR(SEARCH("CANCELLED",A423))),IF(AW423="",-AT423*X423+AU423*Z423,AW423),0)</f>
        <v>0</v>
      </c>
      <c r="AY423" s="170">
        <f>IF(AZ423="USD",AT423,IF(AZ423=K423,J423,-R423))</f>
        <v>-1483336.6440628234</v>
      </c>
      <c r="AZ423" s="170" t="str">
        <f>LEFT(AB423,3)</f>
        <v>USD</v>
      </c>
      <c r="BA423" s="542">
        <f>IF(OR(A423="REFUND",A423="CANCELLED"),0,IFERROR((IF(OR(AB423="USDAED",LEFT(AB423,3)=RIGHT(AB423,3)),AI423,AG423)-AE423)*-AY423*VLOOKUP(AB423,'FX RATES'!$H$1:$J$26,3,FALSE),0))</f>
        <v>0</v>
      </c>
      <c r="BB423" s="170" t="str">
        <f>RIGHT(AB423,3)</f>
        <v>USD</v>
      </c>
      <c r="BC423" s="542">
        <f>IF(BA423=0,0,IFERROR(BA423/IF(BB423&lt;&gt;"USD",AI423,1),"???"))</f>
        <v>0</v>
      </c>
      <c r="BD423" s="170">
        <f>IFERROR(-AC423/(IF(OR(AB423="USDAED",LEFT(AB423,3)=RIGHT(AB423,3)),AH423,AG423)-AE423)*BC423,0)</f>
        <v>0</v>
      </c>
      <c r="BE423" s="542">
        <f>BC423-BD423</f>
        <v>0</v>
      </c>
      <c r="BF423" s="170">
        <f>IF(BG423="USD",AU423,IF(BG423=S423,R423,-J423))</f>
        <v>1483336.6440628234</v>
      </c>
      <c r="BG423" s="170" t="str">
        <f>LEFT(AJ423,3)</f>
        <v>USD</v>
      </c>
      <c r="BH423" s="542">
        <f>IF(OR(A423="REFUND",A423="CANCELLED"),0,IFERROR((IF(OR(AJ423="USDAED",LEFT(AJ423,3)=RIGHT(AJ423,3)),AQ423,AO423)-AM423)*-BF423*VLOOKUP(AJ423,'FX RATES'!$H$1:$J$26,3,FALSE),0))</f>
        <v>33078.407162602918</v>
      </c>
      <c r="BI423" s="170" t="str">
        <f>RIGHT(AJ423,3)</f>
        <v>RUB</v>
      </c>
      <c r="BJ423" s="542">
        <f>IF(BH423=0,0,IFERROR(BH423/IF(BI423&lt;&gt;"USD",AQ423,1),"???"))</f>
        <v>429.58970341042749</v>
      </c>
      <c r="BK423" s="170">
        <f>IFERROR(-AK423/(IF(OR(AJ423="USDAED",LEFT(AJ423,3)=RIGHT(AJ423,3)),AP423,AO423)-AM423)*BJ423,0)</f>
        <v>0</v>
      </c>
      <c r="BL423" s="542">
        <f>BJ423-BK423</f>
        <v>429.58970341042749</v>
      </c>
      <c r="BM423" s="170">
        <f>IF(AND(ISERROR(SEARCH("REFUND",A423)),ISERROR(SEARCH("CANCELLED",A423))),BD423+BK423,0)</f>
        <v>0</v>
      </c>
      <c r="BN423" s="542">
        <f>IF(AND(ISERROR(SEARCH("REFUND",A423)),ISERROR(SEARCH("CANCELLED",A423))),BE423+BL423,0)</f>
        <v>429.58970341042749</v>
      </c>
    </row>
    <row r="424" spans="1:66" ht="19.5" customHeight="1">
      <c r="A424" s="167" t="s">
        <v>366</v>
      </c>
      <c r="B424" s="168" t="s">
        <v>39</v>
      </c>
      <c r="C424" s="168" t="s">
        <v>383</v>
      </c>
      <c r="D424" s="168" t="s">
        <v>128</v>
      </c>
      <c r="E424" s="171">
        <v>46057</v>
      </c>
      <c r="F424" s="171"/>
      <c r="G424" s="168" t="s">
        <v>39</v>
      </c>
      <c r="H424" s="168" t="s">
        <v>384</v>
      </c>
      <c r="I424" s="169">
        <f>-R423</f>
        <v>-114250000</v>
      </c>
      <c r="J424" s="170">
        <f>IF(I424="",AR424,I424)</f>
        <v>-114250000</v>
      </c>
      <c r="K424" s="168" t="s">
        <v>9</v>
      </c>
      <c r="L424" s="171" t="s">
        <v>374</v>
      </c>
      <c r="M424" s="168" t="s">
        <v>374</v>
      </c>
      <c r="N424" s="167" t="s">
        <v>371</v>
      </c>
      <c r="O424" s="168" t="s">
        <v>39</v>
      </c>
      <c r="P424" s="349" t="s">
        <v>384</v>
      </c>
      <c r="Q424" s="169"/>
      <c r="R424" s="170">
        <f>IF(Q424="",AS424,Q424)</f>
        <v>5458671.7630195888</v>
      </c>
      <c r="S424" s="168" t="s">
        <v>8</v>
      </c>
      <c r="T424" s="171" t="s">
        <v>385</v>
      </c>
      <c r="U424" s="168" t="s">
        <v>20</v>
      </c>
      <c r="V424" s="167" t="s">
        <v>371</v>
      </c>
      <c r="W424" s="172" t="s">
        <v>382</v>
      </c>
      <c r="X424" s="173">
        <f>IF(Y424="",VLOOKUP(H424,CLIENTS!$A$1:$O$649,5,FALSE),Y424)</f>
        <v>0</v>
      </c>
      <c r="Y424" s="174">
        <v>0</v>
      </c>
      <c r="Z424" s="173">
        <f>IF(AA424="",VLOOKUP(P424,CLIENTS!$A$1:$O$649,5,FALSE),AA424)</f>
        <v>0</v>
      </c>
      <c r="AA424" s="174">
        <v>0</v>
      </c>
      <c r="AB424" s="173" t="str">
        <f>IF(W424="via USD",IF(K424="EUR",K424&amp;"USD","USD"&amp;K424),IFERROR(VLOOKUP(K424&amp;S424,'FX RATES'!$H$2:$H$20,1,FALSE),S424&amp;K424))</f>
        <v>AEDRUB</v>
      </c>
      <c r="AC424" s="175">
        <f>IF(LEFT(AB424,3)=RIGHT(AB424,3),0,IFERROR(INDEX(CLIENTS!$A$1:$O$649,MATCH(H424,CLIENTS!$A$1:$A$649,0),MATCH(AB424,CLIENTS!$A$1:$O$1,0)),0))</f>
        <v>0</v>
      </c>
      <c r="AD424" s="176">
        <v>20.93</v>
      </c>
      <c r="AE424" s="177">
        <f>IF(W424="CLIENT","",IF(AD424="",AH424+AC424,AD424+AC424))</f>
        <v>20.93</v>
      </c>
      <c r="AF424" s="177" t="str">
        <f>E424&amp;AB424</f>
        <v>46057AEDRUB</v>
      </c>
      <c r="AG424" s="176">
        <v>20.9666</v>
      </c>
      <c r="AH424" s="178">
        <f ca="1">IF(LEFT(AB424,3)=RIGHT(AB424,3),1,VLOOKUP(AB424,'FX RATES'!$H$1:$I$20,2,FALSE))</f>
        <v>20.8843</v>
      </c>
      <c r="AI424" s="178">
        <f>IF(OR(AB424="USDAED",LEFT(AB424,3)=RIGHT(AB424,3)),AH424,IF(LEFT(AB424)="USD",AG424,IF(RIGHT(AB424,3)="USD",1,IFERROR(VLOOKUP(E424&amp;"USD"&amp;RIGHT(AB424,3),$AF:$AG,2,FALSE),VLOOKUP(E424&amp;"USD"&amp;RIGHT(AJ424,3),$AN:$AO,2,FALSE)))))</f>
        <v>77</v>
      </c>
      <c r="AJ424" s="173" t="str">
        <f>IF(W424="via USD",IF(S424="EUR",S424&amp;"USD","USD"&amp;S424),IFERROR(VLOOKUP(K424&amp;S424,'FX RATES'!$H$2:$H$20,1,FALSE),S424&amp;K424))</f>
        <v>AEDRUB</v>
      </c>
      <c r="AK424" s="175">
        <f>IF(LEFT(AJ424,3)=RIGHT(AJ424,3),0,IFERROR(INDEX(CLIENTS!$A$1:$O$649,MATCH(P424,CLIENTS!$A$1:$A$649,0),MATCH(AJ424,CLIENTS!$A$1:$O$1,0)),0))</f>
        <v>0</v>
      </c>
      <c r="AL424" s="176"/>
      <c r="AM424" s="177" t="str">
        <f>IF(W424="VENDOR","",IF(AL424="",AP424+AK424,AL424+AK424))</f>
        <v/>
      </c>
      <c r="AN424" s="177" t="str">
        <f>E424&amp;AJ424</f>
        <v>46057AEDRUB</v>
      </c>
      <c r="AO424" s="176"/>
      <c r="AP424" s="178">
        <f ca="1">IF(LEFT(AJ424,3)=RIGHT(AJ424,3),1,VLOOKUP(AJ424,'FX RATES'!$H$1:$I$20,2,FALSE))</f>
        <v>20.8843</v>
      </c>
      <c r="AQ424" s="178">
        <f>IF(OR(AJ424="USDAED",LEFT(AJ424,3)=RIGHT(AJ424,3)),AP424,IF(LEFT(AJ424)="USD",AO424,IF(RIGHT(AJ424,3)="USD",1,IFERROR(VLOOKUP(E424&amp;"USD"&amp;RIGHT(AJ424,3),$AN:$AO,2,FALSE),VLOOKUP(E424&amp;"USD"&amp;RIGHT(AB424,3),$AF:$AG,2,FALSE)))))</f>
        <v>77</v>
      </c>
      <c r="AR424" s="179">
        <f>-Q424*(1-Z424)/(1+X424)*IF(W424="CLIENT",IF(S424=RIGHT(AJ424,3),1/AM424,AM424),IF(W424="VENDOR",IF(S424=RIGHT(AJ424,3),1/AE424,AE424),AE424^(VLOOKUP(AB424,'FX RATES'!$H$1:$J$26,3,FALSE))/AM424^(VLOOKUP(AJ424,'FX RATES'!$H$1:$J$26,3,FALSE))))</f>
        <v>0</v>
      </c>
      <c r="AS424" s="179">
        <f>-I424*(1+X424)/(1-Z424)*IF(W424="VENDOR",IF(K424=RIGHT(AB424,3),1/AE424,AE424),IF(W424="CLIENT",IF(K424=RIGHT(AB424,3),1/AM424,AM424),AM424^(VLOOKUP(AJ424,'FX RATES'!$H$1:$J$26,3,FALSE))/AE424^(VLOOKUP(AB424,'FX RATES'!$H$1:$J$26,3,FALSE))))</f>
        <v>5458671.7630195888</v>
      </c>
      <c r="AT424" s="170">
        <f ca="1">IF(AB424&lt;&gt;AJ424,J424/IF(K424=RIGHT(AB424,3),AE424,1/AE424),IF(S424="USD",J424/IF(K424=RIGHT(AB424,3),IF(W424="CLIENT",AM424,AE424),1/IF(W424="CLIENT",AM424,AE424)),J424*VLOOKUP(K424,'FX RATES'!$E$1:$F$10,2,FALSE)))</f>
        <v>-1489171.7337608591</v>
      </c>
      <c r="AU424" s="170">
        <f ca="1">IF(AB424&lt;&gt;AJ424,R424/IF(S424=RIGHT(AJ424,3),AM424,1/AM424),IF(K424="USD",R424/IF(S424=RIGHT(AJ424,3),IF(W424="CLIENT",AM424,AE424),1/IF(W424="CLIENT",AM424,AE424)),R424*VLOOKUP(S424,'FX RATES'!$E$1:$F$10,2,FALSE)))</f>
        <v>1486323.5209441781</v>
      </c>
      <c r="AV424" s="170">
        <f ca="1">AT424+AU424</f>
        <v>-2848.2128166810144</v>
      </c>
      <c r="AW424" s="169"/>
      <c r="AX424" s="170">
        <f ca="1">IF(AND(ISERROR(SEARCH("INVOICE",T424)),ISERROR(SEARCH("SWITCH",T424)),ISERROR(SEARCH("FOREX",T424)),ISERROR(SEARCH("REFUND",A424)),ISERROR(SEARCH("CANCELLED",A424))),IF(AW424="",-AT424*X424+AU424*Z424,AW424),0)</f>
        <v>0</v>
      </c>
      <c r="AY424" s="170">
        <f>IF(AZ424="USD",AT424,IF(AZ424=K424,J424,-R424))</f>
        <v>-5458671.7630195888</v>
      </c>
      <c r="AZ424" s="170" t="str">
        <f>LEFT(AB424,3)</f>
        <v>AED</v>
      </c>
      <c r="BA424" s="542">
        <f>IF(OR(A424="REFUND",A424="CANCELLED"),0,IFERROR((IF(OR(AB424="USDAED",LEFT(AB424,3)=RIGHT(AB424,3)),AI424,AG424)-AE424)*-AY424*VLOOKUP(AB424,'FX RATES'!$H$1:$J$26,3,FALSE),0))</f>
        <v>199787.38652651676</v>
      </c>
      <c r="BB424" s="170" t="str">
        <f>RIGHT(AB424,3)</f>
        <v>RUB</v>
      </c>
      <c r="BC424" s="542">
        <f>IF(BA424=0,0,IFERROR(BA424/IF(BB424&lt;&gt;"USD",AI424,1),"???"))</f>
        <v>2594.6413834612567</v>
      </c>
      <c r="BD424" s="170">
        <f>IFERROR(-AC424/(IF(OR(AB424="USDAED",LEFT(AB424,3)=RIGHT(AB424,3)),AH424,AG424)-AE424)*BC424,0)</f>
        <v>0</v>
      </c>
      <c r="BE424" s="542">
        <f>BC424-BD424</f>
        <v>2594.6413834612567</v>
      </c>
      <c r="BF424" s="170">
        <f>IF(BG424="USD",AU424,IF(BG424=S424,R424,-J424))</f>
        <v>5458671.7630195888</v>
      </c>
      <c r="BG424" s="170" t="str">
        <f>LEFT(AJ424,3)</f>
        <v>AED</v>
      </c>
      <c r="BH424" s="542">
        <f>IF(OR(A424="REFUND",A424="CANCELLED"),0,IFERROR((IF(OR(AJ424="USDAED",LEFT(AJ424,3)=RIGHT(AJ424,3)),AQ424,AO424)-AM424)*-BF424*VLOOKUP(AJ424,'FX RATES'!$H$1:$J$26,3,FALSE),0))</f>
        <v>0</v>
      </c>
      <c r="BI424" s="170" t="str">
        <f>RIGHT(AJ424,3)</f>
        <v>RUB</v>
      </c>
      <c r="BJ424" s="542">
        <f>IF(BH424=0,0,IFERROR(BH424/IF(BI424&lt;&gt;"USD",AQ424,1),"???"))</f>
        <v>0</v>
      </c>
      <c r="BK424" s="170">
        <f>IFERROR(-AK424/(IF(OR(AJ424="USDAED",LEFT(AJ424,3)=RIGHT(AJ424,3)),AP424,AO424)-AM424)*BJ424,0)</f>
        <v>0</v>
      </c>
      <c r="BL424" s="542">
        <f>BJ424-BK424</f>
        <v>0</v>
      </c>
      <c r="BM424" s="170">
        <f>IF(AND(ISERROR(SEARCH("REFUND",A424)),ISERROR(SEARCH("CANCELLED",A424))),BD424+BK424,0)</f>
        <v>0</v>
      </c>
      <c r="BN424" s="542">
        <f>IF(AND(ISERROR(SEARCH("REFUND",A424)),ISERROR(SEARCH("CANCELLED",A424))),BE424+BL424,0)</f>
        <v>2594.6413834612567</v>
      </c>
    </row>
    <row r="425" spans="1:66" ht="19.5" customHeight="1">
      <c r="A425" s="167"/>
      <c r="B425" s="182"/>
      <c r="C425" s="182"/>
      <c r="D425" s="182"/>
      <c r="E425" s="184"/>
      <c r="F425" s="184"/>
      <c r="G425" s="182"/>
      <c r="H425" s="182"/>
      <c r="I425" s="170"/>
      <c r="J425" s="170"/>
      <c r="K425" s="182"/>
      <c r="L425" s="184"/>
      <c r="M425" s="182"/>
      <c r="O425" s="182"/>
      <c r="P425" s="444"/>
      <c r="Q425" s="170"/>
      <c r="R425" s="170"/>
      <c r="S425" s="182"/>
      <c r="T425" s="184"/>
      <c r="U425" s="182"/>
      <c r="X425" s="173"/>
      <c r="Y425" s="173"/>
      <c r="Z425" s="173"/>
      <c r="AA425" s="173"/>
      <c r="AB425" s="173"/>
      <c r="AC425" s="175"/>
      <c r="AD425" s="177"/>
      <c r="AE425" s="177"/>
      <c r="AF425" s="177"/>
      <c r="AG425" s="177"/>
      <c r="AH425" s="178"/>
      <c r="AI425" s="178"/>
      <c r="AJ425" s="173"/>
      <c r="AK425" s="175"/>
      <c r="AL425" s="177"/>
      <c r="AM425" s="177"/>
      <c r="AN425" s="177"/>
      <c r="AO425" s="177"/>
      <c r="AP425" s="178"/>
      <c r="AQ425" s="178"/>
      <c r="AR425" s="185"/>
      <c r="AS425" s="185"/>
      <c r="AT425" s="170"/>
      <c r="AU425" s="170"/>
      <c r="AV425" s="170"/>
      <c r="AW425" s="170"/>
      <c r="AX425" s="170"/>
      <c r="AY425" s="170"/>
      <c r="AZ425" s="170"/>
      <c r="BA425" s="542"/>
      <c r="BB425" s="170"/>
      <c r="BC425" s="542"/>
      <c r="BD425" s="170"/>
      <c r="BE425" s="542"/>
      <c r="BF425" s="170"/>
      <c r="BG425" s="170"/>
      <c r="BH425" s="542"/>
      <c r="BI425" s="170"/>
      <c r="BJ425" s="542"/>
      <c r="BK425" s="170"/>
      <c r="BL425" s="542"/>
      <c r="BM425" s="170"/>
      <c r="BN425" s="542"/>
    </row>
    <row r="426" spans="1:66" ht="19.5" customHeight="1">
      <c r="A426" s="167" t="s">
        <v>366</v>
      </c>
      <c r="B426" s="168" t="s">
        <v>39</v>
      </c>
      <c r="C426" s="168" t="s">
        <v>367</v>
      </c>
      <c r="D426" s="168" t="s">
        <v>368</v>
      </c>
      <c r="E426" s="171">
        <v>46057</v>
      </c>
      <c r="F426" s="171"/>
      <c r="G426" s="168" t="s">
        <v>39</v>
      </c>
      <c r="H426" s="168" t="s">
        <v>55</v>
      </c>
      <c r="I426" s="169"/>
      <c r="J426" s="170">
        <f>IF(I426="",AR426,I426)</f>
        <v>-1447016.2437372033</v>
      </c>
      <c r="K426" s="168" t="s">
        <v>5</v>
      </c>
      <c r="L426" s="168" t="s">
        <v>40</v>
      </c>
      <c r="M426" s="168" t="s">
        <v>20</v>
      </c>
      <c r="N426" s="167" t="s">
        <v>371</v>
      </c>
      <c r="O426" s="168" t="s">
        <v>39</v>
      </c>
      <c r="P426" s="168" t="s">
        <v>55</v>
      </c>
      <c r="Q426" s="169">
        <f>114250000-R427</f>
        <v>111452519.23</v>
      </c>
      <c r="R426" s="170">
        <f>IF(Q426="",AS426,Q426)</f>
        <v>111452519.23</v>
      </c>
      <c r="S426" s="168" t="s">
        <v>9</v>
      </c>
      <c r="T426" s="171" t="s">
        <v>25</v>
      </c>
      <c r="U426" s="168" t="s">
        <v>374</v>
      </c>
      <c r="V426" s="167" t="s">
        <v>371</v>
      </c>
      <c r="W426" s="172" t="s">
        <v>375</v>
      </c>
      <c r="X426" s="173">
        <f>IF(Y426="",VLOOKUP(H426,CLIENTS!$A$1:$O$649,5,FALSE),Y426)</f>
        <v>0</v>
      </c>
      <c r="Y426" s="174">
        <v>0</v>
      </c>
      <c r="Z426" s="173">
        <f>IF(AA426="",VLOOKUP(P426,CLIENTS!$A$1:$O$649,5,FALSE),AA426)</f>
        <v>0</v>
      </c>
      <c r="AA426" s="174">
        <v>0</v>
      </c>
      <c r="AB426" s="173" t="str">
        <f>IF(W426="via USD",IF(K426="EUR",K426&amp;"USD","USD"&amp;K426),IFERROR(VLOOKUP(K426&amp;S426,'FX RATES'!$H$2:$H$20,1,FALSE),S426&amp;K426))</f>
        <v>USDUSD</v>
      </c>
      <c r="AC426" s="175">
        <f>IF(LEFT(AB426,3)=RIGHT(AB426,3),0,IFERROR(INDEX(CLIENTS!$A$1:$O$649,MATCH(H426,CLIENTS!$A$1:$A$649,0),MATCH(AB426,CLIENTS!$A$1:$O$1,0)),0))</f>
        <v>0</v>
      </c>
      <c r="AD426" s="176"/>
      <c r="AE426" s="177">
        <f>IF(W426="CLIENT","",IF(AD426="",AH426+AC426,AD426+AC426))</f>
        <v>1</v>
      </c>
      <c r="AF426" s="177" t="str">
        <f>E426&amp;AB426</f>
        <v>46057USDUSD</v>
      </c>
      <c r="AG426" s="176"/>
      <c r="AH426" s="178">
        <f>IF(LEFT(AB426,3)=RIGHT(AB426,3),1,VLOOKUP(AB426,'FX RATES'!$H$1:$I$20,2,FALSE))</f>
        <v>1</v>
      </c>
      <c r="AI426" s="178">
        <f>IF(OR(AB426="USDAED",LEFT(AB426,3)=RIGHT(AB426,3)),AH426,IF(LEFT(AB426)="USD",AG426,IF(RIGHT(AB426,3)="USD",1,IFERROR(VLOOKUP(E426&amp;"USD"&amp;RIGHT(AB426,3),$AF:$AG,2,FALSE),VLOOKUP(E426&amp;"USD"&amp;RIGHT(AJ426,3),$AN:$AO,2,FALSE)))))</f>
        <v>1</v>
      </c>
      <c r="AJ426" s="173" t="str">
        <f>IF(W426="via USD",IF(S426="EUR",S426&amp;"USD","USD"&amp;S426),IFERROR(VLOOKUP(K426&amp;S426,'FX RATES'!$H$2:$H$20,1,FALSE),S426&amp;K426))</f>
        <v>USDRUB</v>
      </c>
      <c r="AK426" s="175">
        <f>IF(LEFT(AJ426,3)=RIGHT(AJ426,3),0,IFERROR(INDEX(CLIENTS!$A$1:$O$649,MATCH(P426,CLIENTS!$A$1:$A$649,0),MATCH(AJ426,CLIENTS!$A$1:$O$1,0)),0))</f>
        <v>0</v>
      </c>
      <c r="AL426" s="176">
        <v>77.022300000000001</v>
      </c>
      <c r="AM426" s="177">
        <f>IF(W426="VENDOR","",IF(AL426="",AP426+AK426,AL426+AK426))</f>
        <v>77.022300000000001</v>
      </c>
      <c r="AN426" s="177" t="str">
        <f>E426&amp;AJ426</f>
        <v>46057USDRUB</v>
      </c>
      <c r="AO426" s="176">
        <v>77</v>
      </c>
      <c r="AP426" s="178">
        <f ca="1">IF(LEFT(AJ426,3)=RIGHT(AJ426,3),1,VLOOKUP(AJ426,'FX RATES'!$H$1:$I$20,2,FALSE))</f>
        <v>76.720500000000001</v>
      </c>
      <c r="AQ426" s="178">
        <f>IF(OR(AJ426="USDAED",LEFT(AJ426,3)=RIGHT(AJ426,3)),AP426,IF(LEFT(AJ426)="USD",AO426,IF(RIGHT(AJ426,3)="USD",1,IFERROR(VLOOKUP(E426&amp;"USD"&amp;RIGHT(AJ426,3),$AN:$AO,2,FALSE),VLOOKUP(E426&amp;"USD"&amp;RIGHT(AB426,3),$AF:$AG,2,FALSE)))))</f>
        <v>77</v>
      </c>
      <c r="AR426" s="179">
        <f>-Q426*(1-Z426)/(1+X426)*IF(W426="CLIENT",IF(S426=RIGHT(AJ426,3),1/AM426,AM426),IF(W426="VENDOR",IF(S426=RIGHT(AJ426,3),1/AE426,AE426),AE426^(VLOOKUP(AB426,'FX RATES'!$H$1:$J$26,3,FALSE))/AM426^(VLOOKUP(AJ426,'FX RATES'!$H$1:$J$26,3,FALSE))))</f>
        <v>-1447016.2437372033</v>
      </c>
      <c r="AS426" s="179">
        <f>-I426*(1+X426)/(1-Z426)*IF(W426="VENDOR",IF(K426=RIGHT(AB426,3),1/AE426,AE426),IF(W426="CLIENT",IF(K426=RIGHT(AB426,3),1/AM426,AM426),AM426^(VLOOKUP(AJ426,'FX RATES'!$H$1:$J$26,3,FALSE))/AE426^(VLOOKUP(AB426,'FX RATES'!$H$1:$J$26,3,FALSE))))</f>
        <v>0</v>
      </c>
      <c r="AT426" s="170">
        <f>IF(AB426&lt;&gt;AJ426,J426/IF(K426=RIGHT(AB426,3),AE426,1/AE426),IF(S426="USD",J426/IF(K426=RIGHT(AB426,3),IF(W426="CLIENT",AM426,AE426),1/IF(W426="CLIENT",AM426,AE426)),J426*VLOOKUP(K426,'FX RATES'!$E$1:$F$10,2,FALSE)))</f>
        <v>-1447016.2437372033</v>
      </c>
      <c r="AU426" s="170">
        <f>IF(AB426&lt;&gt;AJ426,R426/IF(S426=RIGHT(AJ426,3),AM426,1/AM426),IF(K426="USD",R426/IF(S426=RIGHT(AJ426,3),IF(W426="CLIENT",AM426,AE426),1/IF(W426="CLIENT",AM426,AE426)),R426*VLOOKUP(S426,'FX RATES'!$E$1:$F$10,2,FALSE)))</f>
        <v>1447016.2437372033</v>
      </c>
      <c r="AV426" s="170">
        <f>AT426+AU426</f>
        <v>0</v>
      </c>
      <c r="AW426" s="169"/>
      <c r="AX426" s="170">
        <f>IF(AND(ISERROR(SEARCH("INVOICE",T426)),ISERROR(SEARCH("SWITCH",T426)),ISERROR(SEARCH("FOREX",T426)),ISERROR(SEARCH("REFUND",A426)),ISERROR(SEARCH("CANCELLED",A426))),IF(AW426="",-AT426*X426+AU426*Z426,AW426),0)</f>
        <v>0</v>
      </c>
      <c r="AY426" s="170">
        <f>IF(AZ426="USD",AT426,IF(AZ426=K426,J426,-R426))</f>
        <v>-1447016.2437372033</v>
      </c>
      <c r="AZ426" s="170" t="str">
        <f>LEFT(AB426,3)</f>
        <v>USD</v>
      </c>
      <c r="BA426" s="542">
        <f>IF(OR(A426="REFUND",A426="CANCELLED"),0,IFERROR((IF(OR(AB426="USDAED",LEFT(AB426,3)=RIGHT(AB426,3)),AI426,AG426)-AE426)*-AY426*VLOOKUP(AB426,'FX RATES'!$H$1:$J$26,3,FALSE),0))</f>
        <v>0</v>
      </c>
      <c r="BB426" s="170" t="str">
        <f>RIGHT(AB426,3)</f>
        <v>USD</v>
      </c>
      <c r="BC426" s="542">
        <f>IF(BA426=0,0,IFERROR(BA426/IF(BB426&lt;&gt;"USD",AI426,1),"???"))</f>
        <v>0</v>
      </c>
      <c r="BD426" s="170">
        <f>IFERROR(-AC426/(IF(OR(AB426="USDAED",LEFT(AB426,3)=RIGHT(AB426,3)),AH426,AG426)-AE426)*BC426,0)</f>
        <v>0</v>
      </c>
      <c r="BE426" s="542">
        <f>BC426-BD426</f>
        <v>0</v>
      </c>
      <c r="BF426" s="170">
        <f>IF(BG426="USD",AU426,IF(BG426=S426,R426,-J426))</f>
        <v>1447016.2437372033</v>
      </c>
      <c r="BG426" s="170" t="str">
        <f>LEFT(AJ426,3)</f>
        <v>USD</v>
      </c>
      <c r="BH426" s="542">
        <f>IF(OR(A426="REFUND",A426="CANCELLED"),0,IFERROR((IF(OR(AJ426="USDAED",LEFT(AJ426,3)=RIGHT(AJ426,3)),AQ426,AO426)-AM426)*-BF426*VLOOKUP(AJ426,'FX RATES'!$H$1:$J$26,3,FALSE),0))</f>
        <v>32268.462235341543</v>
      </c>
      <c r="BI426" s="170" t="str">
        <f>RIGHT(AJ426,3)</f>
        <v>RUB</v>
      </c>
      <c r="BJ426" s="542">
        <f>IF(BH426=0,0,IFERROR(BH426/IF(BI426&lt;&gt;"USD",AQ426,1),"???"))</f>
        <v>419.07093812131876</v>
      </c>
      <c r="BK426" s="170">
        <f>IFERROR(-AK426/(IF(OR(AJ426="USDAED",LEFT(AJ426,3)=RIGHT(AJ426,3)),AP426,AO426)-AM426)*BJ426,0)</f>
        <v>0</v>
      </c>
      <c r="BL426" s="542">
        <f>BJ426-BK426</f>
        <v>419.07093812131876</v>
      </c>
      <c r="BM426" s="170">
        <f>IF(AND(ISERROR(SEARCH("REFUND",A426)),ISERROR(SEARCH("CANCELLED",A426))),BD426+BK426,0)</f>
        <v>0</v>
      </c>
      <c r="BN426" s="542">
        <f>IF(AND(ISERROR(SEARCH("REFUND",A426)),ISERROR(SEARCH("CANCELLED",A426))),BE426+BL426,0)</f>
        <v>419.07093812131876</v>
      </c>
    </row>
    <row r="427" spans="1:66" ht="19.5" customHeight="1">
      <c r="A427" s="167" t="s">
        <v>366</v>
      </c>
      <c r="B427" s="168" t="s">
        <v>52</v>
      </c>
      <c r="C427" s="168" t="s">
        <v>381</v>
      </c>
      <c r="D427" s="168" t="s">
        <v>128</v>
      </c>
      <c r="E427" s="171">
        <v>46057</v>
      </c>
      <c r="F427" s="171"/>
      <c r="G427" s="168" t="s">
        <v>52</v>
      </c>
      <c r="H427" s="168" t="s">
        <v>52</v>
      </c>
      <c r="I427" s="169"/>
      <c r="J427" s="170">
        <f>IF(I427="",AR427,I427)</f>
        <v>-2797480.77</v>
      </c>
      <c r="K427" s="168" t="s">
        <v>9</v>
      </c>
      <c r="L427" s="168" t="s">
        <v>25</v>
      </c>
      <c r="M427" s="168" t="s">
        <v>25</v>
      </c>
      <c r="N427" s="167" t="s">
        <v>371</v>
      </c>
      <c r="O427" s="168" t="s">
        <v>52</v>
      </c>
      <c r="P427" s="168" t="s">
        <v>52</v>
      </c>
      <c r="Q427" s="169">
        <v>2797480.77</v>
      </c>
      <c r="R427" s="170">
        <f>IF(Q427="",AS427,Q427)</f>
        <v>2797480.77</v>
      </c>
      <c r="S427" s="168" t="s">
        <v>9</v>
      </c>
      <c r="T427" s="168" t="s">
        <v>25</v>
      </c>
      <c r="U427" s="168" t="s">
        <v>25</v>
      </c>
      <c r="V427" s="167" t="s">
        <v>371</v>
      </c>
      <c r="W427" s="172" t="s">
        <v>382</v>
      </c>
      <c r="X427" s="173">
        <f>IF(Y427="",VLOOKUP(H427,CLIENTS!$A$1:$O$649,5,FALSE),Y427)</f>
        <v>0</v>
      </c>
      <c r="Y427" s="174"/>
      <c r="Z427" s="173">
        <f>IF(AA427="",VLOOKUP(P427,CLIENTS!$A$1:$O$649,5,FALSE),AA427)</f>
        <v>0</v>
      </c>
      <c r="AA427" s="174"/>
      <c r="AB427" s="173" t="str">
        <f>IF(W427="via USD",IF(K427="EUR",K427&amp;"USD","USD"&amp;K427),IFERROR(VLOOKUP(K427&amp;S427,'FX RATES'!$H$2:$H$20,1,FALSE),S427&amp;K427))</f>
        <v>RUBRUB</v>
      </c>
      <c r="AC427" s="175">
        <f>IF(LEFT(AB427,3)=RIGHT(AB427,3),0,IFERROR(INDEX(CLIENTS!$A$1:$O$649,MATCH(H427,CLIENTS!$A$1:$A$649,0),MATCH(AB427,CLIENTS!$A$1:$O$1,0)),0))</f>
        <v>0</v>
      </c>
      <c r="AD427" s="176"/>
      <c r="AE427" s="177">
        <f>IF(W427="CLIENT","",IF(AD427="",AH427+AC427,AD427+AC427))</f>
        <v>1</v>
      </c>
      <c r="AF427" s="177" t="str">
        <f>E427&amp;AB427</f>
        <v>46057RUBRUB</v>
      </c>
      <c r="AG427" s="176"/>
      <c r="AH427" s="178">
        <f>IF(LEFT(AB427,3)=RIGHT(AB427,3),1,VLOOKUP(AB427,'FX RATES'!$H$1:$I$20,2,FALSE))</f>
        <v>1</v>
      </c>
      <c r="AI427" s="178">
        <f>IF(OR(AB427="USDAED",LEFT(AB427,3)=RIGHT(AB427,3)),AH427,IF(LEFT(AB427)="USD",AG427,IF(RIGHT(AB427,3)="USD",1,IFERROR(VLOOKUP(E427&amp;"USD"&amp;RIGHT(AB427,3),$AF:$AG,2,FALSE),VLOOKUP(E427&amp;"USD"&amp;RIGHT(AJ427,3),$AN:$AO,2,FALSE)))))</f>
        <v>1</v>
      </c>
      <c r="AJ427" s="173" t="str">
        <f>IF(W427="via USD",IF(S427="EUR",S427&amp;"USD","USD"&amp;S427),IFERROR(VLOOKUP(K427&amp;S427,'FX RATES'!$H$2:$H$20,1,FALSE),S427&amp;K427))</f>
        <v>RUBRUB</v>
      </c>
      <c r="AK427" s="175">
        <f>IF(LEFT(AJ427,3)=RIGHT(AJ427,3),0,IFERROR(INDEX(CLIENTS!$A$1:$O$649,MATCH(P427,CLIENTS!$A$1:$A$649,0),MATCH(AJ427,CLIENTS!$A$1:$O$1,0)),0))</f>
        <v>0</v>
      </c>
      <c r="AL427" s="176"/>
      <c r="AM427" s="177" t="str">
        <f>IF(W427="VENDOR","",IF(AL427="",AP427+AK427,AL427+AK427))</f>
        <v/>
      </c>
      <c r="AN427" s="177" t="str">
        <f>E427&amp;AJ427</f>
        <v>46057RUBRUB</v>
      </c>
      <c r="AO427" s="176"/>
      <c r="AP427" s="178">
        <f>IF(LEFT(AJ427,3)=RIGHT(AJ427,3),1,VLOOKUP(AJ427,'FX RATES'!$H$1:$I$20,2,FALSE))</f>
        <v>1</v>
      </c>
      <c r="AQ427" s="178">
        <f>IF(OR(AJ427="USDAED",LEFT(AJ427,3)=RIGHT(AJ427,3)),AP427,IF(LEFT(AJ427)="USD",AO427,IF(RIGHT(AJ427,3)="USD",1,IFERROR(VLOOKUP(E427&amp;"USD"&amp;RIGHT(AJ427,3),$AN:$AO,2,FALSE),VLOOKUP(E427&amp;"USD"&amp;RIGHT(AB427,3),$AF:$AG,2,FALSE)))))</f>
        <v>1</v>
      </c>
      <c r="AR427" s="179">
        <f>-Q427*(1-Z427)/(1+X427)*IF(W427="CLIENT",IF(S427=RIGHT(AJ427,3),1/AM427,AM427),IF(W427="VENDOR",IF(S427=RIGHT(AJ427,3),1/AE427,AE427),AE427^(VLOOKUP(AB427,'FX RATES'!$H$1:$J$26,3,FALSE))/AM427^(VLOOKUP(AJ427,'FX RATES'!$H$1:$J$26,3,FALSE))))</f>
        <v>-2797480.77</v>
      </c>
      <c r="AS427" s="179">
        <f>-I427*(1+X427)/(1-Z427)*IF(W427="VENDOR",IF(K427=RIGHT(AB427,3),1/AE427,AE427),IF(W427="CLIENT",IF(K427=RIGHT(AB427,3),1/AM427,AM427),AM427^(VLOOKUP(AJ427,'FX RATES'!$H$1:$J$26,3,FALSE))/AE427^(VLOOKUP(AB427,'FX RATES'!$H$1:$J$26,3,FALSE))))</f>
        <v>0</v>
      </c>
      <c r="AT427" s="170">
        <f ca="1">IF(AB427&lt;&gt;AJ427,J427/IF(K427=RIGHT(AB427,3),AE427,1/AE427),IF(S427="USD",J427/IF(K427=RIGHT(AB427,3),IF(W427="CLIENT",AM427,AE427),1/IF(W427="CLIENT",AM427,AE427)),J427*VLOOKUP(K427,'FX RATES'!$E$1:$F$10,2,FALSE)))</f>
        <v>-36463.276047471016</v>
      </c>
      <c r="AU427" s="170">
        <f ca="1">IF(AB427&lt;&gt;AJ427,R427/IF(S427=RIGHT(AJ427,3),AM427,1/AM427),IF(K427="USD",R427/IF(S427=RIGHT(AJ427,3),IF(W427="CLIENT",AM427,AE427),1/IF(W427="CLIENT",AM427,AE427)),R427*VLOOKUP(S427,'FX RATES'!$E$1:$F$10,2,FALSE)))</f>
        <v>36463.276047471016</v>
      </c>
      <c r="AV427" s="170">
        <f ca="1">AT427+AU427</f>
        <v>0</v>
      </c>
      <c r="AW427" s="169"/>
      <c r="AX427" s="170">
        <f ca="1">IF(AND(ISERROR(SEARCH("INVOICE",T427)),ISERROR(SEARCH("SWITCH",T427)),ISERROR(SEARCH("FOREX",T427)),ISERROR(SEARCH("REFUND",A427)),ISERROR(SEARCH("CANCELLED",A427))),IF(AW427="",-AT427*X427+AU427*Z427,AW427),0)</f>
        <v>0</v>
      </c>
      <c r="AY427" s="170">
        <f>IF(AZ427="USD",AT427,IF(AZ427=K427,J427,-R427))</f>
        <v>-2797480.77</v>
      </c>
      <c r="AZ427" s="170" t="str">
        <f>LEFT(AB427,3)</f>
        <v>RUB</v>
      </c>
      <c r="BA427" s="542">
        <f>IF(OR(A427="REFUND",A427="CANCELLED"),0,IFERROR((IF(OR(AB427="USDAED",LEFT(AB427,3)=RIGHT(AB427,3)),AI427,AG427)-AE427)*-AY427*VLOOKUP(AB427,'FX RATES'!$H$1:$J$26,3,FALSE),0))</f>
        <v>0</v>
      </c>
      <c r="BB427" s="170" t="str">
        <f>RIGHT(AB427,3)</f>
        <v>RUB</v>
      </c>
      <c r="BC427" s="542">
        <f>IF(BA427=0,0,IFERROR(BA427/IF(BB427&lt;&gt;"USD",AI427,1),"???"))</f>
        <v>0</v>
      </c>
      <c r="BD427" s="170">
        <f>IFERROR(-AC427/(IF(OR(AB427="USDAED",LEFT(AB427,3)=RIGHT(AB427,3)),AH427,AG427)-AE427)*BC427,0)</f>
        <v>0</v>
      </c>
      <c r="BE427" s="542">
        <f>BC427-BD427</f>
        <v>0</v>
      </c>
      <c r="BF427" s="170">
        <f>IF(BG427="USD",AU427,IF(BG427=S427,R427,-J427))</f>
        <v>2797480.77</v>
      </c>
      <c r="BG427" s="170" t="str">
        <f>LEFT(AJ427,3)</f>
        <v>RUB</v>
      </c>
      <c r="BH427" s="542">
        <f>IF(OR(A427="REFUND",A427="CANCELLED"),0,IFERROR((IF(OR(AJ427="USDAED",LEFT(AJ427,3)=RIGHT(AJ427,3)),AQ427,AO427)-AM427)*-BF427*VLOOKUP(AJ427,'FX RATES'!$H$1:$J$26,3,FALSE),0))</f>
        <v>0</v>
      </c>
      <c r="BI427" s="170" t="str">
        <f>RIGHT(AJ427,3)</f>
        <v>RUB</v>
      </c>
      <c r="BJ427" s="542">
        <f>IF(BH427=0,0,IFERROR(BH427/IF(BI427&lt;&gt;"USD",AQ427,1),"???"))</f>
        <v>0</v>
      </c>
      <c r="BK427" s="170">
        <f>IFERROR(-AK427/(IF(OR(AJ427="USDAED",LEFT(AJ427,3)=RIGHT(AJ427,3)),AP427,AO427)-AM427)*BJ427,0)</f>
        <v>0</v>
      </c>
      <c r="BL427" s="542">
        <f>BJ427-BK427</f>
        <v>0</v>
      </c>
      <c r="BM427" s="170">
        <f>IF(AND(ISERROR(SEARCH("REFUND",A427)),ISERROR(SEARCH("CANCELLED",A427))),BD427+BK427,0)</f>
        <v>0</v>
      </c>
      <c r="BN427" s="542">
        <f>IF(AND(ISERROR(SEARCH("REFUND",A427)),ISERROR(SEARCH("CANCELLED",A427))),BE427+BL427,0)</f>
        <v>0</v>
      </c>
    </row>
    <row r="428" spans="1:66" ht="19.5" customHeight="1">
      <c r="A428" s="167" t="s">
        <v>366</v>
      </c>
      <c r="B428" s="168" t="s">
        <v>39</v>
      </c>
      <c r="C428" s="168" t="s">
        <v>383</v>
      </c>
      <c r="D428" s="168" t="s">
        <v>128</v>
      </c>
      <c r="E428" s="171">
        <v>46057</v>
      </c>
      <c r="F428" s="171"/>
      <c r="G428" s="168" t="s">
        <v>39</v>
      </c>
      <c r="H428" s="168" t="s">
        <v>384</v>
      </c>
      <c r="I428" s="169">
        <v>-114250000</v>
      </c>
      <c r="J428" s="170">
        <f>IF(I428="",AR428,I428)</f>
        <v>-114250000</v>
      </c>
      <c r="K428" s="168" t="s">
        <v>9</v>
      </c>
      <c r="L428" s="171" t="s">
        <v>374</v>
      </c>
      <c r="M428" s="168" t="s">
        <v>374</v>
      </c>
      <c r="N428" s="167" t="s">
        <v>371</v>
      </c>
      <c r="O428" s="168" t="s">
        <v>39</v>
      </c>
      <c r="P428" s="349" t="s">
        <v>384</v>
      </c>
      <c r="Q428" s="169"/>
      <c r="R428" s="170">
        <f>IF(Q428="",AS428,Q428)</f>
        <v>5458671.7630195888</v>
      </c>
      <c r="S428" s="168" t="s">
        <v>8</v>
      </c>
      <c r="T428" s="171" t="s">
        <v>385</v>
      </c>
      <c r="U428" s="168" t="s">
        <v>20</v>
      </c>
      <c r="V428" s="167" t="s">
        <v>371</v>
      </c>
      <c r="W428" s="172" t="s">
        <v>382</v>
      </c>
      <c r="X428" s="173">
        <f>IF(Y428="",VLOOKUP(H428,CLIENTS!$A$1:$O$649,5,FALSE),Y428)</f>
        <v>0</v>
      </c>
      <c r="Y428" s="174">
        <v>0</v>
      </c>
      <c r="Z428" s="173">
        <f>IF(AA428="",VLOOKUP(P428,CLIENTS!$A$1:$O$649,5,FALSE),AA428)</f>
        <v>0</v>
      </c>
      <c r="AA428" s="174">
        <v>0</v>
      </c>
      <c r="AB428" s="173" t="str">
        <f>IF(W428="via USD",IF(K428="EUR",K428&amp;"USD","USD"&amp;K428),IFERROR(VLOOKUP(K428&amp;S428,'FX RATES'!$H$2:$H$20,1,FALSE),S428&amp;K428))</f>
        <v>AEDRUB</v>
      </c>
      <c r="AC428" s="175">
        <f>IF(LEFT(AB428,3)=RIGHT(AB428,3),0,IFERROR(INDEX(CLIENTS!$A$1:$O$649,MATCH(H428,CLIENTS!$A$1:$A$649,0),MATCH(AB428,CLIENTS!$A$1:$O$1,0)),0))</f>
        <v>0</v>
      </c>
      <c r="AD428" s="176">
        <v>20.93</v>
      </c>
      <c r="AE428" s="177">
        <f>IF(W428="CLIENT","",IF(AD428="",AH428+AC428,AD428+AC428))</f>
        <v>20.93</v>
      </c>
      <c r="AF428" s="177" t="str">
        <f>E428&amp;AB428</f>
        <v>46057AEDRUB</v>
      </c>
      <c r="AG428" s="176">
        <v>20.9666</v>
      </c>
      <c r="AH428" s="178">
        <f ca="1">IF(LEFT(AB428,3)=RIGHT(AB428,3),1,VLOOKUP(AB428,'FX RATES'!$H$1:$I$20,2,FALSE))</f>
        <v>20.8843</v>
      </c>
      <c r="AI428" s="178">
        <f>IF(OR(AB428="USDAED",LEFT(AB428,3)=RIGHT(AB428,3)),AH428,IF(LEFT(AB428)="USD",AG428,IF(RIGHT(AB428,3)="USD",1,IFERROR(VLOOKUP(E428&amp;"USD"&amp;RIGHT(AB428,3),$AF:$AG,2,FALSE),VLOOKUP(E428&amp;"USD"&amp;RIGHT(AJ428,3),$AN:$AO,2,FALSE)))))</f>
        <v>77</v>
      </c>
      <c r="AJ428" s="173" t="str">
        <f>IF(W428="via USD",IF(S428="EUR",S428&amp;"USD","USD"&amp;S428),IFERROR(VLOOKUP(K428&amp;S428,'FX RATES'!$H$2:$H$20,1,FALSE),S428&amp;K428))</f>
        <v>AEDRUB</v>
      </c>
      <c r="AK428" s="175">
        <f>IF(LEFT(AJ428,3)=RIGHT(AJ428,3),0,IFERROR(INDEX(CLIENTS!$A$1:$O$649,MATCH(P428,CLIENTS!$A$1:$A$649,0),MATCH(AJ428,CLIENTS!$A$1:$O$1,0)),0))</f>
        <v>0</v>
      </c>
      <c r="AL428" s="176"/>
      <c r="AM428" s="177" t="str">
        <f>IF(W428="VENDOR","",IF(AL428="",AP428+AK428,AL428+AK428))</f>
        <v/>
      </c>
      <c r="AN428" s="177" t="str">
        <f>E428&amp;AJ428</f>
        <v>46057AEDRUB</v>
      </c>
      <c r="AO428" s="176"/>
      <c r="AP428" s="178">
        <f ca="1">IF(LEFT(AJ428,3)=RIGHT(AJ428,3),1,VLOOKUP(AJ428,'FX RATES'!$H$1:$I$20,2,FALSE))</f>
        <v>20.8843</v>
      </c>
      <c r="AQ428" s="178">
        <f>IF(OR(AJ428="USDAED",LEFT(AJ428,3)=RIGHT(AJ428,3)),AP428,IF(LEFT(AJ428)="USD",AO428,IF(RIGHT(AJ428,3)="USD",1,IFERROR(VLOOKUP(E428&amp;"USD"&amp;RIGHT(AJ428,3),$AN:$AO,2,FALSE),VLOOKUP(E428&amp;"USD"&amp;RIGHT(AB428,3),$AF:$AG,2,FALSE)))))</f>
        <v>77</v>
      </c>
      <c r="AR428" s="179">
        <f>-Q428*(1-Z428)/(1+X428)*IF(W428="CLIENT",IF(S428=RIGHT(AJ428,3),1/AM428,AM428),IF(W428="VENDOR",IF(S428=RIGHT(AJ428,3),1/AE428,AE428),AE428^(VLOOKUP(AB428,'FX RATES'!$H$1:$J$26,3,FALSE))/AM428^(VLOOKUP(AJ428,'FX RATES'!$H$1:$J$26,3,FALSE))))</f>
        <v>0</v>
      </c>
      <c r="AS428" s="179">
        <f>-I428*(1+X428)/(1-Z428)*IF(W428="VENDOR",IF(K428=RIGHT(AB428,3),1/AE428,AE428),IF(W428="CLIENT",IF(K428=RIGHT(AB428,3),1/AM428,AM428),AM428^(VLOOKUP(AJ428,'FX RATES'!$H$1:$J$26,3,FALSE))/AE428^(VLOOKUP(AB428,'FX RATES'!$H$1:$J$26,3,FALSE))))</f>
        <v>5458671.7630195888</v>
      </c>
      <c r="AT428" s="170">
        <f ca="1">IF(AB428&lt;&gt;AJ428,J428/IF(K428=RIGHT(AB428,3),AE428,1/AE428),IF(S428="USD",J428/IF(K428=RIGHT(AB428,3),IF(W428="CLIENT",AM428,AE428),1/IF(W428="CLIENT",AM428,AE428)),J428*VLOOKUP(K428,'FX RATES'!$E$1:$F$10,2,FALSE)))</f>
        <v>-1489171.7337608591</v>
      </c>
      <c r="AU428" s="170">
        <f ca="1">IF(AB428&lt;&gt;AJ428,R428/IF(S428=RIGHT(AJ428,3),AM428,1/AM428),IF(K428="USD",R428/IF(S428=RIGHT(AJ428,3),IF(W428="CLIENT",AM428,AE428),1/IF(W428="CLIENT",AM428,AE428)),R428*VLOOKUP(S428,'FX RATES'!$E$1:$F$10,2,FALSE)))</f>
        <v>1486323.5209441781</v>
      </c>
      <c r="AV428" s="170">
        <f ca="1">AT428+AU428</f>
        <v>-2848.2128166810144</v>
      </c>
      <c r="AW428" s="169"/>
      <c r="AX428" s="170">
        <f ca="1">IF(AND(ISERROR(SEARCH("INVOICE",T428)),ISERROR(SEARCH("SWITCH",T428)),ISERROR(SEARCH("FOREX",T428)),ISERROR(SEARCH("REFUND",A428)),ISERROR(SEARCH("CANCELLED",A428))),IF(AW428="",-AT428*X428+AU428*Z428,AW428),0)</f>
        <v>0</v>
      </c>
      <c r="AY428" s="170">
        <f>IF(AZ428="USD",AT428,IF(AZ428=K428,J428,-R428))</f>
        <v>-5458671.7630195888</v>
      </c>
      <c r="AZ428" s="170" t="str">
        <f>LEFT(AB428,3)</f>
        <v>AED</v>
      </c>
      <c r="BA428" s="542">
        <f>IF(OR(A428="REFUND",A428="CANCELLED"),0,IFERROR((IF(OR(AB428="USDAED",LEFT(AB428,3)=RIGHT(AB428,3)),AI428,AG428)-AE428)*-AY428*VLOOKUP(AB428,'FX RATES'!$H$1:$J$26,3,FALSE),0))</f>
        <v>199787.38652651676</v>
      </c>
      <c r="BB428" s="170" t="str">
        <f>RIGHT(AB428,3)</f>
        <v>RUB</v>
      </c>
      <c r="BC428" s="542">
        <f>IF(BA428=0,0,IFERROR(BA428/IF(BB428&lt;&gt;"USD",AI428,1),"???"))</f>
        <v>2594.6413834612567</v>
      </c>
      <c r="BD428" s="170">
        <f>IFERROR(-AC428/(IF(OR(AB428="USDAED",LEFT(AB428,3)=RIGHT(AB428,3)),AH428,AG428)-AE428)*BC428,0)</f>
        <v>0</v>
      </c>
      <c r="BE428" s="542">
        <f>BC428-BD428</f>
        <v>2594.6413834612567</v>
      </c>
      <c r="BF428" s="170">
        <f>IF(BG428="USD",AU428,IF(BG428=S428,R428,-J428))</f>
        <v>5458671.7630195888</v>
      </c>
      <c r="BG428" s="170" t="str">
        <f>LEFT(AJ428,3)</f>
        <v>AED</v>
      </c>
      <c r="BH428" s="542">
        <f>IF(OR(A428="REFUND",A428="CANCELLED"),0,IFERROR((IF(OR(AJ428="USDAED",LEFT(AJ428,3)=RIGHT(AJ428,3)),AQ428,AO428)-AM428)*-BF428*VLOOKUP(AJ428,'FX RATES'!$H$1:$J$26,3,FALSE),0))</f>
        <v>0</v>
      </c>
      <c r="BI428" s="170" t="str">
        <f>RIGHT(AJ428,3)</f>
        <v>RUB</v>
      </c>
      <c r="BJ428" s="542">
        <f>IF(BH428=0,0,IFERROR(BH428/IF(BI428&lt;&gt;"USD",AQ428,1),"???"))</f>
        <v>0</v>
      </c>
      <c r="BK428" s="170">
        <f>IFERROR(-AK428/(IF(OR(AJ428="USDAED",LEFT(AJ428,3)=RIGHT(AJ428,3)),AP428,AO428)-AM428)*BJ428,0)</f>
        <v>0</v>
      </c>
      <c r="BL428" s="542">
        <f>BJ428-BK428</f>
        <v>0</v>
      </c>
      <c r="BM428" s="170">
        <f>IF(AND(ISERROR(SEARCH("REFUND",A428)),ISERROR(SEARCH("CANCELLED",A428))),BD428+BK428,0)</f>
        <v>0</v>
      </c>
      <c r="BN428" s="542">
        <f>IF(AND(ISERROR(SEARCH("REFUND",A428)),ISERROR(SEARCH("CANCELLED",A428))),BE428+BL428,0)</f>
        <v>2594.6413834612567</v>
      </c>
    </row>
    <row r="429" spans="1:66" ht="19.5" customHeight="1">
      <c r="A429" s="167"/>
      <c r="B429" s="182"/>
      <c r="C429" s="182"/>
      <c r="D429" s="182"/>
      <c r="E429" s="184"/>
      <c r="F429" s="184"/>
      <c r="G429" s="182"/>
      <c r="H429" s="182"/>
      <c r="I429" s="170"/>
      <c r="J429" s="170"/>
      <c r="K429" s="182"/>
      <c r="L429" s="184"/>
      <c r="M429" s="182"/>
      <c r="O429" s="182"/>
      <c r="P429" s="444"/>
      <c r="Q429" s="170"/>
      <c r="R429" s="170"/>
      <c r="S429" s="182"/>
      <c r="T429" s="184"/>
      <c r="U429" s="182"/>
      <c r="X429" s="173"/>
      <c r="Y429" s="173"/>
      <c r="Z429" s="173"/>
      <c r="AA429" s="173"/>
      <c r="AB429" s="173"/>
      <c r="AC429" s="175"/>
      <c r="AD429" s="177"/>
      <c r="AE429" s="177"/>
      <c r="AF429" s="177"/>
      <c r="AG429" s="177"/>
      <c r="AH429" s="178"/>
      <c r="AI429" s="178"/>
      <c r="AJ429" s="173"/>
      <c r="AK429" s="175"/>
      <c r="AL429" s="177"/>
      <c r="AM429" s="177"/>
      <c r="AN429" s="177"/>
      <c r="AO429" s="177"/>
      <c r="AP429" s="178"/>
      <c r="AQ429" s="178"/>
      <c r="AR429" s="185"/>
      <c r="AS429" s="185"/>
      <c r="AT429" s="170"/>
      <c r="AU429" s="170"/>
      <c r="AV429" s="170"/>
      <c r="AW429" s="170"/>
      <c r="AX429" s="170"/>
      <c r="AY429" s="170"/>
      <c r="AZ429" s="170"/>
      <c r="BA429" s="542"/>
      <c r="BB429" s="170"/>
      <c r="BC429" s="542"/>
      <c r="BD429" s="170"/>
      <c r="BE429" s="542"/>
      <c r="BF429" s="170"/>
      <c r="BG429" s="170"/>
      <c r="BH429" s="542"/>
      <c r="BI429" s="170"/>
      <c r="BJ429" s="542"/>
      <c r="BK429" s="170"/>
      <c r="BL429" s="542"/>
      <c r="BM429" s="170"/>
      <c r="BN429" s="542"/>
    </row>
    <row r="430" spans="1:66" ht="19.5" customHeight="1">
      <c r="A430" s="167" t="s">
        <v>366</v>
      </c>
      <c r="B430" s="168" t="s">
        <v>39</v>
      </c>
      <c r="C430" s="168" t="s">
        <v>367</v>
      </c>
      <c r="D430" s="168" t="s">
        <v>368</v>
      </c>
      <c r="E430" s="171">
        <v>46057</v>
      </c>
      <c r="F430" s="171"/>
      <c r="G430" s="168" t="s">
        <v>39</v>
      </c>
      <c r="H430" s="168" t="s">
        <v>530</v>
      </c>
      <c r="I430" s="169">
        <v>-47781</v>
      </c>
      <c r="J430" s="170">
        <f>IF(I430="",AR430,I430)</f>
        <v>-47781</v>
      </c>
      <c r="K430" s="168" t="s">
        <v>5</v>
      </c>
      <c r="L430" s="171" t="s">
        <v>378</v>
      </c>
      <c r="M430" s="168" t="s">
        <v>20</v>
      </c>
      <c r="N430" s="167" t="s">
        <v>371</v>
      </c>
      <c r="O430" s="168" t="s">
        <v>39</v>
      </c>
      <c r="P430" s="168" t="s">
        <v>554</v>
      </c>
      <c r="Q430" s="169"/>
      <c r="R430" s="170">
        <f>IF(Q430="",AS430,Q430)</f>
        <v>3704191.9513595169</v>
      </c>
      <c r="S430" s="168" t="s">
        <v>9</v>
      </c>
      <c r="T430" s="171" t="s">
        <v>25</v>
      </c>
      <c r="U430" s="168" t="s">
        <v>374</v>
      </c>
      <c r="V430" s="167" t="s">
        <v>371</v>
      </c>
      <c r="W430" s="172" t="s">
        <v>389</v>
      </c>
      <c r="X430" s="173">
        <f>IF(Y430="",VLOOKUP(H430,CLIENTS!$A$1:$O$649,5,FALSE),Y430)</f>
        <v>0</v>
      </c>
      <c r="Y430" s="174">
        <v>0</v>
      </c>
      <c r="Z430" s="173">
        <f>IF(AA430="",VLOOKUP(P430,CLIENTS!$A$1:$O$649,5,FALSE),AA430)</f>
        <v>7.0000000000000001E-3</v>
      </c>
      <c r="AA430" s="174">
        <v>7.0000000000000001E-3</v>
      </c>
      <c r="AB430" s="173" t="str">
        <f>IF(W430="via USD",IF(K430="EUR",K430&amp;"USD","USD"&amp;K430),IFERROR(VLOOKUP(K430&amp;S430,'FX RATES'!$H$2:$H$20,1,FALSE),S430&amp;K430))</f>
        <v>USDRUB</v>
      </c>
      <c r="AC430" s="175">
        <f>IF(LEFT(AB430,3)=RIGHT(AB430,3),0,IFERROR(INDEX(CLIENTS!$A$1:$O$649,MATCH(H430,CLIENTS!$A$1:$A$649,0),MATCH(AB430,CLIENTS!$A$1:$O$1,0)),0))</f>
        <v>0</v>
      </c>
      <c r="AD430" s="176"/>
      <c r="AE430" s="177" t="str">
        <f>IF(W430="CLIENT","",IF(AD430="",AH430+AC430,AD430+AC430))</f>
        <v/>
      </c>
      <c r="AF430" s="177" t="str">
        <f>E430&amp;AB430</f>
        <v>46057USDRUB</v>
      </c>
      <c r="AG430" s="176">
        <v>77</v>
      </c>
      <c r="AH430" s="178">
        <f ca="1">IF(LEFT(AB430,3)=RIGHT(AB430,3),1,VLOOKUP(AB430,'FX RATES'!$H$1:$I$20,2,FALSE))</f>
        <v>76.720500000000001</v>
      </c>
      <c r="AI430" s="178">
        <f>IF(OR(AB430="USDAED",LEFT(AB430,3)=RIGHT(AB430,3)),AH430,IF(LEFT(AB430)="USD",AG430,IF(RIGHT(AB430,3)="USD",1,IFERROR(VLOOKUP(E430&amp;"USD"&amp;RIGHT(AB430,3),$AF:$AG,2,FALSE),VLOOKUP(E430&amp;"USD"&amp;RIGHT(AJ430,3),$AN:$AO,2,FALSE)))))</f>
        <v>77</v>
      </c>
      <c r="AJ430" s="173" t="str">
        <f>IF(W430="via USD",IF(S430="EUR",S430&amp;"USD","USD"&amp;S430),IFERROR(VLOOKUP(K430&amp;S430,'FX RATES'!$H$2:$H$20,1,FALSE),S430&amp;K430))</f>
        <v>USDRUB</v>
      </c>
      <c r="AK430" s="175">
        <f>IF(LEFT(AJ430,3)=RIGHT(AJ430,3),0,IFERROR(INDEX(CLIENTS!$A$1:$O$649,MATCH(P430,CLIENTS!$A$1:$A$649,0),MATCH(AJ430,CLIENTS!$A$1:$O$1,0)),0))</f>
        <v>0</v>
      </c>
      <c r="AL430" s="176">
        <v>76.981700000000004</v>
      </c>
      <c r="AM430" s="177">
        <f>IF(W430="VENDOR","",IF(AL430="",AP430+AK430,AL430+AK430))</f>
        <v>76.981700000000004</v>
      </c>
      <c r="AN430" s="177" t="str">
        <f>E430&amp;AJ430</f>
        <v>46057USDRUB</v>
      </c>
      <c r="AO430" s="176">
        <v>77</v>
      </c>
      <c r="AP430" s="178">
        <f ca="1">IF(LEFT(AJ430,3)=RIGHT(AJ430,3),1,VLOOKUP(AJ430,'FX RATES'!$H$1:$I$20,2,FALSE))</f>
        <v>76.720500000000001</v>
      </c>
      <c r="AQ430" s="178">
        <f>IF(OR(AJ430="USDAED",LEFT(AJ430,3)=RIGHT(AJ430,3)),AP430,IF(LEFT(AJ430)="USD",AO430,IF(RIGHT(AJ430,3)="USD",1,IFERROR(VLOOKUP(E430&amp;"USD"&amp;RIGHT(AJ430,3),$AN:$AO,2,FALSE),VLOOKUP(E430&amp;"USD"&amp;RIGHT(AB430,3),$AF:$AG,2,FALSE)))))</f>
        <v>77</v>
      </c>
      <c r="AR430" s="179">
        <f>-Q430*(1-Z430)/(1+X430)*IF(W430="CLIENT",IF(S430=RIGHT(AJ430,3),1/AM430,AM430),IF(W430="VENDOR",IF(S430=RIGHT(AJ430,3),1/AE430,AE430),AE430^(VLOOKUP(AB430,'FX RATES'!$H$1:$J$26,3,FALSE))/AM430^(VLOOKUP(AJ430,'FX RATES'!$H$1:$J$26,3,FALSE))))</f>
        <v>0</v>
      </c>
      <c r="AS430" s="179">
        <f>-I430*(1+X430)/(1-Z430)*IF(W430="VENDOR",IF(K430=RIGHT(AB430,3),1/AE430,AE430),IF(W430="CLIENT",IF(K430=RIGHT(AB430,3),1/AM430,AM430),AM430^(VLOOKUP(AJ430,'FX RATES'!$H$1:$J$26,3,FALSE))/AE430^(VLOOKUP(AB430,'FX RATES'!$H$1:$J$26,3,FALSE))))</f>
        <v>3704191.9513595169</v>
      </c>
      <c r="AT430" s="170">
        <f>IF(AB430&lt;&gt;AJ430,J430/IF(K430=RIGHT(AB430,3),AE430,1/AE430),IF(S430="USD",J430/IF(K430=RIGHT(AB430,3),IF(W430="CLIENT",AM430,AE430),1/IF(W430="CLIENT",AM430,AE430)),J430*VLOOKUP(K430,'FX RATES'!$E$1:$F$10,2,FALSE)))</f>
        <v>-47781</v>
      </c>
      <c r="AU430" s="170">
        <f>IF(AB430&lt;&gt;AJ430,R430/IF(S430=RIGHT(AJ430,3),AM430,1/AM430),IF(K430="USD",R430/IF(S430=RIGHT(AJ430,3),IF(W430="CLIENT",AM430,AE430),1/IF(W430="CLIENT",AM430,AE430)),R430*VLOOKUP(S430,'FX RATES'!$E$1:$F$10,2,FALSE)))</f>
        <v>48117.8247734139</v>
      </c>
      <c r="AV430" s="170">
        <f>AT430+AU430</f>
        <v>336.8247734139004</v>
      </c>
      <c r="AW430" s="169"/>
      <c r="AX430" s="170">
        <f>IF(AND(ISERROR(SEARCH("INVOICE",T430)),ISERROR(SEARCH("SWITCH",T430)),ISERROR(SEARCH("FOREX",T430)),ISERROR(SEARCH("REFUND",A430)),ISERROR(SEARCH("CANCELLED",A430))),IF(AW430="",-AT430*X430+AU430*Z430,AW430),0)</f>
        <v>336.82477341389733</v>
      </c>
      <c r="AY430" s="170">
        <f>IF(AZ430="USD",AT430,IF(AZ430=K430,J430,-R430))</f>
        <v>-47781</v>
      </c>
      <c r="AZ430" s="170" t="str">
        <f>LEFT(AB430,3)</f>
        <v>USD</v>
      </c>
      <c r="BA430" s="542">
        <f>IF(OR(A430="REFUND",A430="CANCELLED"),0,IFERROR((IF(OR(AB430="USDAED",LEFT(AB430,3)=RIGHT(AB430,3)),AI430,AG430)-AE430)*-AY430*VLOOKUP(AB430,'FX RATES'!$H$1:$J$26,3,FALSE),0))</f>
        <v>0</v>
      </c>
      <c r="BB430" s="170" t="str">
        <f>RIGHT(AB430,3)</f>
        <v>RUB</v>
      </c>
      <c r="BC430" s="542">
        <f>IF(BA430=0,0,IFERROR(BA430/IF(BB430&lt;&gt;"USD",AI430,1),"???"))</f>
        <v>0</v>
      </c>
      <c r="BD430" s="170">
        <f>IFERROR(-AC430/(IF(OR(AB430="USDAED",LEFT(AB430,3)=RIGHT(AB430,3)),AH430,AG430)-AE430)*BC430,0)</f>
        <v>0</v>
      </c>
      <c r="BE430" s="542">
        <f>BC430-BD430</f>
        <v>0</v>
      </c>
      <c r="BF430" s="170">
        <f>IF(BG430="USD",AU430,IF(BG430=S430,R430,-J430))</f>
        <v>48117.8247734139</v>
      </c>
      <c r="BG430" s="170" t="str">
        <f>LEFT(AJ430,3)</f>
        <v>USD</v>
      </c>
      <c r="BH430" s="542">
        <f>IF(OR(A430="REFUND",A430="CANCELLED"),0,IFERROR((IF(OR(AJ430="USDAED",LEFT(AJ430,3)=RIGHT(AJ430,3)),AQ430,AO430)-AM430)*-BF430*VLOOKUP(AJ430,'FX RATES'!$H$1:$J$26,3,FALSE),0))</f>
        <v>-880.55619335330266</v>
      </c>
      <c r="BI430" s="170" t="str">
        <f>RIGHT(AJ430,3)</f>
        <v>RUB</v>
      </c>
      <c r="BJ430" s="542">
        <f>IF(BH430=0,0,IFERROR(BH430/IF(BI430&lt;&gt;"USD",AQ430,1),"???"))</f>
        <v>-11.43579471887406</v>
      </c>
      <c r="BK430" s="170">
        <f>IFERROR(-AK430/(IF(OR(AJ430="USDAED",LEFT(AJ430,3)=RIGHT(AJ430,3)),AP430,AO430)-AM430)*BJ430,0)</f>
        <v>0</v>
      </c>
      <c r="BL430" s="542">
        <f>BJ430-BK430</f>
        <v>-11.43579471887406</v>
      </c>
      <c r="BM430" s="170">
        <f>IF(AND(ISERROR(SEARCH("REFUND",A430)),ISERROR(SEARCH("CANCELLED",A430))),BD430+BK430,0)</f>
        <v>0</v>
      </c>
      <c r="BN430" s="542">
        <f>IF(AND(ISERROR(SEARCH("REFUND",A430)),ISERROR(SEARCH("CANCELLED",A430))),BE430+BL430,0)</f>
        <v>-11.43579471887406</v>
      </c>
    </row>
    <row r="431" spans="1:66" ht="19.5" customHeight="1">
      <c r="A431" s="167" t="s">
        <v>366</v>
      </c>
      <c r="B431" s="168" t="s">
        <v>39</v>
      </c>
      <c r="C431" s="168" t="s">
        <v>367</v>
      </c>
      <c r="D431" s="168" t="s">
        <v>368</v>
      </c>
      <c r="E431" s="171">
        <v>46057</v>
      </c>
      <c r="F431" s="171"/>
      <c r="G431" s="168" t="s">
        <v>39</v>
      </c>
      <c r="H431" s="168" t="s">
        <v>393</v>
      </c>
      <c r="I431" s="169">
        <f>-73746.4622567441-J430</f>
        <v>-25965.462256744097</v>
      </c>
      <c r="J431" s="170">
        <f>IF(I431="",AR431,I431)</f>
        <v>-25965.462256744097</v>
      </c>
      <c r="K431" s="168" t="s">
        <v>5</v>
      </c>
      <c r="L431" s="171" t="s">
        <v>378</v>
      </c>
      <c r="M431" s="168" t="s">
        <v>20</v>
      </c>
      <c r="N431" s="167" t="s">
        <v>371</v>
      </c>
      <c r="O431" s="168" t="s">
        <v>39</v>
      </c>
      <c r="P431" s="168" t="s">
        <v>554</v>
      </c>
      <c r="Q431" s="169"/>
      <c r="R431" s="170">
        <f>IF(Q431="",AS431,Q431)</f>
        <v>2012956.1186404806</v>
      </c>
      <c r="S431" s="168" t="s">
        <v>9</v>
      </c>
      <c r="T431" s="171" t="s">
        <v>25</v>
      </c>
      <c r="U431" s="168" t="s">
        <v>374</v>
      </c>
      <c r="V431" s="167" t="s">
        <v>371</v>
      </c>
      <c r="W431" s="172" t="s">
        <v>389</v>
      </c>
      <c r="X431" s="173">
        <f>IF(Y431="",VLOOKUP(H431,CLIENTS!$A$1:$O$649,5,FALSE),Y431)</f>
        <v>0</v>
      </c>
      <c r="Y431" s="174">
        <v>0</v>
      </c>
      <c r="Z431" s="173">
        <f>IF(AA431="",VLOOKUP(P431,CLIENTS!$A$1:$O$649,5,FALSE),AA431)</f>
        <v>7.0000000000000001E-3</v>
      </c>
      <c r="AA431" s="174">
        <v>7.0000000000000001E-3</v>
      </c>
      <c r="AB431" s="173" t="str">
        <f>IF(W431="via USD",IF(K431="EUR",K431&amp;"USD","USD"&amp;K431),IFERROR(VLOOKUP(K431&amp;S431,'FX RATES'!$H$2:$H$20,1,FALSE),S431&amp;K431))</f>
        <v>USDRUB</v>
      </c>
      <c r="AC431" s="175">
        <f>IF(LEFT(AB431,3)=RIGHT(AB431,3),0,IFERROR(INDEX(CLIENTS!$A$1:$O$649,MATCH(H431,CLIENTS!$A$1:$A$649,0),MATCH(AB431,CLIENTS!$A$1:$O$1,0)),0))</f>
        <v>0</v>
      </c>
      <c r="AD431" s="176"/>
      <c r="AE431" s="177" t="str">
        <f>IF(W431="CLIENT","",IF(AD431="",AH431+AC431,AD431+AC431))</f>
        <v/>
      </c>
      <c r="AF431" s="177" t="str">
        <f>E431&amp;AB431</f>
        <v>46057USDRUB</v>
      </c>
      <c r="AG431" s="176">
        <v>77</v>
      </c>
      <c r="AH431" s="178">
        <f ca="1">IF(LEFT(AB431,3)=RIGHT(AB431,3),1,VLOOKUP(AB431,'FX RATES'!$H$1:$I$20,2,FALSE))</f>
        <v>76.720500000000001</v>
      </c>
      <c r="AI431" s="178">
        <f>IF(OR(AB431="USDAED",LEFT(AB431,3)=RIGHT(AB431,3)),AH431,IF(LEFT(AB431)="USD",AG431,IF(RIGHT(AB431,3)="USD",1,IFERROR(VLOOKUP(E431&amp;"USD"&amp;RIGHT(AB431,3),$AF:$AG,2,FALSE),VLOOKUP(E431&amp;"USD"&amp;RIGHT(AJ431,3),$AN:$AO,2,FALSE)))))</f>
        <v>77</v>
      </c>
      <c r="AJ431" s="173" t="str">
        <f>IF(W431="via USD",IF(S431="EUR",S431&amp;"USD","USD"&amp;S431),IFERROR(VLOOKUP(K431&amp;S431,'FX RATES'!$H$2:$H$20,1,FALSE),S431&amp;K431))</f>
        <v>USDRUB</v>
      </c>
      <c r="AK431" s="175">
        <f>IF(LEFT(AJ431,3)=RIGHT(AJ431,3),0,IFERROR(INDEX(CLIENTS!$A$1:$O$649,MATCH(P431,CLIENTS!$A$1:$A$649,0),MATCH(AJ431,CLIENTS!$A$1:$O$1,0)),0))</f>
        <v>0</v>
      </c>
      <c r="AL431" s="176">
        <v>76.981700000000004</v>
      </c>
      <c r="AM431" s="177">
        <f>IF(W431="VENDOR","",IF(AL431="",AP431+AK431,AL431+AK431))</f>
        <v>76.981700000000004</v>
      </c>
      <c r="AN431" s="177" t="str">
        <f>E431&amp;AJ431</f>
        <v>46057USDRUB</v>
      </c>
      <c r="AO431" s="176">
        <v>77</v>
      </c>
      <c r="AP431" s="178">
        <f ca="1">IF(LEFT(AJ431,3)=RIGHT(AJ431,3),1,VLOOKUP(AJ431,'FX RATES'!$H$1:$I$20,2,FALSE))</f>
        <v>76.720500000000001</v>
      </c>
      <c r="AQ431" s="178">
        <f>IF(OR(AJ431="USDAED",LEFT(AJ431,3)=RIGHT(AJ431,3)),AP431,IF(LEFT(AJ431)="USD",AO431,IF(RIGHT(AJ431,3)="USD",1,IFERROR(VLOOKUP(E431&amp;"USD"&amp;RIGHT(AJ431,3),$AN:$AO,2,FALSE),VLOOKUP(E431&amp;"USD"&amp;RIGHT(AB431,3),$AF:$AG,2,FALSE)))))</f>
        <v>77</v>
      </c>
      <c r="AR431" s="179">
        <f>-Q431*(1-Z431)/(1+X431)*IF(W431="CLIENT",IF(S431=RIGHT(AJ431,3),1/AM431,AM431),IF(W431="VENDOR",IF(S431=RIGHT(AJ431,3),1/AE431,AE431),AE431^(VLOOKUP(AB431,'FX RATES'!$H$1:$J$26,3,FALSE))/AM431^(VLOOKUP(AJ431,'FX RATES'!$H$1:$J$26,3,FALSE))))</f>
        <v>0</v>
      </c>
      <c r="AS431" s="179">
        <f>-I431*(1+X431)/(1-Z431)*IF(W431="VENDOR",IF(K431=RIGHT(AB431,3),1/AE431,AE431),IF(W431="CLIENT",IF(K431=RIGHT(AB431,3),1/AM431,AM431),AM431^(VLOOKUP(AJ431,'FX RATES'!$H$1:$J$26,3,FALSE))/AE431^(VLOOKUP(AB431,'FX RATES'!$H$1:$J$26,3,FALSE))))</f>
        <v>2012956.1186404806</v>
      </c>
      <c r="AT431" s="170">
        <f>IF(AB431&lt;&gt;AJ431,J431/IF(K431=RIGHT(AB431,3),AE431,1/AE431),IF(S431="USD",J431/IF(K431=RIGHT(AB431,3),IF(W431="CLIENT",AM431,AE431),1/IF(W431="CLIENT",AM431,AE431)),J431*VLOOKUP(K431,'FX RATES'!$E$1:$F$10,2,FALSE)))</f>
        <v>-25965.462256744097</v>
      </c>
      <c r="AU431" s="170">
        <f>IF(AB431&lt;&gt;AJ431,R431/IF(S431=RIGHT(AJ431,3),AM431,1/AM431),IF(K431="USD",R431/IF(S431=RIGHT(AJ431,3),IF(W431="CLIENT",AM431,AE431),1/IF(W431="CLIENT",AM431,AE431)),R431*VLOOKUP(S431,'FX RATES'!$E$1:$F$10,2,FALSE)))</f>
        <v>26148.501769127994</v>
      </c>
      <c r="AV431" s="170">
        <f>AT431+AU431</f>
        <v>183.03951238389709</v>
      </c>
      <c r="AW431" s="169"/>
      <c r="AX431" s="170">
        <f>IF(AND(ISERROR(SEARCH("INVOICE",T431)),ISERROR(SEARCH("SWITCH",T431)),ISERROR(SEARCH("FOREX",T431)),ISERROR(SEARCH("REFUND",A431)),ISERROR(SEARCH("CANCELLED",A431))),IF(AW431="",-AT431*X431+AU431*Z431,AW431),0)</f>
        <v>183.03951238389595</v>
      </c>
      <c r="AY431" s="170">
        <f>IF(AZ431="USD",AT431,IF(AZ431=K431,J431,-R431))</f>
        <v>-25965.462256744097</v>
      </c>
      <c r="AZ431" s="170" t="str">
        <f>LEFT(AB431,3)</f>
        <v>USD</v>
      </c>
      <c r="BA431" s="542">
        <f>IF(OR(A431="REFUND",A431="CANCELLED"),0,IFERROR((IF(OR(AB431="USDAED",LEFT(AB431,3)=RIGHT(AB431,3)),AI431,AG431)-AE431)*-AY431*VLOOKUP(AB431,'FX RATES'!$H$1:$J$26,3,FALSE),0))</f>
        <v>0</v>
      </c>
      <c r="BB431" s="170" t="str">
        <f>RIGHT(AB431,3)</f>
        <v>RUB</v>
      </c>
      <c r="BC431" s="542">
        <f>IF(BA431=0,0,IFERROR(BA431/IF(BB431&lt;&gt;"USD",AI431,1),"???"))</f>
        <v>0</v>
      </c>
      <c r="BD431" s="170">
        <f>IFERROR(-AC431/(IF(OR(AB431="USDAED",LEFT(AB431,3)=RIGHT(AB431,3)),AH431,AG431)-AE431)*BC431,0)</f>
        <v>0</v>
      </c>
      <c r="BE431" s="542">
        <f>BC431-BD431</f>
        <v>0</v>
      </c>
      <c r="BF431" s="170">
        <f>IF(BG431="USD",AU431,IF(BG431=S431,R431,-J431))</f>
        <v>26148.501769127994</v>
      </c>
      <c r="BG431" s="170" t="str">
        <f>LEFT(AJ431,3)</f>
        <v>USD</v>
      </c>
      <c r="BH431" s="542">
        <f>IF(OR(A431="REFUND",A431="CANCELLED"),0,IFERROR((IF(OR(AJ431="USDAED",LEFT(AJ431,3)=RIGHT(AJ431,3)),AQ431,AO431)-AM431)*-BF431*VLOOKUP(AJ431,'FX RATES'!$H$1:$J$26,3,FALSE),0))</f>
        <v>-478.51758237494892</v>
      </c>
      <c r="BI431" s="170" t="str">
        <f>RIGHT(AJ431,3)</f>
        <v>RUB</v>
      </c>
      <c r="BJ431" s="542">
        <f>IF(BH431=0,0,IFERROR(BH431/IF(BI431&lt;&gt;"USD",AQ431,1),"???"))</f>
        <v>-6.2145140568175181</v>
      </c>
      <c r="BK431" s="170">
        <f>IFERROR(-AK431/(IF(OR(AJ431="USDAED",LEFT(AJ431,3)=RIGHT(AJ431,3)),AP431,AO431)-AM431)*BJ431,0)</f>
        <v>0</v>
      </c>
      <c r="BL431" s="542">
        <f>BJ431-BK431</f>
        <v>-6.2145140568175181</v>
      </c>
      <c r="BM431" s="170">
        <f>IF(AND(ISERROR(SEARCH("REFUND",A431)),ISERROR(SEARCH("CANCELLED",A431))),BD431+BK431,0)</f>
        <v>0</v>
      </c>
      <c r="BN431" s="542">
        <f>IF(AND(ISERROR(SEARCH("REFUND",A431)),ISERROR(SEARCH("CANCELLED",A431))),BE431+BL431,0)</f>
        <v>-6.2145140568175181</v>
      </c>
    </row>
    <row r="432" spans="1:66" ht="19.5" customHeight="1">
      <c r="A432" s="167" t="s">
        <v>366</v>
      </c>
      <c r="B432" s="168" t="s">
        <v>39</v>
      </c>
      <c r="C432" s="168" t="s">
        <v>367</v>
      </c>
      <c r="D432" s="168" t="s">
        <v>368</v>
      </c>
      <c r="E432" s="171">
        <v>46057</v>
      </c>
      <c r="F432" s="171"/>
      <c r="G432" s="168" t="s">
        <v>39</v>
      </c>
      <c r="H432" s="181" t="s">
        <v>369</v>
      </c>
      <c r="I432" s="169">
        <v>-75676.649999999994</v>
      </c>
      <c r="J432" s="170">
        <f>IF(I432="",AR432,I432)</f>
        <v>-75676.649999999994</v>
      </c>
      <c r="K432" s="168" t="s">
        <v>5</v>
      </c>
      <c r="L432" s="168" t="s">
        <v>569</v>
      </c>
      <c r="M432" s="168" t="s">
        <v>20</v>
      </c>
      <c r="N432" s="167" t="s">
        <v>371</v>
      </c>
      <c r="O432" s="168" t="s">
        <v>39</v>
      </c>
      <c r="P432" s="168" t="s">
        <v>372</v>
      </c>
      <c r="Q432" s="169"/>
      <c r="R432" s="170">
        <f>IF(Q432="",AS432,Q432)</f>
        <v>5878624.7904187683</v>
      </c>
      <c r="S432" s="168" t="s">
        <v>9</v>
      </c>
      <c r="T432" s="171" t="s">
        <v>373</v>
      </c>
      <c r="U432" s="168" t="s">
        <v>374</v>
      </c>
      <c r="V432" s="167" t="s">
        <v>371</v>
      </c>
      <c r="W432" s="172" t="s">
        <v>375</v>
      </c>
      <c r="X432" s="173">
        <f>IF(Y432="",VLOOKUP(H432,CLIENTS!$A$1:$O$649,5,FALSE),Y432)</f>
        <v>0</v>
      </c>
      <c r="Y432" s="174">
        <v>0</v>
      </c>
      <c r="Z432" s="173">
        <f>IF(AA432="",VLOOKUP(P432,CLIENTS!$A$1:$O$649,5,FALSE),AA432)</f>
        <v>8.9999999999999993E-3</v>
      </c>
      <c r="AA432" s="174">
        <v>8.9999999999999993E-3</v>
      </c>
      <c r="AB432" s="173" t="str">
        <f>IF(W432="via USD",IF(K432="EUR",K432&amp;"USD","USD"&amp;K432),IFERROR(VLOOKUP(K432&amp;S432,'FX RATES'!$H$2:$H$20,1,FALSE),S432&amp;K432))</f>
        <v>USDUSD</v>
      </c>
      <c r="AC432" s="175">
        <f>IF(LEFT(AB432,3)=RIGHT(AB432,3),0,IFERROR(INDEX(CLIENTS!$A$1:$O$649,MATCH(H432,CLIENTS!$A$1:$A$649,0),MATCH(AB432,CLIENTS!$A$1:$O$1,0)),0))</f>
        <v>0</v>
      </c>
      <c r="AD432" s="176"/>
      <c r="AE432" s="177">
        <f>IF(W432="CLIENT","",IF(AD432="",AH432+AC432,AD432+AC432))</f>
        <v>1</v>
      </c>
      <c r="AF432" s="177" t="str">
        <f>E432&amp;AB432</f>
        <v>46057USDUSD</v>
      </c>
      <c r="AG432" s="176"/>
      <c r="AH432" s="178">
        <f>IF(LEFT(AB432,3)=RIGHT(AB432,3),1,VLOOKUP(AB432,'FX RATES'!$H$1:$I$20,2,FALSE))</f>
        <v>1</v>
      </c>
      <c r="AI432" s="178">
        <f>IF(OR(AB432="USDAED",LEFT(AB432,3)=RIGHT(AB432,3)),AH432,IF(LEFT(AB432)="USD",AG432,IF(RIGHT(AB432,3)="USD",1,IFERROR(VLOOKUP(E432&amp;"USD"&amp;RIGHT(AB432,3),$AF:$AG,2,FALSE),VLOOKUP(E432&amp;"USD"&amp;RIGHT(AJ432,3),$AN:$AO,2,FALSE)))))</f>
        <v>1</v>
      </c>
      <c r="AJ432" s="173" t="str">
        <f>IF(W432="via USD",IF(S432="EUR",S432&amp;"USD","USD"&amp;S432),IFERROR(VLOOKUP(K432&amp;S432,'FX RATES'!$H$2:$H$20,1,FALSE),S432&amp;K432))</f>
        <v>USDRUB</v>
      </c>
      <c r="AK432" s="175">
        <f>IF(LEFT(AJ432,3)=RIGHT(AJ432,3),0,IFERROR(INDEX(CLIENTS!$A$1:$O$649,MATCH(P432,CLIENTS!$A$1:$A$649,0),MATCH(AJ432,CLIENTS!$A$1:$O$1,0)),0))</f>
        <v>0</v>
      </c>
      <c r="AL432" s="176">
        <v>76.981700000000004</v>
      </c>
      <c r="AM432" s="177">
        <f>IF(W432="VENDOR","",IF(AL432="",AP432+AK432,AL432+AK432))</f>
        <v>76.981700000000004</v>
      </c>
      <c r="AN432" s="177" t="str">
        <f>E432&amp;AJ432</f>
        <v>46057USDRUB</v>
      </c>
      <c r="AO432" s="176">
        <v>77</v>
      </c>
      <c r="AP432" s="178">
        <f ca="1">IF(LEFT(AJ432,3)=RIGHT(AJ432,3),1,VLOOKUP(AJ432,'FX RATES'!$H$1:$I$20,2,FALSE))</f>
        <v>76.720500000000001</v>
      </c>
      <c r="AQ432" s="178">
        <f>IF(OR(AJ432="USDAED",LEFT(AJ432,3)=RIGHT(AJ432,3)),AP432,IF(LEFT(AJ432)="USD",AO432,IF(RIGHT(AJ432,3)="USD",1,IFERROR(VLOOKUP(E432&amp;"USD"&amp;RIGHT(AJ432,3),$AN:$AO,2,FALSE),VLOOKUP(E432&amp;"USD"&amp;RIGHT(AB432,3),$AF:$AG,2,FALSE)))))</f>
        <v>77</v>
      </c>
      <c r="AR432" s="179">
        <f>-Q432*(1-Z432)/(1+X432)*IF(W432="CLIENT",IF(S432=RIGHT(AJ432,3),1/AM432,AM432),IF(W432="VENDOR",IF(S432=RIGHT(AJ432,3),1/AE432,AE432),AE432^(VLOOKUP(AB432,'FX RATES'!$H$1:$J$26,3,FALSE))/AM432^(VLOOKUP(AJ432,'FX RATES'!$H$1:$J$26,3,FALSE))))</f>
        <v>0</v>
      </c>
      <c r="AS432" s="179">
        <f>-I432*(1+X432)/(1-Z432)*IF(W432="VENDOR",IF(K432=RIGHT(AB432,3),1/AE432,AE432),IF(W432="CLIENT",IF(K432=RIGHT(AB432,3),1/AM432,AM432),AM432^(VLOOKUP(AJ432,'FX RATES'!$H$1:$J$26,3,FALSE))/AE432^(VLOOKUP(AB432,'FX RATES'!$H$1:$J$26,3,FALSE))))</f>
        <v>5878624.7904187683</v>
      </c>
      <c r="AT432" s="170">
        <f>IF(AB432&lt;&gt;AJ432,J432/IF(K432=RIGHT(AB432,3),AE432,1/AE432),IF(S432="USD",J432/IF(K432=RIGHT(AB432,3),IF(W432="CLIENT",AM432,AE432),1/IF(W432="CLIENT",AM432,AE432)),J432*VLOOKUP(K432,'FX RATES'!$E$1:$F$10,2,FALSE)))</f>
        <v>-75676.649999999994</v>
      </c>
      <c r="AU432" s="170">
        <f>IF(AB432&lt;&gt;AJ432,R432/IF(S432=RIGHT(AJ432,3),AM432,1/AM432),IF(K432="USD",R432/IF(S432=RIGHT(AJ432,3),IF(W432="CLIENT",AM432,AE432),1/IF(W432="CLIENT",AM432,AE432)),R432*VLOOKUP(S432,'FX RATES'!$E$1:$F$10,2,FALSE)))</f>
        <v>76363.925327951554</v>
      </c>
      <c r="AV432" s="170">
        <f>AT432+AU432</f>
        <v>687.27532795156003</v>
      </c>
      <c r="AW432" s="169"/>
      <c r="AX432" s="170">
        <f>IF(AND(ISERROR(SEARCH("INVOICE",T432)),ISERROR(SEARCH("SWITCH",T432)),ISERROR(SEARCH("FOREX",T432)),ISERROR(SEARCH("REFUND",A432)),ISERROR(SEARCH("CANCELLED",A432))),IF(AW432="",-AT432*X432+AU432*Z432,AW432),0)</f>
        <v>687.2753279515639</v>
      </c>
      <c r="AY432" s="170">
        <f>IF(AZ432="USD",AT432,IF(AZ432=K432,J432,-R432))</f>
        <v>-75676.649999999994</v>
      </c>
      <c r="AZ432" s="170" t="str">
        <f>LEFT(AB432,3)</f>
        <v>USD</v>
      </c>
      <c r="BA432" s="542">
        <f>IF(OR(A432="REFUND",A432="CANCELLED"),0,IFERROR((IF(OR(AB432="USDAED",LEFT(AB432,3)=RIGHT(AB432,3)),AI432,AG432)-AE432)*-AY432*VLOOKUP(AB432,'FX RATES'!$H$1:$J$26,3,FALSE),0))</f>
        <v>0</v>
      </c>
      <c r="BB432" s="170" t="str">
        <f>RIGHT(AB432,3)</f>
        <v>USD</v>
      </c>
      <c r="BC432" s="542">
        <f>IF(BA432=0,0,IFERROR(BA432/IF(BB432&lt;&gt;"USD",AI432,1),"???"))</f>
        <v>0</v>
      </c>
      <c r="BD432" s="170">
        <f>IFERROR(-AC432/(IF(OR(AB432="USDAED",LEFT(AB432,3)=RIGHT(AB432,3)),AH432,AG432)-AE432)*BC432,0)</f>
        <v>0</v>
      </c>
      <c r="BE432" s="542">
        <f>BC432-BD432</f>
        <v>0</v>
      </c>
      <c r="BF432" s="170">
        <f>IF(BG432="USD",AU432,IF(BG432=S432,R432,-J432))</f>
        <v>76363.925327951554</v>
      </c>
      <c r="BG432" s="170" t="str">
        <f>LEFT(AJ432,3)</f>
        <v>USD</v>
      </c>
      <c r="BH432" s="542">
        <f>IF(OR(A432="REFUND",A432="CANCELLED"),0,IFERROR((IF(OR(AJ432="USDAED",LEFT(AJ432,3)=RIGHT(AJ432,3)),AQ432,AO432)-AM432)*-BF432*VLOOKUP(AJ432,'FX RATES'!$H$1:$J$26,3,FALSE),0))</f>
        <v>-1397.4598335012408</v>
      </c>
      <c r="BI432" s="170" t="str">
        <f>RIGHT(AJ432,3)</f>
        <v>RUB</v>
      </c>
      <c r="BJ432" s="542">
        <f>IF(BH432=0,0,IFERROR(BH432/IF(BI432&lt;&gt;"USD",AQ432,1),"???"))</f>
        <v>-18.148829006509622</v>
      </c>
      <c r="BK432" s="170">
        <f>IFERROR(-AK432/(IF(OR(AJ432="USDAED",LEFT(AJ432,3)=RIGHT(AJ432,3)),AP432,AO432)-AM432)*BJ432,0)</f>
        <v>0</v>
      </c>
      <c r="BL432" s="542">
        <f>BJ432-BK432</f>
        <v>-18.148829006509622</v>
      </c>
      <c r="BM432" s="170">
        <f>IF(AND(ISERROR(SEARCH("REFUND",A432)),ISERROR(SEARCH("CANCELLED",A432))),BD432+BK432,0)</f>
        <v>0</v>
      </c>
      <c r="BN432" s="542">
        <f>IF(AND(ISERROR(SEARCH("REFUND",A432)),ISERROR(SEARCH("CANCELLED",A432))),BE432+BL432,0)</f>
        <v>-18.148829006509622</v>
      </c>
    </row>
    <row r="433" spans="1:66" ht="19.5" customHeight="1">
      <c r="A433" s="167" t="s">
        <v>366</v>
      </c>
      <c r="B433" s="168" t="s">
        <v>39</v>
      </c>
      <c r="C433" s="168" t="s">
        <v>383</v>
      </c>
      <c r="D433" s="168" t="s">
        <v>128</v>
      </c>
      <c r="E433" s="171">
        <v>46057</v>
      </c>
      <c r="F433" s="171"/>
      <c r="G433" s="168" t="s">
        <v>39</v>
      </c>
      <c r="H433" s="168" t="s">
        <v>384</v>
      </c>
      <c r="I433" s="169">
        <f>-11595000</f>
        <v>-11595000</v>
      </c>
      <c r="J433" s="509">
        <f>IF(I433="",AR433,I433)</f>
        <v>-11595000</v>
      </c>
      <c r="K433" s="168" t="s">
        <v>9</v>
      </c>
      <c r="L433" s="171" t="s">
        <v>374</v>
      </c>
      <c r="M433" s="168" t="s">
        <v>374</v>
      </c>
      <c r="N433" s="167" t="s">
        <v>371</v>
      </c>
      <c r="O433" s="168" t="s">
        <v>39</v>
      </c>
      <c r="P433" s="349" t="s">
        <v>384</v>
      </c>
      <c r="Q433" s="169"/>
      <c r="R433" s="170">
        <f>IF(Q433="",AS433,Q433)</f>
        <v>554254.30210325052</v>
      </c>
      <c r="S433" s="168" t="s">
        <v>8</v>
      </c>
      <c r="T433" s="171" t="s">
        <v>385</v>
      </c>
      <c r="U433" s="168" t="s">
        <v>20</v>
      </c>
      <c r="V433" s="167" t="s">
        <v>371</v>
      </c>
      <c r="W433" s="172" t="s">
        <v>382</v>
      </c>
      <c r="X433" s="173">
        <f>IF(Y433="",VLOOKUP(H433,CLIENTS!$A$1:$O$649,5,FALSE),Y433)</f>
        <v>0</v>
      </c>
      <c r="Y433" s="174">
        <v>0</v>
      </c>
      <c r="Z433" s="173">
        <f>IF(AA433="",VLOOKUP(P433,CLIENTS!$A$1:$O$649,5,FALSE),AA433)</f>
        <v>0</v>
      </c>
      <c r="AA433" s="174">
        <v>0</v>
      </c>
      <c r="AB433" s="173" t="str">
        <f>IF(W433="via USD",IF(K433="EUR",K433&amp;"USD","USD"&amp;K433),IFERROR(VLOOKUP(K433&amp;S433,'FX RATES'!$H$2:$H$20,1,FALSE),S433&amp;K433))</f>
        <v>AEDRUB</v>
      </c>
      <c r="AC433" s="175">
        <f>IF(LEFT(AB433,3)=RIGHT(AB433,3),0,IFERROR(INDEX(CLIENTS!$A$1:$O$649,MATCH(H433,CLIENTS!$A$1:$A$649,0),MATCH(AB433,CLIENTS!$A$1:$O$1,0)),0))</f>
        <v>0</v>
      </c>
      <c r="AD433" s="176">
        <v>20.92</v>
      </c>
      <c r="AE433" s="177">
        <f>IF(W433="CLIENT","",IF(AD433="",AH433+AC433,AD433+AC433))</f>
        <v>20.92</v>
      </c>
      <c r="AF433" s="177" t="str">
        <f>E433&amp;AB433</f>
        <v>46057AEDRUB</v>
      </c>
      <c r="AG433" s="176">
        <v>20.9666</v>
      </c>
      <c r="AH433" s="178">
        <f ca="1">IF(LEFT(AB433,3)=RIGHT(AB433,3),1,VLOOKUP(AB433,'FX RATES'!$H$1:$I$20,2,FALSE))</f>
        <v>20.8843</v>
      </c>
      <c r="AI433" s="178">
        <f>IF(OR(AB433="USDAED",LEFT(AB433,3)=RIGHT(AB433,3)),AH433,IF(LEFT(AB433)="USD",AG433,IF(RIGHT(AB433,3)="USD",1,IFERROR(VLOOKUP(E433&amp;"USD"&amp;RIGHT(AB433,3),$AF:$AG,2,FALSE),VLOOKUP(E433&amp;"USD"&amp;RIGHT(AJ433,3),$AN:$AO,2,FALSE)))))</f>
        <v>77</v>
      </c>
      <c r="AJ433" s="173" t="str">
        <f>IF(W433="via USD",IF(S433="EUR",S433&amp;"USD","USD"&amp;S433),IFERROR(VLOOKUP(K433&amp;S433,'FX RATES'!$H$2:$H$20,1,FALSE),S433&amp;K433))</f>
        <v>AEDRUB</v>
      </c>
      <c r="AK433" s="175">
        <f>IF(LEFT(AJ433,3)=RIGHT(AJ433,3),0,IFERROR(INDEX(CLIENTS!$A$1:$O$649,MATCH(P433,CLIENTS!$A$1:$A$649,0),MATCH(AJ433,CLIENTS!$A$1:$O$1,0)),0))</f>
        <v>0</v>
      </c>
      <c r="AL433" s="176"/>
      <c r="AM433" s="177" t="str">
        <f>IF(W433="VENDOR","",IF(AL433="",AP433+AK433,AL433+AK433))</f>
        <v/>
      </c>
      <c r="AN433" s="177" t="str">
        <f>E433&amp;AJ433</f>
        <v>46057AEDRUB</v>
      </c>
      <c r="AO433" s="176"/>
      <c r="AP433" s="178">
        <f ca="1">IF(LEFT(AJ433,3)=RIGHT(AJ433,3),1,VLOOKUP(AJ433,'FX RATES'!$H$1:$I$20,2,FALSE))</f>
        <v>20.8843</v>
      </c>
      <c r="AQ433" s="178">
        <f>IF(OR(AJ433="USDAED",LEFT(AJ433,3)=RIGHT(AJ433,3)),AP433,IF(LEFT(AJ433)="USD",AO433,IF(RIGHT(AJ433,3)="USD",1,IFERROR(VLOOKUP(E433&amp;"USD"&amp;RIGHT(AJ433,3),$AN:$AO,2,FALSE),VLOOKUP(E433&amp;"USD"&amp;RIGHT(AB433,3),$AF:$AG,2,FALSE)))))</f>
        <v>77</v>
      </c>
      <c r="AR433" s="179">
        <f>-Q433*(1-Z433)/(1+X433)*IF(W433="CLIENT",IF(S433=RIGHT(AJ433,3),1/AM433,AM433),IF(W433="VENDOR",IF(S433=RIGHT(AJ433,3),1/AE433,AE433),AE433^(VLOOKUP(AB433,'FX RATES'!$H$1:$J$26,3,FALSE))/AM433^(VLOOKUP(AJ433,'FX RATES'!$H$1:$J$26,3,FALSE))))</f>
        <v>0</v>
      </c>
      <c r="AS433" s="179">
        <f>-I433*(1+X433)/(1-Z433)*IF(W433="VENDOR",IF(K433=RIGHT(AB433,3),1/AE433,AE433),IF(W433="CLIENT",IF(K433=RIGHT(AB433,3),1/AM433,AM433),AM433^(VLOOKUP(AJ433,'FX RATES'!$H$1:$J$26,3,FALSE))/AE433^(VLOOKUP(AB433,'FX RATES'!$H$1:$J$26,3,FALSE))))</f>
        <v>554254.30210325052</v>
      </c>
      <c r="AT433" s="170">
        <f ca="1">IF(AB433&lt;&gt;AJ433,J433/IF(K433=RIGHT(AB433,3),AE433,1/AE433),IF(S433="USD",J433/IF(K433=RIGHT(AB433,3),IF(W433="CLIENT",AM433,AE433),1/IF(W433="CLIENT",AM433,AE433)),J433*VLOOKUP(K433,'FX RATES'!$E$1:$F$10,2,FALSE)))</f>
        <v>-151133.0087786185</v>
      </c>
      <c r="AU433" s="170">
        <f ca="1">IF(AB433&lt;&gt;AJ433,R433/IF(S433=RIGHT(AJ433,3),AM433,1/AM433),IF(K433="USD",R433/IF(S433=RIGHT(AJ433,3),IF(W433="CLIENT",AM433,AE433),1/IF(W433="CLIENT",AM433,AE433)),R433*VLOOKUP(S433,'FX RATES'!$E$1:$F$10,2,FALSE)))</f>
        <v>150916.05459436108</v>
      </c>
      <c r="AV433" s="170">
        <f ca="1">AT433+AU433</f>
        <v>-216.95418425742537</v>
      </c>
      <c r="AW433" s="169"/>
      <c r="AX433" s="170">
        <f ca="1">IF(AND(ISERROR(SEARCH("INVOICE",T433)),ISERROR(SEARCH("SWITCH",T433)),ISERROR(SEARCH("FOREX",T433)),ISERROR(SEARCH("REFUND",A433)),ISERROR(SEARCH("CANCELLED",A433))),IF(AW433="",-AT433*X433+AU433*Z433,AW433),0)</f>
        <v>0</v>
      </c>
      <c r="AY433" s="170">
        <f>IF(AZ433="USD",AT433,IF(AZ433=K433,J433,-R433))</f>
        <v>-554254.30210325052</v>
      </c>
      <c r="AZ433" s="170" t="str">
        <f>LEFT(AB433,3)</f>
        <v>AED</v>
      </c>
      <c r="BA433" s="542">
        <f>IF(OR(A433="REFUND",A433="CANCELLED"),0,IFERROR((IF(OR(AB433="USDAED",LEFT(AB433,3)=RIGHT(AB433,3)),AI433,AG433)-AE433)*-AY433*VLOOKUP(AB433,'FX RATES'!$H$1:$J$26,3,FALSE),0))</f>
        <v>25828.250478010352</v>
      </c>
      <c r="BB433" s="170" t="str">
        <f>RIGHT(AB433,3)</f>
        <v>RUB</v>
      </c>
      <c r="BC433" s="542">
        <f>IF(BA433=0,0,IFERROR(BA433/IF(BB433&lt;&gt;"USD",AI433,1),"???"))</f>
        <v>335.4318243897448</v>
      </c>
      <c r="BD433" s="170">
        <f>IFERROR(-AC433/(IF(OR(AB433="USDAED",LEFT(AB433,3)=RIGHT(AB433,3)),AH433,AG433)-AE433)*BC433,0)</f>
        <v>0</v>
      </c>
      <c r="BE433" s="542">
        <f>BC433-BD433</f>
        <v>335.4318243897448</v>
      </c>
      <c r="BF433" s="170">
        <f>IF(BG433="USD",AU433,IF(BG433=S433,R433,-J433))</f>
        <v>554254.30210325052</v>
      </c>
      <c r="BG433" s="170" t="str">
        <f>LEFT(AJ433,3)</f>
        <v>AED</v>
      </c>
      <c r="BH433" s="542">
        <f>IF(OR(A433="REFUND",A433="CANCELLED"),0,IFERROR((IF(OR(AJ433="USDAED",LEFT(AJ433,3)=RIGHT(AJ433,3)),AQ433,AO433)-AM433)*-BF433*VLOOKUP(AJ433,'FX RATES'!$H$1:$J$26,3,FALSE),0))</f>
        <v>0</v>
      </c>
      <c r="BI433" s="170" t="str">
        <f>RIGHT(AJ433,3)</f>
        <v>RUB</v>
      </c>
      <c r="BJ433" s="542">
        <f>IF(BH433=0,0,IFERROR(BH433/IF(BI433&lt;&gt;"USD",AQ433,1),"???"))</f>
        <v>0</v>
      </c>
      <c r="BK433" s="170">
        <f>IFERROR(-AK433/(IF(OR(AJ433="USDAED",LEFT(AJ433,3)=RIGHT(AJ433,3)),AP433,AO433)-AM433)*BJ433,0)</f>
        <v>0</v>
      </c>
      <c r="BL433" s="542">
        <f>BJ433-BK433</f>
        <v>0</v>
      </c>
      <c r="BM433" s="170">
        <f>IF(AND(ISERROR(SEARCH("REFUND",A433)),ISERROR(SEARCH("CANCELLED",A433))),BD433+BK433,0)</f>
        <v>0</v>
      </c>
      <c r="BN433" s="542">
        <f>IF(AND(ISERROR(SEARCH("REFUND",A433)),ISERROR(SEARCH("CANCELLED",A433))),BE433+BL433,0)</f>
        <v>335.4318243897448</v>
      </c>
    </row>
    <row r="434" spans="1:66" ht="19.5" customHeight="1">
      <c r="A434" s="167"/>
      <c r="B434" s="182"/>
      <c r="C434" s="182"/>
      <c r="D434" s="182"/>
      <c r="E434" s="184"/>
      <c r="F434" s="184"/>
      <c r="G434" s="182"/>
      <c r="H434" s="182"/>
      <c r="I434" s="170"/>
      <c r="J434" s="170"/>
      <c r="K434" s="182"/>
      <c r="L434" s="184"/>
      <c r="M434" s="182"/>
      <c r="O434" s="182"/>
      <c r="P434" s="444"/>
      <c r="Q434" s="170"/>
      <c r="R434" s="170"/>
      <c r="S434" s="182"/>
      <c r="T434" s="184"/>
      <c r="U434" s="182"/>
      <c r="X434" s="173"/>
      <c r="Y434" s="173"/>
      <c r="Z434" s="173"/>
      <c r="AA434" s="173"/>
      <c r="AB434" s="173"/>
      <c r="AC434" s="175"/>
      <c r="AD434" s="177"/>
      <c r="AE434" s="177"/>
      <c r="AF434" s="177"/>
      <c r="AG434" s="177"/>
      <c r="AH434" s="178"/>
      <c r="AI434" s="178"/>
      <c r="AJ434" s="173"/>
      <c r="AK434" s="175"/>
      <c r="AL434" s="177"/>
      <c r="AM434" s="177"/>
      <c r="AN434" s="177"/>
      <c r="AO434" s="177"/>
      <c r="AP434" s="178"/>
      <c r="AQ434" s="178"/>
      <c r="AR434" s="185"/>
      <c r="AS434" s="185"/>
      <c r="AT434" s="170"/>
      <c r="AU434" s="170"/>
      <c r="AV434" s="170"/>
      <c r="AW434" s="170"/>
      <c r="AX434" s="170"/>
      <c r="AY434" s="170"/>
      <c r="AZ434" s="170"/>
      <c r="BA434" s="542"/>
      <c r="BB434" s="170"/>
      <c r="BC434" s="542"/>
      <c r="BD434" s="170"/>
      <c r="BE434" s="542"/>
      <c r="BF434" s="170"/>
      <c r="BG434" s="170"/>
      <c r="BH434" s="542"/>
      <c r="BI434" s="170"/>
      <c r="BJ434" s="542"/>
      <c r="BK434" s="170"/>
      <c r="BL434" s="542"/>
      <c r="BM434" s="170"/>
      <c r="BN434" s="542"/>
    </row>
    <row r="435" spans="1:66" ht="19.5" customHeight="1">
      <c r="A435" s="167" t="s">
        <v>366</v>
      </c>
      <c r="B435" s="168" t="s">
        <v>39</v>
      </c>
      <c r="C435" s="168" t="s">
        <v>367</v>
      </c>
      <c r="D435" s="168" t="s">
        <v>368</v>
      </c>
      <c r="E435" s="171">
        <v>46058</v>
      </c>
      <c r="F435" s="171"/>
      <c r="G435" s="168" t="s">
        <v>39</v>
      </c>
      <c r="H435" s="168" t="s">
        <v>393</v>
      </c>
      <c r="I435" s="169">
        <v>-11657.4803946681</v>
      </c>
      <c r="J435" s="170">
        <f>IF(I435="",AR435,I435)</f>
        <v>-11657.4803946681</v>
      </c>
      <c r="K435" s="168" t="s">
        <v>5</v>
      </c>
      <c r="L435" s="171" t="s">
        <v>378</v>
      </c>
      <c r="M435" s="168" t="s">
        <v>20</v>
      </c>
      <c r="N435" s="167" t="s">
        <v>371</v>
      </c>
      <c r="O435" s="168" t="s">
        <v>39</v>
      </c>
      <c r="P435" s="168" t="s">
        <v>394</v>
      </c>
      <c r="Q435" s="169">
        <v>902907.19</v>
      </c>
      <c r="R435" s="170">
        <f>IF(Q435="",AS435,Q435)</f>
        <v>902907.19</v>
      </c>
      <c r="S435" s="168" t="s">
        <v>9</v>
      </c>
      <c r="T435" s="171" t="s">
        <v>25</v>
      </c>
      <c r="U435" s="168" t="s">
        <v>374</v>
      </c>
      <c r="V435" s="167" t="s">
        <v>371</v>
      </c>
      <c r="W435" s="172" t="s">
        <v>389</v>
      </c>
      <c r="X435" s="173">
        <f>IF(Y435="",VLOOKUP(H435,CLIENTS!$A$1:$O$649,5,FALSE),Y435)</f>
        <v>0</v>
      </c>
      <c r="Y435" s="174">
        <v>0</v>
      </c>
      <c r="Z435" s="173">
        <f>IF(AA435="",VLOOKUP(P435,CLIENTS!$A$1:$O$649,5,FALSE),AA435)</f>
        <v>7.0000000000000001E-3</v>
      </c>
      <c r="AA435" s="174">
        <v>7.0000000000000001E-3</v>
      </c>
      <c r="AB435" s="173" t="str">
        <f>IF(W435="via USD",IF(K435="EUR",K435&amp;"USD","USD"&amp;K435),IFERROR(VLOOKUP(K435&amp;S435,'FX RATES'!$H$2:$H$20,1,FALSE),S435&amp;K435))</f>
        <v>USDRUB</v>
      </c>
      <c r="AC435" s="175">
        <f>IF(LEFT(AB435,3)=RIGHT(AB435,3),0,IFERROR(INDEX(CLIENTS!$A$1:$O$649,MATCH(H435,CLIENTS!$A$1:$A$649,0),MATCH(AB435,CLIENTS!$A$1:$O$1,0)),0))</f>
        <v>0</v>
      </c>
      <c r="AD435" s="176"/>
      <c r="AE435" s="177" t="str">
        <f>IF(W435="CLIENT","",IF(AD435="",AH435+AC435,AD435+AC435))</f>
        <v/>
      </c>
      <c r="AF435" s="177" t="str">
        <f>E435&amp;AB435</f>
        <v>46058USDRUB</v>
      </c>
      <c r="AG435" s="176">
        <v>76.900000000000006</v>
      </c>
      <c r="AH435" s="178">
        <f ca="1">IF(LEFT(AB435,3)=RIGHT(AB435,3),1,VLOOKUP(AB435,'FX RATES'!$H$1:$I$20,2,FALSE))</f>
        <v>76.720500000000001</v>
      </c>
      <c r="AI435" s="178">
        <f>IF(OR(AB435="USDAED",LEFT(AB435,3)=RIGHT(AB435,3)),AH435,IF(LEFT(AB435)="USD",AG435,IF(RIGHT(AB435,3)="USD",1,IFERROR(VLOOKUP(E435&amp;"USD"&amp;RIGHT(AB435,3),$AF:$AG,2,FALSE),VLOOKUP(E435&amp;"USD"&amp;RIGHT(AJ435,3),$AN:$AO,2,FALSE)))))</f>
        <v>76.900000000000006</v>
      </c>
      <c r="AJ435" s="173" t="str">
        <f>IF(W435="via USD",IF(S435="EUR",S435&amp;"USD","USD"&amp;S435),IFERROR(VLOOKUP(K435&amp;S435,'FX RATES'!$H$2:$H$20,1,FALSE),S435&amp;K435))</f>
        <v>USDRUB</v>
      </c>
      <c r="AK435" s="175">
        <f>IF(LEFT(AJ435,3)=RIGHT(AJ435,3),0,IFERROR(INDEX(CLIENTS!$A$1:$O$649,MATCH(P435,CLIENTS!$A$1:$A$649,0),MATCH(AJ435,CLIENTS!$A$1:$O$1,0)),0))</f>
        <v>0</v>
      </c>
      <c r="AL435" s="176">
        <v>76.910200000000003</v>
      </c>
      <c r="AM435" s="177">
        <f>IF(W435="VENDOR","",IF(AL435="",AP435+AK435,AL435+AK435))</f>
        <v>76.910200000000003</v>
      </c>
      <c r="AN435" s="177" t="str">
        <f>E435&amp;AJ435</f>
        <v>46058USDRUB</v>
      </c>
      <c r="AO435" s="176">
        <v>76.900000000000006</v>
      </c>
      <c r="AP435" s="178">
        <f ca="1">IF(LEFT(AJ435,3)=RIGHT(AJ435,3),1,VLOOKUP(AJ435,'FX RATES'!$H$1:$I$20,2,FALSE))</f>
        <v>76.720500000000001</v>
      </c>
      <c r="AQ435" s="178">
        <f>IF(OR(AJ435="USDAED",LEFT(AJ435,3)=RIGHT(AJ435,3)),AP435,IF(LEFT(AJ435)="USD",AO435,IF(RIGHT(AJ435,3)="USD",1,IFERROR(VLOOKUP(E435&amp;"USD"&amp;RIGHT(AJ435,3),$AN:$AO,2,FALSE),VLOOKUP(E435&amp;"USD"&amp;RIGHT(AB435,3),$AF:$AG,2,FALSE)))))</f>
        <v>76.900000000000006</v>
      </c>
      <c r="AR435" s="179">
        <f>-Q435*(1-Z435)/(1+X435)*IF(W435="CLIENT",IF(S435=RIGHT(AJ435,3),1/AM435,AM435),IF(W435="VENDOR",IF(S435=RIGHT(AJ435,3),1/AE435,AE435),AE435^(VLOOKUP(AB435,'FX RATES'!$H$1:$J$26,3,FALSE))/AM435^(VLOOKUP(AJ435,'FX RATES'!$H$1:$J$26,3,FALSE))))</f>
        <v>-11657.580394668066</v>
      </c>
      <c r="AS435" s="179">
        <f>-I435*(1+X435)/(1-Z435)*IF(W435="VENDOR",IF(K435=RIGHT(AB435,3),1/AE435,AE435),IF(W435="CLIENT",IF(K435=RIGHT(AB435,3),1/AM435,AM435),AM435^(VLOOKUP(AJ435,'FX RATES'!$H$1:$J$26,3,FALSE))/AE435^(VLOOKUP(AB435,'FX RATES'!$H$1:$J$26,3,FALSE))))</f>
        <v>902899.44476334611</v>
      </c>
      <c r="AT435" s="170">
        <f>IF(AB435&lt;&gt;AJ435,J435/IF(K435=RIGHT(AB435,3),AE435,1/AE435),IF(S435="USD",J435/IF(K435=RIGHT(AB435,3),IF(W435="CLIENT",AM435,AE435),1/IF(W435="CLIENT",AM435,AE435)),J435*VLOOKUP(K435,'FX RATES'!$E$1:$F$10,2,FALSE)))</f>
        <v>-11657.4803946681</v>
      </c>
      <c r="AU435" s="170">
        <f>IF(AB435&lt;&gt;AJ435,R435/IF(S435=RIGHT(AJ435,3),AM435,1/AM435),IF(K435="USD",R435/IF(S435=RIGHT(AJ435,3),IF(W435="CLIENT",AM435,AE435),1/IF(W435="CLIENT",AM435,AE435)),R435*VLOOKUP(S435,'FX RATES'!$E$1:$F$10,2,FALSE)))</f>
        <v>11739.758705607317</v>
      </c>
      <c r="AV435" s="170">
        <f>AT435+AU435</f>
        <v>82.278310939216681</v>
      </c>
      <c r="AW435" s="169"/>
      <c r="AX435" s="170">
        <f>IF(AND(ISERROR(SEARCH("INVOICE",T435)),ISERROR(SEARCH("SWITCH",T435)),ISERROR(SEARCH("FOREX",T435)),ISERROR(SEARCH("REFUND",A435)),ISERROR(SEARCH("CANCELLED",A435))),IF(AW435="",-AT435*X435+AU435*Z435,AW435),0)</f>
        <v>82.178310939251219</v>
      </c>
      <c r="AY435" s="170">
        <f>IF(AZ435="USD",AT435,IF(AZ435=K435,J435,-R435))</f>
        <v>-11657.4803946681</v>
      </c>
      <c r="AZ435" s="170" t="str">
        <f>LEFT(AB435,3)</f>
        <v>USD</v>
      </c>
      <c r="BA435" s="542">
        <f>IF(OR(A435="REFUND",A435="CANCELLED"),0,IFERROR((IF(OR(AB435="USDAED",LEFT(AB435,3)=RIGHT(AB435,3)),AI435,AG435)-AE435)*-AY435*VLOOKUP(AB435,'FX RATES'!$H$1:$J$26,3,FALSE),0))</f>
        <v>0</v>
      </c>
      <c r="BB435" s="170" t="str">
        <f>RIGHT(AB435,3)</f>
        <v>RUB</v>
      </c>
      <c r="BC435" s="542">
        <f>IF(BA435=0,0,IFERROR(BA435/IF(BB435&lt;&gt;"USD",AI435,1),"???"))</f>
        <v>0</v>
      </c>
      <c r="BD435" s="170">
        <f>IFERROR(-AC435/(IF(OR(AB435="USDAED",LEFT(AB435,3)=RIGHT(AB435,3)),AH435,AG435)-AE435)*BC435,0)</f>
        <v>0</v>
      </c>
      <c r="BE435" s="542">
        <f>BC435-BD435</f>
        <v>0</v>
      </c>
      <c r="BF435" s="170">
        <f>IF(BG435="USD",AU435,IF(BG435=S435,R435,-J435))</f>
        <v>11739.758705607317</v>
      </c>
      <c r="BG435" s="170" t="str">
        <f>LEFT(AJ435,3)</f>
        <v>USD</v>
      </c>
      <c r="BH435" s="542">
        <f>IF(OR(A435="REFUND",A435="CANCELLED"),0,IFERROR((IF(OR(AJ435="USDAED",LEFT(AJ435,3)=RIGHT(AJ435,3)),AQ435,AO435)-AM435)*-BF435*VLOOKUP(AJ435,'FX RATES'!$H$1:$J$26,3,FALSE),0))</f>
        <v>119.74553879716581</v>
      </c>
      <c r="BI435" s="170" t="str">
        <f>RIGHT(AJ435,3)</f>
        <v>RUB</v>
      </c>
      <c r="BJ435" s="542">
        <f>IF(BH435=0,0,IFERROR(BH435/IF(BI435&lt;&gt;"USD",AQ435,1),"???"))</f>
        <v>1.557159152108788</v>
      </c>
      <c r="BK435" s="170">
        <f>IFERROR(-AK435/(IF(OR(AJ435="USDAED",LEFT(AJ435,3)=RIGHT(AJ435,3)),AP435,AO435)-AM435)*BJ435,0)</f>
        <v>0</v>
      </c>
      <c r="BL435" s="542">
        <f>BJ435-BK435</f>
        <v>1.557159152108788</v>
      </c>
      <c r="BM435" s="170">
        <f>IF(AND(ISERROR(SEARCH("REFUND",A435)),ISERROR(SEARCH("CANCELLED",A435))),BD435+BK435,0)</f>
        <v>0</v>
      </c>
      <c r="BN435" s="542">
        <f>IF(AND(ISERROR(SEARCH("REFUND",A435)),ISERROR(SEARCH("CANCELLED",A435))),BE435+BL435,0)</f>
        <v>1.557159152108788</v>
      </c>
    </row>
    <row r="436" spans="1:66" ht="19.5" customHeight="1">
      <c r="A436" s="167" t="s">
        <v>366</v>
      </c>
      <c r="B436" s="168" t="s">
        <v>39</v>
      </c>
      <c r="C436" s="168" t="s">
        <v>367</v>
      </c>
      <c r="D436" s="168" t="s">
        <v>368</v>
      </c>
      <c r="E436" s="171">
        <v>46058</v>
      </c>
      <c r="F436" s="171"/>
      <c r="G436" s="168" t="s">
        <v>39</v>
      </c>
      <c r="H436" s="168" t="s">
        <v>506</v>
      </c>
      <c r="I436" s="169">
        <v>-1000000</v>
      </c>
      <c r="J436" s="170">
        <f>IF(I436="",AR436,I436)</f>
        <v>-1000000</v>
      </c>
      <c r="K436" s="168" t="s">
        <v>5</v>
      </c>
      <c r="L436" s="171" t="s">
        <v>507</v>
      </c>
      <c r="M436" s="168" t="s">
        <v>20</v>
      </c>
      <c r="N436" s="167" t="s">
        <v>371</v>
      </c>
      <c r="O436" s="168" t="s">
        <v>39</v>
      </c>
      <c r="P436" s="168" t="s">
        <v>506</v>
      </c>
      <c r="Q436" s="169"/>
      <c r="R436" s="170">
        <f>IF(Q436="",AS436,Q436)</f>
        <v>77296683.417085439</v>
      </c>
      <c r="S436" s="168" t="s">
        <v>9</v>
      </c>
      <c r="T436" s="171" t="s">
        <v>439</v>
      </c>
      <c r="U436" s="168" t="s">
        <v>374</v>
      </c>
      <c r="V436" s="167" t="s">
        <v>371</v>
      </c>
      <c r="W436" s="172" t="s">
        <v>389</v>
      </c>
      <c r="X436" s="173">
        <f>IF(Y436="",VLOOKUP(H436,CLIENTS!$A$1:$O$649,5,FALSE),Y436)</f>
        <v>0</v>
      </c>
      <c r="Y436" s="174">
        <v>0</v>
      </c>
      <c r="Z436" s="173">
        <f>IF(AA436="",VLOOKUP(P436,CLIENTS!$A$1:$O$649,5,FALSE),AA436)</f>
        <v>5.0000000000000001E-3</v>
      </c>
      <c r="AA436" s="174">
        <v>5.0000000000000001E-3</v>
      </c>
      <c r="AB436" s="173" t="str">
        <f>IF(W436="via USD",IF(K436="EUR",K436&amp;"USD","USD"&amp;K436),IFERROR(VLOOKUP(K436&amp;S436,'FX RATES'!$H$2:$H$20,1,FALSE),S436&amp;K436))</f>
        <v>USDRUB</v>
      </c>
      <c r="AC436" s="175">
        <f>IF(LEFT(AB436,3)=RIGHT(AB436,3),0,IFERROR(INDEX(CLIENTS!$A$1:$O$649,MATCH(H436,CLIENTS!$A$1:$A$649,0),MATCH(AB436,CLIENTS!$A$1:$O$1,0)),0))</f>
        <v>0</v>
      </c>
      <c r="AD436" s="176"/>
      <c r="AE436" s="177" t="str">
        <f>IF(W436="CLIENT","",IF(AD436="",AH436+AC436,AD436+AC436))</f>
        <v/>
      </c>
      <c r="AF436" s="177" t="str">
        <f>E436&amp;AB436</f>
        <v>46058USDRUB</v>
      </c>
      <c r="AG436" s="176"/>
      <c r="AH436" s="178">
        <f ca="1">IF(LEFT(AB436,3)=RIGHT(AB436,3),1,VLOOKUP(AB436,'FX RATES'!$H$1:$I$20,2,FALSE))</f>
        <v>76.720500000000001</v>
      </c>
      <c r="AI436" s="178">
        <f>IF(OR(AB436="USDAED",LEFT(AB436,3)=RIGHT(AB436,3)),AH436,IF(LEFT(AB436)="USD",AG436,IF(RIGHT(AB436,3)="USD",1,IFERROR(VLOOKUP(E436&amp;"USD"&amp;RIGHT(AB436,3),$AF:$AG,2,FALSE),VLOOKUP(E436&amp;"USD"&amp;RIGHT(AJ436,3),$AN:$AO,2,FALSE)))))</f>
        <v>76.900000000000006</v>
      </c>
      <c r="AJ436" s="173" t="str">
        <f>IF(W436="via USD",IF(S436="EUR",S436&amp;"USD","USD"&amp;S436),IFERROR(VLOOKUP(K436&amp;S436,'FX RATES'!$H$2:$H$20,1,FALSE),S436&amp;K436))</f>
        <v>USDRUB</v>
      </c>
      <c r="AK436" s="175">
        <f>IF(LEFT(AJ436,3)=RIGHT(AJ436,3),0,IFERROR(INDEX(CLIENTS!$A$1:$O$649,MATCH(P436,CLIENTS!$A$1:$A$649,0),MATCH(AJ436,CLIENTS!$A$1:$O$1,0)),0))</f>
        <v>0</v>
      </c>
      <c r="AL436" s="176">
        <v>76.910200000000003</v>
      </c>
      <c r="AM436" s="177">
        <f>IF(W436="VENDOR","",IF(AL436="",AP436+AK436,AL436+AK436))</f>
        <v>76.910200000000003</v>
      </c>
      <c r="AN436" s="177" t="str">
        <f>E436&amp;AJ436</f>
        <v>46058USDRUB</v>
      </c>
      <c r="AO436" s="176">
        <v>76.900000000000006</v>
      </c>
      <c r="AP436" s="178">
        <f ca="1">IF(LEFT(AJ436,3)=RIGHT(AJ436,3),1,VLOOKUP(AJ436,'FX RATES'!$H$1:$I$20,2,FALSE))</f>
        <v>76.720500000000001</v>
      </c>
      <c r="AQ436" s="178">
        <f>IF(OR(AJ436="USDAED",LEFT(AJ436,3)=RIGHT(AJ436,3)),AP436,IF(LEFT(AJ436)="USD",AO436,IF(RIGHT(AJ436,3)="USD",1,IFERROR(VLOOKUP(E436&amp;"USD"&amp;RIGHT(AJ436,3),$AN:$AO,2,FALSE),VLOOKUP(E436&amp;"USD"&amp;RIGHT(AB436,3),$AF:$AG,2,FALSE)))))</f>
        <v>76.900000000000006</v>
      </c>
      <c r="AR436" s="179">
        <f>-Q436*(1-Z436)/(1+X436)*IF(W436="CLIENT",IF(S436=RIGHT(AJ436,3),1/AM436,AM436),IF(W436="VENDOR",IF(S436=RIGHT(AJ436,3),1/AE436,AE436),AE436^(VLOOKUP(AB436,'FX RATES'!$H$1:$J$26,3,FALSE))/AM436^(VLOOKUP(AJ436,'FX RATES'!$H$1:$J$26,3,FALSE))))</f>
        <v>0</v>
      </c>
      <c r="AS436" s="179">
        <f>-I436*(1+X436)/(1-Z436)*IF(W436="VENDOR",IF(K436=RIGHT(AB436,3),1/AE436,AE436),IF(W436="CLIENT",IF(K436=RIGHT(AB436,3),1/AM436,AM436),AM436^(VLOOKUP(AJ436,'FX RATES'!$H$1:$J$26,3,FALSE))/AE436^(VLOOKUP(AB436,'FX RATES'!$H$1:$J$26,3,FALSE))))</f>
        <v>77296683.417085439</v>
      </c>
      <c r="AT436" s="170">
        <f>IF(AB436&lt;&gt;AJ436,J436/IF(K436=RIGHT(AB436,3),AE436,1/AE436),IF(S436="USD",J436/IF(K436=RIGHT(AB436,3),IF(W436="CLIENT",AM436,AE436),1/IF(W436="CLIENT",AM436,AE436)),J436*VLOOKUP(K436,'FX RATES'!$E$1:$F$10,2,FALSE)))</f>
        <v>-1000000</v>
      </c>
      <c r="AU436" s="170">
        <f>IF(AB436&lt;&gt;AJ436,R436/IF(S436=RIGHT(AJ436,3),AM436,1/AM436),IF(K436="USD",R436/IF(S436=RIGHT(AJ436,3),IF(W436="CLIENT",AM436,AE436),1/IF(W436="CLIENT",AM436,AE436)),R436*VLOOKUP(S436,'FX RATES'!$E$1:$F$10,2,FALSE)))</f>
        <v>1005025.1256281409</v>
      </c>
      <c r="AV436" s="170">
        <f>AT436+AU436</f>
        <v>5025.1256281408714</v>
      </c>
      <c r="AW436" s="169"/>
      <c r="AX436" s="170">
        <f>IF(AND(ISERROR(SEARCH("INVOICE",T436)),ISERROR(SEARCH("SWITCH",T436)),ISERROR(SEARCH("FOREX",T436)),ISERROR(SEARCH("REFUND",A436)),ISERROR(SEARCH("CANCELLED",A436))),IF(AW436="",-AT436*X436+AU436*Z436,AW436),0)</f>
        <v>5025.1256281407041</v>
      </c>
      <c r="AY436" s="170">
        <f>IF(AZ436="USD",AT436,IF(AZ436=K436,J436,-R436))</f>
        <v>-1000000</v>
      </c>
      <c r="AZ436" s="170" t="str">
        <f>LEFT(AB436,3)</f>
        <v>USD</v>
      </c>
      <c r="BA436" s="542">
        <f>IF(OR(A436="REFUND",A436="CANCELLED"),0,IFERROR((IF(OR(AB436="USDAED",LEFT(AB436,3)=RIGHT(AB436,3)),AI436,AG436)-AE436)*-AY436*VLOOKUP(AB436,'FX RATES'!$H$1:$J$26,3,FALSE),0))</f>
        <v>0</v>
      </c>
      <c r="BB436" s="170" t="str">
        <f>RIGHT(AB436,3)</f>
        <v>RUB</v>
      </c>
      <c r="BC436" s="542">
        <f>IF(BA436=0,0,IFERROR(BA436/IF(BB436&lt;&gt;"USD",AI436,1),"???"))</f>
        <v>0</v>
      </c>
      <c r="BD436" s="170">
        <f>IFERROR(-AC436/(IF(OR(AB436="USDAED",LEFT(AB436,3)=RIGHT(AB436,3)),AH436,AG436)-AE436)*BC436,0)</f>
        <v>0</v>
      </c>
      <c r="BE436" s="542">
        <f>BC436-BD436</f>
        <v>0</v>
      </c>
      <c r="BF436" s="170">
        <f>IF(BG436="USD",AU436,IF(BG436=S436,R436,-J436))</f>
        <v>1005025.1256281409</v>
      </c>
      <c r="BG436" s="170" t="str">
        <f>LEFT(AJ436,3)</f>
        <v>USD</v>
      </c>
      <c r="BH436" s="542">
        <f>IF(OR(A436="REFUND",A436="CANCELLED"),0,IFERROR((IF(OR(AJ436="USDAED",LEFT(AJ436,3)=RIGHT(AJ436,3)),AQ436,AO436)-AM436)*-BF436*VLOOKUP(AJ436,'FX RATES'!$H$1:$J$26,3,FALSE),0))</f>
        <v>10251.256281404569</v>
      </c>
      <c r="BI436" s="170" t="str">
        <f>RIGHT(AJ436,3)</f>
        <v>RUB</v>
      </c>
      <c r="BJ436" s="542">
        <f>IF(BH436=0,0,IFERROR(BH436/IF(BI436&lt;&gt;"USD",AQ436,1),"???"))</f>
        <v>133.30632355532597</v>
      </c>
      <c r="BK436" s="170">
        <f>IFERROR(-AK436/(IF(OR(AJ436="USDAED",LEFT(AJ436,3)=RIGHT(AJ436,3)),AP436,AO436)-AM436)*BJ436,0)</f>
        <v>0</v>
      </c>
      <c r="BL436" s="542">
        <f>BJ436-BK436</f>
        <v>133.30632355532597</v>
      </c>
      <c r="BM436" s="170">
        <f>IF(AND(ISERROR(SEARCH("REFUND",A436)),ISERROR(SEARCH("CANCELLED",A436))),BD436+BK436,0)</f>
        <v>0</v>
      </c>
      <c r="BN436" s="542">
        <f>IF(AND(ISERROR(SEARCH("REFUND",A436)),ISERROR(SEARCH("CANCELLED",A436))),BE436+BL436,0)</f>
        <v>133.30632355532597</v>
      </c>
    </row>
    <row r="437" spans="1:66" ht="19.5" customHeight="1">
      <c r="A437" s="167" t="s">
        <v>366</v>
      </c>
      <c r="B437" s="168" t="s">
        <v>39</v>
      </c>
      <c r="C437" s="168" t="s">
        <v>383</v>
      </c>
      <c r="D437" s="168" t="s">
        <v>128</v>
      </c>
      <c r="E437" s="171">
        <v>46058</v>
      </c>
      <c r="F437" s="171"/>
      <c r="G437" s="168" t="s">
        <v>39</v>
      </c>
      <c r="H437" s="168" t="s">
        <v>384</v>
      </c>
      <c r="I437" s="169">
        <v>-78199000</v>
      </c>
      <c r="J437" s="170">
        <f>IF(I437="",AR437,I437)</f>
        <v>-78199000</v>
      </c>
      <c r="K437" s="168" t="s">
        <v>9</v>
      </c>
      <c r="L437" s="171" t="s">
        <v>374</v>
      </c>
      <c r="M437" s="168" t="s">
        <v>374</v>
      </c>
      <c r="N437" s="167" t="s">
        <v>371</v>
      </c>
      <c r="O437" s="168" t="s">
        <v>39</v>
      </c>
      <c r="P437" s="349" t="s">
        <v>384</v>
      </c>
      <c r="Q437" s="169"/>
      <c r="R437" s="170">
        <f>IF(Q437="",AS437,Q437)</f>
        <v>3745162.8352490421</v>
      </c>
      <c r="S437" s="168" t="s">
        <v>8</v>
      </c>
      <c r="T437" s="171" t="s">
        <v>385</v>
      </c>
      <c r="U437" s="168" t="s">
        <v>20</v>
      </c>
      <c r="V437" s="167" t="s">
        <v>371</v>
      </c>
      <c r="W437" s="172" t="s">
        <v>382</v>
      </c>
      <c r="X437" s="173">
        <f>IF(Y437="",VLOOKUP(H437,CLIENTS!$A$1:$O$649,5,FALSE),Y437)</f>
        <v>0</v>
      </c>
      <c r="Y437" s="174">
        <v>0</v>
      </c>
      <c r="Z437" s="173">
        <f>IF(AA437="",VLOOKUP(P437,CLIENTS!$A$1:$O$649,5,FALSE),AA437)</f>
        <v>0</v>
      </c>
      <c r="AA437" s="174">
        <v>0</v>
      </c>
      <c r="AB437" s="173" t="str">
        <f>IF(W437="via USD",IF(K437="EUR",K437&amp;"USD","USD"&amp;K437),IFERROR(VLOOKUP(K437&amp;S437,'FX RATES'!$H$2:$H$20,1,FALSE),S437&amp;K437))</f>
        <v>AEDRUB</v>
      </c>
      <c r="AC437" s="175">
        <f>IF(LEFT(AB437,3)=RIGHT(AB437,3),0,IFERROR(INDEX(CLIENTS!$A$1:$O$649,MATCH(H437,CLIENTS!$A$1:$A$649,0),MATCH(AB437,CLIENTS!$A$1:$O$1,0)),0))</f>
        <v>0</v>
      </c>
      <c r="AD437" s="176">
        <v>20.88</v>
      </c>
      <c r="AE437" s="177">
        <f>IF(W437="CLIENT","",IF(AD437="",AH437+AC437,AD437+AC437))</f>
        <v>20.88</v>
      </c>
      <c r="AF437" s="177" t="str">
        <f>E437&amp;AB437</f>
        <v>46058AEDRUB</v>
      </c>
      <c r="AG437" s="176">
        <v>20.939399999999999</v>
      </c>
      <c r="AH437" s="178">
        <f ca="1">IF(LEFT(AB437,3)=RIGHT(AB437,3),1,VLOOKUP(AB437,'FX RATES'!$H$1:$I$20,2,FALSE))</f>
        <v>20.8843</v>
      </c>
      <c r="AI437" s="178">
        <f>IF(OR(AB437="USDAED",LEFT(AB437,3)=RIGHT(AB437,3)),AH437,IF(LEFT(AB437)="USD",AG437,IF(RIGHT(AB437,3)="USD",1,IFERROR(VLOOKUP(E437&amp;"USD"&amp;RIGHT(AB437,3),$AF:$AG,2,FALSE),VLOOKUP(E437&amp;"USD"&amp;RIGHT(AJ437,3),$AN:$AO,2,FALSE)))))</f>
        <v>76.900000000000006</v>
      </c>
      <c r="AJ437" s="173" t="str">
        <f>IF(W437="via USD",IF(S437="EUR",S437&amp;"USD","USD"&amp;S437),IFERROR(VLOOKUP(K437&amp;S437,'FX RATES'!$H$2:$H$20,1,FALSE),S437&amp;K437))</f>
        <v>AEDRUB</v>
      </c>
      <c r="AK437" s="175">
        <f>IF(LEFT(AJ437,3)=RIGHT(AJ437,3),0,IFERROR(INDEX(CLIENTS!$A$1:$O$649,MATCH(P437,CLIENTS!$A$1:$A$649,0),MATCH(AJ437,CLIENTS!$A$1:$O$1,0)),0))</f>
        <v>0</v>
      </c>
      <c r="AL437" s="176"/>
      <c r="AM437" s="177" t="str">
        <f>IF(W437="VENDOR","",IF(AL437="",AP437+AK437,AL437+AK437))</f>
        <v/>
      </c>
      <c r="AN437" s="177" t="str">
        <f>E437&amp;AJ437</f>
        <v>46058AEDRUB</v>
      </c>
      <c r="AO437" s="176"/>
      <c r="AP437" s="178">
        <f ca="1">IF(LEFT(AJ437,3)=RIGHT(AJ437,3),1,VLOOKUP(AJ437,'FX RATES'!$H$1:$I$20,2,FALSE))</f>
        <v>20.8843</v>
      </c>
      <c r="AQ437" s="178">
        <f>IF(OR(AJ437="USDAED",LEFT(AJ437,3)=RIGHT(AJ437,3)),AP437,IF(LEFT(AJ437)="USD",AO437,IF(RIGHT(AJ437,3)="USD",1,IFERROR(VLOOKUP(E437&amp;"USD"&amp;RIGHT(AJ437,3),$AN:$AO,2,FALSE),VLOOKUP(E437&amp;"USD"&amp;RIGHT(AB437,3),$AF:$AG,2,FALSE)))))</f>
        <v>76.900000000000006</v>
      </c>
      <c r="AR437" s="179">
        <f>-Q437*(1-Z437)/(1+X437)*IF(W437="CLIENT",IF(S437=RIGHT(AJ437,3),1/AM437,AM437),IF(W437="VENDOR",IF(S437=RIGHT(AJ437,3),1/AE437,AE437),AE437^(VLOOKUP(AB437,'FX RATES'!$H$1:$J$26,3,FALSE))/AM437^(VLOOKUP(AJ437,'FX RATES'!$H$1:$J$26,3,FALSE))))</f>
        <v>0</v>
      </c>
      <c r="AS437" s="179">
        <f>-I437*(1+X437)/(1-Z437)*IF(W437="VENDOR",IF(K437=RIGHT(AB437,3),1/AE437,AE437),IF(W437="CLIENT",IF(K437=RIGHT(AB437,3),1/AM437,AM437),AM437^(VLOOKUP(AJ437,'FX RATES'!$H$1:$J$26,3,FALSE))/AE437^(VLOOKUP(AB437,'FX RATES'!$H$1:$J$26,3,FALSE))))</f>
        <v>3745162.8352490421</v>
      </c>
      <c r="AT437" s="170">
        <f ca="1">IF(AB437&lt;&gt;AJ437,J437/IF(K437=RIGHT(AB437,3),AE437,1/AE437),IF(S437="USD",J437/IF(K437=RIGHT(AB437,3),IF(W437="CLIENT",AM437,AE437),1/IF(W437="CLIENT",AM437,AE437)),J437*VLOOKUP(K437,'FX RATES'!$E$1:$F$10,2,FALSE)))</f>
        <v>-1019271.2508390847</v>
      </c>
      <c r="AU437" s="170">
        <f ca="1">IF(AB437&lt;&gt;AJ437,R437/IF(S437=RIGHT(AJ437,3),AM437,1/AM437),IF(K437="USD",R437/IF(S437=RIGHT(AJ437,3),IF(W437="CLIENT",AM437,AE437),1/IF(W437="CLIENT",AM437,AE437)),R437*VLOOKUP(S437,'FX RATES'!$E$1:$F$10,2,FALSE)))</f>
        <v>1019757.8922967494</v>
      </c>
      <c r="AV437" s="170">
        <f ca="1">AT437+AU437</f>
        <v>486.6414576646639</v>
      </c>
      <c r="AW437" s="169"/>
      <c r="AX437" s="170">
        <f ca="1">IF(AND(ISERROR(SEARCH("INVOICE",T437)),ISERROR(SEARCH("SWITCH",T437)),ISERROR(SEARCH("FOREX",T437)),ISERROR(SEARCH("REFUND",A437)),ISERROR(SEARCH("CANCELLED",A437))),IF(AW437="",-AT437*X437+AU437*Z437,AW437),0)</f>
        <v>0</v>
      </c>
      <c r="AY437" s="170">
        <f>IF(AZ437="USD",AT437,IF(AZ437=K437,J437,-R437))</f>
        <v>-3745162.8352490421</v>
      </c>
      <c r="AZ437" s="170" t="str">
        <f>LEFT(AB437,3)</f>
        <v>AED</v>
      </c>
      <c r="BA437" s="542">
        <f>IF(OR(A437="REFUND",A437="CANCELLED"),0,IFERROR((IF(OR(AB437="USDAED",LEFT(AB437,3)=RIGHT(AB437,3)),AI437,AG437)-AE437)*-AY437*VLOOKUP(AB437,'FX RATES'!$H$1:$J$26,3,FALSE),0))</f>
        <v>222462.67241379354</v>
      </c>
      <c r="BB437" s="170" t="str">
        <f>RIGHT(AB437,3)</f>
        <v>RUB</v>
      </c>
      <c r="BC437" s="542">
        <f>IF(BA437=0,0,IFERROR(BA437/IF(BB437&lt;&gt;"USD",AI437,1),"???"))</f>
        <v>2892.8826061611639</v>
      </c>
      <c r="BD437" s="170">
        <f>IFERROR(-AC437/(IF(OR(AB437="USDAED",LEFT(AB437,3)=RIGHT(AB437,3)),AH437,AG437)-AE437)*BC437,0)</f>
        <v>0</v>
      </c>
      <c r="BE437" s="542">
        <f>BC437-BD437</f>
        <v>2892.8826061611639</v>
      </c>
      <c r="BF437" s="170">
        <f>IF(BG437="USD",AU437,IF(BG437=S437,R437,-J437))</f>
        <v>3745162.8352490421</v>
      </c>
      <c r="BG437" s="170" t="str">
        <f>LEFT(AJ437,3)</f>
        <v>AED</v>
      </c>
      <c r="BH437" s="542">
        <f>IF(OR(A437="REFUND",A437="CANCELLED"),0,IFERROR((IF(OR(AJ437="USDAED",LEFT(AJ437,3)=RIGHT(AJ437,3)),AQ437,AO437)-AM437)*-BF437*VLOOKUP(AJ437,'FX RATES'!$H$1:$J$26,3,FALSE),0))</f>
        <v>0</v>
      </c>
      <c r="BI437" s="170" t="str">
        <f>RIGHT(AJ437,3)</f>
        <v>RUB</v>
      </c>
      <c r="BJ437" s="542">
        <f>IF(BH437=0,0,IFERROR(BH437/IF(BI437&lt;&gt;"USD",AQ437,1),"???"))</f>
        <v>0</v>
      </c>
      <c r="BK437" s="170">
        <f>IFERROR(-AK437/(IF(OR(AJ437="USDAED",LEFT(AJ437,3)=RIGHT(AJ437,3)),AP437,AO437)-AM437)*BJ437,0)</f>
        <v>0</v>
      </c>
      <c r="BL437" s="542">
        <f>BJ437-BK437</f>
        <v>0</v>
      </c>
      <c r="BM437" s="170">
        <f>IF(AND(ISERROR(SEARCH("REFUND",A437)),ISERROR(SEARCH("CANCELLED",A437))),BD437+BK437,0)</f>
        <v>0</v>
      </c>
      <c r="BN437" s="542">
        <f>IF(AND(ISERROR(SEARCH("REFUND",A437)),ISERROR(SEARCH("CANCELLED",A437))),BE437+BL437,0)</f>
        <v>2892.8826061611639</v>
      </c>
    </row>
    <row r="438" spans="1:66" ht="19.5" customHeight="1">
      <c r="A438" s="167"/>
      <c r="B438" s="182"/>
      <c r="C438" s="182"/>
      <c r="D438" s="182"/>
      <c r="E438" s="184"/>
      <c r="F438" s="184"/>
      <c r="G438" s="182"/>
      <c r="H438" s="182"/>
      <c r="I438" s="170"/>
      <c r="J438" s="170"/>
      <c r="K438" s="182"/>
      <c r="L438" s="184"/>
      <c r="M438" s="182"/>
      <c r="O438" s="182"/>
      <c r="P438" s="444"/>
      <c r="Q438" s="170"/>
      <c r="R438" s="170"/>
      <c r="S438" s="182"/>
      <c r="T438" s="184"/>
      <c r="U438" s="182"/>
      <c r="X438" s="173"/>
      <c r="Y438" s="173"/>
      <c r="Z438" s="173"/>
      <c r="AA438" s="173"/>
      <c r="AB438" s="173"/>
      <c r="AC438" s="175"/>
      <c r="AD438" s="177"/>
      <c r="AE438" s="177"/>
      <c r="AF438" s="177"/>
      <c r="AG438" s="177"/>
      <c r="AH438" s="178"/>
      <c r="AI438" s="178"/>
      <c r="AJ438" s="173"/>
      <c r="AK438" s="175"/>
      <c r="AL438" s="177"/>
      <c r="AM438" s="177"/>
      <c r="AN438" s="177"/>
      <c r="AO438" s="177"/>
      <c r="AP438" s="178"/>
      <c r="AQ438" s="178"/>
      <c r="AR438" s="185"/>
      <c r="AS438" s="185"/>
      <c r="AT438" s="170"/>
      <c r="AU438" s="170"/>
      <c r="AV438" s="170"/>
      <c r="AW438" s="170"/>
      <c r="AX438" s="170"/>
      <c r="AY438" s="170"/>
      <c r="AZ438" s="170"/>
      <c r="BA438" s="542"/>
      <c r="BB438" s="170"/>
      <c r="BC438" s="542"/>
      <c r="BD438" s="170"/>
      <c r="BE438" s="542"/>
      <c r="BF438" s="170"/>
      <c r="BG438" s="170"/>
      <c r="BH438" s="542"/>
      <c r="BI438" s="170"/>
      <c r="BJ438" s="542"/>
      <c r="BK438" s="170"/>
      <c r="BL438" s="542"/>
      <c r="BM438" s="170"/>
      <c r="BN438" s="542"/>
    </row>
    <row r="439" spans="1:66" ht="19.5" customHeight="1">
      <c r="A439" s="167" t="s">
        <v>366</v>
      </c>
      <c r="B439" s="168" t="s">
        <v>39</v>
      </c>
      <c r="C439" s="168" t="s">
        <v>367</v>
      </c>
      <c r="D439" s="168" t="s">
        <v>368</v>
      </c>
      <c r="E439" s="171">
        <v>46058</v>
      </c>
      <c r="F439" s="171"/>
      <c r="G439" s="168" t="s">
        <v>39</v>
      </c>
      <c r="H439" s="181" t="s">
        <v>591</v>
      </c>
      <c r="I439" s="169">
        <v>-340639.43</v>
      </c>
      <c r="J439" s="170">
        <f>IF(I439="",AR439,I439)</f>
        <v>-340639.43</v>
      </c>
      <c r="K439" s="168" t="s">
        <v>8</v>
      </c>
      <c r="L439" s="168" t="s">
        <v>385</v>
      </c>
      <c r="M439" s="168" t="s">
        <v>17</v>
      </c>
      <c r="N439" s="167" t="s">
        <v>371</v>
      </c>
      <c r="O439" s="168" t="s">
        <v>39</v>
      </c>
      <c r="P439" s="168" t="s">
        <v>406</v>
      </c>
      <c r="Q439" s="169"/>
      <c r="R439" s="170">
        <f>IF(Q439="",AS439,Q439)</f>
        <v>7181685.9437787486</v>
      </c>
      <c r="S439" s="168" t="s">
        <v>9</v>
      </c>
      <c r="T439" s="171" t="s">
        <v>592</v>
      </c>
      <c r="U439" s="168" t="s">
        <v>374</v>
      </c>
      <c r="V439" s="167" t="s">
        <v>371</v>
      </c>
      <c r="W439" s="172" t="s">
        <v>375</v>
      </c>
      <c r="X439" s="173">
        <f>IF(Y439="",VLOOKUP(H439,CLIENTS!$A$1:$O$649,5,FALSE),Y439)</f>
        <v>0</v>
      </c>
      <c r="Y439" s="174">
        <v>0</v>
      </c>
      <c r="Z439" s="173">
        <f>IF(AA439="",VLOOKUP(P439,CLIENTS!$A$1:$O$649,5,FALSE),AA439)</f>
        <v>6.0000000000000001E-3</v>
      </c>
      <c r="AA439" s="174">
        <v>6.0000000000000001E-3</v>
      </c>
      <c r="AB439" s="173" t="str">
        <f>IF(W439="via USD",IF(K439="EUR",K439&amp;"USD","USD"&amp;K439),IFERROR(VLOOKUP(K439&amp;S439,'FX RATES'!$H$2:$H$20,1,FALSE),S439&amp;K439))</f>
        <v>USDAED</v>
      </c>
      <c r="AC439" s="175">
        <f>IF(LEFT(AB439,3)=RIGHT(AB439,3),0,IFERROR(INDEX(CLIENTS!$A$1:$O$649,MATCH(H439,CLIENTS!$A$1:$A$649,0),MATCH(AB439,CLIENTS!$A$1:$O$1,0)),0))+0.0075</f>
        <v>0</v>
      </c>
      <c r="AD439" s="176">
        <v>3.67</v>
      </c>
      <c r="AE439" s="177">
        <f>IF(W439="CLIENT","",IF(AD439="",AH439+AC439,AD439+AC439))</f>
        <v>3.67</v>
      </c>
      <c r="AF439" s="177" t="str">
        <f>E439&amp;AB439</f>
        <v>46058USDAED</v>
      </c>
      <c r="AG439" s="176"/>
      <c r="AH439" s="178">
        <f>IF(LEFT(AB439,3)=RIGHT(AB439,3),1,VLOOKUP(AB439,'FX RATES'!$H$1:$I$20,2,FALSE))</f>
        <v>3.6724999999999999</v>
      </c>
      <c r="AI439" s="178">
        <f>IF(OR(AB439="USDAED",LEFT(AB439,3)=RIGHT(AB439,3)),AH439,IF(LEFT(AB439)="USD",AG439,IF(RIGHT(AB439,3)="USD",1,IFERROR(VLOOKUP(E439&amp;"USD"&amp;RIGHT(AB439,3),$AF:$AG,2,FALSE),VLOOKUP(E439&amp;"USD"&amp;RIGHT(AJ439,3),$AN:$AO,2,FALSE)))))</f>
        <v>3.6724999999999999</v>
      </c>
      <c r="AJ439" s="173" t="str">
        <f>IF(W439="via USD",IF(S439="EUR",S439&amp;"USD","USD"&amp;S439),IFERROR(VLOOKUP(K439&amp;S439,'FX RATES'!$H$2:$H$20,1,FALSE),S439&amp;K439))</f>
        <v>USDRUB</v>
      </c>
      <c r="AK439" s="175">
        <f>IF(LEFT(AJ439,3)=RIGHT(AJ439,3),0,IFERROR(INDEX(CLIENTS!$A$1:$O$649,MATCH(P439,CLIENTS!$A$1:$A$649,0),MATCH(AJ439,CLIENTS!$A$1:$O$1,0)),0))-0.15</f>
        <v>0</v>
      </c>
      <c r="AL439" s="176">
        <v>76.910200000000003</v>
      </c>
      <c r="AM439" s="177">
        <f>IF(W439="VENDOR","",IF(AL439="",AP439+AK439,AL439+AK439))</f>
        <v>76.910200000000003</v>
      </c>
      <c r="AN439" s="177" t="str">
        <f>E439&amp;AJ439</f>
        <v>46058USDRUB</v>
      </c>
      <c r="AO439" s="176">
        <v>76.900000000000006</v>
      </c>
      <c r="AP439" s="178">
        <f ca="1">IF(LEFT(AJ439,3)=RIGHT(AJ439,3),1,VLOOKUP(AJ439,'FX RATES'!$H$1:$I$20,2,FALSE))</f>
        <v>76.720500000000001</v>
      </c>
      <c r="AQ439" s="178">
        <f>IF(OR(AJ439="USDAED",LEFT(AJ439,3)=RIGHT(AJ439,3)),AP439,IF(LEFT(AJ439)="USD",AO439,IF(RIGHT(AJ439,3)="USD",1,IFERROR(VLOOKUP(E439&amp;"USD"&amp;RIGHT(AJ439,3),$AN:$AO,2,FALSE),VLOOKUP(E439&amp;"USD"&amp;RIGHT(AB439,3),$AF:$AG,2,FALSE)))))</f>
        <v>76.900000000000006</v>
      </c>
      <c r="AR439" s="179">
        <f>-Q439*(1-Z439)/(1+X439)*IF(W439="CLIENT",IF(S439=RIGHT(AJ439,3),1/AM439,AM439),IF(W439="VENDOR",IF(S439=RIGHT(AJ439,3),1/AE439,AE439),AE439^(VLOOKUP(AB439,'FX RATES'!$H$1:$J$26,3,FALSE))/AM439^(VLOOKUP(AJ439,'FX RATES'!$H$1:$J$26,3,FALSE))))</f>
        <v>0</v>
      </c>
      <c r="AS439" s="179">
        <f>-I439*(1+X439)/(1-Z439)*IF(W439="VENDOR",IF(K439=RIGHT(AB439,3),1/AE439,AE439),IF(W439="CLIENT",IF(K439=RIGHT(AB439,3),1/AM439,AM439),AM439^(VLOOKUP(AJ439,'FX RATES'!$H$1:$J$26,3,FALSE))/AE439^(VLOOKUP(AB439,'FX RATES'!$H$1:$J$26,3,FALSE))))</f>
        <v>7181685.9437787486</v>
      </c>
      <c r="AT439" s="170">
        <f>IF(AB439&lt;&gt;AJ439,J439/IF(K439=RIGHT(AB439,3),AE439,1/AE439),IF(S439="USD",J439/IF(K439=RIGHT(AB439,3),IF(W439="CLIENT",AM439,AE439),1/IF(W439="CLIENT",AM439,AE439)),J439*VLOOKUP(K439,'FX RATES'!$E$1:$F$10,2,FALSE)))</f>
        <v>-92817.283378746593</v>
      </c>
      <c r="AU439" s="170">
        <f>IF(AB439&lt;&gt;AJ439,R439/IF(S439=RIGHT(AJ439,3),AM439,1/AM439),IF(K439="USD",R439/IF(S439=RIGHT(AJ439,3),IF(W439="CLIENT",AM439,AE439),1/IF(W439="CLIENT",AM439,AE439)),R439*VLOOKUP(S439,'FX RATES'!$E$1:$F$10,2,FALSE)))</f>
        <v>93377.548670771212</v>
      </c>
      <c r="AV439" s="170">
        <f>AT439+AU439</f>
        <v>560.26529202461825</v>
      </c>
      <c r="AW439" s="169"/>
      <c r="AX439" s="170">
        <f>IF(AND(ISERROR(SEARCH("INVOICE",T439)),ISERROR(SEARCH("SWITCH",T439)),ISERROR(SEARCH("FOREX",T439)),ISERROR(SEARCH("REFUND",A439)),ISERROR(SEARCH("CANCELLED",A439))),IF(AW439="",-AT439*X439+AU439*Z439,AW439),0)</f>
        <v>560.26529202462723</v>
      </c>
      <c r="AY439" s="170">
        <f>IF(AZ439="USD",AT439,IF(AZ439=K439,J439,-R439))</f>
        <v>-92817.283378746593</v>
      </c>
      <c r="AZ439" s="170" t="str">
        <f>LEFT(AB439,3)</f>
        <v>USD</v>
      </c>
      <c r="BA439" s="542">
        <f>IF(OR(A439="REFUND",A439="CANCELLED"),0,IFERROR((IF(OR(AB439="USDAED",LEFT(AB439,3)=RIGHT(AB439,3)),AI439,AG439)-AE439)*-AY439*VLOOKUP(AB439,'FX RATES'!$H$1:$J$26,3,FALSE),0))</f>
        <v>232.04320844686154</v>
      </c>
      <c r="BB439" s="170" t="str">
        <f>RIGHT(AB439,3)</f>
        <v>AED</v>
      </c>
      <c r="BC439" s="542">
        <f>IF(BA439=0,0,IFERROR(BA439/IF(BB439&lt;&gt;"USD",AI439,1),"???"))</f>
        <v>63.183991408267268</v>
      </c>
      <c r="BD439" s="170">
        <f>IFERROR(-AC439/(IF(OR(AB439="USDAED",LEFT(AB439,3)=RIGHT(AB439,3)),AH439,AG439)-AE439)*BC439,0)</f>
        <v>0</v>
      </c>
      <c r="BE439" s="542">
        <f>BC439-BD439</f>
        <v>63.183991408267268</v>
      </c>
      <c r="BF439" s="170">
        <f>IF(BG439="USD",AU439,IF(BG439=S439,R439,-J439))</f>
        <v>93377.548670771212</v>
      </c>
      <c r="BG439" s="170" t="str">
        <f>LEFT(AJ439,3)</f>
        <v>USD</v>
      </c>
      <c r="BH439" s="542">
        <f>IF(OR(A439="REFUND",A439="CANCELLED"),0,IFERROR((IF(OR(AJ439="USDAED",LEFT(AJ439,3)=RIGHT(AJ439,3)),AQ439,AO439)-AM439)*-BF439*VLOOKUP(AJ439,'FX RATES'!$H$1:$J$26,3,FALSE),0))</f>
        <v>952.45099644163702</v>
      </c>
      <c r="BI439" s="170" t="str">
        <f>RIGHT(AJ439,3)</f>
        <v>RUB</v>
      </c>
      <c r="BJ439" s="542">
        <f>IF(BH439=0,0,IFERROR(BH439/IF(BI439&lt;&gt;"USD",AQ439,1),"???"))</f>
        <v>12.38557862732948</v>
      </c>
      <c r="BK439" s="170">
        <f>IFERROR(-AK439/(IF(OR(AJ439="USDAED",LEFT(AJ439,3)=RIGHT(AJ439,3)),AP439,AO439)-AM439)*BJ439,0)</f>
        <v>0</v>
      </c>
      <c r="BL439" s="542">
        <f>BJ439-BK439</f>
        <v>12.38557862732948</v>
      </c>
      <c r="BM439" s="170">
        <f>IF(AND(ISERROR(SEARCH("REFUND",A439)),ISERROR(SEARCH("CANCELLED",A439))),BD439+BK439,0)</f>
        <v>0</v>
      </c>
      <c r="BN439" s="542">
        <f>IF(AND(ISERROR(SEARCH("REFUND",A439)),ISERROR(SEARCH("CANCELLED",A439))),BE439+BL439,0)</f>
        <v>75.56957003559674</v>
      </c>
    </row>
    <row r="440" spans="1:66" ht="19.5" customHeight="1">
      <c r="A440" s="167" t="s">
        <v>366</v>
      </c>
      <c r="B440" s="168" t="s">
        <v>39</v>
      </c>
      <c r="C440" s="168" t="s">
        <v>383</v>
      </c>
      <c r="D440" s="168" t="s">
        <v>128</v>
      </c>
      <c r="E440" s="171">
        <v>46058</v>
      </c>
      <c r="F440" s="171"/>
      <c r="G440" s="168" t="s">
        <v>39</v>
      </c>
      <c r="H440" s="168" t="s">
        <v>384</v>
      </c>
      <c r="I440" s="169">
        <v>-7181000</v>
      </c>
      <c r="J440" s="170">
        <f>IF(I440="",AR440,I440)</f>
        <v>-7181000</v>
      </c>
      <c r="K440" s="168" t="s">
        <v>9</v>
      </c>
      <c r="L440" s="171" t="s">
        <v>374</v>
      </c>
      <c r="M440" s="168" t="s">
        <v>374</v>
      </c>
      <c r="N440" s="167" t="s">
        <v>371</v>
      </c>
      <c r="O440" s="168" t="s">
        <v>39</v>
      </c>
      <c r="P440" s="349" t="s">
        <v>384</v>
      </c>
      <c r="Q440" s="169"/>
      <c r="R440" s="170">
        <f>IF(Q440="",AS440,Q440)</f>
        <v>343917.62452107284</v>
      </c>
      <c r="S440" s="168" t="s">
        <v>8</v>
      </c>
      <c r="T440" s="171" t="s">
        <v>385</v>
      </c>
      <c r="U440" s="168" t="s">
        <v>20</v>
      </c>
      <c r="V440" s="167" t="s">
        <v>371</v>
      </c>
      <c r="W440" s="172" t="s">
        <v>382</v>
      </c>
      <c r="X440" s="173">
        <f>IF(Y440="",VLOOKUP(H440,CLIENTS!$A$1:$O$649,5,FALSE),Y440)</f>
        <v>0</v>
      </c>
      <c r="Y440" s="174">
        <v>0</v>
      </c>
      <c r="Z440" s="173">
        <f>IF(AA440="",VLOOKUP(P440,CLIENTS!$A$1:$O$649,5,FALSE),AA440)</f>
        <v>0</v>
      </c>
      <c r="AA440" s="174">
        <v>0</v>
      </c>
      <c r="AB440" s="173" t="str">
        <f>IF(W440="via USD",IF(K440="EUR",K440&amp;"USD","USD"&amp;K440),IFERROR(VLOOKUP(K440&amp;S440,'FX RATES'!$H$2:$H$20,1,FALSE),S440&amp;K440))</f>
        <v>AEDRUB</v>
      </c>
      <c r="AC440" s="175">
        <f>IF(LEFT(AB440,3)=RIGHT(AB440,3),0,IFERROR(INDEX(CLIENTS!$A$1:$O$649,MATCH(H440,CLIENTS!$A$1:$A$649,0),MATCH(AB440,CLIENTS!$A$1:$O$1,0)),0))</f>
        <v>0</v>
      </c>
      <c r="AD440" s="176">
        <v>20.88</v>
      </c>
      <c r="AE440" s="177">
        <f>IF(W440="CLIENT","",IF(AD440="",AH440+AC440,AD440+AC440))</f>
        <v>20.88</v>
      </c>
      <c r="AF440" s="177" t="str">
        <f>E440&amp;AB440</f>
        <v>46058AEDRUB</v>
      </c>
      <c r="AG440" s="176">
        <v>20.939399999999999</v>
      </c>
      <c r="AH440" s="178">
        <f ca="1">IF(LEFT(AB440,3)=RIGHT(AB440,3),1,VLOOKUP(AB440,'FX RATES'!$H$1:$I$20,2,FALSE))</f>
        <v>20.8843</v>
      </c>
      <c r="AI440" s="178">
        <f>IF(OR(AB440="USDAED",LEFT(AB440,3)=RIGHT(AB440,3)),AH440,IF(LEFT(AB440)="USD",AG440,IF(RIGHT(AB440,3)="USD",1,IFERROR(VLOOKUP(E440&amp;"USD"&amp;RIGHT(AB440,3),$AF:$AG,2,FALSE),VLOOKUP(E440&amp;"USD"&amp;RIGHT(AJ440,3),$AN:$AO,2,FALSE)))))</f>
        <v>76.900000000000006</v>
      </c>
      <c r="AJ440" s="173" t="str">
        <f>IF(W440="via USD",IF(S440="EUR",S440&amp;"USD","USD"&amp;S440),IFERROR(VLOOKUP(K440&amp;S440,'FX RATES'!$H$2:$H$20,1,FALSE),S440&amp;K440))</f>
        <v>AEDRUB</v>
      </c>
      <c r="AK440" s="175">
        <f>IF(LEFT(AJ440,3)=RIGHT(AJ440,3),0,IFERROR(INDEX(CLIENTS!$A$1:$O$649,MATCH(P440,CLIENTS!$A$1:$A$649,0),MATCH(AJ440,CLIENTS!$A$1:$O$1,0)),0))</f>
        <v>0</v>
      </c>
      <c r="AL440" s="176"/>
      <c r="AM440" s="177" t="str">
        <f>IF(W440="VENDOR","",IF(AL440="",AP440+AK440,AL440+AK440))</f>
        <v/>
      </c>
      <c r="AN440" s="177" t="str">
        <f>E440&amp;AJ440</f>
        <v>46058AEDRUB</v>
      </c>
      <c r="AO440" s="176"/>
      <c r="AP440" s="178">
        <f ca="1">IF(LEFT(AJ440,3)=RIGHT(AJ440,3),1,VLOOKUP(AJ440,'FX RATES'!$H$1:$I$20,2,FALSE))</f>
        <v>20.8843</v>
      </c>
      <c r="AQ440" s="178">
        <f>IF(OR(AJ440="USDAED",LEFT(AJ440,3)=RIGHT(AJ440,3)),AP440,IF(LEFT(AJ440)="USD",AO440,IF(RIGHT(AJ440,3)="USD",1,IFERROR(VLOOKUP(E440&amp;"USD"&amp;RIGHT(AJ440,3),$AN:$AO,2,FALSE),VLOOKUP(E440&amp;"USD"&amp;RIGHT(AB440,3),$AF:$AG,2,FALSE)))))</f>
        <v>76.900000000000006</v>
      </c>
      <c r="AR440" s="179">
        <f>-Q440*(1-Z440)/(1+X440)*IF(W440="CLIENT",IF(S440=RIGHT(AJ440,3),1/AM440,AM440),IF(W440="VENDOR",IF(S440=RIGHT(AJ440,3),1/AE440,AE440),AE440^(VLOOKUP(AB440,'FX RATES'!$H$1:$J$26,3,FALSE))/AM440^(VLOOKUP(AJ440,'FX RATES'!$H$1:$J$26,3,FALSE))))</f>
        <v>0</v>
      </c>
      <c r="AS440" s="179">
        <f>-I440*(1+X440)/(1-Z440)*IF(W440="VENDOR",IF(K440=RIGHT(AB440,3),1/AE440,AE440),IF(W440="CLIENT",IF(K440=RIGHT(AB440,3),1/AM440,AM440),AM440^(VLOOKUP(AJ440,'FX RATES'!$H$1:$J$26,3,FALSE))/AE440^(VLOOKUP(AB440,'FX RATES'!$H$1:$J$26,3,FALSE))))</f>
        <v>343917.62452107284</v>
      </c>
      <c r="AT440" s="170">
        <f ca="1">IF(AB440&lt;&gt;AJ440,J440/IF(K440=RIGHT(AB440,3),AE440,1/AE440),IF(S440="USD",J440/IF(K440=RIGHT(AB440,3),IF(W440="CLIENT",AM440,AE440),1/IF(W440="CLIENT",AM440,AE440)),J440*VLOOKUP(K440,'FX RATES'!$E$1:$F$10,2,FALSE)))</f>
        <v>-93599.494268155191</v>
      </c>
      <c r="AU440" s="170">
        <f ca="1">IF(AB440&lt;&gt;AJ440,R440/IF(S440=RIGHT(AJ440,3),AM440,1/AM440),IF(K440="USD",R440/IF(S440=RIGHT(AJ440,3),IF(W440="CLIENT",AM440,AE440),1/IF(W440="CLIENT",AM440,AE440)),R440*VLOOKUP(S440,'FX RATES'!$E$1:$F$10,2,FALSE)))</f>
        <v>93644.182465030986</v>
      </c>
      <c r="AV440" s="170">
        <f ca="1">AT440+AU440</f>
        <v>44.688196875795256</v>
      </c>
      <c r="AW440" s="169"/>
      <c r="AX440" s="170">
        <f ca="1">IF(AND(ISERROR(SEARCH("INVOICE",T440)),ISERROR(SEARCH("SWITCH",T440)),ISERROR(SEARCH("FOREX",T440)),ISERROR(SEARCH("REFUND",A440)),ISERROR(SEARCH("CANCELLED",A440))),IF(AW440="",-AT440*X440+AU440*Z440,AW440),0)</f>
        <v>0</v>
      </c>
      <c r="AY440" s="170">
        <f>IF(AZ440="USD",AT440,IF(AZ440=K440,J440,-R440))</f>
        <v>-343917.62452107284</v>
      </c>
      <c r="AZ440" s="170" t="str">
        <f>LEFT(AB440,3)</f>
        <v>AED</v>
      </c>
      <c r="BA440" s="542">
        <f>IF(OR(A440="REFUND",A440="CANCELLED"),0,IFERROR((IF(OR(AB440="USDAED",LEFT(AB440,3)=RIGHT(AB440,3)),AI440,AG440)-AE440)*-AY440*VLOOKUP(AB440,'FX RATES'!$H$1:$J$26,3,FALSE),0))</f>
        <v>20428.706896551768</v>
      </c>
      <c r="BB440" s="170" t="str">
        <f>RIGHT(AB440,3)</f>
        <v>RUB</v>
      </c>
      <c r="BC440" s="542">
        <f>IF(BA440=0,0,IFERROR(BA440/IF(BB440&lt;&gt;"USD",AI440,1),"???"))</f>
        <v>265.65288552082922</v>
      </c>
      <c r="BD440" s="170">
        <f>IFERROR(-AC440/(IF(OR(AB440="USDAED",LEFT(AB440,3)=RIGHT(AB440,3)),AH440,AG440)-AE440)*BC440,0)</f>
        <v>0</v>
      </c>
      <c r="BE440" s="542">
        <f>BC440-BD440</f>
        <v>265.65288552082922</v>
      </c>
      <c r="BF440" s="170">
        <f>IF(BG440="USD",AU440,IF(BG440=S440,R440,-J440))</f>
        <v>343917.62452107284</v>
      </c>
      <c r="BG440" s="170" t="str">
        <f>LEFT(AJ440,3)</f>
        <v>AED</v>
      </c>
      <c r="BH440" s="542">
        <f>IF(OR(A440="REFUND",A440="CANCELLED"),0,IFERROR((IF(OR(AJ440="USDAED",LEFT(AJ440,3)=RIGHT(AJ440,3)),AQ440,AO440)-AM440)*-BF440*VLOOKUP(AJ440,'FX RATES'!$H$1:$J$26,3,FALSE),0))</f>
        <v>0</v>
      </c>
      <c r="BI440" s="170" t="str">
        <f>RIGHT(AJ440,3)</f>
        <v>RUB</v>
      </c>
      <c r="BJ440" s="542">
        <f>IF(BH440=0,0,IFERROR(BH440/IF(BI440&lt;&gt;"USD",AQ440,1),"???"))</f>
        <v>0</v>
      </c>
      <c r="BK440" s="170">
        <f>IFERROR(-AK440/(IF(OR(AJ440="USDAED",LEFT(AJ440,3)=RIGHT(AJ440,3)),AP440,AO440)-AM440)*BJ440,0)</f>
        <v>0</v>
      </c>
      <c r="BL440" s="542">
        <f>BJ440-BK440</f>
        <v>0</v>
      </c>
      <c r="BM440" s="170">
        <f>IF(AND(ISERROR(SEARCH("REFUND",A440)),ISERROR(SEARCH("CANCELLED",A440))),BD440+BK440,0)</f>
        <v>0</v>
      </c>
      <c r="BN440" s="542">
        <f>IF(AND(ISERROR(SEARCH("REFUND",A440)),ISERROR(SEARCH("CANCELLED",A440))),BE440+BL440,0)</f>
        <v>265.65288552082922</v>
      </c>
    </row>
    <row r="441" spans="1:66" ht="19.5" customHeight="1">
      <c r="A441" s="167"/>
      <c r="B441" s="182"/>
      <c r="C441" s="182"/>
      <c r="D441" s="182"/>
      <c r="E441" s="184"/>
      <c r="F441" s="184"/>
      <c r="G441" s="182"/>
      <c r="H441" s="182"/>
      <c r="I441" s="170"/>
      <c r="J441" s="170"/>
      <c r="K441" s="182"/>
      <c r="L441" s="184"/>
      <c r="M441" s="182"/>
      <c r="O441" s="182"/>
      <c r="P441" s="444"/>
      <c r="Q441" s="170"/>
      <c r="R441" s="170"/>
      <c r="S441" s="182"/>
      <c r="T441" s="184"/>
      <c r="U441" s="182"/>
      <c r="X441" s="173"/>
      <c r="Y441" s="173"/>
      <c r="Z441" s="173"/>
      <c r="AA441" s="173"/>
      <c r="AB441" s="173"/>
      <c r="AC441" s="175"/>
      <c r="AD441" s="177"/>
      <c r="AE441" s="177"/>
      <c r="AF441" s="177"/>
      <c r="AG441" s="177"/>
      <c r="AH441" s="178"/>
      <c r="AI441" s="178"/>
      <c r="AJ441" s="173"/>
      <c r="AK441" s="175"/>
      <c r="AL441" s="177"/>
      <c r="AM441" s="177"/>
      <c r="AN441" s="177"/>
      <c r="AO441" s="177"/>
      <c r="AP441" s="178"/>
      <c r="AQ441" s="178"/>
      <c r="AR441" s="185"/>
      <c r="AS441" s="185"/>
      <c r="AT441" s="170"/>
      <c r="AU441" s="170"/>
      <c r="AV441" s="170"/>
      <c r="AW441" s="170"/>
      <c r="AX441" s="170"/>
      <c r="AY441" s="170"/>
      <c r="AZ441" s="170"/>
      <c r="BA441" s="542"/>
      <c r="BB441" s="170"/>
      <c r="BC441" s="542"/>
      <c r="BD441" s="170"/>
      <c r="BE441" s="542"/>
      <c r="BF441" s="170"/>
      <c r="BG441" s="170"/>
      <c r="BH441" s="542"/>
      <c r="BI441" s="170"/>
      <c r="BJ441" s="542"/>
      <c r="BK441" s="170"/>
      <c r="BL441" s="542"/>
      <c r="BM441" s="170"/>
      <c r="BN441" s="542"/>
    </row>
    <row r="442" spans="1:66" ht="19.5" customHeight="1">
      <c r="A442" s="167" t="s">
        <v>516</v>
      </c>
      <c r="B442" s="168" t="s">
        <v>102</v>
      </c>
      <c r="C442" s="168" t="s">
        <v>367</v>
      </c>
      <c r="D442" s="168" t="s">
        <v>451</v>
      </c>
      <c r="E442" s="171">
        <v>46058</v>
      </c>
      <c r="F442" s="171"/>
      <c r="G442" s="168" t="s">
        <v>102</v>
      </c>
      <c r="H442" s="168" t="s">
        <v>593</v>
      </c>
      <c r="I442" s="169">
        <v>-25270</v>
      </c>
      <c r="J442" s="170">
        <f>IF(I442="",AR442,I442)</f>
        <v>-25270</v>
      </c>
      <c r="K442" s="168" t="s">
        <v>7</v>
      </c>
      <c r="L442" s="168" t="s">
        <v>594</v>
      </c>
      <c r="M442" s="168" t="s">
        <v>420</v>
      </c>
      <c r="N442" s="167" t="s">
        <v>556</v>
      </c>
      <c r="O442" s="168" t="s">
        <v>52</v>
      </c>
      <c r="P442" s="168" t="s">
        <v>595</v>
      </c>
      <c r="Q442" s="169">
        <v>307085.92</v>
      </c>
      <c r="R442" s="170">
        <f>IF(Q442="",AS442,Q442)</f>
        <v>307085.92</v>
      </c>
      <c r="S442" s="168" t="s">
        <v>9</v>
      </c>
      <c r="T442" s="171" t="s">
        <v>502</v>
      </c>
      <c r="U442" s="171" t="s">
        <v>374</v>
      </c>
      <c r="V442" s="167" t="s">
        <v>556</v>
      </c>
      <c r="W442" s="172" t="s">
        <v>375</v>
      </c>
      <c r="X442" s="173">
        <f>IF(Y442="",VLOOKUP(H442,CLIENTS!$A$1:$O$649,5,FALSE),Y442)</f>
        <v>7.1848041155520695E-2</v>
      </c>
      <c r="Y442" s="174">
        <v>7.1848041155520695E-2</v>
      </c>
      <c r="Z442" s="173">
        <f>IF(AA442="",VLOOKUP(P442,CLIENTS!$A$1:$O$649,5,FALSE),AA442)</f>
        <v>0</v>
      </c>
      <c r="AA442" s="174">
        <v>0</v>
      </c>
      <c r="AB442" s="173" t="str">
        <f>IF(W442="via USD",IF(K442="EUR",K442&amp;"USD","USD"&amp;K442),IFERROR(VLOOKUP(K442&amp;S442,'FX RATES'!$H$2:$H$20,1,FALSE),S442&amp;K442))</f>
        <v>USDCNY</v>
      </c>
      <c r="AC442" s="175">
        <f>IF(LEFT(AB442,3)=RIGHT(AB442,3),0,IFERROR(INDEX(CLIENTS!$A$1:$O$649,MATCH(H442,CLIENTS!$A$1:$A$649,0),MATCH(AB442,CLIENTS!$A$1:$O$1,0)),0))</f>
        <v>0</v>
      </c>
      <c r="AD442" s="176">
        <v>6.7845000000000004</v>
      </c>
      <c r="AE442" s="177">
        <f>IF(W442="CLIENT","",IF(AD442="",AH442+AC442,AD442+AC442))</f>
        <v>6.7845000000000004</v>
      </c>
      <c r="AF442" s="177" t="str">
        <f>E442&amp;AB442</f>
        <v>46058USDCNY</v>
      </c>
      <c r="AG442" s="176">
        <v>6.915</v>
      </c>
      <c r="AH442" s="178">
        <f ca="1">IF(LEFT(AB442,3)=RIGHT(AB442,3),1,VLOOKUP(AB442,'FX RATES'!$H$1:$I$20,2,FALSE))</f>
        <v>6.9080000000000004</v>
      </c>
      <c r="AI442" s="178">
        <f>IF(OR(AB442="USDAED",LEFT(AB442,3)=RIGHT(AB442,3)),AH442,IF(LEFT(AB442)="USD",AG442,IF(RIGHT(AB442,3)="USD",1,IFERROR(VLOOKUP(E442&amp;"USD"&amp;RIGHT(AB442,3),$AF:$AG,2,FALSE),VLOOKUP(E442&amp;"USD"&amp;RIGHT(AJ442,3),$AN:$AO,2,FALSE)))))</f>
        <v>6.915</v>
      </c>
      <c r="AJ442" s="173" t="str">
        <f>IF(W442="via USD",IF(S442="EUR",S442&amp;"USD","USD"&amp;S442),IFERROR(VLOOKUP(K442&amp;S442,'FX RATES'!$H$2:$H$20,1,FALSE),S442&amp;K442))</f>
        <v>USDRUB</v>
      </c>
      <c r="AK442" s="175">
        <f>IF(LEFT(AJ442,3)=RIGHT(AJ442,3),0,IFERROR(INDEX(CLIENTS!$A$1:$O$649,MATCH(P442,CLIENTS!$A$1:$A$649,0),MATCH(AJ442,CLIENTS!$A$1:$O$1,0)),0))</f>
        <v>0</v>
      </c>
      <c r="AL442" s="176">
        <v>76.92</v>
      </c>
      <c r="AM442" s="177">
        <f>IF(W442="VENDOR","",IF(AL442="",AP442+AK442,AL442+AK442))</f>
        <v>76.92</v>
      </c>
      <c r="AN442" s="177" t="str">
        <f>E442&amp;AJ442</f>
        <v>46058USDRUB</v>
      </c>
      <c r="AO442" s="176">
        <v>76.900000000000006</v>
      </c>
      <c r="AP442" s="178">
        <f ca="1">IF(LEFT(AJ442,3)=RIGHT(AJ442,3),1,VLOOKUP(AJ442,'FX RATES'!$H$1:$I$20,2,FALSE))</f>
        <v>76.720500000000001</v>
      </c>
      <c r="AQ442" s="178">
        <f>IF(OR(AJ442="USDAED",LEFT(AJ442,3)=RIGHT(AJ442,3)),AP442,IF(LEFT(AJ442)="USD",AO442,IF(RIGHT(AJ442,3)="USD",1,IFERROR(VLOOKUP(E442&amp;"USD"&amp;RIGHT(AJ442,3),$AN:$AO,2,FALSE),VLOOKUP(E442&amp;"USD"&amp;RIGHT(AB442,3),$AF:$AG,2,FALSE)))))</f>
        <v>76.900000000000006</v>
      </c>
      <c r="AR442" s="179">
        <f>-Q442*(1-Z442)/(1+X442)*IF(W442="CLIENT",IF(S442=RIGHT(AJ442,3),1/AM442,AM442),IF(W442="VENDOR",IF(S442=RIGHT(AJ442,3),1/AE442,AE442),AE442^(VLOOKUP(AB442,'FX RATES'!$H$1:$J$26,3,FALSE))/AM442^(VLOOKUP(AJ442,'FX RATES'!$H$1:$J$26,3,FALSE))))</f>
        <v>-25270.000876204016</v>
      </c>
      <c r="AS442" s="179">
        <f>-I442*(1+X442)/(1-Z442)*IF(W442="VENDOR",IF(K442=RIGHT(AB442,3),1/AE442,AE442),IF(W442="CLIENT",IF(K442=RIGHT(AB442,3),1/AM442,AM442),AM442^(VLOOKUP(AJ442,'FX RATES'!$H$1:$J$26,3,FALSE))/AE442^(VLOOKUP(AB442,'FX RATES'!$H$1:$J$26,3,FALSE))))</f>
        <v>307085.90935219993</v>
      </c>
      <c r="AT442" s="170">
        <f>IF(AB442&lt;&gt;AJ442,J442/IF(K442=RIGHT(AB442,3),AE442,1/AE442),IF(S442="USD",J442/IF(K442=RIGHT(AB442,3),IF(W442="CLIENT",AM442,AE442),1/IF(W442="CLIENT",AM442,AE442)),J442*VLOOKUP(K442,'FX RATES'!$E$1:$F$10,2,FALSE)))</f>
        <v>-3724.6665192718697</v>
      </c>
      <c r="AU442" s="170">
        <f>IF(AB442&lt;&gt;AJ442,R442/IF(S442=RIGHT(AJ442,3),AM442,1/AM442),IF(K442="USD",R442/IF(S442=RIGHT(AJ442,3),IF(W442="CLIENT",AM442,AE442),1/IF(W442="CLIENT",AM442,AE442)),R442*VLOOKUP(S442,'FX RATES'!$E$1:$F$10,2,FALSE)))</f>
        <v>3992.2766510660422</v>
      </c>
      <c r="AV442" s="170">
        <f>AT442+AU442</f>
        <v>267.6101317941725</v>
      </c>
      <c r="AW442" s="169"/>
      <c r="AX442" s="170">
        <f>IF(AND(ISERROR(SEARCH("INVOICE",T442)),ISERROR(SEARCH("SWITCH",T442)),ISERROR(SEARCH("FOREX",T442)),ISERROR(SEARCH("REFUND",A442)),ISERROR(SEARCH("CANCELLED",A442))),IF(AW442="",-AT442*X442+AU442*Z442,AW442),0)</f>
        <v>0</v>
      </c>
      <c r="AY442" s="170">
        <f>IF(AZ442="USD",AT442,IF(AZ442=K442,J442,-R442))</f>
        <v>-3724.6665192718697</v>
      </c>
      <c r="AZ442" s="170" t="str">
        <f>LEFT(AB442,3)</f>
        <v>USD</v>
      </c>
      <c r="BA442" s="542">
        <f>IF(OR(A442="REFUND",A442="CANCELLED"),0,IFERROR((IF(OR(AB442="USDAED",LEFT(AB442,3)=RIGHT(AB442,3)),AI442,AG442)-AE442)*-AY442*VLOOKUP(AB442,'FX RATES'!$H$1:$J$26,3,FALSE),0))</f>
        <v>486.06898076497754</v>
      </c>
      <c r="BB442" s="170" t="str">
        <f>RIGHT(AB442,3)</f>
        <v>CNY</v>
      </c>
      <c r="BC442" s="542">
        <f>IF(BA442=0,0,IFERROR(BA442/IF(BB442&lt;&gt;"USD",AI442,1),"???"))</f>
        <v>70.291971187993866</v>
      </c>
      <c r="BD442" s="170">
        <f>IFERROR(-AC442/(IF(OR(AB442="USDAED",LEFT(AB442,3)=RIGHT(AB442,3)),AH442,AG442)-AE442)*BC442,0)</f>
        <v>0</v>
      </c>
      <c r="BE442" s="542">
        <f>BC442-BD442</f>
        <v>70.291971187993866</v>
      </c>
      <c r="BF442" s="170">
        <f>IF(BG442="USD",AU442,IF(BG442=S442,R442,-J442))</f>
        <v>3992.2766510660422</v>
      </c>
      <c r="BG442" s="170" t="str">
        <f>LEFT(AJ442,3)</f>
        <v>USD</v>
      </c>
      <c r="BH442" s="542">
        <f>IF(OR(A442="REFUND",A442="CANCELLED"),0,IFERROR((IF(OR(AJ442="USDAED",LEFT(AJ442,3)=RIGHT(AJ442,3)),AQ442,AO442)-AM442)*-BF442*VLOOKUP(AJ442,'FX RATES'!$H$1:$J$26,3,FALSE),0))</f>
        <v>79.845533021304959</v>
      </c>
      <c r="BI442" s="170" t="str">
        <f>RIGHT(AJ442,3)</f>
        <v>RUB</v>
      </c>
      <c r="BJ442" s="542">
        <f>IF(BH442=0,0,IFERROR(BH442/IF(BI442&lt;&gt;"USD",AQ442,1),"???"))</f>
        <v>1.0383034203030552</v>
      </c>
      <c r="BK442" s="170">
        <f>IFERROR(-AK442/(IF(OR(AJ442="USDAED",LEFT(AJ442,3)=RIGHT(AJ442,3)),AP442,AO442)-AM442)*BJ442,0)</f>
        <v>0</v>
      </c>
      <c r="BL442" s="542">
        <f>BJ442-BK442</f>
        <v>1.0383034203030552</v>
      </c>
      <c r="BM442" s="170">
        <f>IF(AND(ISERROR(SEARCH("REFUND",A442)),ISERROR(SEARCH("CANCELLED",A442))),BD442+BK442,0)</f>
        <v>0</v>
      </c>
      <c r="BN442" s="542">
        <f>IF(AND(ISERROR(SEARCH("REFUND",A442)),ISERROR(SEARCH("CANCELLED",A442))),BE442+BL442,0)</f>
        <v>0</v>
      </c>
    </row>
    <row r="443" spans="1:66" ht="19.5" customHeight="1">
      <c r="A443" s="167" t="s">
        <v>516</v>
      </c>
      <c r="B443" s="172" t="s">
        <v>102</v>
      </c>
      <c r="C443" s="172" t="s">
        <v>102</v>
      </c>
      <c r="D443" s="172" t="s">
        <v>451</v>
      </c>
      <c r="E443" s="171">
        <v>46058</v>
      </c>
      <c r="F443" s="171"/>
      <c r="G443" s="172" t="s">
        <v>102</v>
      </c>
      <c r="H443" s="172" t="s">
        <v>104</v>
      </c>
      <c r="I443" s="169"/>
      <c r="J443" s="170">
        <f>IF(I443="",AR443,I443)</f>
        <v>-3668.9920462762116</v>
      </c>
      <c r="K443" s="172" t="s">
        <v>53</v>
      </c>
      <c r="L443" s="172" t="s">
        <v>420</v>
      </c>
      <c r="M443" s="172" t="s">
        <v>54</v>
      </c>
      <c r="N443" s="167" t="s">
        <v>556</v>
      </c>
      <c r="O443" s="172" t="s">
        <v>102</v>
      </c>
      <c r="P443" s="172" t="s">
        <v>104</v>
      </c>
      <c r="Q443" s="169">
        <f>-J442</f>
        <v>25270</v>
      </c>
      <c r="R443" s="170">
        <f>IF(Q443="",AS443,Q443)</f>
        <v>25270</v>
      </c>
      <c r="S443" s="172" t="s">
        <v>7</v>
      </c>
      <c r="T443" s="171" t="s">
        <v>420</v>
      </c>
      <c r="U443" s="172" t="s">
        <v>54</v>
      </c>
      <c r="V443" s="167" t="s">
        <v>556</v>
      </c>
      <c r="W443" s="172" t="s">
        <v>375</v>
      </c>
      <c r="X443" s="173">
        <f>IF(Y443="",VLOOKUP(H443,CLIENTS!$A$1:$O$649,5,FALSE),Y443)</f>
        <v>0</v>
      </c>
      <c r="Y443" s="174">
        <v>0</v>
      </c>
      <c r="Z443" s="173">
        <f>IF(AA443="",VLOOKUP(P443,CLIENTS!$A$1:$O$649,5,FALSE),AA443)</f>
        <v>-4.0000000000000001E-3</v>
      </c>
      <c r="AA443" s="174">
        <v>-4.0000000000000001E-3</v>
      </c>
      <c r="AB443" s="173" t="str">
        <f>IF(W443="via USD",IF(K443="EUR",K443&amp;"USD","USD"&amp;K443),IFERROR(VLOOKUP(K443&amp;S443,'FX RATES'!$H$2:$H$55,1,FALSE),S443&amp;K443))</f>
        <v>USDUSDT</v>
      </c>
      <c r="AC443" s="175">
        <f>IF(LEFT(AB443,3)=RIGHT(AB443,3),0,IFERROR(INDEX(CLIENTS!$A$1:$O$649,MATCH(H443,CLIENTS!$A$1:$A$649,0),MATCH(AB443,CLIENTS!$A$1:$O$1,0)),0))</f>
        <v>0</v>
      </c>
      <c r="AD443" s="176"/>
      <c r="AE443" s="177">
        <f>IF(W443="CLIENT","",IF(AD443="",AH443+AC443,AD443+AC443))</f>
        <v>1</v>
      </c>
      <c r="AF443" s="177" t="str">
        <f>E443&amp;AB443</f>
        <v>46058USDUSDT</v>
      </c>
      <c r="AG443" s="176">
        <v>1</v>
      </c>
      <c r="AH443" s="178">
        <f>IF(OR(LEFT(AB443,3)=RIGHT(AB443,3),OR(AB443="USDUSDT",AB443="USDTUSD")),1,VLOOKUP(AB443,'FX RATES'!$H$1:$I$20,2,FALSE))</f>
        <v>1</v>
      </c>
      <c r="AI443" s="178">
        <f>IF(OR(AB443="USDAED",LEFT(AB443,3)=RIGHT(AB443,3)),AH443,IF(LEFT(AB443)="USD",AG443,IF(OR(RIGHT(AB443,3)="USD",RIGHT(AB443,4)="USDT"),1,IFERROR(VLOOKUP(E443&amp;"USD"&amp;RIGHT(AB443,3),$AF:$AG,2,FALSE),VLOOKUP(E443&amp;"USD"&amp;RIGHT(AJ443,3),$AN:$AO,2,FALSE)))))</f>
        <v>1</v>
      </c>
      <c r="AJ443" s="173" t="str">
        <f>IF(W443="via USD",IF(S443="EUR",S443&amp;"USD","USD"&amp;S443),IFERROR(VLOOKUP(K443&amp;S443,'FX RATES'!$H$2:$H$20,1,FALSE),S443&amp;K443))</f>
        <v>USDCNY</v>
      </c>
      <c r="AK443" s="175">
        <f>IF(LEFT(AJ443,3)=RIGHT(AJ443,3),0,IFERROR(INDEX(CLIENTS!$A$1:$O$649,MATCH(P443,CLIENTS!$A$1:$A$649,0),MATCH(AJ443,CLIENTS!$A$1:$O$1,0)),0))</f>
        <v>0</v>
      </c>
      <c r="AL443" s="176">
        <v>6.915</v>
      </c>
      <c r="AM443" s="177">
        <f>IF(W443="VENDOR","",IF(AL443="",AP443+AK443,AL443+AK443))</f>
        <v>6.915</v>
      </c>
      <c r="AN443" s="177" t="str">
        <f>E443&amp;AJ443</f>
        <v>46058USDCNY</v>
      </c>
      <c r="AO443" s="176">
        <v>6.915</v>
      </c>
      <c r="AP443" s="178">
        <f ca="1">IF(OR(LEFT(AJ443,3)=RIGHT(AJ443,3),AND(OR(AB443="USDUSDT",AB443="USDTUSD"),OR(AJ443="USDUSDT",AJ443="USDTUSD"))),1,VLOOKUP(AJ443,'FX RATES'!$H$1:$I$20,2,FALSE))</f>
        <v>6.9080000000000004</v>
      </c>
      <c r="AQ443" s="178">
        <f>IF(OR(AJ443="USDAED",LEFT(AJ443,3)=RIGHT(AJ443,3)),AP443,IF(LEFT(AJ443)="USD",AO443,IF(OR(RIGHT(AB443,3)="USD",RIGHT(AB443,4)="USDT"),1,IFERROR(VLOOKUP(E443&amp;"USD"&amp;RIGHT(AJ443,3),$AN:$AO,2,FALSE),VLOOKUP(E443&amp;"USD"&amp;RIGHT(AB443,3),$AF:$AG,2,FALSE)))))</f>
        <v>1</v>
      </c>
      <c r="AR443" s="179">
        <f>-Q443*(1-Z443)/(1+X443)*IF(W443="CLIENT",IF(S443=RIGHT(AJ443,3),1/AM443,AM443),IF(W443="VENDOR",IF(S443=RIGHT(AJ443,3),1/AE443,AE443),AE443^(VLOOKUP(AB443,'FX RATES'!$H$1:$J$26,3,FALSE))/AM443^(VLOOKUP(AJ443,'FX RATES'!$H$1:$J$26,3,FALSE))))</f>
        <v>-3668.9920462762116</v>
      </c>
      <c r="AS443" s="179">
        <f>-I443*(1+X443)/(1-Z443)*IF(W443="VENDOR",IF(K443=RIGHT(AB443,3),1/AE443,AE443),IF(W443="CLIENT",IF(K443=RIGHT(AB443,3),1/AM443,AM443),AM443^(VLOOKUP(AJ443,'FX RATES'!$H$1:$J$26,3,FALSE))/AE443^(VLOOKUP(AB443,'FX RATES'!$H$1:$J$26,3,FALSE))))</f>
        <v>0</v>
      </c>
      <c r="AT443" s="170">
        <f>IF(AB443&lt;&gt;AJ443,J443/IF(K443=RIGHT(AB443,3),AE443,1/AE443),IF(S443="USD",J443/IF(K443=RIGHT(AB443,3),IF(W443="CLIENT",AM443,AE443),1/IF(W443="CLIENT",AM443,AE443)),J443*VLOOKUP(K443,'FX RATES'!$E$1:$F$10,2,FALSE)))</f>
        <v>-3668.9920462762116</v>
      </c>
      <c r="AU443" s="170">
        <f>IF(AB443&lt;&gt;AJ443,R443/IF(S443=RIGHT(AJ443,3),AM443,1/AM443),IF(K443="USD",R443/IF(S443=RIGHT(AJ443,3),IF(W443="CLIENT",AM443,AE443),1/IF(W443="CLIENT",AM443,AE443)),R443*VLOOKUP(S443,'FX RATES'!$E$1:$F$10,2,FALSE)))</f>
        <v>3654.3745480838757</v>
      </c>
      <c r="AV443" s="170">
        <f>AT443+AU443</f>
        <v>-14.617498192335916</v>
      </c>
      <c r="AW443" s="169"/>
      <c r="AX443" s="170">
        <f>IF(AND(ISERROR(SEARCH("INVOICE",T443)),ISERROR(SEARCH("SWITCH",T443)),ISERROR(SEARCH("FOREX",T443)),ISERROR(SEARCH("REFUND",A443)),ISERROR(SEARCH("CANCELLED",A443))),IF(AW443="",-AT443*X443+AU443*Z443,AW443),0)</f>
        <v>0</v>
      </c>
      <c r="AY443" s="170">
        <f>IF(AZ443="USD",AT443,IF(AZ443=K443,J443,-R443))</f>
        <v>-3668.9920462762116</v>
      </c>
      <c r="AZ443" s="170" t="str">
        <f>LEFT(AB443,3)</f>
        <v>USD</v>
      </c>
      <c r="BA443" s="542">
        <f>IF(OR(A443="REFUND",A443="CANCELLED"),0,IFERROR((IF(OR(AB443="USDAED",LEFT(AB443,3)=RIGHT(AB443,3)),AI443,AG443)-AE443)*-AY443*VLOOKUP(AB443,'FX RATES'!$H$1:$J$26,3,FALSE),0))</f>
        <v>0</v>
      </c>
      <c r="BB443" s="170" t="str">
        <f>RIGHT(AB443,4)</f>
        <v>USDT</v>
      </c>
      <c r="BC443" s="542">
        <f>IF(BA443=0,0,IFERROR(BA443/IF(BB443&lt;&gt;"USD",AI443,1),"???"))</f>
        <v>0</v>
      </c>
      <c r="BD443" s="170">
        <f>IFERROR(-AC443/(IF(OR(AB443="USDAED",LEFT(AB443,3)=RIGHT(AB443,3)),AH443,AG443)-AE443)*BC443,0)</f>
        <v>0</v>
      </c>
      <c r="BE443" s="542">
        <f>BC443-BD443</f>
        <v>0</v>
      </c>
      <c r="BF443" s="170">
        <f>IF(BG443="USD",AU443,IF(BG443=S443,R443,-J443))</f>
        <v>3654.3745480838757</v>
      </c>
      <c r="BG443" s="170" t="str">
        <f>LEFT(AJ443,3)</f>
        <v>USD</v>
      </c>
      <c r="BH443" s="542">
        <f>IF(OR(A443="REFUND",A443="CANCELLED"),0,IFERROR((IF(OR(AJ443="USDAED",LEFT(AJ443,3)=RIGHT(AJ443,3)),AQ443,AO443)-AM443)*-BF443*VLOOKUP(AJ443,'FX RATES'!$H$1:$J$26,3,FALSE),0))</f>
        <v>0</v>
      </c>
      <c r="BI443" s="170" t="str">
        <f>RIGHT(AJ443,3)</f>
        <v>CNY</v>
      </c>
      <c r="BJ443" s="542">
        <f>IF(BH443=0,0,IFERROR(BH443/IF(BI443&lt;&gt;"USD",AQ443,1),"???"))</f>
        <v>0</v>
      </c>
      <c r="BK443" s="170">
        <f>IFERROR(-AK443/(IF(OR(AJ443="USDAED",LEFT(AJ443,3)=RIGHT(AJ443,3)),AP443,AO443)-AM443)*BJ443,0)</f>
        <v>0</v>
      </c>
      <c r="BL443" s="542">
        <f>BJ443-BK443</f>
        <v>0</v>
      </c>
      <c r="BM443" s="170">
        <f>IF(AND(ISERROR(SEARCH("REFUND",A443)),ISERROR(SEARCH("CANCELLED",A443))),BD443+BK443,0)</f>
        <v>0</v>
      </c>
      <c r="BN443" s="542">
        <f>IF(AND(ISERROR(SEARCH("REFUND",A443)),ISERROR(SEARCH("CANCELLED",A443))),BE443+BL443,0)</f>
        <v>0</v>
      </c>
    </row>
    <row r="444" spans="1:66" ht="19.5" customHeight="1">
      <c r="A444" s="167"/>
      <c r="B444" s="167"/>
      <c r="C444" s="167"/>
      <c r="D444" s="167"/>
      <c r="E444" s="184"/>
      <c r="F444" s="184"/>
      <c r="G444" s="167"/>
      <c r="H444" s="167"/>
      <c r="I444" s="170"/>
      <c r="J444" s="170"/>
      <c r="K444" s="167"/>
      <c r="L444" s="167"/>
      <c r="M444" s="167"/>
      <c r="Q444" s="170"/>
      <c r="R444" s="170"/>
      <c r="S444" s="167"/>
      <c r="T444" s="184"/>
      <c r="U444" s="167"/>
      <c r="X444" s="173"/>
      <c r="Y444" s="173"/>
      <c r="Z444" s="173"/>
      <c r="AA444" s="173"/>
      <c r="AB444" s="173"/>
      <c r="AC444" s="175"/>
      <c r="AD444" s="177"/>
      <c r="AE444" s="177"/>
      <c r="AF444" s="177"/>
      <c r="AG444" s="177"/>
      <c r="AH444" s="178"/>
      <c r="AI444" s="178"/>
      <c r="AJ444" s="173"/>
      <c r="AK444" s="175"/>
      <c r="AL444" s="177"/>
      <c r="AM444" s="177"/>
      <c r="AN444" s="177"/>
      <c r="AO444" s="177"/>
      <c r="AP444" s="178"/>
      <c r="AQ444" s="178"/>
      <c r="AR444" s="185"/>
      <c r="AS444" s="185"/>
      <c r="AT444" s="170"/>
      <c r="AU444" s="170"/>
      <c r="AV444" s="170"/>
      <c r="AW444" s="170"/>
      <c r="AX444" s="170"/>
      <c r="AY444" s="170"/>
      <c r="AZ444" s="170"/>
      <c r="BA444" s="542"/>
      <c r="BB444" s="170"/>
      <c r="BC444" s="542"/>
      <c r="BD444" s="170"/>
      <c r="BE444" s="542"/>
      <c r="BF444" s="170"/>
      <c r="BG444" s="170"/>
      <c r="BH444" s="542"/>
      <c r="BI444" s="170"/>
      <c r="BJ444" s="542"/>
      <c r="BK444" s="170"/>
      <c r="BL444" s="542"/>
      <c r="BM444" s="170"/>
      <c r="BN444" s="542"/>
    </row>
    <row r="445" spans="1:66" ht="19.5" customHeight="1">
      <c r="A445" s="167" t="s">
        <v>366</v>
      </c>
      <c r="B445" s="168" t="s">
        <v>102</v>
      </c>
      <c r="C445" s="168" t="s">
        <v>367</v>
      </c>
      <c r="D445" s="168" t="s">
        <v>451</v>
      </c>
      <c r="E445" s="171">
        <v>46058</v>
      </c>
      <c r="F445" s="171"/>
      <c r="G445" s="168" t="s">
        <v>102</v>
      </c>
      <c r="H445" s="168" t="s">
        <v>593</v>
      </c>
      <c r="I445" s="169"/>
      <c r="J445" s="170">
        <f>IF(I445="",AR445,I445)</f>
        <v>-3630.0000000000005</v>
      </c>
      <c r="K445" s="168" t="s">
        <v>5</v>
      </c>
      <c r="L445" s="168" t="s">
        <v>594</v>
      </c>
      <c r="M445" s="168" t="s">
        <v>420</v>
      </c>
      <c r="N445" s="167" t="s">
        <v>371</v>
      </c>
      <c r="O445" s="168" t="s">
        <v>52</v>
      </c>
      <c r="P445" s="168" t="s">
        <v>595</v>
      </c>
      <c r="Q445" s="169">
        <v>307085.92</v>
      </c>
      <c r="R445" s="170">
        <f>IF(Q445="",AS445,Q445)</f>
        <v>307085.92</v>
      </c>
      <c r="S445" s="168" t="s">
        <v>9</v>
      </c>
      <c r="T445" s="171" t="s">
        <v>502</v>
      </c>
      <c r="U445" s="171" t="s">
        <v>374</v>
      </c>
      <c r="V445" s="167" t="s">
        <v>371</v>
      </c>
      <c r="W445" s="172" t="s">
        <v>375</v>
      </c>
      <c r="X445" s="173">
        <f>IF(Y445="",VLOOKUP(H445,CLIENTS!$A$1:$O$649,5,FALSE),Y445)</f>
        <v>8.5686244562481098E-2</v>
      </c>
      <c r="Y445" s="174">
        <v>8.5686244562481098E-2</v>
      </c>
      <c r="Z445" s="173">
        <f>IF(AA445="",VLOOKUP(P445,CLIENTS!$A$1:$O$649,5,FALSE),AA445)</f>
        <v>0</v>
      </c>
      <c r="AA445" s="174">
        <v>0</v>
      </c>
      <c r="AB445" s="173" t="str">
        <f>IF(W445="via USD",IF(K445="EUR",K445&amp;"USD","USD"&amp;K445),IFERROR(VLOOKUP(K445&amp;S445,'FX RATES'!$H$2:$H$20,1,FALSE),S445&amp;K445))</f>
        <v>USDUSD</v>
      </c>
      <c r="AC445" s="175">
        <f>IF(LEFT(AB445,3)=RIGHT(AB445,3),0,IFERROR(INDEX(CLIENTS!$A$1:$O$649,MATCH(H445,CLIENTS!$A$1:$A$649,0),MATCH(AB445,CLIENTS!$A$1:$O$1,0)),0))</f>
        <v>0</v>
      </c>
      <c r="AD445" s="176"/>
      <c r="AE445" s="177">
        <f>IF(W445="CLIENT","",IF(AD445="",AH445+AC445,AD445+AC445))</f>
        <v>1</v>
      </c>
      <c r="AF445" s="177" t="str">
        <f>E445&amp;AB445</f>
        <v>46058USDUSD</v>
      </c>
      <c r="AG445" s="176"/>
      <c r="AH445" s="178">
        <f>IF(LEFT(AB445,3)=RIGHT(AB445,3),1,VLOOKUP(AB445,'FX RATES'!$H$1:$I$20,2,FALSE))</f>
        <v>1</v>
      </c>
      <c r="AI445" s="178">
        <f>IF(OR(AB445="USDAED",LEFT(AB445,3)=RIGHT(AB445,3)),AH445,IF(LEFT(AB445)="USD",AG445,IF(RIGHT(AB445,3)="USD",1,IFERROR(VLOOKUP(E445&amp;"USD"&amp;RIGHT(AB445,3),$AF:$AG,2,FALSE),VLOOKUP(E445&amp;"USD"&amp;RIGHT(AJ445,3),$AN:$AO,2,FALSE)))))</f>
        <v>1</v>
      </c>
      <c r="AJ445" s="173" t="str">
        <f>IF(W445="via USD",IF(S445="EUR",S445&amp;"USD","USD"&amp;S445),IFERROR(VLOOKUP(K445&amp;S445,'FX RATES'!$H$2:$H$20,1,FALSE),S445&amp;K445))</f>
        <v>USDRUB</v>
      </c>
      <c r="AK445" s="175">
        <f>IF(LEFT(AJ445,3)=RIGHT(AJ445,3),0,IFERROR(INDEX(CLIENTS!$A$1:$O$649,MATCH(P445,CLIENTS!$A$1:$A$649,0),MATCH(AJ445,CLIENTS!$A$1:$O$1,0)),0))</f>
        <v>0</v>
      </c>
      <c r="AL445" s="176">
        <v>77.92</v>
      </c>
      <c r="AM445" s="177">
        <f>IF(W445="VENDOR","",IF(AL445="",AP445+AK445,AL445+AK445))</f>
        <v>77.92</v>
      </c>
      <c r="AN445" s="177" t="str">
        <f>E445&amp;AJ445</f>
        <v>46058USDRUB</v>
      </c>
      <c r="AO445" s="176">
        <v>76.900000000000006</v>
      </c>
      <c r="AP445" s="178">
        <f ca="1">IF(LEFT(AJ445,3)=RIGHT(AJ445,3),1,VLOOKUP(AJ445,'FX RATES'!$H$1:$I$20,2,FALSE))</f>
        <v>76.720500000000001</v>
      </c>
      <c r="AQ445" s="178">
        <f>IF(OR(AJ445="USDAED",LEFT(AJ445,3)=RIGHT(AJ445,3)),AP445,IF(LEFT(AJ445)="USD",AO445,IF(RIGHT(AJ445,3)="USD",1,IFERROR(VLOOKUP(E445&amp;"USD"&amp;RIGHT(AJ445,3),$AN:$AO,2,FALSE),VLOOKUP(E445&amp;"USD"&amp;RIGHT(AB445,3),$AF:$AG,2,FALSE)))))</f>
        <v>76.900000000000006</v>
      </c>
      <c r="AR445" s="179">
        <f>-Q445*(1-Z445)/(1+X445)*IF(W445="CLIENT",IF(S445=RIGHT(AJ445,3),1/AM445,AM445),IF(W445="VENDOR",IF(S445=RIGHT(AJ445,3),1/AE445,AE445),AE445^(VLOOKUP(AB445,'FX RATES'!$H$1:$J$26,3,FALSE))/AM445^(VLOOKUP(AJ445,'FX RATES'!$H$1:$J$26,3,FALSE))))</f>
        <v>-3630.0000000000005</v>
      </c>
      <c r="AS445" s="179">
        <f>-I445*(1+X445)/(1-Z445)*IF(W445="VENDOR",IF(K445=RIGHT(AB445,3),1/AE445,AE445),IF(W445="CLIENT",IF(K445=RIGHT(AB445,3),1/AM445,AM445),AM445^(VLOOKUP(AJ445,'FX RATES'!$H$1:$J$26,3,FALSE))/AE445^(VLOOKUP(AB445,'FX RATES'!$H$1:$J$26,3,FALSE))))</f>
        <v>0</v>
      </c>
      <c r="AT445" s="170">
        <f>IF(AB445&lt;&gt;AJ445,J445/IF(K445=RIGHT(AB445,3),AE445,1/AE445),IF(S445="USD",J445/IF(K445=RIGHT(AB445,3),IF(W445="CLIENT",AM445,AE445),1/IF(W445="CLIENT",AM445,AE445)),J445*VLOOKUP(K445,'FX RATES'!$E$1:$F$10,2,FALSE)))</f>
        <v>-3630.0000000000005</v>
      </c>
      <c r="AU445" s="170">
        <f>IF(AB445&lt;&gt;AJ445,R445/IF(S445=RIGHT(AJ445,3),AM445,1/AM445),IF(K445="USD",R445/IF(S445=RIGHT(AJ445,3),IF(W445="CLIENT",AM445,AE445),1/IF(W445="CLIENT",AM445,AE445)),R445*VLOOKUP(S445,'FX RATES'!$E$1:$F$10,2,FALSE)))</f>
        <v>3941.0410677618065</v>
      </c>
      <c r="AV445" s="170">
        <f>AT445+AU445</f>
        <v>311.04106776180606</v>
      </c>
      <c r="AW445" s="169"/>
      <c r="AX445" s="170">
        <f>IF(AND(ISERROR(SEARCH("INVOICE",T445)),ISERROR(SEARCH("SWITCH",T445)),ISERROR(SEARCH("FOREX",T445)),ISERROR(SEARCH("REFUND",A445)),ISERROR(SEARCH("CANCELLED",A445))),IF(AW445="",-AT445*X445+AU445*Z445,AW445),0)</f>
        <v>311.0410677618064</v>
      </c>
      <c r="AY445" s="170">
        <f>IF(AZ445="USD",AT445,IF(AZ445=K445,J445,-R445))</f>
        <v>-3630.0000000000005</v>
      </c>
      <c r="AZ445" s="170" t="str">
        <f>LEFT(AB445,3)</f>
        <v>USD</v>
      </c>
      <c r="BA445" s="542">
        <f>IF(OR(A445="REFUND",A445="CANCELLED"),0,IFERROR((IF(OR(AB445="USDAED",LEFT(AB445,3)=RIGHT(AB445,3)),AI445,AG445)-AE445)*-AY445*VLOOKUP(AB445,'FX RATES'!$H$1:$J$26,3,FALSE),0))</f>
        <v>0</v>
      </c>
      <c r="BB445" s="170" t="str">
        <f>RIGHT(AB445,3)</f>
        <v>USD</v>
      </c>
      <c r="BC445" s="542">
        <f>IF(BA445=0,0,IFERROR(BA445/IF(BB445&lt;&gt;"USD",AI445,1),"???"))</f>
        <v>0</v>
      </c>
      <c r="BD445" s="170">
        <f>IFERROR(-AC445/(IF(OR(AB445="USDAED",LEFT(AB445,3)=RIGHT(AB445,3)),AH445,AG445)-AE445)*BC445,0)</f>
        <v>0</v>
      </c>
      <c r="BE445" s="542">
        <f>BC445-BD445</f>
        <v>0</v>
      </c>
      <c r="BF445" s="170">
        <f>IF(BG445="USD",AU445,IF(BG445=S445,R445,-J445))</f>
        <v>3941.0410677618065</v>
      </c>
      <c r="BG445" s="170" t="str">
        <f>LEFT(AJ445,3)</f>
        <v>USD</v>
      </c>
      <c r="BH445" s="542">
        <f>IF(OR(A445="REFUND",A445="CANCELLED"),0,IFERROR((IF(OR(AJ445="USDAED",LEFT(AJ445,3)=RIGHT(AJ445,3)),AQ445,AO445)-AM445)*-BF445*VLOOKUP(AJ445,'FX RATES'!$H$1:$J$26,3,FALSE),0))</f>
        <v>4019.8618891170267</v>
      </c>
      <c r="BI445" s="170" t="str">
        <f>RIGHT(AJ445,3)</f>
        <v>RUB</v>
      </c>
      <c r="BJ445" s="542">
        <f>IF(BH445=0,0,IFERROR(BH445/IF(BI445&lt;&gt;"USD",AQ445,1),"???"))</f>
        <v>52.273886724538706</v>
      </c>
      <c r="BK445" s="170">
        <f>IFERROR(-AK445/(IF(OR(AJ445="USDAED",LEFT(AJ445,3)=RIGHT(AJ445,3)),AP445,AO445)-AM445)*BJ445,0)</f>
        <v>0</v>
      </c>
      <c r="BL445" s="542">
        <f>BJ445-BK445</f>
        <v>52.273886724538706</v>
      </c>
      <c r="BM445" s="170">
        <f>IF(AND(ISERROR(SEARCH("REFUND",A445)),ISERROR(SEARCH("CANCELLED",A445))),BD445+BK445,0)</f>
        <v>0</v>
      </c>
      <c r="BN445" s="542">
        <f>IF(AND(ISERROR(SEARCH("REFUND",A445)),ISERROR(SEARCH("CANCELLED",A445))),BE445+BL445,0)</f>
        <v>52.273886724538706</v>
      </c>
    </row>
    <row r="446" spans="1:66" ht="19.5" customHeight="1">
      <c r="A446" s="167" t="s">
        <v>366</v>
      </c>
      <c r="B446" s="172" t="s">
        <v>102</v>
      </c>
      <c r="C446" s="172" t="s">
        <v>102</v>
      </c>
      <c r="D446" s="172" t="s">
        <v>451</v>
      </c>
      <c r="E446" s="171">
        <v>46058</v>
      </c>
      <c r="F446" s="171"/>
      <c r="G446" s="172" t="s">
        <v>102</v>
      </c>
      <c r="H446" s="172" t="s">
        <v>104</v>
      </c>
      <c r="I446" s="169"/>
      <c r="J446" s="170">
        <f>IF(I446="",AR446,I446)</f>
        <v>-3644.5200000000004</v>
      </c>
      <c r="K446" s="172" t="s">
        <v>53</v>
      </c>
      <c r="L446" s="172" t="s">
        <v>420</v>
      </c>
      <c r="M446" s="172" t="s">
        <v>54</v>
      </c>
      <c r="N446" s="167" t="s">
        <v>371</v>
      </c>
      <c r="O446" s="172" t="s">
        <v>102</v>
      </c>
      <c r="P446" s="172" t="s">
        <v>104</v>
      </c>
      <c r="Q446" s="169">
        <f>-J445</f>
        <v>3630.0000000000005</v>
      </c>
      <c r="R446" s="170">
        <f>IF(Q446="",AS446,Q446)</f>
        <v>3630.0000000000005</v>
      </c>
      <c r="S446" s="172" t="s">
        <v>5</v>
      </c>
      <c r="T446" s="171" t="s">
        <v>420</v>
      </c>
      <c r="U446" s="172" t="s">
        <v>54</v>
      </c>
      <c r="V446" s="167" t="s">
        <v>371</v>
      </c>
      <c r="W446" s="172" t="s">
        <v>375</v>
      </c>
      <c r="X446" s="173">
        <f>IF(Y446="",VLOOKUP(H446,CLIENTS!$A$1:$O$649,5,FALSE),Y446)</f>
        <v>0</v>
      </c>
      <c r="Y446" s="174">
        <v>0</v>
      </c>
      <c r="Z446" s="173">
        <f>IF(AA446="",VLOOKUP(P446,CLIENTS!$A$1:$O$649,5,FALSE),AA446)</f>
        <v>-4.0000000000000001E-3</v>
      </c>
      <c r="AA446" s="174">
        <v>-4.0000000000000001E-3</v>
      </c>
      <c r="AB446" s="173" t="str">
        <f>IF(W446="via USD",IF(K446="EUR",K446&amp;"USD","USD"&amp;K446),IFERROR(VLOOKUP(K446&amp;S446,'FX RATES'!$H$2:$H$55,1,FALSE),S446&amp;K446))</f>
        <v>USDUSDT</v>
      </c>
      <c r="AC446" s="175">
        <f>IF(LEFT(AB446,3)=RIGHT(AB446,3),0,IFERROR(INDEX(CLIENTS!$A$1:$O$649,MATCH(H446,CLIENTS!$A$1:$A$649,0),MATCH(AB446,CLIENTS!$A$1:$O$1,0)),0))</f>
        <v>0</v>
      </c>
      <c r="AD446" s="176"/>
      <c r="AE446" s="177">
        <f>IF(W446="CLIENT","",IF(AD446="",AH446+AC446,AD446+AC446))</f>
        <v>1</v>
      </c>
      <c r="AF446" s="177" t="str">
        <f>E446&amp;AB446</f>
        <v>46058USDUSDT</v>
      </c>
      <c r="AG446" s="176">
        <v>1</v>
      </c>
      <c r="AH446" s="178">
        <f>IF(OR(LEFT(AB446,3)=RIGHT(AB446,3),OR(AB446="USDUSDT",AB446="USDTUSD")),1,VLOOKUP(AB446,'FX RATES'!$H$1:$I$20,2,FALSE))</f>
        <v>1</v>
      </c>
      <c r="AI446" s="178">
        <f>IF(OR(AB446="USDAED",LEFT(AB446,3)=RIGHT(AB446,3)),AH446,IF(LEFT(AB446)="USD",AG446,IF(OR(RIGHT(AB446,3)="USD",RIGHT(AB446,4)="USDT"),1,IFERROR(VLOOKUP(E446&amp;"USD"&amp;RIGHT(AB446,3),$AF:$AG,2,FALSE),VLOOKUP(E446&amp;"USD"&amp;RIGHT(AJ446,3),$AN:$AO,2,FALSE)))))</f>
        <v>1</v>
      </c>
      <c r="AJ446" s="173" t="str">
        <f>IF(W446="via USD",IF(S446="EUR",S446&amp;"USD","USD"&amp;S446),IFERROR(VLOOKUP(K446&amp;S446,'FX RATES'!$H$2:$H$20,1,FALSE),S446&amp;K446))</f>
        <v>USDUSD</v>
      </c>
      <c r="AK446" s="175">
        <f>IF(LEFT(AJ446,3)=RIGHT(AJ446,3),0,IFERROR(INDEX(CLIENTS!$A$1:$O$649,MATCH(P446,CLIENTS!$A$1:$A$649,0),MATCH(AJ446,CLIENTS!$A$1:$O$1,0)),0))</f>
        <v>0</v>
      </c>
      <c r="AL446" s="176"/>
      <c r="AM446" s="177">
        <f>IF(W446="VENDOR","",IF(AL446="",AP446+AK446,AL446+AK446))</f>
        <v>1</v>
      </c>
      <c r="AN446" s="177" t="str">
        <f>E446&amp;AJ446</f>
        <v>46058USDUSD</v>
      </c>
      <c r="AO446" s="176"/>
      <c r="AP446" s="178">
        <f>IF(OR(LEFT(AJ446,3)=RIGHT(AJ446,3),AND(OR(AB446="USDUSDT",AB446="USDTUSD"),OR(AJ446="USDUSDT",AJ446="USDTUSD"))),1,VLOOKUP(AJ446,'FX RATES'!$H$1:$I$20,2,FALSE))</f>
        <v>1</v>
      </c>
      <c r="AQ446" s="178">
        <f>IF(OR(AJ446="USDAED",LEFT(AJ446,3)=RIGHT(AJ446,3)),AP446,IF(LEFT(AJ446)="USD",AO446,IF(OR(RIGHT(AB446,3)="USD",RIGHT(AB446,4)="USDT"),1,IFERROR(VLOOKUP(E446&amp;"USD"&amp;RIGHT(AJ446,3),$AN:$AO,2,FALSE),VLOOKUP(E446&amp;"USD"&amp;RIGHT(AB446,3),$AF:$AG,2,FALSE)))))</f>
        <v>1</v>
      </c>
      <c r="AR446" s="179">
        <f>-Q446*(1-Z446)/(1+X446)*IF(W446="CLIENT",IF(S446=RIGHT(AJ446,3),1/AM446,AM446),IF(W446="VENDOR",IF(S446=RIGHT(AJ446,3),1/AE446,AE446),AE446^(VLOOKUP(AB446,'FX RATES'!$H$1:$J$26,3,FALSE))/AM446^(VLOOKUP(AJ446,'FX RATES'!$H$1:$J$26,3,FALSE))))</f>
        <v>-3644.5200000000004</v>
      </c>
      <c r="AS446" s="179">
        <f>-I446*(1+X446)/(1-Z446)*IF(W446="VENDOR",IF(K446=RIGHT(AB446,3),1/AE446,AE446),IF(W446="CLIENT",IF(K446=RIGHT(AB446,3),1/AM446,AM446),AM446^(VLOOKUP(AJ446,'FX RATES'!$H$1:$J$26,3,FALSE))/AE446^(VLOOKUP(AB446,'FX RATES'!$H$1:$J$26,3,FALSE))))</f>
        <v>0</v>
      </c>
      <c r="AT446" s="170">
        <f>IF(AB446&lt;&gt;AJ446,J446/IF(K446=RIGHT(AB446,3),AE446,1/AE446),IF(S446="USD",J446/IF(K446=RIGHT(AB446,3),IF(W446="CLIENT",AM446,AE446),1/IF(W446="CLIENT",AM446,AE446)),J446*VLOOKUP(K446,'FX RATES'!$E$1:$F$10,2,FALSE)))</f>
        <v>-3644.5200000000004</v>
      </c>
      <c r="AU446" s="170">
        <f>IF(AB446&lt;&gt;AJ446,R446/IF(S446=RIGHT(AJ446,3),AM446,1/AM446),IF(K446="USD",R446/IF(S446=RIGHT(AJ446,3),IF(W446="CLIENT",AM446,AE446),1/IF(W446="CLIENT",AM446,AE446)),R446*VLOOKUP(S446,'FX RATES'!$E$1:$F$10,2,FALSE)))</f>
        <v>3630.0000000000005</v>
      </c>
      <c r="AV446" s="170">
        <f>AT446+AU446</f>
        <v>-14.519999999999982</v>
      </c>
      <c r="AW446" s="169"/>
      <c r="AX446" s="170">
        <f>IF(AND(ISERROR(SEARCH("INVOICE",T446)),ISERROR(SEARCH("SWITCH",T446)),ISERROR(SEARCH("FOREX",T446)),ISERROR(SEARCH("REFUND",A446)),ISERROR(SEARCH("CANCELLED",A446))),IF(AW446="",-AT446*X446+AU446*Z446,AW446),0)</f>
        <v>-14.520000000000001</v>
      </c>
      <c r="AY446" s="170">
        <f>IF(AZ446="USD",AT446,IF(AZ446=K446,J446,-R446))</f>
        <v>-3644.5200000000004</v>
      </c>
      <c r="AZ446" s="170" t="str">
        <f>LEFT(AB446,3)</f>
        <v>USD</v>
      </c>
      <c r="BA446" s="542">
        <f>IF(OR(A446="REFUND",A446="CANCELLED"),0,IFERROR((IF(OR(AB446="USDAED",LEFT(AB446,3)=RIGHT(AB446,3)),AI446,AG446)-AE446)*-AY446*VLOOKUP(AB446,'FX RATES'!$H$1:$J$26,3,FALSE),0))</f>
        <v>0</v>
      </c>
      <c r="BB446" s="170" t="str">
        <f>RIGHT(AB446,4)</f>
        <v>USDT</v>
      </c>
      <c r="BC446" s="542">
        <f>IF(BA446=0,0,IFERROR(BA446/IF(BB446&lt;&gt;"USD",AI446,1),"???"))</f>
        <v>0</v>
      </c>
      <c r="BD446" s="170">
        <f>IFERROR(-AC446/(IF(OR(AB446="USDAED",LEFT(AB446,3)=RIGHT(AB446,3)),AH446,AG446)-AE446)*BC446,0)</f>
        <v>0</v>
      </c>
      <c r="BE446" s="542">
        <f>BC446-BD446</f>
        <v>0</v>
      </c>
      <c r="BF446" s="170">
        <f>IF(BG446="USD",AU446,IF(BG446=S446,R446,-J446))</f>
        <v>3630.0000000000005</v>
      </c>
      <c r="BG446" s="170" t="str">
        <f>LEFT(AJ446,3)</f>
        <v>USD</v>
      </c>
      <c r="BH446" s="542">
        <f>IF(OR(A446="REFUND",A446="CANCELLED"),0,IFERROR((IF(OR(AJ446="USDAED",LEFT(AJ446,3)=RIGHT(AJ446,3)),AQ446,AO446)-AM446)*-BF446*VLOOKUP(AJ446,'FX RATES'!$H$1:$J$26,3,FALSE),0))</f>
        <v>0</v>
      </c>
      <c r="BI446" s="170" t="str">
        <f>RIGHT(AJ446,3)</f>
        <v>USD</v>
      </c>
      <c r="BJ446" s="542">
        <f>IF(BH446=0,0,IFERROR(BH446/IF(BI446&lt;&gt;"USD",AQ446,1),"???"))</f>
        <v>0</v>
      </c>
      <c r="BK446" s="170">
        <f>IFERROR(-AK446/(IF(OR(AJ446="USDAED",LEFT(AJ446,3)=RIGHT(AJ446,3)),AP446,AO446)-AM446)*BJ446,0)</f>
        <v>0</v>
      </c>
      <c r="BL446" s="542">
        <f>BJ446-BK446</f>
        <v>0</v>
      </c>
      <c r="BM446" s="170">
        <f>IF(AND(ISERROR(SEARCH("REFUND",A446)),ISERROR(SEARCH("CANCELLED",A446))),BD446+BK446,0)</f>
        <v>0</v>
      </c>
      <c r="BN446" s="542">
        <f>IF(AND(ISERROR(SEARCH("REFUND",A446)),ISERROR(SEARCH("CANCELLED",A446))),BE446+BL446,0)</f>
        <v>0</v>
      </c>
    </row>
    <row r="447" spans="1:66" ht="19.5" customHeight="1">
      <c r="A447" s="167"/>
      <c r="B447" s="182"/>
      <c r="C447" s="182"/>
      <c r="D447" s="182"/>
      <c r="E447" s="184"/>
      <c r="F447" s="184"/>
      <c r="G447" s="182"/>
      <c r="H447" s="182"/>
      <c r="I447" s="170"/>
      <c r="J447" s="170"/>
      <c r="K447" s="182"/>
      <c r="L447" s="184"/>
      <c r="M447" s="182"/>
      <c r="O447" s="182"/>
      <c r="P447" s="444"/>
      <c r="Q447" s="170"/>
      <c r="R447" s="170"/>
      <c r="S447" s="182"/>
      <c r="T447" s="184"/>
      <c r="U447" s="182"/>
      <c r="X447" s="173"/>
      <c r="Y447" s="173"/>
      <c r="Z447" s="173"/>
      <c r="AA447" s="173"/>
      <c r="AB447" s="173"/>
      <c r="AC447" s="175"/>
      <c r="AD447" s="177"/>
      <c r="AE447" s="177"/>
      <c r="AF447" s="177"/>
      <c r="AG447" s="177"/>
      <c r="AH447" s="178"/>
      <c r="AI447" s="178"/>
      <c r="AJ447" s="173"/>
      <c r="AK447" s="175"/>
      <c r="AL447" s="177"/>
      <c r="AM447" s="177"/>
      <c r="AN447" s="177"/>
      <c r="AO447" s="177"/>
      <c r="AP447" s="178"/>
      <c r="AQ447" s="178"/>
      <c r="AR447" s="185"/>
      <c r="AS447" s="185"/>
      <c r="AT447" s="170"/>
      <c r="AU447" s="170"/>
      <c r="AV447" s="170"/>
      <c r="AW447" s="170"/>
      <c r="AX447" s="170"/>
      <c r="AY447" s="170"/>
      <c r="AZ447" s="170"/>
      <c r="BA447" s="542"/>
      <c r="BB447" s="170"/>
      <c r="BC447" s="542"/>
      <c r="BD447" s="170"/>
      <c r="BE447" s="542"/>
      <c r="BF447" s="170"/>
      <c r="BG447" s="170"/>
      <c r="BH447" s="542"/>
      <c r="BI447" s="170"/>
      <c r="BJ447" s="542"/>
      <c r="BK447" s="170"/>
      <c r="BL447" s="542"/>
      <c r="BM447" s="170"/>
      <c r="BN447" s="542"/>
    </row>
    <row r="448" spans="1:66" ht="19.5" customHeight="1">
      <c r="A448" s="167" t="s">
        <v>366</v>
      </c>
      <c r="B448" s="168" t="s">
        <v>39</v>
      </c>
      <c r="C448" s="168" t="s">
        <v>367</v>
      </c>
      <c r="D448" s="168" t="s">
        <v>368</v>
      </c>
      <c r="E448" s="171">
        <v>46058</v>
      </c>
      <c r="F448" s="171"/>
      <c r="G448" s="168" t="s">
        <v>39</v>
      </c>
      <c r="H448" s="181" t="s">
        <v>591</v>
      </c>
      <c r="I448" s="169">
        <v>-59902.5</v>
      </c>
      <c r="J448" s="170">
        <f>IF(I448="",AR448,I448)</f>
        <v>-59902.5</v>
      </c>
      <c r="K448" s="168" t="s">
        <v>8</v>
      </c>
      <c r="L448" s="168" t="s">
        <v>385</v>
      </c>
      <c r="M448" s="168" t="s">
        <v>17</v>
      </c>
      <c r="N448" s="167" t="s">
        <v>371</v>
      </c>
      <c r="O448" s="168" t="s">
        <v>39</v>
      </c>
      <c r="P448" s="168" t="s">
        <v>406</v>
      </c>
      <c r="Q448" s="169">
        <v>1262922.06</v>
      </c>
      <c r="R448" s="170">
        <f>IF(Q448="",AS448,Q448)</f>
        <v>1262922.06</v>
      </c>
      <c r="S448" s="168" t="s">
        <v>9</v>
      </c>
      <c r="T448" s="171" t="s">
        <v>592</v>
      </c>
      <c r="U448" s="168" t="s">
        <v>374</v>
      </c>
      <c r="V448" s="167" t="s">
        <v>371</v>
      </c>
      <c r="W448" s="172" t="s">
        <v>375</v>
      </c>
      <c r="X448" s="173">
        <f>IF(Y448="",VLOOKUP(H448,CLIENTS!$A$1:$O$649,5,FALSE),Y448)</f>
        <v>0</v>
      </c>
      <c r="Y448" s="174">
        <v>0</v>
      </c>
      <c r="Z448" s="173">
        <f>IF(AA448="",VLOOKUP(P448,CLIENTS!$A$1:$O$649,5,FALSE),AA448)</f>
        <v>6.0000000000000001E-3</v>
      </c>
      <c r="AA448" s="174">
        <v>6.0000000000000001E-3</v>
      </c>
      <c r="AB448" s="173" t="str">
        <f>IF(W448="via USD",IF(K448="EUR",K448&amp;"USD","USD"&amp;K448),IFERROR(VLOOKUP(K448&amp;S448,'FX RATES'!$H$2:$H$20,1,FALSE),S448&amp;K448))</f>
        <v>USDAED</v>
      </c>
      <c r="AC448" s="175">
        <f>IF(LEFT(AB448,3)=RIGHT(AB448,3),0,IFERROR(INDEX(CLIENTS!$A$1:$O$649,MATCH(H448,CLIENTS!$A$1:$A$649,0),MATCH(AB448,CLIENTS!$A$1:$O$1,0)),0))+0.0075</f>
        <v>0</v>
      </c>
      <c r="AD448" s="176">
        <v>3.67</v>
      </c>
      <c r="AE448" s="177">
        <f>IF(W448="CLIENT","",IF(AD448="",AH448+AC448,AD448+AC448))</f>
        <v>3.67</v>
      </c>
      <c r="AF448" s="177" t="str">
        <f>E448&amp;AB448</f>
        <v>46058USDAED</v>
      </c>
      <c r="AG448" s="176"/>
      <c r="AH448" s="178">
        <f>IF(LEFT(AB448,3)=RIGHT(AB448,3),1,VLOOKUP(AB448,'FX RATES'!$H$1:$I$20,2,FALSE))</f>
        <v>3.6724999999999999</v>
      </c>
      <c r="AI448" s="178">
        <f>IF(OR(AB448="USDAED",LEFT(AB448,3)=RIGHT(AB448,3)),AH448,IF(LEFT(AB448)="USD",AG448,IF(RIGHT(AB448,3)="USD",1,IFERROR(VLOOKUP(E448&amp;"USD"&amp;RIGHT(AB448,3),$AF:$AG,2,FALSE),VLOOKUP(E448&amp;"USD"&amp;RIGHT(AJ448,3),$AN:$AO,2,FALSE)))))</f>
        <v>3.6724999999999999</v>
      </c>
      <c r="AJ448" s="173" t="str">
        <f>IF(W448="via USD",IF(S448="EUR",S448&amp;"USD","USD"&amp;S448),IFERROR(VLOOKUP(K448&amp;S448,'FX RATES'!$H$2:$H$20,1,FALSE),S448&amp;K448))</f>
        <v>USDRUB</v>
      </c>
      <c r="AK448" s="175">
        <f>IF(LEFT(AJ448,3)=RIGHT(AJ448,3),0,IFERROR(INDEX(CLIENTS!$A$1:$O$649,MATCH(P448,CLIENTS!$A$1:$A$649,0),MATCH(AJ448,CLIENTS!$A$1:$O$1,0)),0))-0.15</f>
        <v>0</v>
      </c>
      <c r="AL448" s="176">
        <v>76.910200000000003</v>
      </c>
      <c r="AM448" s="177">
        <f>IF(W448="VENDOR","",IF(AL448="",AP448+AK448,AL448+AK448))</f>
        <v>76.910200000000003</v>
      </c>
      <c r="AN448" s="177" t="str">
        <f>E448&amp;AJ448</f>
        <v>46058USDRUB</v>
      </c>
      <c r="AO448" s="176">
        <v>76.900000000000006</v>
      </c>
      <c r="AP448" s="178">
        <f ca="1">IF(LEFT(AJ448,3)=RIGHT(AJ448,3),1,VLOOKUP(AJ448,'FX RATES'!$H$1:$I$20,2,FALSE))</f>
        <v>76.720500000000001</v>
      </c>
      <c r="AQ448" s="178">
        <f>IF(OR(AJ448="USDAED",LEFT(AJ448,3)=RIGHT(AJ448,3)),AP448,IF(LEFT(AJ448)="USD",AO448,IF(RIGHT(AJ448,3)="USD",1,IFERROR(VLOOKUP(E448&amp;"USD"&amp;RIGHT(AJ448,3),$AN:$AO,2,FALSE),VLOOKUP(E448&amp;"USD"&amp;RIGHT(AB448,3),$AF:$AG,2,FALSE)))))</f>
        <v>76.900000000000006</v>
      </c>
      <c r="AR448" s="179">
        <f>-Q448*(1-Z448)/(1+X448)*IF(W448="CLIENT",IF(S448=RIGHT(AJ448,3),1/AM448,AM448),IF(W448="VENDOR",IF(S448=RIGHT(AJ448,3),1/AE448,AE448),AE448^(VLOOKUP(AB448,'FX RATES'!$H$1:$J$26,3,FALSE))/AM448^(VLOOKUP(AJ448,'FX RATES'!$H$1:$J$26,3,FALSE))))</f>
        <v>-59902.515094731258</v>
      </c>
      <c r="AS448" s="179">
        <f>-I448*(1+X448)/(1-Z448)*IF(W448="VENDOR",IF(K448=RIGHT(AB448,3),1/AE448,AE448),IF(W448="CLIENT",IF(K448=RIGHT(AB448,3),1/AM448,AM448),AM448^(VLOOKUP(AJ448,'FX RATES'!$H$1:$J$26,3,FALSE))/AE448^(VLOOKUP(AB448,'FX RATES'!$H$1:$J$26,3,FALSE))))</f>
        <v>1262921.7417584527</v>
      </c>
      <c r="AT448" s="170">
        <f>IF(AB448&lt;&gt;AJ448,J448/IF(K448=RIGHT(AB448,3),AE448,1/AE448),IF(S448="USD",J448/IF(K448=RIGHT(AB448,3),IF(W448="CLIENT",AM448,AE448),1/IF(W448="CLIENT",AM448,AE448)),J448*VLOOKUP(K448,'FX RATES'!$E$1:$F$10,2,FALSE)))</f>
        <v>-16322.207084468666</v>
      </c>
      <c r="AU448" s="170">
        <f>IF(AB448&lt;&gt;AJ448,R448/IF(S448=RIGHT(AJ448,3),AM448,1/AM448),IF(K448="USD",R448/IF(S448=RIGHT(AJ448,3),IF(W448="CLIENT",AM448,AE448),1/IF(W448="CLIENT",AM448,AE448)),R448*VLOOKUP(S448,'FX RATES'!$E$1:$F$10,2,FALSE)))</f>
        <v>16420.735611141306</v>
      </c>
      <c r="AV448" s="170">
        <f>AT448+AU448</f>
        <v>98.52852667264051</v>
      </c>
      <c r="AW448" s="169"/>
      <c r="AX448" s="170">
        <f>IF(AND(ISERROR(SEARCH("INVOICE",T448)),ISERROR(SEARCH("SWITCH",T448)),ISERROR(SEARCH("FOREX",T448)),ISERROR(SEARCH("REFUND",A448)),ISERROR(SEARCH("CANCELLED",A448))),IF(AW448="",-AT448*X448+AU448*Z448,AW448),0)</f>
        <v>98.524413666847835</v>
      </c>
      <c r="AY448" s="170">
        <f>IF(AZ448="USD",AT448,IF(AZ448=K448,J448,-R448))</f>
        <v>-16322.207084468666</v>
      </c>
      <c r="AZ448" s="170" t="str">
        <f>LEFT(AB448,3)</f>
        <v>USD</v>
      </c>
      <c r="BA448" s="542">
        <f>IF(OR(A448="REFUND",A448="CANCELLED"),0,IFERROR((IF(OR(AB448="USDAED",LEFT(AB448,3)=RIGHT(AB448,3)),AI448,AG448)-AE448)*-AY448*VLOOKUP(AB448,'FX RATES'!$H$1:$J$26,3,FALSE),0))</f>
        <v>40.805517711170793</v>
      </c>
      <c r="BB448" s="170" t="str">
        <f>RIGHT(AB448,3)</f>
        <v>AED</v>
      </c>
      <c r="BC448" s="542">
        <f>IF(BA448=0,0,IFERROR(BA448/IF(BB448&lt;&gt;"USD",AI448,1),"???"))</f>
        <v>11.11110080630927</v>
      </c>
      <c r="BD448" s="170">
        <f>IFERROR(-AC448/(IF(OR(AB448="USDAED",LEFT(AB448,3)=RIGHT(AB448,3)),AH448,AG448)-AE448)*BC448,0)</f>
        <v>0</v>
      </c>
      <c r="BE448" s="542">
        <f>BC448-BD448</f>
        <v>11.11110080630927</v>
      </c>
      <c r="BF448" s="170">
        <f>IF(BG448="USD",AU448,IF(BG448=S448,R448,-J448))</f>
        <v>16420.735611141306</v>
      </c>
      <c r="BG448" s="170" t="str">
        <f>LEFT(AJ448,3)</f>
        <v>USD</v>
      </c>
      <c r="BH448" s="542">
        <f>IF(OR(A448="REFUND",A448="CANCELLED"),0,IFERROR((IF(OR(AJ448="USDAED",LEFT(AJ448,3)=RIGHT(AJ448,3)),AQ448,AO448)-AM448)*-BF448*VLOOKUP(AJ448,'FX RATES'!$H$1:$J$26,3,FALSE),0))</f>
        <v>167.49150323360101</v>
      </c>
      <c r="BI448" s="170" t="str">
        <f>RIGHT(AJ448,3)</f>
        <v>RUB</v>
      </c>
      <c r="BJ448" s="542">
        <f>IF(BH448=0,0,IFERROR(BH448/IF(BI448&lt;&gt;"USD",AQ448,1),"???"))</f>
        <v>2.1780429549232898</v>
      </c>
      <c r="BK448" s="170">
        <f>IFERROR(-AK448/(IF(OR(AJ448="USDAED",LEFT(AJ448,3)=RIGHT(AJ448,3)),AP448,AO448)-AM448)*BJ448,0)</f>
        <v>0</v>
      </c>
      <c r="BL448" s="542">
        <f>BJ448-BK448</f>
        <v>2.1780429549232898</v>
      </c>
      <c r="BM448" s="170">
        <f>IF(AND(ISERROR(SEARCH("REFUND",A448)),ISERROR(SEARCH("CANCELLED",A448))),BD448+BK448,0)</f>
        <v>0</v>
      </c>
      <c r="BN448" s="542">
        <f>IF(AND(ISERROR(SEARCH("REFUND",A448)),ISERROR(SEARCH("CANCELLED",A448))),BE448+BL448,0)</f>
        <v>13.289143761232561</v>
      </c>
    </row>
    <row r="449" spans="1:66" ht="19.5" customHeight="1">
      <c r="A449" s="167" t="s">
        <v>366</v>
      </c>
      <c r="B449" s="168" t="s">
        <v>39</v>
      </c>
      <c r="C449" s="168" t="s">
        <v>367</v>
      </c>
      <c r="D449" s="168" t="s">
        <v>368</v>
      </c>
      <c r="E449" s="171">
        <v>46058</v>
      </c>
      <c r="F449" s="171"/>
      <c r="G449" s="168" t="s">
        <v>39</v>
      </c>
      <c r="H449" s="181" t="s">
        <v>596</v>
      </c>
      <c r="I449" s="169">
        <v>-1756466.25</v>
      </c>
      <c r="J449" s="170">
        <f>IF(I449="",AR449,I449)</f>
        <v>-1756466.25</v>
      </c>
      <c r="K449" s="168" t="s">
        <v>8</v>
      </c>
      <c r="L449" s="171" t="s">
        <v>597</v>
      </c>
      <c r="M449" s="168" t="s">
        <v>17</v>
      </c>
      <c r="N449" s="167" t="s">
        <v>371</v>
      </c>
      <c r="O449" s="168" t="s">
        <v>52</v>
      </c>
      <c r="P449" s="168" t="s">
        <v>598</v>
      </c>
      <c r="Q449" s="169"/>
      <c r="R449" s="170">
        <f>IF(Q449="",AS449,Q449)</f>
        <v>37103785.271225072</v>
      </c>
      <c r="S449" s="168" t="s">
        <v>9</v>
      </c>
      <c r="T449" s="171" t="s">
        <v>502</v>
      </c>
      <c r="U449" s="168" t="s">
        <v>25</v>
      </c>
      <c r="V449" s="167" t="s">
        <v>371</v>
      </c>
      <c r="W449" s="172" t="s">
        <v>375</v>
      </c>
      <c r="X449" s="173">
        <f>IF(Y449="",VLOOKUP(H449,CLIENTS!$A$1:$O$649,5,FALSE),Y449)</f>
        <v>8.0000000000000002E-3</v>
      </c>
      <c r="Y449" s="174">
        <v>8.0000000000000002E-3</v>
      </c>
      <c r="Z449" s="173">
        <f>IF(AA449="",VLOOKUP(P449,CLIENTS!$A$1:$O$649,5,FALSE),AA449)</f>
        <v>0</v>
      </c>
      <c r="AA449" s="174">
        <v>0</v>
      </c>
      <c r="AB449" s="173" t="str">
        <f>IF(W449="via USD",IF(K449="EUR",K449&amp;"USD","USD"&amp;K449),IFERROR(VLOOKUP(K449&amp;S449,'FX RATES'!$H$2:$H$20,1,FALSE),S449&amp;K449))</f>
        <v>USDAED</v>
      </c>
      <c r="AC449" s="175">
        <f>IF(LEFT(AB449,3)=RIGHT(AB449,3),0,IFERROR(INDEX(CLIENTS!$A$1:$O$649,MATCH(H449,CLIENTS!$A$1:$A$649,0),MATCH(AB449,CLIENTS!$A$1:$O$1,0)),0))</f>
        <v>0</v>
      </c>
      <c r="AD449" s="176">
        <v>3.67</v>
      </c>
      <c r="AE449" s="177">
        <f>IF(W449="CLIENT","",IF(AD449="",AH449+AC449,AD449+AC449))</f>
        <v>3.67</v>
      </c>
      <c r="AF449" s="177" t="str">
        <f>E449&amp;AB449</f>
        <v>46058USDAED</v>
      </c>
      <c r="AG449" s="176"/>
      <c r="AH449" s="178">
        <f>IF(LEFT(AB449,3)=RIGHT(AB449,3),1,VLOOKUP(AB449,'FX RATES'!$H$1:$I$20,2,FALSE))</f>
        <v>3.6724999999999999</v>
      </c>
      <c r="AI449" s="178">
        <f>IF(OR(AB449="USDAED",LEFT(AB449,3)=RIGHT(AB449,3)),AH449,IF(LEFT(AB449)="USD",AG449,IF(RIGHT(AB449,3)="USD",1,IFERROR(VLOOKUP(E449&amp;"USD"&amp;RIGHT(AB449,3),$AF:$AG,2,FALSE),VLOOKUP(E449&amp;"USD"&amp;RIGHT(AJ449,3),$AN:$AO,2,FALSE)))))</f>
        <v>3.6724999999999999</v>
      </c>
      <c r="AJ449" s="173" t="str">
        <f>IF(W449="via USD",IF(S449="EUR",S449&amp;"USD","USD"&amp;S449),IFERROR(VLOOKUP(K449&amp;S449,'FX RATES'!$H$2:$H$20,1,FALSE),S449&amp;K449))</f>
        <v>USDRUB</v>
      </c>
      <c r="AK449" s="175">
        <f>IF(LEFT(AJ449,3)=RIGHT(AJ449,3),0,IFERROR(INDEX(CLIENTS!$A$1:$O$649,MATCH(P449,CLIENTS!$A$1:$A$649,0),MATCH(AJ449,CLIENTS!$A$1:$O$1,0)),0))</f>
        <v>0</v>
      </c>
      <c r="AL449" s="176">
        <v>76.910200000000003</v>
      </c>
      <c r="AM449" s="177">
        <f>IF(W449="VENDOR","",IF(AL449="",AP449+AK449,AL449+AK449))</f>
        <v>76.910200000000003</v>
      </c>
      <c r="AN449" s="177" t="str">
        <f>E449&amp;AJ449</f>
        <v>46058USDRUB</v>
      </c>
      <c r="AO449" s="176">
        <v>76.900000000000006</v>
      </c>
      <c r="AP449" s="178">
        <f ca="1">IF(LEFT(AJ449,3)=RIGHT(AJ449,3),1,VLOOKUP(AJ449,'FX RATES'!$H$1:$I$20,2,FALSE))</f>
        <v>76.720500000000001</v>
      </c>
      <c r="AQ449" s="178">
        <f>IF(OR(AJ449="USDAED",LEFT(AJ449,3)=RIGHT(AJ449,3)),AP449,IF(LEFT(AJ449)="USD",AO449,IF(RIGHT(AJ449,3)="USD",1,IFERROR(VLOOKUP(E449&amp;"USD"&amp;RIGHT(AJ449,3),$AN:$AO,2,FALSE),VLOOKUP(E449&amp;"USD"&amp;RIGHT(AB449,3),$AF:$AG,2,FALSE)))))</f>
        <v>76.900000000000006</v>
      </c>
      <c r="AR449" s="179">
        <f>-Q449*(1-Z449)/(1+X449)*IF(W449="CLIENT",IF(S449=RIGHT(AJ449,3),1/AM449,AM449),IF(W449="VENDOR",IF(S449=RIGHT(AJ449,3),1/AE449,AE449),AE449^(VLOOKUP(AB449,'FX RATES'!$H$1:$J$26,3,FALSE))/AM449^(VLOOKUP(AJ449,'FX RATES'!$H$1:$J$26,3,FALSE))))</f>
        <v>0</v>
      </c>
      <c r="AS449" s="179">
        <f>-I449*(1+X449)/(1-Z449)*IF(W449="VENDOR",IF(K449=RIGHT(AB449,3),1/AE449,AE449),IF(W449="CLIENT",IF(K449=RIGHT(AB449,3),1/AM449,AM449),AM449^(VLOOKUP(AJ449,'FX RATES'!$H$1:$J$26,3,FALSE))/AE449^(VLOOKUP(AB449,'FX RATES'!$H$1:$J$26,3,FALSE))))</f>
        <v>37103785.271225072</v>
      </c>
      <c r="AT449" s="170">
        <f>IF(AB449&lt;&gt;AJ449,J449/IF(K449=RIGHT(AB449,3),AE449,1/AE449),IF(S449="USD",J449/IF(K449=RIGHT(AB449,3),IF(W449="CLIENT",AM449,AE449),1/IF(W449="CLIENT",AM449,AE449)),J449*VLOOKUP(K449,'FX RATES'!$E$1:$F$10,2,FALSE)))</f>
        <v>-478601.15803814714</v>
      </c>
      <c r="AU449" s="170">
        <f>IF(AB449&lt;&gt;AJ449,R449/IF(S449=RIGHT(AJ449,3),AM449,1/AM449),IF(K449="USD",R449/IF(S449=RIGHT(AJ449,3),IF(W449="CLIENT",AM449,AE449),1/IF(W449="CLIENT",AM449,AE449)),R449*VLOOKUP(S449,'FX RATES'!$E$1:$F$10,2,FALSE)))</f>
        <v>482429.96730245237</v>
      </c>
      <c r="AV449" s="170">
        <f>AT449+AU449</f>
        <v>3828.8092643052223</v>
      </c>
      <c r="AW449" s="169"/>
      <c r="AX449" s="170">
        <f>IF(AND(ISERROR(SEARCH("INVOICE",T449)),ISERROR(SEARCH("SWITCH",T449)),ISERROR(SEARCH("FOREX",T449)),ISERROR(SEARCH("REFUND",A449)),ISERROR(SEARCH("CANCELLED",A449))),IF(AW449="",-AT449*X449+AU449*Z449,AW449),0)</f>
        <v>3828.8092643051773</v>
      </c>
      <c r="AY449" s="170">
        <f>IF(AZ449="USD",AT449,IF(AZ449=K449,J449,-R449))</f>
        <v>-478601.15803814714</v>
      </c>
      <c r="AZ449" s="170" t="str">
        <f>LEFT(AB449,3)</f>
        <v>USD</v>
      </c>
      <c r="BA449" s="542">
        <f>IF(OR(A449="REFUND",A449="CANCELLED"),0,IFERROR((IF(OR(AB449="USDAED",LEFT(AB449,3)=RIGHT(AB449,3)),AI449,AG449)-AE449)*-AY449*VLOOKUP(AB449,'FX RATES'!$H$1:$J$26,3,FALSE),0))</f>
        <v>1196.5028950953424</v>
      </c>
      <c r="BB449" s="170" t="str">
        <f>RIGHT(AB449,3)</f>
        <v>AED</v>
      </c>
      <c r="BC449" s="542">
        <f>IF(BA449=0,0,IFERROR(BA449/IF(BB449&lt;&gt;"USD",AI449,1),"???"))</f>
        <v>325.80065217027703</v>
      </c>
      <c r="BD449" s="170">
        <f>IFERROR(-AC449/(IF(OR(AB449="USDAED",LEFT(AB449,3)=RIGHT(AB449,3)),AH449,AG449)-AE449)*BC449,0)</f>
        <v>0</v>
      </c>
      <c r="BE449" s="542">
        <f>BC449-BD449</f>
        <v>325.80065217027703</v>
      </c>
      <c r="BF449" s="170">
        <f>IF(BG449="USD",AU449,IF(BG449=S449,R449,-J449))</f>
        <v>482429.96730245237</v>
      </c>
      <c r="BG449" s="170" t="str">
        <f>LEFT(AJ449,3)</f>
        <v>USD</v>
      </c>
      <c r="BH449" s="542">
        <f>IF(OR(A449="REFUND",A449="CANCELLED"),0,IFERROR((IF(OR(AJ449="USDAED",LEFT(AJ449,3)=RIGHT(AJ449,3)),AQ449,AO449)-AM449)*-BF449*VLOOKUP(AJ449,'FX RATES'!$H$1:$J$26,3,FALSE),0))</f>
        <v>4920.7856664838291</v>
      </c>
      <c r="BI449" s="170" t="str">
        <f>RIGHT(AJ449,3)</f>
        <v>RUB</v>
      </c>
      <c r="BJ449" s="542">
        <f>IF(BH449=0,0,IFERROR(BH449/IF(BI449&lt;&gt;"USD",AQ449,1),"???"))</f>
        <v>63.989410487436004</v>
      </c>
      <c r="BK449" s="170">
        <f>IFERROR(-AK449/(IF(OR(AJ449="USDAED",LEFT(AJ449,3)=RIGHT(AJ449,3)),AP449,AO449)-AM449)*BJ449,0)</f>
        <v>0</v>
      </c>
      <c r="BL449" s="542">
        <f>BJ449-BK449</f>
        <v>63.989410487436004</v>
      </c>
      <c r="BM449" s="170">
        <f>IF(AND(ISERROR(SEARCH("REFUND",A449)),ISERROR(SEARCH("CANCELLED",A449))),BD449+BK449,0)</f>
        <v>0</v>
      </c>
      <c r="BN449" s="542">
        <f>IF(AND(ISERROR(SEARCH("REFUND",A449)),ISERROR(SEARCH("CANCELLED",A449))),BE449+BL449,0)</f>
        <v>389.79006265771307</v>
      </c>
    </row>
    <row r="450" spans="1:66" ht="19.5" customHeight="1">
      <c r="A450" s="167" t="s">
        <v>366</v>
      </c>
      <c r="B450" s="168" t="s">
        <v>0</v>
      </c>
      <c r="C450" s="168" t="s">
        <v>383</v>
      </c>
      <c r="D450" s="168" t="s">
        <v>121</v>
      </c>
      <c r="E450" s="171">
        <v>46058</v>
      </c>
      <c r="F450" s="171"/>
      <c r="G450" s="168" t="s">
        <v>39</v>
      </c>
      <c r="H450" s="181" t="s">
        <v>476</v>
      </c>
      <c r="I450" s="169">
        <f>-R448</f>
        <v>-1262922.06</v>
      </c>
      <c r="J450" s="170">
        <f>IF(I450="",AR450,I450)</f>
        <v>-1262922.06</v>
      </c>
      <c r="K450" s="168" t="s">
        <v>9</v>
      </c>
      <c r="L450" s="171" t="s">
        <v>25</v>
      </c>
      <c r="M450" s="168" t="s">
        <v>374</v>
      </c>
      <c r="N450" s="167" t="s">
        <v>371</v>
      </c>
      <c r="O450" s="168" t="s">
        <v>0</v>
      </c>
      <c r="P450" s="168" t="s">
        <v>0</v>
      </c>
      <c r="Q450" s="169"/>
      <c r="R450" s="170">
        <f>IF(Q450="",AS450,Q450)</f>
        <v>16575.520527089462</v>
      </c>
      <c r="S450" s="168" t="s">
        <v>5</v>
      </c>
      <c r="T450" s="171" t="s">
        <v>477</v>
      </c>
      <c r="U450" s="168" t="s">
        <v>14</v>
      </c>
      <c r="V450" s="167" t="s">
        <v>371</v>
      </c>
      <c r="W450" s="172" t="s">
        <v>382</v>
      </c>
      <c r="X450" s="173">
        <f>IF(Y450="",VLOOKUP(H450,CLIENTS!$A$1:$O$649,5,FALSE),Y450)</f>
        <v>0</v>
      </c>
      <c r="Y450" s="174"/>
      <c r="Z450" s="173">
        <f>IF(AA450="",VLOOKUP(P450,CLIENTS!$A$1:$O$649,5,FALSE),AA450)</f>
        <v>0</v>
      </c>
      <c r="AA450" s="174"/>
      <c r="AB450" s="173" t="str">
        <f>IF(W450="via USD",IF(K450="EUR",K450&amp;"USD","USD"&amp;K450),IFERROR(VLOOKUP(K450&amp;S450,'FX RATES'!$H$2:$H$20,1,FALSE),S450&amp;K450))</f>
        <v>USDRUB</v>
      </c>
      <c r="AC450" s="175">
        <f>IF(LEFT(AB450,3)=RIGHT(AB450,3),0,IFERROR(INDEX(CLIENTS!$A$1:$O$649,MATCH(H450,CLIENTS!$A$1:$A$649,0),MATCH(AB450,CLIENTS!$A$1:$O$1,0)),0))+0.07</f>
        <v>0</v>
      </c>
      <c r="AD450" s="176">
        <v>76.191999999999993</v>
      </c>
      <c r="AE450" s="177">
        <f>IF(W450="CLIENT","",IF(AD450="",AH450+AC450,AD450+AC450))</f>
        <v>76.191999999999993</v>
      </c>
      <c r="AF450" s="177" t="str">
        <f>E450&amp;AB450</f>
        <v>46058USDRUB</v>
      </c>
      <c r="AG450" s="176">
        <v>76.900000000000006</v>
      </c>
      <c r="AH450" s="178">
        <f ca="1">IF(LEFT(AB450,3)=RIGHT(AB450,3),1,VLOOKUP(AB450,'FX RATES'!$H$1:$I$20,2,FALSE))</f>
        <v>76.720500000000001</v>
      </c>
      <c r="AI450" s="178">
        <f>IF(OR(AB450="USDAED",LEFT(AB450,3)=RIGHT(AB450,3)),AH450,IF(LEFT(AB450)="USD",AG450,IF(RIGHT(AB450,3)="USD",1,IFERROR(VLOOKUP(E450&amp;"USD"&amp;RIGHT(AB450,3),$AF:$AG,2,FALSE),VLOOKUP(E450&amp;"USD"&amp;RIGHT(AJ450,3),$AN:$AO,2,FALSE)))))</f>
        <v>76.900000000000006</v>
      </c>
      <c r="AJ450" s="173" t="str">
        <f>IF(W450="via USD",IF(S450="EUR",S450&amp;"USD","USD"&amp;S450),IFERROR(VLOOKUP(K450&amp;S450,'FX RATES'!$H$2:$H$20,1,FALSE),S450&amp;K450))</f>
        <v>USDRUB</v>
      </c>
      <c r="AK450" s="175">
        <f>IF(LEFT(AJ450,3)=RIGHT(AJ450,3),0,IFERROR(INDEX(CLIENTS!$A$1:$O$649,MATCH(P450,CLIENTS!$A$1:$A$649,0),MATCH(AJ450,CLIENTS!$A$1:$O$1,0)),0))</f>
        <v>0</v>
      </c>
      <c r="AL450" s="176"/>
      <c r="AM450" s="177" t="str">
        <f>IF(W450="VENDOR","",IF(AL450="",AP450+AK450,AL450+AK450))</f>
        <v/>
      </c>
      <c r="AN450" s="177" t="str">
        <f>E450&amp;AJ450</f>
        <v>46058USDRUB</v>
      </c>
      <c r="AO450" s="176"/>
      <c r="AP450" s="178">
        <f ca="1">IF(LEFT(AJ450,3)=RIGHT(AJ450,3),1,VLOOKUP(AJ450,'FX RATES'!$H$1:$I$20,2,FALSE))</f>
        <v>76.720500000000001</v>
      </c>
      <c r="AQ450" s="178">
        <f>IF(OR(AJ450="USDAED",LEFT(AJ450,3)=RIGHT(AJ450,3)),AP450,IF(LEFT(AJ450)="USD",AO450,IF(RIGHT(AJ450,3)="USD",1,IFERROR(VLOOKUP(E450&amp;"USD"&amp;RIGHT(AJ450,3),$AN:$AO,2,FALSE),VLOOKUP(E450&amp;"USD"&amp;RIGHT(AB450,3),$AF:$AG,2,FALSE)))))</f>
        <v>76.900000000000006</v>
      </c>
      <c r="AR450" s="179">
        <f>-Q450*(1-Z450)/(1+X450)*IF(W450="CLIENT",IF(S450=RIGHT(AJ450,3),1/AM450,AM450),IF(W450="VENDOR",IF(S450=RIGHT(AJ450,3),1/AE450,AE450),AE450^(VLOOKUP(AB450,'FX RATES'!$H$1:$J$26,3,FALSE))/AM450^(VLOOKUP(AJ450,'FX RATES'!$H$1:$J$26,3,FALSE))))</f>
        <v>0</v>
      </c>
      <c r="AS450" s="179">
        <f>-I450*(1+X450)/(1-Z450)*IF(W450="VENDOR",IF(K450=RIGHT(AB450,3),1/AE450,AE450),IF(W450="CLIENT",IF(K450=RIGHT(AB450,3),1/AM450,AM450),AM450^(VLOOKUP(AJ450,'FX RATES'!$H$1:$J$26,3,FALSE))/AE450^(VLOOKUP(AB450,'FX RATES'!$H$1:$J$26,3,FALSE))))</f>
        <v>16575.520527089462</v>
      </c>
      <c r="AT450" s="170">
        <f>IF(AB450&lt;&gt;AJ450,J450/IF(K450=RIGHT(AB450,3),AE450,1/AE450),IF(S450="USD",J450/IF(K450=RIGHT(AB450,3),IF(W450="CLIENT",AM450,AE450),1/IF(W450="CLIENT",AM450,AE450)),J450*VLOOKUP(K450,'FX RATES'!$E$1:$F$10,2,FALSE)))</f>
        <v>-16575.520527089462</v>
      </c>
      <c r="AU450" s="170">
        <f>IF(AB450&lt;&gt;AJ450,R450/IF(S450=RIGHT(AJ450,3),AM450,1/AM450),IF(K450="USD",R450/IF(S450=RIGHT(AJ450,3),IF(W450="CLIENT",AM450,AE450),1/IF(W450="CLIENT",AM450,AE450)),R450*VLOOKUP(S450,'FX RATES'!$E$1:$F$10,2,FALSE)))</f>
        <v>16575.520527089462</v>
      </c>
      <c r="AV450" s="170">
        <f>AT450+AU450</f>
        <v>0</v>
      </c>
      <c r="AW450" s="169"/>
      <c r="AX450" s="170">
        <f>IF(AND(ISERROR(SEARCH("INVOICE",T450)),ISERROR(SEARCH("SWITCH",T450)),ISERROR(SEARCH("FOREX",T450)),ISERROR(SEARCH("REFUND",A450)),ISERROR(SEARCH("CANCELLED",A450))),IF(AW450="",-AT450*X450+AU450*Z450,AW450),0)</f>
        <v>0</v>
      </c>
      <c r="AY450" s="170">
        <f>IF(AZ450="USD",AT450,IF(AZ450=K450,J450,-R450))</f>
        <v>-16575.520527089462</v>
      </c>
      <c r="AZ450" s="170" t="str">
        <f>LEFT(AB450,3)</f>
        <v>USD</v>
      </c>
      <c r="BA450" s="542">
        <f>IF(OR(A450="REFUND",A450="CANCELLED"),0,IFERROR((IF(OR(AB450="USDAED",LEFT(AB450,3)=RIGHT(AB450,3)),AI450,AG450)-AE450)*-AY450*VLOOKUP(AB450,'FX RATES'!$H$1:$J$26,3,FALSE),0))</f>
        <v>11735.468533179548</v>
      </c>
      <c r="BB450" s="170" t="str">
        <f>RIGHT(AB450,3)</f>
        <v>RUB</v>
      </c>
      <c r="BC450" s="542">
        <f>IF(BA450=0,0,IFERROR(BA450/IF(BB450&lt;&gt;"USD",AI450,1),"???"))</f>
        <v>152.60687299323209</v>
      </c>
      <c r="BD450" s="170">
        <f>IFERROR(-AC450/(IF(OR(AB450="USDAED",LEFT(AB450,3)=RIGHT(AB450,3)),AH450,AG450)-AE450)*BC450,0)</f>
        <v>0</v>
      </c>
      <c r="BE450" s="542">
        <f>BC450-BD450</f>
        <v>152.60687299323209</v>
      </c>
      <c r="BF450" s="170">
        <f>IF(BG450="USD",AU450,IF(BG450=S450,R450,-J450))</f>
        <v>16575.520527089462</v>
      </c>
      <c r="BG450" s="170" t="str">
        <f>LEFT(AJ450,3)</f>
        <v>USD</v>
      </c>
      <c r="BH450" s="542">
        <f>IF(OR(A450="REFUND",A450="CANCELLED"),0,IFERROR((IF(OR(AJ450="USDAED",LEFT(AJ450,3)=RIGHT(AJ450,3)),AQ450,AO450)-AM450)*-BF450*VLOOKUP(AJ450,'FX RATES'!$H$1:$J$26,3,FALSE),0))</f>
        <v>0</v>
      </c>
      <c r="BI450" s="170" t="str">
        <f>RIGHT(AJ450,3)</f>
        <v>RUB</v>
      </c>
      <c r="BJ450" s="542">
        <f>IF(BH450=0,0,IFERROR(BH450/IF(BI450&lt;&gt;"USD",AQ450,1),"???"))</f>
        <v>0</v>
      </c>
      <c r="BK450" s="170">
        <f>IFERROR(-AK450/(IF(OR(AJ450="USDAED",LEFT(AJ450,3)=RIGHT(AJ450,3)),AP450,AO450)-AM450)*BJ450,0)</f>
        <v>0</v>
      </c>
      <c r="BL450" s="542">
        <f>BJ450-BK450</f>
        <v>0</v>
      </c>
      <c r="BM450" s="170">
        <f>IF(AND(ISERROR(SEARCH("REFUND",A450)),ISERROR(SEARCH("CANCELLED",A450))),BD450+BK450,0)</f>
        <v>0</v>
      </c>
      <c r="BN450" s="542">
        <f>IF(AND(ISERROR(SEARCH("REFUND",A450)),ISERROR(SEARCH("CANCELLED",A450))),BE450+BL450,0)</f>
        <v>152.60687299323209</v>
      </c>
    </row>
    <row r="451" spans="1:66" ht="19.5" customHeight="1">
      <c r="A451" s="167" t="s">
        <v>366</v>
      </c>
      <c r="B451" s="168" t="s">
        <v>0</v>
      </c>
      <c r="C451" s="168" t="s">
        <v>383</v>
      </c>
      <c r="D451" s="168" t="s">
        <v>121</v>
      </c>
      <c r="E451" s="171">
        <v>46058</v>
      </c>
      <c r="F451" s="171"/>
      <c r="G451" s="168" t="s">
        <v>52</v>
      </c>
      <c r="H451" s="181" t="s">
        <v>476</v>
      </c>
      <c r="I451" s="169">
        <f>-R449</f>
        <v>-37103785.271225072</v>
      </c>
      <c r="J451" s="170">
        <f>IF(I451="",AR451,I451)</f>
        <v>-37103785.271225072</v>
      </c>
      <c r="K451" s="168" t="s">
        <v>9</v>
      </c>
      <c r="L451" s="171" t="s">
        <v>25</v>
      </c>
      <c r="M451" s="168" t="s">
        <v>25</v>
      </c>
      <c r="N451" s="167" t="s">
        <v>371</v>
      </c>
      <c r="O451" s="168" t="s">
        <v>0</v>
      </c>
      <c r="P451" s="168" t="s">
        <v>0</v>
      </c>
      <c r="Q451" s="169"/>
      <c r="R451" s="170">
        <f>IF(Q451="",AS451,Q451)</f>
        <v>486977.44213598641</v>
      </c>
      <c r="S451" s="168" t="s">
        <v>5</v>
      </c>
      <c r="T451" s="171" t="s">
        <v>477</v>
      </c>
      <c r="U451" s="168" t="s">
        <v>14</v>
      </c>
      <c r="V451" s="167" t="s">
        <v>371</v>
      </c>
      <c r="W451" s="172" t="s">
        <v>382</v>
      </c>
      <c r="X451" s="173">
        <f>IF(Y451="",VLOOKUP(H451,CLIENTS!$A$1:$O$649,5,FALSE),Y451)</f>
        <v>0</v>
      </c>
      <c r="Y451" s="174"/>
      <c r="Z451" s="173">
        <f>IF(AA451="",VLOOKUP(P451,CLIENTS!$A$1:$O$649,5,FALSE),AA451)</f>
        <v>0</v>
      </c>
      <c r="AA451" s="174"/>
      <c r="AB451" s="173" t="str">
        <f>IF(W451="via USD",IF(K451="EUR",K451&amp;"USD","USD"&amp;K451),IFERROR(VLOOKUP(K451&amp;S451,'FX RATES'!$H$2:$H$20,1,FALSE),S451&amp;K451))</f>
        <v>USDRUB</v>
      </c>
      <c r="AC451" s="175">
        <f>IF(LEFT(AB451,3)=RIGHT(AB451,3),0,IFERROR(INDEX(CLIENTS!$A$1:$O$649,MATCH(H451,CLIENTS!$A$1:$A$649,0),MATCH(AB451,CLIENTS!$A$1:$O$1,0)),0))+0.07</f>
        <v>0</v>
      </c>
      <c r="AD451" s="176">
        <v>76.191999999999993</v>
      </c>
      <c r="AE451" s="177">
        <f>IF(W451="CLIENT","",IF(AD451="",AH451+AC451,AD451+AC451))</f>
        <v>76.191999999999993</v>
      </c>
      <c r="AF451" s="177" t="str">
        <f>E451&amp;AB451</f>
        <v>46058USDRUB</v>
      </c>
      <c r="AG451" s="176">
        <v>76.900000000000006</v>
      </c>
      <c r="AH451" s="178">
        <f ca="1">IF(LEFT(AB451,3)=RIGHT(AB451,3),1,VLOOKUP(AB451,'FX RATES'!$H$1:$I$20,2,FALSE))</f>
        <v>76.720500000000001</v>
      </c>
      <c r="AI451" s="178">
        <f>IF(OR(AB451="USDAED",LEFT(AB451,3)=RIGHT(AB451,3)),AH451,IF(LEFT(AB451)="USD",AG451,IF(RIGHT(AB451,3)="USD",1,IFERROR(VLOOKUP(E451&amp;"USD"&amp;RIGHT(AB451,3),$AF:$AG,2,FALSE),VLOOKUP(E451&amp;"USD"&amp;RIGHT(AJ451,3),$AN:$AO,2,FALSE)))))</f>
        <v>76.900000000000006</v>
      </c>
      <c r="AJ451" s="173" t="str">
        <f>IF(W451="via USD",IF(S451="EUR",S451&amp;"USD","USD"&amp;S451),IFERROR(VLOOKUP(K451&amp;S451,'FX RATES'!$H$2:$H$20,1,FALSE),S451&amp;K451))</f>
        <v>USDRUB</v>
      </c>
      <c r="AK451" s="175">
        <f>IF(LEFT(AJ451,3)=RIGHT(AJ451,3),0,IFERROR(INDEX(CLIENTS!$A$1:$O$649,MATCH(P451,CLIENTS!$A$1:$A$649,0),MATCH(AJ451,CLIENTS!$A$1:$O$1,0)),0))</f>
        <v>0</v>
      </c>
      <c r="AL451" s="176"/>
      <c r="AM451" s="177" t="str">
        <f>IF(W451="VENDOR","",IF(AL451="",AP451+AK451,AL451+AK451))</f>
        <v/>
      </c>
      <c r="AN451" s="177" t="str">
        <f>E451&amp;AJ451</f>
        <v>46058USDRUB</v>
      </c>
      <c r="AO451" s="176"/>
      <c r="AP451" s="178">
        <f ca="1">IF(LEFT(AJ451,3)=RIGHT(AJ451,3),1,VLOOKUP(AJ451,'FX RATES'!$H$1:$I$20,2,FALSE))</f>
        <v>76.720500000000001</v>
      </c>
      <c r="AQ451" s="178">
        <f>IF(OR(AJ451="USDAED",LEFT(AJ451,3)=RIGHT(AJ451,3)),AP451,IF(LEFT(AJ451)="USD",AO451,IF(RIGHT(AJ451,3)="USD",1,IFERROR(VLOOKUP(E451&amp;"USD"&amp;RIGHT(AJ451,3),$AN:$AO,2,FALSE),VLOOKUP(E451&amp;"USD"&amp;RIGHT(AB451,3),$AF:$AG,2,FALSE)))))</f>
        <v>76.900000000000006</v>
      </c>
      <c r="AR451" s="179">
        <f>-Q451*(1-Z451)/(1+X451)*IF(W451="CLIENT",IF(S451=RIGHT(AJ451,3),1/AM451,AM451),IF(W451="VENDOR",IF(S451=RIGHT(AJ451,3),1/AE451,AE451),AE451^(VLOOKUP(AB451,'FX RATES'!$H$1:$J$26,3,FALSE))/AM451^(VLOOKUP(AJ451,'FX RATES'!$H$1:$J$26,3,FALSE))))</f>
        <v>0</v>
      </c>
      <c r="AS451" s="179">
        <f>-I451*(1+X451)/(1-Z451)*IF(W451="VENDOR",IF(K451=RIGHT(AB451,3),1/AE451,AE451),IF(W451="CLIENT",IF(K451=RIGHT(AB451,3),1/AM451,AM451),AM451^(VLOOKUP(AJ451,'FX RATES'!$H$1:$J$26,3,FALSE))/AE451^(VLOOKUP(AB451,'FX RATES'!$H$1:$J$26,3,FALSE))))</f>
        <v>486977.44213598641</v>
      </c>
      <c r="AT451" s="170">
        <f>IF(AB451&lt;&gt;AJ451,J451/IF(K451=RIGHT(AB451,3),AE451,1/AE451),IF(S451="USD",J451/IF(K451=RIGHT(AB451,3),IF(W451="CLIENT",AM451,AE451),1/IF(W451="CLIENT",AM451,AE451)),J451*VLOOKUP(K451,'FX RATES'!$E$1:$F$10,2,FALSE)))</f>
        <v>-486977.44213598641</v>
      </c>
      <c r="AU451" s="170">
        <f>IF(AB451&lt;&gt;AJ451,R451/IF(S451=RIGHT(AJ451,3),AM451,1/AM451),IF(K451="USD",R451/IF(S451=RIGHT(AJ451,3),IF(W451="CLIENT",AM451,AE451),1/IF(W451="CLIENT",AM451,AE451)),R451*VLOOKUP(S451,'FX RATES'!$E$1:$F$10,2,FALSE)))</f>
        <v>486977.44213598641</v>
      </c>
      <c r="AV451" s="170">
        <f>AT451+AU451</f>
        <v>0</v>
      </c>
      <c r="AW451" s="169"/>
      <c r="AX451" s="170">
        <f>IF(AND(ISERROR(SEARCH("INVOICE",T451)),ISERROR(SEARCH("SWITCH",T451)),ISERROR(SEARCH("FOREX",T451)),ISERROR(SEARCH("REFUND",A451)),ISERROR(SEARCH("CANCELLED",A451))),IF(AW451="",-AT451*X451+AU451*Z451,AW451),0)</f>
        <v>0</v>
      </c>
      <c r="AY451" s="170">
        <f>IF(AZ451="USD",AT451,IF(AZ451=K451,J451,-R451))</f>
        <v>-486977.44213598641</v>
      </c>
      <c r="AZ451" s="170" t="str">
        <f>LEFT(AB451,3)</f>
        <v>USD</v>
      </c>
      <c r="BA451" s="542">
        <f>IF(OR(A451="REFUND",A451="CANCELLED"),0,IFERROR((IF(OR(AB451="USDAED",LEFT(AB451,3)=RIGHT(AB451,3)),AI451,AG451)-AE451)*-AY451*VLOOKUP(AB451,'FX RATES'!$H$1:$J$26,3,FALSE),0))</f>
        <v>344780.02903228451</v>
      </c>
      <c r="BB451" s="170" t="str">
        <f>RIGHT(AB451,3)</f>
        <v>RUB</v>
      </c>
      <c r="BC451" s="542">
        <f>IF(BA451=0,0,IFERROR(BA451/IF(BB451&lt;&gt;"USD",AI451,1),"???"))</f>
        <v>4483.4854230466126</v>
      </c>
      <c r="BD451" s="170">
        <f>IFERROR(-AC451/(IF(OR(AB451="USDAED",LEFT(AB451,3)=RIGHT(AB451,3)),AH451,AG451)-AE451)*BC451,0)</f>
        <v>0</v>
      </c>
      <c r="BE451" s="542">
        <f>BC451-BD451</f>
        <v>4483.4854230466126</v>
      </c>
      <c r="BF451" s="170">
        <f>IF(BG451="USD",AU451,IF(BG451=S451,R451,-J451))</f>
        <v>486977.44213598641</v>
      </c>
      <c r="BG451" s="170" t="str">
        <f>LEFT(AJ451,3)</f>
        <v>USD</v>
      </c>
      <c r="BH451" s="542">
        <f>IF(OR(A451="REFUND",A451="CANCELLED"),0,IFERROR((IF(OR(AJ451="USDAED",LEFT(AJ451,3)=RIGHT(AJ451,3)),AQ451,AO451)-AM451)*-BF451*VLOOKUP(AJ451,'FX RATES'!$H$1:$J$26,3,FALSE),0))</f>
        <v>0</v>
      </c>
      <c r="BI451" s="170" t="str">
        <f>RIGHT(AJ451,3)</f>
        <v>RUB</v>
      </c>
      <c r="BJ451" s="542">
        <f>IF(BH451=0,0,IFERROR(BH451/IF(BI451&lt;&gt;"USD",AQ451,1),"???"))</f>
        <v>0</v>
      </c>
      <c r="BK451" s="170">
        <f>IFERROR(-AK451/(IF(OR(AJ451="USDAED",LEFT(AJ451,3)=RIGHT(AJ451,3)),AP451,AO451)-AM451)*BJ451,0)</f>
        <v>0</v>
      </c>
      <c r="BL451" s="542">
        <f>BJ451-BK451</f>
        <v>0</v>
      </c>
      <c r="BM451" s="170">
        <f>IF(AND(ISERROR(SEARCH("REFUND",A451)),ISERROR(SEARCH("CANCELLED",A451))),BD451+BK451,0)</f>
        <v>0</v>
      </c>
      <c r="BN451" s="542">
        <f>IF(AND(ISERROR(SEARCH("REFUND",A451)),ISERROR(SEARCH("CANCELLED",A451))),BE451+BL451,0)</f>
        <v>4483.4854230466126</v>
      </c>
    </row>
    <row r="452" spans="1:66" ht="19.5" customHeight="1">
      <c r="A452" s="167"/>
      <c r="B452" s="182"/>
      <c r="C452" s="182"/>
      <c r="D452" s="182"/>
      <c r="E452" s="184"/>
      <c r="F452" s="184"/>
      <c r="G452" s="182"/>
      <c r="H452" s="182"/>
      <c r="I452" s="170"/>
      <c r="J452" s="170"/>
      <c r="K452" s="182"/>
      <c r="L452" s="184"/>
      <c r="M452" s="182"/>
      <c r="O452" s="182"/>
      <c r="P452" s="444"/>
      <c r="Q452" s="170"/>
      <c r="R452" s="170"/>
      <c r="S452" s="182"/>
      <c r="T452" s="184"/>
      <c r="U452" s="182"/>
      <c r="X452" s="173"/>
      <c r="Y452" s="173"/>
      <c r="Z452" s="173"/>
      <c r="AA452" s="173"/>
      <c r="AB452" s="173"/>
      <c r="AC452" s="175"/>
      <c r="AD452" s="177"/>
      <c r="AE452" s="177"/>
      <c r="AF452" s="177"/>
      <c r="AG452" s="177"/>
      <c r="AH452" s="178"/>
      <c r="AI452" s="178"/>
      <c r="AJ452" s="173"/>
      <c r="AK452" s="175"/>
      <c r="AL452" s="177"/>
      <c r="AM452" s="177"/>
      <c r="AN452" s="177"/>
      <c r="AO452" s="177"/>
      <c r="AP452" s="178"/>
      <c r="AQ452" s="178"/>
      <c r="AR452" s="185"/>
      <c r="AS452" s="185"/>
      <c r="AT452" s="170"/>
      <c r="AU452" s="170"/>
      <c r="AV452" s="170"/>
      <c r="AW452" s="170"/>
      <c r="AX452" s="170"/>
      <c r="AY452" s="170"/>
      <c r="AZ452" s="170"/>
      <c r="BA452" s="542"/>
      <c r="BB452" s="170"/>
      <c r="BC452" s="542"/>
      <c r="BD452" s="170"/>
      <c r="BE452" s="542"/>
      <c r="BF452" s="170"/>
      <c r="BG452" s="170"/>
      <c r="BH452" s="542"/>
      <c r="BI452" s="170"/>
      <c r="BJ452" s="542"/>
      <c r="BK452" s="170"/>
      <c r="BL452" s="542"/>
      <c r="BM452" s="170"/>
      <c r="BN452" s="542"/>
    </row>
    <row r="453" spans="1:66" ht="19.5" customHeight="1">
      <c r="A453" s="167" t="s">
        <v>366</v>
      </c>
      <c r="B453" s="168" t="s">
        <v>39</v>
      </c>
      <c r="C453" s="168" t="s">
        <v>367</v>
      </c>
      <c r="D453" s="181" t="s">
        <v>368</v>
      </c>
      <c r="E453" s="171">
        <v>46058</v>
      </c>
      <c r="F453" s="171"/>
      <c r="G453" s="168" t="s">
        <v>39</v>
      </c>
      <c r="H453" s="181" t="s">
        <v>483</v>
      </c>
      <c r="I453" s="169">
        <v>-1300000</v>
      </c>
      <c r="J453" s="170">
        <f>IF(I453="",AR453,I453)</f>
        <v>-1300000</v>
      </c>
      <c r="K453" s="168" t="s">
        <v>5</v>
      </c>
      <c r="L453" s="168" t="s">
        <v>510</v>
      </c>
      <c r="M453" s="168" t="s">
        <v>20</v>
      </c>
      <c r="N453" s="167" t="s">
        <v>371</v>
      </c>
      <c r="O453" s="168" t="s">
        <v>52</v>
      </c>
      <c r="P453" s="168" t="s">
        <v>379</v>
      </c>
      <c r="Q453" s="169"/>
      <c r="R453" s="170">
        <f>IF(Q453="",AS453,Q453)</f>
        <v>100018080.40201007</v>
      </c>
      <c r="S453" s="168" t="s">
        <v>9</v>
      </c>
      <c r="T453" s="171" t="s">
        <v>380</v>
      </c>
      <c r="U453" s="171" t="s">
        <v>25</v>
      </c>
      <c r="V453" s="167" t="s">
        <v>371</v>
      </c>
      <c r="W453" s="172" t="s">
        <v>375</v>
      </c>
      <c r="X453" s="173">
        <f>IF(Y453="",VLOOKUP(H453,CLIENTS!$A$1:$O$649,5,FALSE),Y453)</f>
        <v>0</v>
      </c>
      <c r="Y453" s="174">
        <v>0</v>
      </c>
      <c r="Z453" s="173">
        <f>IF(AA453="",VLOOKUP(P453,CLIENTS!$A$1:$O$649,5,FALSE),AA453)</f>
        <v>5.0000000000000001E-3</v>
      </c>
      <c r="AA453" s="174">
        <v>5.0000000000000001E-3</v>
      </c>
      <c r="AB453" s="173" t="str">
        <f>IF(W453="via USD",IF(K453="EUR",K453&amp;"USD","USD"&amp;K453),IFERROR(VLOOKUP(K453&amp;S453,'FX RATES'!$H$2:$H$20,1,FALSE),S453&amp;K453))</f>
        <v>USDUSD</v>
      </c>
      <c r="AC453" s="175">
        <f>IF(LEFT(AB453,3)=RIGHT(AB453,3),0,IFERROR(INDEX(CLIENTS!$A$1:$O$649,MATCH(H453,CLIENTS!$A$1:$A$649,0),MATCH(AB453,CLIENTS!$A$1:$O$1,0)),0))</f>
        <v>0</v>
      </c>
      <c r="AD453" s="176"/>
      <c r="AE453" s="177">
        <f>IF(W453="CLIENT","",IF(AD453="",AH453+AC453,AD453+AC453))</f>
        <v>1</v>
      </c>
      <c r="AF453" s="177" t="str">
        <f>E453&amp;AB453</f>
        <v>46058USDUSD</v>
      </c>
      <c r="AG453" s="176"/>
      <c r="AH453" s="178">
        <f>IF(LEFT(AB453,3)=RIGHT(AB453,3),1,VLOOKUP(AB453,'FX RATES'!$H$1:$I$20,2,FALSE))</f>
        <v>1</v>
      </c>
      <c r="AI453" s="178">
        <f t="shared" ref="AI453:AI459" si="495">IF(OR(AB453="USDAED",LEFT(AB453,3)=RIGHT(AB453,3)),AH453,IF(LEFT(AB453)="USD",AG453,IF(RIGHT(AB453,3)="USD",1,IFERROR(VLOOKUP(E453&amp;"USD"&amp;RIGHT(AB453,3),$AF:$AG,2,FALSE),VLOOKUP(E453&amp;"USD"&amp;RIGHT(AJ453,3),$AN:$AO,2,FALSE)))))</f>
        <v>1</v>
      </c>
      <c r="AJ453" s="173" t="str">
        <f>IF(W453="via USD",IF(S453="EUR",S453&amp;"USD","USD"&amp;S453),IFERROR(VLOOKUP(K453&amp;S453,'FX RATES'!$H$2:$H$20,1,FALSE),S453&amp;K453))</f>
        <v>USDRUB</v>
      </c>
      <c r="AK453" s="175">
        <f>IF(LEFT(AJ453,3)=RIGHT(AJ453,3),0,IFERROR(INDEX(CLIENTS!$A$1:$O$649,MATCH(P453,CLIENTS!$A$1:$A$649,0),MATCH(AJ453,CLIENTS!$A$1:$O$1,0)),0))</f>
        <v>0</v>
      </c>
      <c r="AL453" s="176">
        <v>76.552300000000002</v>
      </c>
      <c r="AM453" s="177">
        <f>IF(W453="VENDOR","",IF(AL453="",AP453+AK453,AL453+AK453))</f>
        <v>76.552300000000002</v>
      </c>
      <c r="AN453" s="177" t="str">
        <f>E453&amp;AJ453</f>
        <v>46058USDRUB</v>
      </c>
      <c r="AO453" s="176">
        <v>76.900000000000006</v>
      </c>
      <c r="AP453" s="178">
        <f ca="1">IF(LEFT(AJ453,3)=RIGHT(AJ453,3),1,VLOOKUP(AJ453,'FX RATES'!$H$1:$I$20,2,FALSE))</f>
        <v>76.720500000000001</v>
      </c>
      <c r="AQ453" s="178">
        <f t="shared" ref="AQ453:AQ459" si="496">IF(OR(AJ453="USDAED",LEFT(AJ453,3)=RIGHT(AJ453,3)),AP453,IF(LEFT(AJ453)="USD",AO453,IF(RIGHT(AJ453,3)="USD",1,IFERROR(VLOOKUP(E453&amp;"USD"&amp;RIGHT(AJ453,3),$AN:$AO,2,FALSE),VLOOKUP(E453&amp;"USD"&amp;RIGHT(AB453,3),$AF:$AG,2,FALSE)))))</f>
        <v>76.900000000000006</v>
      </c>
      <c r="AR453" s="179">
        <f>-Q453*(1-Z453)/(1+X453)*IF(W453="CLIENT",IF(S453=RIGHT(AJ453,3),1/AM453,AM453),IF(W453="VENDOR",IF(S453=RIGHT(AJ453,3),1/AE453,AE453),AE453^(VLOOKUP(AB453,'FX RATES'!$H$1:$J$26,3,FALSE))/AM453^(VLOOKUP(AJ453,'FX RATES'!$H$1:$J$26,3,FALSE))))</f>
        <v>0</v>
      </c>
      <c r="AS453" s="179">
        <f>-I453*(1+X453)/(1-Z453)*IF(W453="VENDOR",IF(K453=RIGHT(AB453,3),1/AE453,AE453),IF(W453="CLIENT",IF(K453=RIGHT(AB453,3),1/AM453,AM453),AM453^(VLOOKUP(AJ453,'FX RATES'!$H$1:$J$26,3,FALSE))/AE453^(VLOOKUP(AB453,'FX RATES'!$H$1:$J$26,3,FALSE))))</f>
        <v>100018080.40201007</v>
      </c>
      <c r="AT453" s="170">
        <f>IF(AB453&lt;&gt;AJ453,J453/IF(K453=RIGHT(AB453,3),AE453,1/AE453),IF(S453="USD",J453/IF(K453=RIGHT(AB453,3),IF(W453="CLIENT",AM453,AE453),1/IF(W453="CLIENT",AM453,AE453)),J453*VLOOKUP(K453,'FX RATES'!$E$1:$F$10,2,FALSE)))</f>
        <v>-1300000</v>
      </c>
      <c r="AU453" s="170">
        <f>IF(AB453&lt;&gt;AJ453,R453/IF(S453=RIGHT(AJ453,3),AM453,1/AM453),IF(K453="USD",R453/IF(S453=RIGHT(AJ453,3),IF(W453="CLIENT",AM453,AE453),1/IF(W453="CLIENT",AM453,AE453)),R453*VLOOKUP(S453,'FX RATES'!$E$1:$F$10,2,FALSE)))</f>
        <v>1306532.663316583</v>
      </c>
      <c r="AV453" s="170">
        <f>AT453+AU453</f>
        <v>6532.6633165830281</v>
      </c>
      <c r="AW453" s="169"/>
      <c r="AX453" s="170">
        <f>IF(AND(ISERROR(SEARCH("INVOICE",T453)),ISERROR(SEARCH("SWITCH",T453)),ISERROR(SEARCH("FOREX",T453)),ISERROR(SEARCH("REFUND",A453)),ISERROR(SEARCH("CANCELLED",A453))),IF(AW453="",-AT453*X453+AU453*Z453,AW453),0)</f>
        <v>6532.6633165829153</v>
      </c>
      <c r="AY453" s="170">
        <f>IF(AZ453="USD",AT453,IF(AZ453=K453,J453,-R453))</f>
        <v>-1300000</v>
      </c>
      <c r="AZ453" s="170" t="str">
        <f>LEFT(AB453,3)</f>
        <v>USD</v>
      </c>
      <c r="BA453" s="542">
        <f>IF(OR(A453="REFUND",A453="CANCELLED"),0,IFERROR((IF(OR(AB453="USDAED",LEFT(AB453,3)=RIGHT(AB453,3)),AI453,AG453)-AE453)*-AY453*VLOOKUP(AB453,'FX RATES'!$H$1:$J$26,3,FALSE),0))</f>
        <v>0</v>
      </c>
      <c r="BB453" s="170" t="str">
        <f>RIGHT(AB453,3)</f>
        <v>USD</v>
      </c>
      <c r="BC453" s="542">
        <f>IF(BA453=0,0,IFERROR(BA453/IF(BB453&lt;&gt;"USD",AI453,1),"???"))</f>
        <v>0</v>
      </c>
      <c r="BD453" s="170">
        <f>IFERROR(-AC453/(IF(OR(AB453="USDAED",LEFT(AB453,3)=RIGHT(AB453,3)),AH453,AG453)-AE453)*BC453,0)</f>
        <v>0</v>
      </c>
      <c r="BE453" s="542">
        <f>BC453-BD453</f>
        <v>0</v>
      </c>
      <c r="BF453" s="170">
        <f>IF(BG453="USD",AU453,IF(BG453=S453,R453,-J453))</f>
        <v>1306532.663316583</v>
      </c>
      <c r="BG453" s="170" t="str">
        <f>LEFT(AJ453,3)</f>
        <v>USD</v>
      </c>
      <c r="BH453" s="542">
        <f>IF(OR(A453="REFUND",A453="CANCELLED"),0,IFERROR((IF(OR(AJ453="USDAED",LEFT(AJ453,3)=RIGHT(AJ453,3)),AQ453,AO453)-AM453)*-BF453*VLOOKUP(AJ453,'FX RATES'!$H$1:$J$26,3,FALSE),0))</f>
        <v>-454281.40703518013</v>
      </c>
      <c r="BI453" s="170" t="str">
        <f>RIGHT(AJ453,3)</f>
        <v>RUB</v>
      </c>
      <c r="BJ453" s="542">
        <f>IF(BH453=0,0,IFERROR(BH453/IF(BI453&lt;&gt;"USD",AQ453,1),"???"))</f>
        <v>-5907.430520613525</v>
      </c>
      <c r="BK453" s="170">
        <f>IFERROR(-AK453/(IF(OR(AJ453="USDAED",LEFT(AJ453,3)=RIGHT(AJ453,3)),AP453,AO453)-AM453)*BJ453,0)</f>
        <v>0</v>
      </c>
      <c r="BL453" s="542">
        <f>BJ453-BK453</f>
        <v>-5907.430520613525</v>
      </c>
      <c r="BM453" s="170">
        <f>IF(AND(ISERROR(SEARCH("REFUND",A453)),ISERROR(SEARCH("CANCELLED",A453))),BD453+BK453,0)</f>
        <v>0</v>
      </c>
      <c r="BN453" s="542">
        <f>IF(AND(ISERROR(SEARCH("REFUND",A453)),ISERROR(SEARCH("CANCELLED",A453))),BE453+BL453,0)</f>
        <v>-5907.430520613525</v>
      </c>
    </row>
    <row r="454" spans="1:66" ht="19.5" customHeight="1">
      <c r="A454" s="167" t="s">
        <v>366</v>
      </c>
      <c r="B454" s="168" t="s">
        <v>39</v>
      </c>
      <c r="C454" s="168" t="s">
        <v>367</v>
      </c>
      <c r="D454" s="168" t="s">
        <v>368</v>
      </c>
      <c r="E454" s="171">
        <v>46058</v>
      </c>
      <c r="F454" s="171"/>
      <c r="G454" s="168" t="s">
        <v>39</v>
      </c>
      <c r="H454" s="186" t="s">
        <v>547</v>
      </c>
      <c r="I454" s="169">
        <v>-207798.7</v>
      </c>
      <c r="J454" s="170">
        <f>IF(I454="",AR454,I454)</f>
        <v>-207798.7</v>
      </c>
      <c r="K454" s="168" t="s">
        <v>8</v>
      </c>
      <c r="L454" s="171" t="s">
        <v>548</v>
      </c>
      <c r="M454" s="168" t="s">
        <v>20</v>
      </c>
      <c r="N454" s="167" t="s">
        <v>371</v>
      </c>
      <c r="O454" s="168" t="s">
        <v>52</v>
      </c>
      <c r="P454" s="168" t="s">
        <v>379</v>
      </c>
      <c r="Q454" s="169"/>
      <c r="R454" s="170">
        <f>IF(Q454="",AS454,Q454)</f>
        <v>4356241.2668273253</v>
      </c>
      <c r="S454" s="168" t="s">
        <v>9</v>
      </c>
      <c r="T454" s="171" t="s">
        <v>380</v>
      </c>
      <c r="U454" s="171" t="s">
        <v>25</v>
      </c>
      <c r="V454" s="167" t="s">
        <v>371</v>
      </c>
      <c r="W454" s="172" t="s">
        <v>375</v>
      </c>
      <c r="X454" s="173">
        <f>IF(Y454="",VLOOKUP(H454,CLIENTS!$A$1:$O$649,5,FALSE),Y454)</f>
        <v>0</v>
      </c>
      <c r="Y454" s="174">
        <v>0</v>
      </c>
      <c r="Z454" s="173">
        <f>IF(AA454="",VLOOKUP(P454,CLIENTS!$A$1:$O$649,5,FALSE),AA454)</f>
        <v>5.0000000000000001E-3</v>
      </c>
      <c r="AA454" s="174">
        <v>5.0000000000000001E-3</v>
      </c>
      <c r="AB454" s="173" t="str">
        <f>IF(W454="via USD",IF(K454="EUR",K454&amp;"USD","USD"&amp;K454),IFERROR(VLOOKUP(K454&amp;S454,'FX RATES'!$H$2:$H$20,1,FALSE),S454&amp;K454))</f>
        <v>USDAED</v>
      </c>
      <c r="AC454" s="175">
        <f>IF(LEFT(AB454,3)=RIGHT(AB454,3),0,IFERROR(INDEX(CLIENTS!$A$1:$O$649,MATCH(H454,CLIENTS!$A$1:$A$649,0),MATCH(AB454,CLIENTS!$A$1:$O$1,0)),0))</f>
        <v>0</v>
      </c>
      <c r="AD454" s="176">
        <v>3.67</v>
      </c>
      <c r="AE454" s="177">
        <f>IF(W454="CLIENT","",IF(AD454="",AH454+AC454,AD454+AC454))</f>
        <v>3.67</v>
      </c>
      <c r="AF454" s="177" t="str">
        <f>E454&amp;AB454</f>
        <v>46058USDAED</v>
      </c>
      <c r="AG454" s="176"/>
      <c r="AH454" s="178">
        <f>IF(LEFT(AB454,3)=RIGHT(AB454,3),1,VLOOKUP(AB454,'FX RATES'!$H$1:$I$20,2,FALSE))</f>
        <v>3.6724999999999999</v>
      </c>
      <c r="AI454" s="178">
        <f t="shared" si="495"/>
        <v>3.6724999999999999</v>
      </c>
      <c r="AJ454" s="173" t="str">
        <f>IF(W454="via USD",IF(S454="EUR",S454&amp;"USD","USD"&amp;S454),IFERROR(VLOOKUP(K454&amp;S454,'FX RATES'!$H$2:$H$20,1,FALSE),S454&amp;K454))</f>
        <v>USDRUB</v>
      </c>
      <c r="AK454" s="175">
        <f>IF(LEFT(AJ454,3)=RIGHT(AJ454,3),0,IFERROR(INDEX(CLIENTS!$A$1:$O$649,MATCH(P454,CLIENTS!$A$1:$A$649,0),MATCH(AJ454,CLIENTS!$A$1:$O$1,0)),0))</f>
        <v>0</v>
      </c>
      <c r="AL454" s="176">
        <v>76.552300000000002</v>
      </c>
      <c r="AM454" s="177">
        <f>IF(W454="VENDOR","",IF(AL454="",AP454+AK454,AL454+AK454))</f>
        <v>76.552300000000002</v>
      </c>
      <c r="AN454" s="177" t="str">
        <f>E454&amp;AJ454</f>
        <v>46058USDRUB</v>
      </c>
      <c r="AO454" s="176">
        <v>76.900000000000006</v>
      </c>
      <c r="AP454" s="178">
        <f ca="1">IF(LEFT(AJ454,3)=RIGHT(AJ454,3),1,VLOOKUP(AJ454,'FX RATES'!$H$1:$I$20,2,FALSE))</f>
        <v>76.720500000000001</v>
      </c>
      <c r="AQ454" s="178">
        <f t="shared" si="496"/>
        <v>76.900000000000006</v>
      </c>
      <c r="AR454" s="179">
        <f>-Q454*(1-Z454)/(1+X454)*IF(W454="CLIENT",IF(S454=RIGHT(AJ454,3),1/AM454,AM454),IF(W454="VENDOR",IF(S454=RIGHT(AJ454,3),1/AE454,AE454),AE454^(VLOOKUP(AB454,'FX RATES'!$H$1:$J$26,3,FALSE))/AM454^(VLOOKUP(AJ454,'FX RATES'!$H$1:$J$26,3,FALSE))))</f>
        <v>0</v>
      </c>
      <c r="AS454" s="179">
        <f>-I454*(1+X454)/(1-Z454)*IF(W454="VENDOR",IF(K454=RIGHT(AB454,3),1/AE454,AE454),IF(W454="CLIENT",IF(K454=RIGHT(AB454,3),1/AM454,AM454),AM454^(VLOOKUP(AJ454,'FX RATES'!$H$1:$J$26,3,FALSE))/AE454^(VLOOKUP(AB454,'FX RATES'!$H$1:$J$26,3,FALSE))))</f>
        <v>4356241.2668273253</v>
      </c>
      <c r="AT454" s="170">
        <f>IF(AB454&lt;&gt;AJ454,J454/IF(K454=RIGHT(AB454,3),AE454,1/AE454),IF(S454="USD",J454/IF(K454=RIGHT(AB454,3),IF(W454="CLIENT",AM454,AE454),1/IF(W454="CLIENT",AM454,AE454)),J454*VLOOKUP(K454,'FX RATES'!$E$1:$F$10,2,FALSE)))</f>
        <v>-56620.899182561312</v>
      </c>
      <c r="AU454" s="170">
        <f>IF(AB454&lt;&gt;AJ454,R454/IF(S454=RIGHT(AJ454,3),AM454,1/AM454),IF(K454="USD",R454/IF(S454=RIGHT(AJ454,3),IF(W454="CLIENT",AM454,AE454),1/IF(W454="CLIENT",AM454,AE454)),R454*VLOOKUP(S454,'FX RATES'!$E$1:$F$10,2,FALSE)))</f>
        <v>56905.426314131975</v>
      </c>
      <c r="AV454" s="170">
        <f>AT454+AU454</f>
        <v>284.52713157066319</v>
      </c>
      <c r="AW454" s="169"/>
      <c r="AX454" s="170">
        <f>IF(AND(ISERROR(SEARCH("INVOICE",T454)),ISERROR(SEARCH("SWITCH",T454)),ISERROR(SEARCH("FOREX",T454)),ISERROR(SEARCH("REFUND",A454)),ISERROR(SEARCH("CANCELLED",A454))),IF(AW454="",-AT454*X454+AU454*Z454,AW454),0)</f>
        <v>284.52713157065989</v>
      </c>
      <c r="AY454" s="170">
        <f>IF(AZ454="USD",AT454,IF(AZ454=K454,J454,-R454))</f>
        <v>-56620.899182561312</v>
      </c>
      <c r="AZ454" s="170" t="str">
        <f>LEFT(AB454,3)</f>
        <v>USD</v>
      </c>
      <c r="BA454" s="542">
        <f>IF(OR(A454="REFUND",A454="CANCELLED"),0,IFERROR((IF(OR(AB454="USDAED",LEFT(AB454,3)=RIGHT(AB454,3)),AI454,AG454)-AE454)*-AY454*VLOOKUP(AB454,'FX RATES'!$H$1:$J$26,3,FALSE),0))</f>
        <v>141.55224795640027</v>
      </c>
      <c r="BB454" s="170" t="str">
        <f>RIGHT(AB454,3)</f>
        <v>AED</v>
      </c>
      <c r="BC454" s="542">
        <f>IF(BA454=0,0,IFERROR(BA454/IF(BB454&lt;&gt;"USD",AI454,1),"???"))</f>
        <v>38.543838790034108</v>
      </c>
      <c r="BD454" s="170">
        <f>IFERROR(-AC454/(IF(OR(AB454="USDAED",LEFT(AB454,3)=RIGHT(AB454,3)),AH454,AG454)-AE454)*BC454,0)</f>
        <v>0</v>
      </c>
      <c r="BE454" s="542">
        <f>BC454-BD454</f>
        <v>38.543838790034108</v>
      </c>
      <c r="BF454" s="170">
        <f>IF(BG454="USD",AU454,IF(BG454=S454,R454,-J454))</f>
        <v>56905.426314131975</v>
      </c>
      <c r="BG454" s="170" t="str">
        <f>LEFT(AJ454,3)</f>
        <v>USD</v>
      </c>
      <c r="BH454" s="542">
        <f>IF(OR(A454="REFUND",A454="CANCELLED"),0,IFERROR((IF(OR(AJ454="USDAED",LEFT(AJ454,3)=RIGHT(AJ454,3)),AQ454,AO454)-AM454)*-BF454*VLOOKUP(AJ454,'FX RATES'!$H$1:$J$26,3,FALSE),0))</f>
        <v>-19786.016729423871</v>
      </c>
      <c r="BI454" s="170" t="str">
        <f>RIGHT(AJ454,3)</f>
        <v>RUB</v>
      </c>
      <c r="BJ454" s="542">
        <f>IF(BH454=0,0,IFERROR(BH454/IF(BI454&lt;&gt;"USD",AQ454,1),"???"))</f>
        <v>-257.29540610434162</v>
      </c>
      <c r="BK454" s="170">
        <f>IFERROR(-AK454/(IF(OR(AJ454="USDAED",LEFT(AJ454,3)=RIGHT(AJ454,3)),AP454,AO454)-AM454)*BJ454,0)</f>
        <v>0</v>
      </c>
      <c r="BL454" s="542">
        <f>BJ454-BK454</f>
        <v>-257.29540610434162</v>
      </c>
      <c r="BM454" s="170">
        <f>IF(AND(ISERROR(SEARCH("REFUND",A454)),ISERROR(SEARCH("CANCELLED",A454))),BD454+BK454,0)</f>
        <v>0</v>
      </c>
      <c r="BN454" s="542">
        <f>IF(AND(ISERROR(SEARCH("REFUND",A454)),ISERROR(SEARCH("CANCELLED",A454))),BE454+BL454,0)</f>
        <v>-218.75156731430752</v>
      </c>
    </row>
    <row r="455" spans="1:66" ht="19.5" customHeight="1">
      <c r="A455" s="167" t="s">
        <v>366</v>
      </c>
      <c r="B455" s="168" t="s">
        <v>39</v>
      </c>
      <c r="C455" s="168" t="s">
        <v>367</v>
      </c>
      <c r="D455" s="168" t="s">
        <v>368</v>
      </c>
      <c r="E455" s="171">
        <v>46058</v>
      </c>
      <c r="F455" s="171"/>
      <c r="G455" s="168" t="s">
        <v>39</v>
      </c>
      <c r="H455" s="181" t="s">
        <v>599</v>
      </c>
      <c r="I455" s="169">
        <v>-130652</v>
      </c>
      <c r="J455" s="170">
        <f t="shared" ref="J455" si="497">IF(I455="",AR455,I455)</f>
        <v>-130652</v>
      </c>
      <c r="K455" s="168" t="s">
        <v>8</v>
      </c>
      <c r="L455" s="168" t="s">
        <v>548</v>
      </c>
      <c r="M455" s="168" t="s">
        <v>20</v>
      </c>
      <c r="N455" s="167" t="s">
        <v>371</v>
      </c>
      <c r="O455" s="168" t="s">
        <v>52</v>
      </c>
      <c r="P455" s="168" t="s">
        <v>379</v>
      </c>
      <c r="Q455" s="169"/>
      <c r="R455" s="170">
        <f t="shared" ref="R455" si="498">IF(Q455="",AS455,Q455)</f>
        <v>2738956.6633165833</v>
      </c>
      <c r="S455" s="168" t="s">
        <v>9</v>
      </c>
      <c r="T455" s="171" t="s">
        <v>380</v>
      </c>
      <c r="U455" s="171" t="s">
        <v>25</v>
      </c>
      <c r="V455" s="167" t="s">
        <v>371</v>
      </c>
      <c r="W455" s="172" t="s">
        <v>375</v>
      </c>
      <c r="X455" s="173">
        <f>IF(Y455="",VLOOKUP(H455,CLIENTS!$A$1:$O$649,5,FALSE),Y455)</f>
        <v>0</v>
      </c>
      <c r="Y455" s="174">
        <v>0</v>
      </c>
      <c r="Z455" s="173">
        <f>IF(AA455="",VLOOKUP(P455,CLIENTS!$A$1:$O$649,5,FALSE),AA455)</f>
        <v>5.0000000000000001E-3</v>
      </c>
      <c r="AA455" s="174">
        <v>5.0000000000000001E-3</v>
      </c>
      <c r="AB455" s="173" t="str">
        <f>IF(W455="via USD",IF(K455="EUR",K455&amp;"USD","USD"&amp;K455),IFERROR(VLOOKUP(K455&amp;S455,'FX RATES'!$H$2:$H$20,1,FALSE),S455&amp;K455))</f>
        <v>USDAED</v>
      </c>
      <c r="AC455" s="175">
        <f>IF(LEFT(AB455,3)=RIGHT(AB455,3),0,IFERROR(INDEX(CLIENTS!$A$1:$O$649,MATCH(H455,CLIENTS!$A$1:$A$649,0),MATCH(AB455,CLIENTS!$A$1:$O$1,0)),0))</f>
        <v>0</v>
      </c>
      <c r="AD455" s="176">
        <v>3.67</v>
      </c>
      <c r="AE455" s="177">
        <f t="shared" ref="AE455" si="499">IF(W455="CLIENT","",IF(AD455="",AH455+AC455,AD455+AC455))</f>
        <v>3.67</v>
      </c>
      <c r="AF455" s="177" t="str">
        <f t="shared" ref="AF455" si="500">E455&amp;AB455</f>
        <v>46058USDAED</v>
      </c>
      <c r="AG455" s="176"/>
      <c r="AH455" s="178">
        <f>IF(LEFT(AB455,3)=RIGHT(AB455,3),1,VLOOKUP(AB455,'FX RATES'!$H$1:$I$20,2,FALSE))</f>
        <v>3.6724999999999999</v>
      </c>
      <c r="AI455" s="178">
        <f t="shared" si="495"/>
        <v>3.6724999999999999</v>
      </c>
      <c r="AJ455" s="173" t="str">
        <f>IF(W455="via USD",IF(S455="EUR",S455&amp;"USD","USD"&amp;S455),IFERROR(VLOOKUP(K455&amp;S455,'FX RATES'!$H$2:$H$20,1,FALSE),S455&amp;K455))</f>
        <v>USDRUB</v>
      </c>
      <c r="AK455" s="175">
        <f>IF(LEFT(AJ455,3)=RIGHT(AJ455,3),0,IFERROR(INDEX(CLIENTS!$A$1:$O$649,MATCH(P455,CLIENTS!$A$1:$A$649,0),MATCH(AJ455,CLIENTS!$A$1:$O$1,0)),0))</f>
        <v>0</v>
      </c>
      <c r="AL455" s="176">
        <v>76.552300000000002</v>
      </c>
      <c r="AM455" s="177">
        <f t="shared" ref="AM455" si="501">IF(W455="VENDOR","",IF(AL455="",AP455+AK455,AL455+AK455))</f>
        <v>76.552300000000002</v>
      </c>
      <c r="AN455" s="177" t="str">
        <f t="shared" ref="AN455" si="502">E455&amp;AJ455</f>
        <v>46058USDRUB</v>
      </c>
      <c r="AO455" s="176">
        <v>76.900000000000006</v>
      </c>
      <c r="AP455" s="178">
        <f ca="1">IF(LEFT(AJ455,3)=RIGHT(AJ455,3),1,VLOOKUP(AJ455,'FX RATES'!$H$1:$I$20,2,FALSE))</f>
        <v>76.720500000000001</v>
      </c>
      <c r="AQ455" s="178">
        <f t="shared" si="496"/>
        <v>76.900000000000006</v>
      </c>
      <c r="AR455" s="179">
        <f>-Q455*(1-Z455)/(1+X455)*IF(W455="CLIENT",IF(S455=RIGHT(AJ455,3),1/AM455,AM455),IF(W455="VENDOR",IF(S455=RIGHT(AJ455,3),1/AE455,AE455),AE455^(VLOOKUP(AB455,'FX RATES'!$H$1:$J$26,3,FALSE))/AM455^(VLOOKUP(AJ455,'FX RATES'!$H$1:$J$26,3,FALSE))))</f>
        <v>0</v>
      </c>
      <c r="AS455" s="179">
        <f>-I455*(1+X455)/(1-Z455)*IF(W455="VENDOR",IF(K455=RIGHT(AB455,3),1/AE455,AE455),IF(W455="CLIENT",IF(K455=RIGHT(AB455,3),1/AM455,AM455),AM455^(VLOOKUP(AJ455,'FX RATES'!$H$1:$J$26,3,FALSE))/AE455^(VLOOKUP(AB455,'FX RATES'!$H$1:$J$26,3,FALSE))))</f>
        <v>2738956.6633165833</v>
      </c>
      <c r="AT455" s="170">
        <f>IF(AB455&lt;&gt;AJ455,J455/IF(K455=RIGHT(AB455,3),AE455,1/AE455),IF(S455="USD",J455/IF(K455=RIGHT(AB455,3),IF(W455="CLIENT",AM455,AE455),1/IF(W455="CLIENT",AM455,AE455)),J455*VLOOKUP(K455,'FX RATES'!$E$1:$F$10,2,FALSE)))</f>
        <v>-35600</v>
      </c>
      <c r="AU455" s="170">
        <f>IF(AB455&lt;&gt;AJ455,R455/IF(S455=RIGHT(AJ455,3),AM455,1/AM455),IF(K455="USD",R455/IF(S455=RIGHT(AJ455,3),IF(W455="CLIENT",AM455,AE455),1/IF(W455="CLIENT",AM455,AE455)),R455*VLOOKUP(S455,'FX RATES'!$E$1:$F$10,2,FALSE)))</f>
        <v>35778.894472361811</v>
      </c>
      <c r="AV455" s="170">
        <f t="shared" ref="AV455" si="503">AT455+AU455</f>
        <v>178.89447236181149</v>
      </c>
      <c r="AW455" s="169"/>
      <c r="AX455" s="170">
        <f t="shared" ref="AX455" si="504">IF(AND(ISERROR(SEARCH("INVOICE",T455)),ISERROR(SEARCH("SWITCH",T455)),ISERROR(SEARCH("FOREX",T455)),ISERROR(SEARCH("REFUND",A455)),ISERROR(SEARCH("CANCELLED",A455))),IF(AW455="",-AT455*X455+AU455*Z455,AW455),0)</f>
        <v>178.89447236180905</v>
      </c>
      <c r="AY455" s="170">
        <f t="shared" ref="AY455" si="505">IF(AZ455="USD",AT455,IF(AZ455=K455,J455,-R455))</f>
        <v>-35600</v>
      </c>
      <c r="AZ455" s="170" t="str">
        <f t="shared" ref="AZ455" si="506">LEFT(AB455,3)</f>
        <v>USD</v>
      </c>
      <c r="BA455" s="542">
        <f>IF(OR(A455="REFUND",A455="CANCELLED"),0,IFERROR((IF(OR(AB455="USDAED",LEFT(AB455,3)=RIGHT(AB455,3)),AI455,AG455)-AE455)*-AY455*VLOOKUP(AB455,'FX RATES'!$H$1:$J$26,3,FALSE),0))</f>
        <v>88.999999999998096</v>
      </c>
      <c r="BB455" s="170" t="str">
        <f t="shared" ref="BB455" si="507">RIGHT(AB455,3)</f>
        <v>AED</v>
      </c>
      <c r="BC455" s="542">
        <f t="shared" ref="BC455" si="508">IF(BA455=0,0,IFERROR(BA455/IF(BB455&lt;&gt;"USD",AI455,1),"???"))</f>
        <v>24.23417290673876</v>
      </c>
      <c r="BD455" s="170">
        <f t="shared" ref="BD455" si="509">IFERROR(-AC455/(IF(OR(AB455="USDAED",LEFT(AB455,3)=RIGHT(AB455,3)),AH455,AG455)-AE455)*BC455,0)</f>
        <v>0</v>
      </c>
      <c r="BE455" s="542">
        <f t="shared" ref="BE455" si="510">BC455-BD455</f>
        <v>24.23417290673876</v>
      </c>
      <c r="BF455" s="170">
        <f t="shared" ref="BF455" si="511">IF(BG455="USD",AU455,IF(BG455=S455,R455,-J455))</f>
        <v>35778.894472361811</v>
      </c>
      <c r="BG455" s="170" t="str">
        <f t="shared" ref="BG455" si="512">LEFT(AJ455,3)</f>
        <v>USD</v>
      </c>
      <c r="BH455" s="542">
        <f>IF(OR(A455="REFUND",A455="CANCELLED"),0,IFERROR((IF(OR(AJ455="USDAED",LEFT(AJ455,3)=RIGHT(AJ455,3)),AQ455,AO455)-AM455)*-BF455*VLOOKUP(AJ455,'FX RATES'!$H$1:$J$26,3,FALSE),0))</f>
        <v>-12440.321608040318</v>
      </c>
      <c r="BI455" s="170" t="str">
        <f t="shared" ref="BI455" si="513">RIGHT(AJ455,3)</f>
        <v>RUB</v>
      </c>
      <c r="BJ455" s="542">
        <f t="shared" ref="BJ455" si="514">IF(BH455=0,0,IFERROR(BH455/IF(BI455&lt;&gt;"USD",AQ455,1),"???"))</f>
        <v>-161.77271271833962</v>
      </c>
      <c r="BK455" s="170">
        <f t="shared" ref="BK455" si="515">IFERROR(-AK455/(IF(OR(AJ455="USDAED",LEFT(AJ455,3)=RIGHT(AJ455,3)),AP455,AO455)-AM455)*BJ455,0)</f>
        <v>0</v>
      </c>
      <c r="BL455" s="542">
        <f t="shared" ref="BL455" si="516">BJ455-BK455</f>
        <v>-161.77271271833962</v>
      </c>
      <c r="BM455" s="170">
        <f t="shared" ref="BM455" si="517">IF(AND(ISERROR(SEARCH("REFUND",A455)),ISERROR(SEARCH("CANCELLED",A455))),BD455+BK455,0)</f>
        <v>0</v>
      </c>
      <c r="BN455" s="542">
        <f t="shared" ref="BN455" si="518">IF(AND(ISERROR(SEARCH("REFUND",A455)),ISERROR(SEARCH("CANCELLED",A455))),BE455+BL455,0)</f>
        <v>-137.53853981160086</v>
      </c>
    </row>
    <row r="456" spans="1:66" ht="19.5" customHeight="1">
      <c r="A456" s="167" t="s">
        <v>366</v>
      </c>
      <c r="B456" s="168" t="s">
        <v>39</v>
      </c>
      <c r="C456" s="168" t="s">
        <v>367</v>
      </c>
      <c r="D456" s="181" t="s">
        <v>368</v>
      </c>
      <c r="E456" s="171">
        <v>46058</v>
      </c>
      <c r="F456" s="171"/>
      <c r="G456" s="168" t="s">
        <v>39</v>
      </c>
      <c r="H456" s="181" t="s">
        <v>425</v>
      </c>
      <c r="I456" s="169">
        <v>-693141.57</v>
      </c>
      <c r="J456" s="170">
        <f>IF(I456="",AR456,I456)</f>
        <v>-693141.57</v>
      </c>
      <c r="K456" s="168" t="s">
        <v>5</v>
      </c>
      <c r="L456" s="168" t="s">
        <v>426</v>
      </c>
      <c r="M456" s="168" t="s">
        <v>20</v>
      </c>
      <c r="N456" s="167" t="s">
        <v>371</v>
      </c>
      <c r="O456" s="168" t="s">
        <v>52</v>
      </c>
      <c r="P456" s="349" t="s">
        <v>379</v>
      </c>
      <c r="Q456" s="169"/>
      <c r="R456" s="170">
        <f>IF(Q456="",AS456,Q456)</f>
        <v>53328222.52171959</v>
      </c>
      <c r="S456" s="168" t="s">
        <v>9</v>
      </c>
      <c r="T456" s="171" t="s">
        <v>380</v>
      </c>
      <c r="U456" s="171" t="s">
        <v>25</v>
      </c>
      <c r="V456" s="167" t="s">
        <v>371</v>
      </c>
      <c r="W456" s="172" t="s">
        <v>375</v>
      </c>
      <c r="X456" s="173">
        <f>IF(Y456="",VLOOKUP(H456,CLIENTS!$A$1:$O$649,5,FALSE),Y456)</f>
        <v>0</v>
      </c>
      <c r="Y456" s="174">
        <v>0</v>
      </c>
      <c r="Z456" s="173">
        <f>IF(AA456="",VLOOKUP(P456,CLIENTS!$A$1:$O$649,5,FALSE),AA456)</f>
        <v>5.0000000000000001E-3</v>
      </c>
      <c r="AA456" s="174">
        <v>5.0000000000000001E-3</v>
      </c>
      <c r="AB456" s="173" t="str">
        <f>IF(W456="via USD",IF(K456="EUR",K456&amp;"USD","USD"&amp;K456),IFERROR(VLOOKUP(K456&amp;S456,'FX RATES'!$H$2:$H$20,1,FALSE),S456&amp;K456))</f>
        <v>USDUSD</v>
      </c>
      <c r="AC456" s="175">
        <f>IF(LEFT(AB456,3)=RIGHT(AB456,3),0,IFERROR(INDEX(CLIENTS!$A$1:$O$649,MATCH(H456,CLIENTS!$A$1:$A$649,0),MATCH(AB456,CLIENTS!$A$1:$O$1,0)),0))</f>
        <v>0</v>
      </c>
      <c r="AD456" s="176"/>
      <c r="AE456" s="177">
        <f>IF(W456="CLIENT","",IF(AD456="",AH456+AC456,AD456+AC456))</f>
        <v>1</v>
      </c>
      <c r="AF456" s="177" t="str">
        <f>E456&amp;AB456</f>
        <v>46058USDUSD</v>
      </c>
      <c r="AG456" s="176"/>
      <c r="AH456" s="178">
        <f>IF(LEFT(AB456,3)=RIGHT(AB456,3),1,VLOOKUP(AB456,'FX RATES'!$H$1:$I$20,2,FALSE))</f>
        <v>1</v>
      </c>
      <c r="AI456" s="178">
        <f t="shared" si="495"/>
        <v>1</v>
      </c>
      <c r="AJ456" s="173" t="str">
        <f>IF(W456="via USD",IF(S456="EUR",S456&amp;"USD","USD"&amp;S456),IFERROR(VLOOKUP(K456&amp;S456,'FX RATES'!$H$2:$H$20,1,FALSE),S456&amp;K456))</f>
        <v>USDRUB</v>
      </c>
      <c r="AK456" s="175">
        <f>IF(LEFT(AJ456,3)=RIGHT(AJ456,3),0,IFERROR(INDEX(CLIENTS!$A$1:$O$649,MATCH(P456,CLIENTS!$A$1:$A$649,0),MATCH(AJ456,CLIENTS!$A$1:$O$1,0)),0))</f>
        <v>0</v>
      </c>
      <c r="AL456" s="176">
        <v>76.552300000000002</v>
      </c>
      <c r="AM456" s="177">
        <f>IF(W456="VENDOR","",IF(AL456="",AP456+AK456,AL456+AK456))</f>
        <v>76.552300000000002</v>
      </c>
      <c r="AN456" s="177" t="str">
        <f>E456&amp;AJ456</f>
        <v>46058USDRUB</v>
      </c>
      <c r="AO456" s="176">
        <v>76.900000000000006</v>
      </c>
      <c r="AP456" s="178">
        <f ca="1">IF(LEFT(AJ456,3)=RIGHT(AJ456,3),1,VLOOKUP(AJ456,'FX RATES'!$H$1:$I$20,2,FALSE))</f>
        <v>76.720500000000001</v>
      </c>
      <c r="AQ456" s="178">
        <f t="shared" si="496"/>
        <v>76.900000000000006</v>
      </c>
      <c r="AR456" s="179">
        <f>-Q456*(1-Z456)/(1+X456)*IF(W456="CLIENT",IF(S456=RIGHT(AJ456,3),1/AM456,AM456),IF(W456="VENDOR",IF(S456=RIGHT(AJ456,3),1/AE456,AE456),AE456^(VLOOKUP(AB456,'FX RATES'!$H$1:$J$26,3,FALSE))/AM456^(VLOOKUP(AJ456,'FX RATES'!$H$1:$J$26,3,FALSE))))</f>
        <v>0</v>
      </c>
      <c r="AS456" s="179">
        <f>-I456*(1+X456)/(1-Z456)*IF(W456="VENDOR",IF(K456=RIGHT(AB456,3),1/AE456,AE456),IF(W456="CLIENT",IF(K456=RIGHT(AB456,3),1/AM456,AM456),AM456^(VLOOKUP(AJ456,'FX RATES'!$H$1:$J$26,3,FALSE))/AE456^(VLOOKUP(AB456,'FX RATES'!$H$1:$J$26,3,FALSE))))</f>
        <v>53328222.52171959</v>
      </c>
      <c r="AT456" s="170">
        <f>IF(AB456&lt;&gt;AJ456,J456/IF(K456=RIGHT(AB456,3),AE456,1/AE456),IF(S456="USD",J456/IF(K456=RIGHT(AB456,3),IF(W456="CLIENT",AM456,AE456),1/IF(W456="CLIENT",AM456,AE456)),J456*VLOOKUP(K456,'FX RATES'!$E$1:$F$10,2,FALSE)))</f>
        <v>-693141.57</v>
      </c>
      <c r="AU456" s="170">
        <f>IF(AB456&lt;&gt;AJ456,R456/IF(S456=RIGHT(AJ456,3),AM456,1/AM456),IF(K456="USD",R456/IF(S456=RIGHT(AJ456,3),IF(W456="CLIENT",AM456,AE456),1/IF(W456="CLIENT",AM456,AE456)),R456*VLOOKUP(S456,'FX RATES'!$E$1:$F$10,2,FALSE)))</f>
        <v>696624.69346733659</v>
      </c>
      <c r="AV456" s="170">
        <f>AT456+AU456</f>
        <v>3483.1234673366416</v>
      </c>
      <c r="AW456" s="169"/>
      <c r="AX456" s="170">
        <f>IF(AND(ISERROR(SEARCH("INVOICE",T456)),ISERROR(SEARCH("SWITCH",T456)),ISERROR(SEARCH("FOREX",T456)),ISERROR(SEARCH("REFUND",A456)),ISERROR(SEARCH("CANCELLED",A456))),IF(AW456="",-AT456*X456+AU456*Z456,AW456),0)</f>
        <v>3483.123467336683</v>
      </c>
      <c r="AY456" s="170">
        <f>IF(AZ456="USD",AT456,IF(AZ456=K456,J456,-R456))</f>
        <v>-693141.57</v>
      </c>
      <c r="AZ456" s="170" t="str">
        <f>LEFT(AB456,3)</f>
        <v>USD</v>
      </c>
      <c r="BA456" s="542">
        <f>IF(OR(A456="REFUND",A456="CANCELLED"),0,IFERROR((IF(OR(AB456="USDAED",LEFT(AB456,3)=RIGHT(AB456,3)),AI456,AG456)-AE456)*-AY456*VLOOKUP(AB456,'FX RATES'!$H$1:$J$26,3,FALSE),0))</f>
        <v>0</v>
      </c>
      <c r="BB456" s="170" t="str">
        <f>RIGHT(AB456,3)</f>
        <v>USD</v>
      </c>
      <c r="BC456" s="542">
        <f>IF(BA456=0,0,IFERROR(BA456/IF(BB456&lt;&gt;"USD",AI456,1),"???"))</f>
        <v>0</v>
      </c>
      <c r="BD456" s="170">
        <f>IFERROR(-AC456/(IF(OR(AB456="USDAED",LEFT(AB456,3)=RIGHT(AB456,3)),AH456,AG456)-AE456)*BC456,0)</f>
        <v>0</v>
      </c>
      <c r="BE456" s="542">
        <f>BC456-BD456</f>
        <v>0</v>
      </c>
      <c r="BF456" s="170">
        <f>IF(BG456="USD",AU456,IF(BG456=S456,R456,-J456))</f>
        <v>696624.69346733659</v>
      </c>
      <c r="BG456" s="170" t="str">
        <f>LEFT(AJ456,3)</f>
        <v>USD</v>
      </c>
      <c r="BH456" s="542">
        <f>IF(OR(A456="REFUND",A456="CANCELLED"),0,IFERROR((IF(OR(AJ456="USDAED",LEFT(AJ456,3)=RIGHT(AJ456,3)),AQ456,AO456)-AM456)*-BF456*VLOOKUP(AJ456,'FX RATES'!$H$1:$J$26,3,FALSE),0))</f>
        <v>-242216.40591859518</v>
      </c>
      <c r="BI456" s="170" t="str">
        <f>RIGHT(AJ456,3)</f>
        <v>RUB</v>
      </c>
      <c r="BJ456" s="542">
        <f>IF(BH456=0,0,IFERROR(BH456/IF(BI456&lt;&gt;"USD",AQ456,1),"???"))</f>
        <v>-3149.7582044030578</v>
      </c>
      <c r="BK456" s="170">
        <f>IFERROR(-AK456/(IF(OR(AJ456="USDAED",LEFT(AJ456,3)=RIGHT(AJ456,3)),AP456,AO456)-AM456)*BJ456,0)</f>
        <v>0</v>
      </c>
      <c r="BL456" s="542">
        <f>BJ456-BK456</f>
        <v>-3149.7582044030578</v>
      </c>
      <c r="BM456" s="170">
        <f>IF(AND(ISERROR(SEARCH("REFUND",A456)),ISERROR(SEARCH("CANCELLED",A456))),BD456+BK456,0)</f>
        <v>0</v>
      </c>
      <c r="BN456" s="542">
        <f>IF(AND(ISERROR(SEARCH("REFUND",A456)),ISERROR(SEARCH("CANCELLED",A456))),BE456+BL456,0)</f>
        <v>-3149.7582044030578</v>
      </c>
    </row>
    <row r="457" spans="1:66" ht="19.5" customHeight="1">
      <c r="A457" s="167" t="s">
        <v>366</v>
      </c>
      <c r="B457" s="168" t="s">
        <v>39</v>
      </c>
      <c r="C457" s="168" t="s">
        <v>367</v>
      </c>
      <c r="D457" s="181" t="s">
        <v>368</v>
      </c>
      <c r="E457" s="171">
        <v>46058</v>
      </c>
      <c r="F457" s="171"/>
      <c r="G457" s="168" t="s">
        <v>39</v>
      </c>
      <c r="H457" s="181" t="s">
        <v>425</v>
      </c>
      <c r="I457" s="169">
        <v>-84168.23</v>
      </c>
      <c r="J457" s="170">
        <f>IF(I457="",AR457,I457)</f>
        <v>-84168.23</v>
      </c>
      <c r="K457" s="168" t="s">
        <v>5</v>
      </c>
      <c r="L457" s="168" t="s">
        <v>426</v>
      </c>
      <c r="M457" s="168" t="s">
        <v>20</v>
      </c>
      <c r="N457" s="167" t="s">
        <v>371</v>
      </c>
      <c r="O457" s="168" t="s">
        <v>52</v>
      </c>
      <c r="P457" s="349" t="s">
        <v>379</v>
      </c>
      <c r="Q457" s="169"/>
      <c r="R457" s="170">
        <f>IF(Q457="",AS457,Q457)</f>
        <v>6475649.8426422114</v>
      </c>
      <c r="S457" s="168" t="s">
        <v>9</v>
      </c>
      <c r="T457" s="171" t="s">
        <v>380</v>
      </c>
      <c r="U457" s="171" t="s">
        <v>25</v>
      </c>
      <c r="V457" s="167" t="s">
        <v>371</v>
      </c>
      <c r="W457" s="172" t="s">
        <v>375</v>
      </c>
      <c r="X457" s="173">
        <f>IF(Y457="",VLOOKUP(H457,CLIENTS!$A$1:$O$649,5,FALSE),Y457)</f>
        <v>0</v>
      </c>
      <c r="Y457" s="174">
        <v>0</v>
      </c>
      <c r="Z457" s="173">
        <f>IF(AA457="",VLOOKUP(P457,CLIENTS!$A$1:$O$649,5,FALSE),AA457)</f>
        <v>5.0000000000000001E-3</v>
      </c>
      <c r="AA457" s="174">
        <v>5.0000000000000001E-3</v>
      </c>
      <c r="AB457" s="173" t="str">
        <f>IF(W457="via USD",IF(K457="EUR",K457&amp;"USD","USD"&amp;K457),IFERROR(VLOOKUP(K457&amp;S457,'FX RATES'!$H$2:$H$20,1,FALSE),S457&amp;K457))</f>
        <v>USDUSD</v>
      </c>
      <c r="AC457" s="175">
        <f>IF(LEFT(AB457,3)=RIGHT(AB457,3),0,IFERROR(INDEX(CLIENTS!$A$1:$O$649,MATCH(H457,CLIENTS!$A$1:$A$649,0),MATCH(AB457,CLIENTS!$A$1:$O$1,0)),0))</f>
        <v>0</v>
      </c>
      <c r="AD457" s="176"/>
      <c r="AE457" s="177">
        <f>IF(W457="CLIENT","",IF(AD457="",AH457+AC457,AD457+AC457))</f>
        <v>1</v>
      </c>
      <c r="AF457" s="177" t="str">
        <f>E457&amp;AB457</f>
        <v>46058USDUSD</v>
      </c>
      <c r="AG457" s="176"/>
      <c r="AH457" s="178">
        <f>IF(LEFT(AB457,3)=RIGHT(AB457,3),1,VLOOKUP(AB457,'FX RATES'!$H$1:$I$20,2,FALSE))</f>
        <v>1</v>
      </c>
      <c r="AI457" s="178">
        <f t="shared" si="495"/>
        <v>1</v>
      </c>
      <c r="AJ457" s="173" t="str">
        <f>IF(W457="via USD",IF(S457="EUR",S457&amp;"USD","USD"&amp;S457),IFERROR(VLOOKUP(K457&amp;S457,'FX RATES'!$H$2:$H$20,1,FALSE),S457&amp;K457))</f>
        <v>USDRUB</v>
      </c>
      <c r="AK457" s="175">
        <f>IF(LEFT(AJ457,3)=RIGHT(AJ457,3),0,IFERROR(INDEX(CLIENTS!$A$1:$O$649,MATCH(P457,CLIENTS!$A$1:$A$649,0),MATCH(AJ457,CLIENTS!$A$1:$O$1,0)),0))</f>
        <v>0</v>
      </c>
      <c r="AL457" s="176">
        <v>76.552300000000002</v>
      </c>
      <c r="AM457" s="177">
        <f>IF(W457="VENDOR","",IF(AL457="",AP457+AK457,AL457+AK457))</f>
        <v>76.552300000000002</v>
      </c>
      <c r="AN457" s="177" t="str">
        <f>E457&amp;AJ457</f>
        <v>46058USDRUB</v>
      </c>
      <c r="AO457" s="176">
        <v>76.900000000000006</v>
      </c>
      <c r="AP457" s="178">
        <f ca="1">IF(LEFT(AJ457,3)=RIGHT(AJ457,3),1,VLOOKUP(AJ457,'FX RATES'!$H$1:$I$20,2,FALSE))</f>
        <v>76.720500000000001</v>
      </c>
      <c r="AQ457" s="178">
        <f t="shared" si="496"/>
        <v>76.900000000000006</v>
      </c>
      <c r="AR457" s="179">
        <f>-Q457*(1-Z457)/(1+X457)*IF(W457="CLIENT",IF(S457=RIGHT(AJ457,3),1/AM457,AM457),IF(W457="VENDOR",IF(S457=RIGHT(AJ457,3),1/AE457,AE457),AE457^(VLOOKUP(AB457,'FX RATES'!$H$1:$J$26,3,FALSE))/AM457^(VLOOKUP(AJ457,'FX RATES'!$H$1:$J$26,3,FALSE))))</f>
        <v>0</v>
      </c>
      <c r="AS457" s="179">
        <f>-I457*(1+X457)/(1-Z457)*IF(W457="VENDOR",IF(K457=RIGHT(AB457,3),1/AE457,AE457),IF(W457="CLIENT",IF(K457=RIGHT(AB457,3),1/AM457,AM457),AM457^(VLOOKUP(AJ457,'FX RATES'!$H$1:$J$26,3,FALSE))/AE457^(VLOOKUP(AB457,'FX RATES'!$H$1:$J$26,3,FALSE))))</f>
        <v>6475649.8426422114</v>
      </c>
      <c r="AT457" s="170">
        <f>IF(AB457&lt;&gt;AJ457,J457/IF(K457=RIGHT(AB457,3),AE457,1/AE457),IF(S457="USD",J457/IF(K457=RIGHT(AB457,3),IF(W457="CLIENT",AM457,AE457),1/IF(W457="CLIENT",AM457,AE457)),J457*VLOOKUP(K457,'FX RATES'!$E$1:$F$10,2,FALSE)))</f>
        <v>-84168.23</v>
      </c>
      <c r="AU457" s="170">
        <f>IF(AB457&lt;&gt;AJ457,R457/IF(S457=RIGHT(AJ457,3),AM457,1/AM457),IF(K457="USD",R457/IF(S457=RIGHT(AJ457,3),IF(W457="CLIENT",AM457,AE457),1/IF(W457="CLIENT",AM457,AE457)),R457*VLOOKUP(S457,'FX RATES'!$E$1:$F$10,2,FALSE)))</f>
        <v>84591.185929648243</v>
      </c>
      <c r="AV457" s="170">
        <f>AT457+AU457</f>
        <v>422.95592964824755</v>
      </c>
      <c r="AW457" s="169"/>
      <c r="AX457" s="170">
        <f>IF(AND(ISERROR(SEARCH("INVOICE",T457)),ISERROR(SEARCH("SWITCH",T457)),ISERROR(SEARCH("FOREX",T457)),ISERROR(SEARCH("REFUND",A457)),ISERROR(SEARCH("CANCELLED",A457))),IF(AW457="",-AT457*X457+AU457*Z457,AW457),0)</f>
        <v>422.95592964824124</v>
      </c>
      <c r="AY457" s="170">
        <f>IF(AZ457="USD",AT457,IF(AZ457=K457,J457,-R457))</f>
        <v>-84168.23</v>
      </c>
      <c r="AZ457" s="170" t="str">
        <f>LEFT(AB457,3)</f>
        <v>USD</v>
      </c>
      <c r="BA457" s="542">
        <f>IF(OR(A457="REFUND",A457="CANCELLED"),0,IFERROR((IF(OR(AB457="USDAED",LEFT(AB457,3)=RIGHT(AB457,3)),AI457,AG457)-AE457)*-AY457*VLOOKUP(AB457,'FX RATES'!$H$1:$J$26,3,FALSE),0))</f>
        <v>0</v>
      </c>
      <c r="BB457" s="170" t="str">
        <f>RIGHT(AB457,3)</f>
        <v>USD</v>
      </c>
      <c r="BC457" s="542">
        <f>IF(BA457=0,0,IFERROR(BA457/IF(BB457&lt;&gt;"USD",AI457,1),"???"))</f>
        <v>0</v>
      </c>
      <c r="BD457" s="170">
        <f>IFERROR(-AC457/(IF(OR(AB457="USDAED",LEFT(AB457,3)=RIGHT(AB457,3)),AH457,AG457)-AE457)*BC457,0)</f>
        <v>0</v>
      </c>
      <c r="BE457" s="542">
        <f>BC457-BD457</f>
        <v>0</v>
      </c>
      <c r="BF457" s="170">
        <f>IF(BG457="USD",AU457,IF(BG457=S457,R457,-J457))</f>
        <v>84591.185929648243</v>
      </c>
      <c r="BG457" s="170" t="str">
        <f>LEFT(AJ457,3)</f>
        <v>USD</v>
      </c>
      <c r="BH457" s="542">
        <f>IF(OR(A457="REFUND",A457="CANCELLED"),0,IFERROR((IF(OR(AJ457="USDAED",LEFT(AJ457,3)=RIGHT(AJ457,3)),AQ457,AO457)-AM457)*-BF457*VLOOKUP(AJ457,'FX RATES'!$H$1:$J$26,3,FALSE),0))</f>
        <v>-29412.355347738969</v>
      </c>
      <c r="BI457" s="170" t="str">
        <f>RIGHT(AJ457,3)</f>
        <v>RUB</v>
      </c>
      <c r="BJ457" s="542">
        <f>IF(BH457=0,0,IFERROR(BH457/IF(BI457&lt;&gt;"USD",AQ457,1),"???"))</f>
        <v>-382.47536212924535</v>
      </c>
      <c r="BK457" s="170">
        <f>IFERROR(-AK457/(IF(OR(AJ457="USDAED",LEFT(AJ457,3)=RIGHT(AJ457,3)),AP457,AO457)-AM457)*BJ457,0)</f>
        <v>0</v>
      </c>
      <c r="BL457" s="542">
        <f>BJ457-BK457</f>
        <v>-382.47536212924535</v>
      </c>
      <c r="BM457" s="170">
        <f>IF(AND(ISERROR(SEARCH("REFUND",A457)),ISERROR(SEARCH("CANCELLED",A457))),BD457+BK457,0)</f>
        <v>0</v>
      </c>
      <c r="BN457" s="542">
        <f>IF(AND(ISERROR(SEARCH("REFUND",A457)),ISERROR(SEARCH("CANCELLED",A457))),BE457+BL457,0)</f>
        <v>-382.47536212924535</v>
      </c>
    </row>
    <row r="458" spans="1:66" ht="19.5" customHeight="1">
      <c r="A458" s="167" t="s">
        <v>366</v>
      </c>
      <c r="B458" s="168" t="s">
        <v>52</v>
      </c>
      <c r="C458" s="168" t="s">
        <v>381</v>
      </c>
      <c r="D458" s="168" t="s">
        <v>128</v>
      </c>
      <c r="E458" s="171">
        <v>46058</v>
      </c>
      <c r="F458" s="171"/>
      <c r="G458" s="168" t="s">
        <v>52</v>
      </c>
      <c r="H458" s="168" t="s">
        <v>52</v>
      </c>
      <c r="I458" s="169">
        <f>-(R453+R454+R455+R456+R457+J459)</f>
        <v>-1914374.2935205102</v>
      </c>
      <c r="J458" s="170">
        <f>IF(I458="",AR458,I458)</f>
        <v>-1914374.2935205102</v>
      </c>
      <c r="K458" s="168" t="s">
        <v>9</v>
      </c>
      <c r="L458" s="168" t="s">
        <v>25</v>
      </c>
      <c r="M458" s="168" t="s">
        <v>25</v>
      </c>
      <c r="N458" s="167" t="s">
        <v>371</v>
      </c>
      <c r="O458" s="168" t="s">
        <v>52</v>
      </c>
      <c r="P458" s="168" t="s">
        <v>52</v>
      </c>
      <c r="Q458" s="169"/>
      <c r="R458" s="170">
        <f>IF(Q458="",AS458,Q458)</f>
        <v>1914374.2935205102</v>
      </c>
      <c r="S458" s="168" t="s">
        <v>9</v>
      </c>
      <c r="T458" s="168" t="s">
        <v>25</v>
      </c>
      <c r="U458" s="168" t="s">
        <v>25</v>
      </c>
      <c r="V458" s="167" t="s">
        <v>371</v>
      </c>
      <c r="W458" s="172" t="s">
        <v>382</v>
      </c>
      <c r="X458" s="173">
        <f>IF(Y458="",VLOOKUP(H458,CLIENTS!$A$1:$O$649,5,FALSE),Y458)</f>
        <v>0</v>
      </c>
      <c r="Y458" s="174"/>
      <c r="Z458" s="173">
        <f>IF(AA458="",VLOOKUP(P458,CLIENTS!$A$1:$O$649,5,FALSE),AA458)</f>
        <v>0</v>
      </c>
      <c r="AA458" s="174"/>
      <c r="AB458" s="173" t="str">
        <f>IF(W458="via USD",IF(K458="EUR",K458&amp;"USD","USD"&amp;K458),IFERROR(VLOOKUP(K458&amp;S458,'FX RATES'!$H$2:$H$20,1,FALSE),S458&amp;K458))</f>
        <v>RUBRUB</v>
      </c>
      <c r="AC458" s="175">
        <f>IF(LEFT(AB458,3)=RIGHT(AB458,3),0,IFERROR(INDEX(CLIENTS!$A$1:$O$649,MATCH(H458,CLIENTS!$A$1:$A$649,0),MATCH(AB458,CLIENTS!$A$1:$O$1,0)),0))</f>
        <v>0</v>
      </c>
      <c r="AD458" s="176"/>
      <c r="AE458" s="177">
        <f>IF(W458="CLIENT","",IF(AD458="",AH458+AC458,AD458+AC458))</f>
        <v>1</v>
      </c>
      <c r="AF458" s="177" t="str">
        <f>E458&amp;AB458</f>
        <v>46058RUBRUB</v>
      </c>
      <c r="AG458" s="176"/>
      <c r="AH458" s="178">
        <f>IF(LEFT(AB458,3)=RIGHT(AB458,3),1,VLOOKUP(AB458,'FX RATES'!$H$1:$I$20,2,FALSE))</f>
        <v>1</v>
      </c>
      <c r="AI458" s="178">
        <f t="shared" si="495"/>
        <v>1</v>
      </c>
      <c r="AJ458" s="173" t="str">
        <f>IF(W458="via USD",IF(S458="EUR",S458&amp;"USD","USD"&amp;S458),IFERROR(VLOOKUP(K458&amp;S458,'FX RATES'!$H$2:$H$20,1,FALSE),S458&amp;K458))</f>
        <v>RUBRUB</v>
      </c>
      <c r="AK458" s="175">
        <f>IF(LEFT(AJ458,3)=RIGHT(AJ458,3),0,IFERROR(INDEX(CLIENTS!$A$1:$O$649,MATCH(P458,CLIENTS!$A$1:$A$649,0),MATCH(AJ458,CLIENTS!$A$1:$O$1,0)),0))</f>
        <v>0</v>
      </c>
      <c r="AL458" s="176"/>
      <c r="AM458" s="177" t="str">
        <f>IF(W458="VENDOR","",IF(AL458="",AP458+AK458,AL458+AK458))</f>
        <v/>
      </c>
      <c r="AN458" s="177" t="str">
        <f>E458&amp;AJ458</f>
        <v>46058RUBRUB</v>
      </c>
      <c r="AO458" s="176"/>
      <c r="AP458" s="178">
        <f>IF(LEFT(AJ458,3)=RIGHT(AJ458,3),1,VLOOKUP(AJ458,'FX RATES'!$H$1:$I$20,2,FALSE))</f>
        <v>1</v>
      </c>
      <c r="AQ458" s="178">
        <f t="shared" si="496"/>
        <v>1</v>
      </c>
      <c r="AR458" s="179">
        <f>-Q458*(1-Z458)/(1+X458)*IF(W458="CLIENT",IF(S458=RIGHT(AJ458,3),1/AM458,AM458),IF(W458="VENDOR",IF(S458=RIGHT(AJ458,3),1/AE458,AE458),AE458^(VLOOKUP(AB458,'FX RATES'!$H$1:$J$26,3,FALSE))/AM458^(VLOOKUP(AJ458,'FX RATES'!$H$1:$J$26,3,FALSE))))</f>
        <v>0</v>
      </c>
      <c r="AS458" s="179">
        <f>-I458*(1+X458)/(1-Z458)*IF(W458="VENDOR",IF(K458=RIGHT(AB458,3),1/AE458,AE458),IF(W458="CLIENT",IF(K458=RIGHT(AB458,3),1/AM458,AM458),AM458^(VLOOKUP(AJ458,'FX RATES'!$H$1:$J$26,3,FALSE))/AE458^(VLOOKUP(AB458,'FX RATES'!$H$1:$J$26,3,FALSE))))</f>
        <v>1914374.2935205102</v>
      </c>
      <c r="AT458" s="170">
        <f ca="1">IF(AB458&lt;&gt;AJ458,J458/IF(K458=RIGHT(AB458,3),AE458,1/AE458),IF(S458="USD",J458/IF(K458=RIGHT(AB458,3),IF(W458="CLIENT",AM458,AE458),1/IF(W458="CLIENT",AM458,AE458)),J458*VLOOKUP(K458,'FX RATES'!$E$1:$F$10,2,FALSE)))</f>
        <v>-24952.578431064841</v>
      </c>
      <c r="AU458" s="170">
        <f ca="1">IF(AB458&lt;&gt;AJ458,R458/IF(S458=RIGHT(AJ458,3),AM458,1/AM458),IF(K458="USD",R458/IF(S458=RIGHT(AJ458,3),IF(W458="CLIENT",AM458,AE458),1/IF(W458="CLIENT",AM458,AE458)),R458*VLOOKUP(S458,'FX RATES'!$E$1:$F$10,2,FALSE)))</f>
        <v>24952.578431064841</v>
      </c>
      <c r="AV458" s="170">
        <f ca="1">AT458+AU458</f>
        <v>0</v>
      </c>
      <c r="AW458" s="169"/>
      <c r="AX458" s="170">
        <f ca="1">IF(AND(ISERROR(SEARCH("INVOICE",T458)),ISERROR(SEARCH("SWITCH",T458)),ISERROR(SEARCH("FOREX",T458)),ISERROR(SEARCH("REFUND",A458)),ISERROR(SEARCH("CANCELLED",A458))),IF(AW458="",-AT458*X458+AU458*Z458,AW458),0)</f>
        <v>0</v>
      </c>
      <c r="AY458" s="170">
        <f>IF(AZ458="USD",AT458,IF(AZ458=K458,J458,-R458))</f>
        <v>-1914374.2935205102</v>
      </c>
      <c r="AZ458" s="170" t="str">
        <f>LEFT(AB458,3)</f>
        <v>RUB</v>
      </c>
      <c r="BA458" s="542">
        <f>IF(OR(A458="REFUND",A458="CANCELLED"),0,IFERROR((IF(OR(AB458="USDAED",LEFT(AB458,3)=RIGHT(AB458,3)),AI458,AG458)-AE458)*-AY458*VLOOKUP(AB458,'FX RATES'!$H$1:$J$26,3,FALSE),0))</f>
        <v>0</v>
      </c>
      <c r="BB458" s="170" t="str">
        <f>RIGHT(AB458,3)</f>
        <v>RUB</v>
      </c>
      <c r="BC458" s="542">
        <f>IF(BA458=0,0,IFERROR(BA458/IF(BB458&lt;&gt;"USD",AI458,1),"???"))</f>
        <v>0</v>
      </c>
      <c r="BD458" s="170">
        <f>IFERROR(-AC458/(IF(OR(AB458="USDAED",LEFT(AB458,3)=RIGHT(AB458,3)),AH458,AG458)-AE458)*BC458,0)</f>
        <v>0</v>
      </c>
      <c r="BE458" s="542">
        <f>BC458-BD458</f>
        <v>0</v>
      </c>
      <c r="BF458" s="170">
        <f>IF(BG458="USD",AU458,IF(BG458=S458,R458,-J458))</f>
        <v>1914374.2935205102</v>
      </c>
      <c r="BG458" s="170" t="str">
        <f>LEFT(AJ458,3)</f>
        <v>RUB</v>
      </c>
      <c r="BH458" s="542">
        <f>IF(OR(A458="REFUND",A458="CANCELLED"),0,IFERROR((IF(OR(AJ458="USDAED",LEFT(AJ458,3)=RIGHT(AJ458,3)),AQ458,AO458)-AM458)*-BF458*VLOOKUP(AJ458,'FX RATES'!$H$1:$J$26,3,FALSE),0))</f>
        <v>0</v>
      </c>
      <c r="BI458" s="170" t="str">
        <f>RIGHT(AJ458,3)</f>
        <v>RUB</v>
      </c>
      <c r="BJ458" s="542">
        <f>IF(BH458=0,0,IFERROR(BH458/IF(BI458&lt;&gt;"USD",AQ458,1),"???"))</f>
        <v>0</v>
      </c>
      <c r="BK458" s="170">
        <f>IFERROR(-AK458/(IF(OR(AJ458="USDAED",LEFT(AJ458,3)=RIGHT(AJ458,3)),AP458,AO458)-AM458)*BJ458,0)</f>
        <v>0</v>
      </c>
      <c r="BL458" s="542">
        <f>BJ458-BK458</f>
        <v>0</v>
      </c>
      <c r="BM458" s="170">
        <f>IF(AND(ISERROR(SEARCH("REFUND",A458)),ISERROR(SEARCH("CANCELLED",A458))),BD458+BK458,0)</f>
        <v>0</v>
      </c>
      <c r="BN458" s="542">
        <f>IF(AND(ISERROR(SEARCH("REFUND",A458)),ISERROR(SEARCH("CANCELLED",A458))),BE458+BL458,0)</f>
        <v>0</v>
      </c>
    </row>
    <row r="459" spans="1:66" ht="19.5" customHeight="1">
      <c r="A459" s="167" t="s">
        <v>366</v>
      </c>
      <c r="B459" s="168" t="s">
        <v>52</v>
      </c>
      <c r="C459" s="168" t="s">
        <v>383</v>
      </c>
      <c r="D459" s="168" t="s">
        <v>465</v>
      </c>
      <c r="E459" s="171">
        <v>46058</v>
      </c>
      <c r="F459" s="171"/>
      <c r="G459" s="168" t="s">
        <v>52</v>
      </c>
      <c r="H459" s="168" t="s">
        <v>600</v>
      </c>
      <c r="I459" s="169"/>
      <c r="J459" s="170">
        <f>IF(I459="",AR459,I459)</f>
        <v>-165002776.40299526</v>
      </c>
      <c r="K459" s="168" t="s">
        <v>9</v>
      </c>
      <c r="L459" s="171" t="s">
        <v>525</v>
      </c>
      <c r="M459" s="168" t="s">
        <v>25</v>
      </c>
      <c r="N459" s="167" t="s">
        <v>371</v>
      </c>
      <c r="O459" s="168" t="s">
        <v>34</v>
      </c>
      <c r="P459" s="349" t="s">
        <v>526</v>
      </c>
      <c r="Q459" s="169">
        <v>7900000</v>
      </c>
      <c r="R459" s="170">
        <f>IF(Q459="",AS459,Q459)</f>
        <v>7900000</v>
      </c>
      <c r="S459" s="168" t="s">
        <v>8</v>
      </c>
      <c r="T459" s="171" t="s">
        <v>15</v>
      </c>
      <c r="U459" s="168" t="s">
        <v>15</v>
      </c>
      <c r="V459" s="167" t="s">
        <v>371</v>
      </c>
      <c r="W459" s="172" t="s">
        <v>375</v>
      </c>
      <c r="X459" s="173">
        <f>IF(Y459="",VLOOKUP(H459,CLIENTS!$A$1:$O$649,5,FALSE),Y459)</f>
        <v>0</v>
      </c>
      <c r="Y459" s="174">
        <v>0</v>
      </c>
      <c r="Z459" s="173">
        <f>IF(AA459="",VLOOKUP(P459,CLIENTS!$A$1:$O$649,5,FALSE),AA459)</f>
        <v>-2E-3</v>
      </c>
      <c r="AA459" s="174">
        <v>-2E-3</v>
      </c>
      <c r="AB459" s="173" t="str">
        <f>IF(W459="via USD",IF(K459="EUR",K459&amp;"USD","USD"&amp;K459),IFERROR(VLOOKUP(K459&amp;S459,'FX RATES'!$H$2:$H$20,1,FALSE),S459&amp;K459))</f>
        <v>USDRUB</v>
      </c>
      <c r="AC459" s="175">
        <f>IF(LEFT(AB459,3)=RIGHT(AB459,3),0,IFERROR(INDEX(CLIENTS!$A$1:$O$649,MATCH(H459,CLIENTS!$A$1:$A$649,0),MATCH(AB459,CLIENTS!$A$1:$O$1,0)),0))</f>
        <v>0</v>
      </c>
      <c r="AD459" s="176">
        <v>76.552300000000002</v>
      </c>
      <c r="AE459" s="177">
        <f>IF(W459="CLIENT","",IF(AD459="",AH459+AC459,AD459+AC459))</f>
        <v>76.552300000000002</v>
      </c>
      <c r="AF459" s="177" t="str">
        <f>E459&amp;AB459</f>
        <v>46058USDRUB</v>
      </c>
      <c r="AG459" s="176">
        <v>76.900000000000006</v>
      </c>
      <c r="AH459" s="178">
        <f ca="1">IF(LEFT(AB459,3)=RIGHT(AB459,3),1,VLOOKUP(AB459,'FX RATES'!$H$1:$I$20,2,FALSE))</f>
        <v>76.720500000000001</v>
      </c>
      <c r="AI459" s="178">
        <f t="shared" si="495"/>
        <v>76.900000000000006</v>
      </c>
      <c r="AJ459" s="173" t="str">
        <f>IF(W459="via USD",IF(S459="EUR",S459&amp;"USD","USD"&amp;S459),IFERROR(VLOOKUP(K459&amp;S459,'FX RATES'!$H$2:$H$20,1,FALSE),S459&amp;K459))</f>
        <v>USDAED</v>
      </c>
      <c r="AK459" s="175">
        <f>IF(LEFT(AJ459,3)=RIGHT(AJ459,3),0,IFERROR(INDEX(CLIENTS!$A$1:$O$649,MATCH(P459,CLIENTS!$A$1:$A$649,0),MATCH(AJ459,CLIENTS!$A$1:$O$1,0)),0))</f>
        <v>0</v>
      </c>
      <c r="AL459" s="176">
        <v>3.6724999999999999</v>
      </c>
      <c r="AM459" s="177">
        <f>IF(W459="VENDOR","",IF(AL459="",AP459+AK459,AL459+AK459))</f>
        <v>3.6724999999999999</v>
      </c>
      <c r="AN459" s="177" t="str">
        <f>E459&amp;AJ459</f>
        <v>46058USDAED</v>
      </c>
      <c r="AO459" s="176">
        <v>3.6724999999999999</v>
      </c>
      <c r="AP459" s="178">
        <f>IF(LEFT(AJ459,3)=RIGHT(AJ459,3),1,VLOOKUP(AJ459,'FX RATES'!$H$1:$I$20,2,FALSE))</f>
        <v>3.6724999999999999</v>
      </c>
      <c r="AQ459" s="178">
        <f t="shared" si="496"/>
        <v>3.6724999999999999</v>
      </c>
      <c r="AR459" s="179">
        <f>-Q459*(1-Z459)/(1+X459)*IF(W459="CLIENT",IF(S459=RIGHT(AJ459,3),1/AM459,AM459),IF(W459="VENDOR",IF(S459=RIGHT(AJ459,3),1/AE459,AE459),AE459^(VLOOKUP(AB459,'FX RATES'!$H$1:$J$26,3,FALSE))/AM459^(VLOOKUP(AJ459,'FX RATES'!$H$1:$J$26,3,FALSE))))</f>
        <v>-165002776.40299526</v>
      </c>
      <c r="AS459" s="179">
        <f>-I459*(1+X459)/(1-Z459)*IF(W459="VENDOR",IF(K459=RIGHT(AB459,3),1/AE459,AE459),IF(W459="CLIENT",IF(K459=RIGHT(AB459,3),1/AM459,AM459),AM459^(VLOOKUP(AJ459,'FX RATES'!$H$1:$J$26,3,FALSE))/AE459^(VLOOKUP(AB459,'FX RATES'!$H$1:$J$26,3,FALSE))))</f>
        <v>0</v>
      </c>
      <c r="AT459" s="170">
        <f>IF(AB459&lt;&gt;AJ459,J459/IF(K459=RIGHT(AB459,3),AE459,1/AE459),IF(S459="USD",J459/IF(K459=RIGHT(AB459,3),IF(W459="CLIENT",AM459,AE459),1/IF(W459="CLIENT",AM459,AE459)),J459*VLOOKUP(K459,'FX RATES'!$E$1:$F$10,2,FALSE)))</f>
        <v>-2155425.4594962564</v>
      </c>
      <c r="AU459" s="170">
        <f>IF(AB459&lt;&gt;AJ459,R459/IF(S459=RIGHT(AJ459,3),AM459,1/AM459),IF(K459="USD",R459/IF(S459=RIGHT(AJ459,3),IF(W459="CLIENT",AM459,AE459),1/IF(W459="CLIENT",AM459,AE459)),R459*VLOOKUP(S459,'FX RATES'!$E$1:$F$10,2,FALSE)))</f>
        <v>2151123.213070116</v>
      </c>
      <c r="AV459" s="170">
        <f>AT459+AU459</f>
        <v>-4302.2464261404239</v>
      </c>
      <c r="AW459" s="169"/>
      <c r="AX459" s="170">
        <f>IF(AND(ISERROR(SEARCH("INVOICE",T459)),ISERROR(SEARCH("SWITCH",T459)),ISERROR(SEARCH("FOREX",T459)),ISERROR(SEARCH("REFUND",A459)),ISERROR(SEARCH("CANCELLED",A459))),IF(AW459="",-AT459*X459+AU459*Z459,AW459),0)</f>
        <v>-4302.246426140232</v>
      </c>
      <c r="AY459" s="170">
        <f>IF(AZ459="USD",AT459,IF(AZ459=K459,J459,-R459))</f>
        <v>-2155425.4594962564</v>
      </c>
      <c r="AZ459" s="170" t="str">
        <f>LEFT(AB459,3)</f>
        <v>USD</v>
      </c>
      <c r="BA459" s="542">
        <f>IF(OR(A459="REFUND",A459="CANCELLED"),0,IFERROR((IF(OR(AB459="USDAED",LEFT(AB459,3)=RIGHT(AB459,3)),AI459,AG459)-AE459)*-AY459*VLOOKUP(AB459,'FX RATES'!$H$1:$J$26,3,FALSE),0))</f>
        <v>749441.43226685526</v>
      </c>
      <c r="BB459" s="170" t="str">
        <f>RIGHT(AB459,3)</f>
        <v>RUB</v>
      </c>
      <c r="BC459" s="542">
        <f>IF(BA459=0,0,IFERROR(BA459/IF(BB459&lt;&gt;"USD",AI459,1),"???"))</f>
        <v>9745.6623181645664</v>
      </c>
      <c r="BD459" s="170">
        <f>IFERROR(-AC459/(IF(OR(AB459="USDAED",LEFT(AB459,3)=RIGHT(AB459,3)),AH459,AG459)-AE459)*BC459,0)</f>
        <v>0</v>
      </c>
      <c r="BE459" s="542">
        <f>BC459-BD459</f>
        <v>9745.6623181645664</v>
      </c>
      <c r="BF459" s="170">
        <f>IF(BG459="USD",AU459,IF(BG459=S459,R459,-J459))</f>
        <v>2151123.213070116</v>
      </c>
      <c r="BG459" s="170" t="str">
        <f>LEFT(AJ459,3)</f>
        <v>USD</v>
      </c>
      <c r="BH459" s="542">
        <f>IF(OR(A459="REFUND",A459="CANCELLED"),0,IFERROR((IF(OR(AJ459="USDAED",LEFT(AJ459,3)=RIGHT(AJ459,3)),AQ459,AO459)-AM459)*-BF459*VLOOKUP(AJ459,'FX RATES'!$H$1:$J$26,3,FALSE),0))</f>
        <v>0</v>
      </c>
      <c r="BI459" s="170" t="str">
        <f>RIGHT(AJ459,3)</f>
        <v>AED</v>
      </c>
      <c r="BJ459" s="542">
        <f>IF(BH459=0,0,IFERROR(BH459/IF(BI459&lt;&gt;"USD",AQ459,1),"???"))</f>
        <v>0</v>
      </c>
      <c r="BK459" s="170">
        <f>IFERROR(-AK459/(IF(OR(AJ459="USDAED",LEFT(AJ459,3)=RIGHT(AJ459,3)),AP459,AO459)-AM459)*BJ459,0)</f>
        <v>0</v>
      </c>
      <c r="BL459" s="542">
        <f>BJ459-BK459</f>
        <v>0</v>
      </c>
      <c r="BM459" s="170">
        <f>IF(AND(ISERROR(SEARCH("REFUND",A459)),ISERROR(SEARCH("CANCELLED",A459))),BD459+BK459,0)</f>
        <v>0</v>
      </c>
      <c r="BN459" s="542">
        <f>IF(AND(ISERROR(SEARCH("REFUND",A459)),ISERROR(SEARCH("CANCELLED",A459))),BE459+BL459,0)</f>
        <v>9745.6623181645664</v>
      </c>
    </row>
    <row r="460" spans="1:66" ht="19.5" customHeight="1">
      <c r="A460" s="167"/>
      <c r="B460" s="182"/>
      <c r="C460" s="182"/>
      <c r="D460" s="182"/>
      <c r="E460" s="184"/>
      <c r="F460" s="184"/>
      <c r="G460" s="182"/>
      <c r="H460" s="182"/>
      <c r="I460" s="170"/>
      <c r="J460" s="170"/>
      <c r="K460" s="182"/>
      <c r="L460" s="184"/>
      <c r="M460" s="182"/>
      <c r="O460" s="182"/>
      <c r="P460" s="444"/>
      <c r="Q460" s="170"/>
      <c r="R460" s="170"/>
      <c r="S460" s="182"/>
      <c r="T460" s="184"/>
      <c r="U460" s="182"/>
      <c r="X460" s="173"/>
      <c r="Y460" s="173"/>
      <c r="Z460" s="173"/>
      <c r="AA460" s="173"/>
      <c r="AB460" s="173"/>
      <c r="AC460" s="175"/>
      <c r="AD460" s="177"/>
      <c r="AE460" s="177"/>
      <c r="AF460" s="177"/>
      <c r="AG460" s="177"/>
      <c r="AH460" s="178"/>
      <c r="AI460" s="178"/>
      <c r="AJ460" s="173"/>
      <c r="AK460" s="175"/>
      <c r="AL460" s="177"/>
      <c r="AM460" s="177"/>
      <c r="AN460" s="177"/>
      <c r="AO460" s="177"/>
      <c r="AP460" s="178"/>
      <c r="AQ460" s="178"/>
      <c r="AR460" s="185"/>
      <c r="AS460" s="185"/>
      <c r="AT460" s="170"/>
      <c r="AU460" s="170"/>
      <c r="AV460" s="170"/>
      <c r="AW460" s="170"/>
      <c r="AX460" s="170"/>
      <c r="AY460" s="170"/>
      <c r="AZ460" s="170"/>
      <c r="BA460" s="542"/>
      <c r="BB460" s="170"/>
      <c r="BC460" s="542"/>
      <c r="BD460" s="170"/>
      <c r="BE460" s="542"/>
      <c r="BF460" s="170"/>
      <c r="BG460" s="170"/>
      <c r="BH460" s="542"/>
      <c r="BI460" s="170"/>
      <c r="BJ460" s="542"/>
      <c r="BK460" s="170"/>
      <c r="BL460" s="542"/>
      <c r="BM460" s="170"/>
      <c r="BN460" s="542"/>
    </row>
    <row r="461" spans="1:66" ht="19.5" customHeight="1">
      <c r="A461" s="167" t="s">
        <v>366</v>
      </c>
      <c r="B461" s="168" t="s">
        <v>39</v>
      </c>
      <c r="C461" s="168" t="s">
        <v>367</v>
      </c>
      <c r="D461" s="181" t="s">
        <v>368</v>
      </c>
      <c r="E461" s="171">
        <v>46059</v>
      </c>
      <c r="F461" s="171"/>
      <c r="G461" s="168" t="s">
        <v>39</v>
      </c>
      <c r="H461" s="181" t="s">
        <v>483</v>
      </c>
      <c r="I461" s="169">
        <v>-450000</v>
      </c>
      <c r="J461" s="170">
        <f>IF(I461="",AR461,I461)</f>
        <v>-450000</v>
      </c>
      <c r="K461" s="168" t="s">
        <v>5</v>
      </c>
      <c r="L461" s="168" t="s">
        <v>510</v>
      </c>
      <c r="M461" s="168" t="s">
        <v>20</v>
      </c>
      <c r="N461" s="167" t="s">
        <v>371</v>
      </c>
      <c r="O461" s="168" t="s">
        <v>52</v>
      </c>
      <c r="P461" s="168" t="s">
        <v>379</v>
      </c>
      <c r="Q461" s="169"/>
      <c r="R461" s="170">
        <f>IF(Q461="",AS461,Q461)</f>
        <v>34621643.216080405</v>
      </c>
      <c r="S461" s="168" t="s">
        <v>9</v>
      </c>
      <c r="T461" s="171" t="s">
        <v>380</v>
      </c>
      <c r="U461" s="171" t="s">
        <v>25</v>
      </c>
      <c r="V461" s="167" t="s">
        <v>371</v>
      </c>
      <c r="W461" s="172" t="s">
        <v>375</v>
      </c>
      <c r="X461" s="173">
        <f>IF(Y461="",VLOOKUP(H461,CLIENTS!$A$1:$O$649,5,FALSE),Y461)</f>
        <v>0</v>
      </c>
      <c r="Y461" s="174">
        <v>0</v>
      </c>
      <c r="Z461" s="173">
        <f>IF(AA461="",VLOOKUP(P461,CLIENTS!$A$1:$O$649,5,FALSE),AA461)</f>
        <v>5.0000000000000001E-3</v>
      </c>
      <c r="AA461" s="174">
        <v>5.0000000000000001E-3</v>
      </c>
      <c r="AB461" s="173" t="str">
        <f>IF(W461="via USD",IF(K461="EUR",K461&amp;"USD","USD"&amp;K461),IFERROR(VLOOKUP(K461&amp;S461,'FX RATES'!$H$2:$H$20,1,FALSE),S461&amp;K461))</f>
        <v>USDUSD</v>
      </c>
      <c r="AC461" s="175">
        <f>IF(LEFT(AB461,3)=RIGHT(AB461,3),0,IFERROR(INDEX(CLIENTS!$A$1:$O$649,MATCH(H461,CLIENTS!$A$1:$A$649,0),MATCH(AB461,CLIENTS!$A$1:$O$1,0)),0))</f>
        <v>0</v>
      </c>
      <c r="AD461" s="176"/>
      <c r="AE461" s="177">
        <f>IF(W461="CLIENT","",IF(AD461="",AH461+AC461,AD461+AC461))</f>
        <v>1</v>
      </c>
      <c r="AF461" s="177" t="str">
        <f>E461&amp;AB461</f>
        <v>46059USDUSD</v>
      </c>
      <c r="AG461" s="176"/>
      <c r="AH461" s="178">
        <f>IF(LEFT(AB461,3)=RIGHT(AB461,3),1,VLOOKUP(AB461,'FX RATES'!$H$1:$I$20,2,FALSE))</f>
        <v>1</v>
      </c>
      <c r="AI461" s="178">
        <f>IF(OR(AB461="USDAED",LEFT(AB461,3)=RIGHT(AB461,3)),AH461,IF(LEFT(AB461)="USD",AG461,IF(RIGHT(AB461,3)="USD",1,IFERROR(VLOOKUP(E461&amp;"USD"&amp;RIGHT(AB461,3),$AF:$AG,2,FALSE),VLOOKUP(E461&amp;"USD"&amp;RIGHT(AJ461,3),$AN:$AO,2,FALSE)))))</f>
        <v>1</v>
      </c>
      <c r="AJ461" s="173" t="str">
        <f>IF(W461="via USD",IF(S461="EUR",S461&amp;"USD","USD"&amp;S461),IFERROR(VLOOKUP(K461&amp;S461,'FX RATES'!$H$2:$H$20,1,FALSE),S461&amp;K461))</f>
        <v>USDRUB</v>
      </c>
      <c r="AK461" s="175">
        <f>IF(LEFT(AJ461,3)=RIGHT(AJ461,3),0,IFERROR(INDEX(CLIENTS!$A$1:$O$649,MATCH(P461,CLIENTS!$A$1:$A$649,0),MATCH(AJ461,CLIENTS!$A$1:$O$1,0)),0))</f>
        <v>0</v>
      </c>
      <c r="AL461" s="176">
        <v>76.552300000000002</v>
      </c>
      <c r="AM461" s="177">
        <f>IF(W461="VENDOR","",IF(AL461="",AP461+AK461,AL461+AK461))</f>
        <v>76.552300000000002</v>
      </c>
      <c r="AN461" s="177" t="str">
        <f>E461&amp;AJ461</f>
        <v>46059USDRUB</v>
      </c>
      <c r="AO461" s="176">
        <v>76.900000000000006</v>
      </c>
      <c r="AP461" s="178">
        <f ca="1">IF(LEFT(AJ461,3)=RIGHT(AJ461,3),1,VLOOKUP(AJ461,'FX RATES'!$H$1:$I$20,2,FALSE))</f>
        <v>76.720500000000001</v>
      </c>
      <c r="AQ461" s="178">
        <f>IF(OR(AJ461="USDAED",LEFT(AJ461,3)=RIGHT(AJ461,3)),AP461,IF(LEFT(AJ461)="USD",AO461,IF(RIGHT(AJ461,3)="USD",1,IFERROR(VLOOKUP(E461&amp;"USD"&amp;RIGHT(AJ461,3),$AN:$AO,2,FALSE),VLOOKUP(E461&amp;"USD"&amp;RIGHT(AB461,3),$AF:$AG,2,FALSE)))))</f>
        <v>76.900000000000006</v>
      </c>
      <c r="AR461" s="179">
        <f>-Q461*(1-Z461)/(1+X461)*IF(W461="CLIENT",IF(S461=RIGHT(AJ461,3),1/AM461,AM461),IF(W461="VENDOR",IF(S461=RIGHT(AJ461,3),1/AE461,AE461),AE461^(VLOOKUP(AB461,'FX RATES'!$H$1:$J$26,3,FALSE))/AM461^(VLOOKUP(AJ461,'FX RATES'!$H$1:$J$26,3,FALSE))))</f>
        <v>0</v>
      </c>
      <c r="AS461" s="179">
        <f>-I461*(1+X461)/(1-Z461)*IF(W461="VENDOR",IF(K461=RIGHT(AB461,3),1/AE461,AE461),IF(W461="CLIENT",IF(K461=RIGHT(AB461,3),1/AM461,AM461),AM461^(VLOOKUP(AJ461,'FX RATES'!$H$1:$J$26,3,FALSE))/AE461^(VLOOKUP(AB461,'FX RATES'!$H$1:$J$26,3,FALSE))))</f>
        <v>34621643.216080405</v>
      </c>
      <c r="AT461" s="170">
        <f>IF(AB461&lt;&gt;AJ461,J461/IF(K461=RIGHT(AB461,3),AE461,1/AE461),IF(S461="USD",J461/IF(K461=RIGHT(AB461,3),IF(W461="CLIENT",AM461,AE461),1/IF(W461="CLIENT",AM461,AE461)),J461*VLOOKUP(K461,'FX RATES'!$E$1:$F$10,2,FALSE)))</f>
        <v>-450000</v>
      </c>
      <c r="AU461" s="170">
        <f>IF(AB461&lt;&gt;AJ461,R461/IF(S461=RIGHT(AJ461,3),AM461,1/AM461),IF(K461="USD",R461/IF(S461=RIGHT(AJ461,3),IF(W461="CLIENT",AM461,AE461),1/IF(W461="CLIENT",AM461,AE461)),R461*VLOOKUP(S461,'FX RATES'!$E$1:$F$10,2,FALSE)))</f>
        <v>452261.30653266335</v>
      </c>
      <c r="AV461" s="170">
        <f>AT461+AU461</f>
        <v>2261.3065326633514</v>
      </c>
      <c r="AW461" s="169"/>
      <c r="AX461" s="170">
        <f>IF(AND(ISERROR(SEARCH("INVOICE",T461)),ISERROR(SEARCH("SWITCH",T461)),ISERROR(SEARCH("FOREX",T461)),ISERROR(SEARCH("REFUND",A461)),ISERROR(SEARCH("CANCELLED",A461))),IF(AW461="",-AT461*X461+AU461*Z461,AW461),0)</f>
        <v>2261.3065326633168</v>
      </c>
      <c r="AY461" s="170">
        <f>IF(AZ461="USD",AT461,IF(AZ461=K461,J461,-R461))</f>
        <v>-450000</v>
      </c>
      <c r="AZ461" s="170" t="str">
        <f>LEFT(AB461,3)</f>
        <v>USD</v>
      </c>
      <c r="BA461" s="542">
        <f>IF(OR(A461="REFUND",A461="CANCELLED"),0,IFERROR((IF(OR(AB461="USDAED",LEFT(AB461,3)=RIGHT(AB461,3)),AI461,AG461)-AE461)*-AY461*VLOOKUP(AB461,'FX RATES'!$H$1:$J$26,3,FALSE),0))</f>
        <v>0</v>
      </c>
      <c r="BB461" s="170" t="str">
        <f>RIGHT(AB461,3)</f>
        <v>USD</v>
      </c>
      <c r="BC461" s="542">
        <f>IF(BA461=0,0,IFERROR(BA461/IF(BB461&lt;&gt;"USD",AI461,1),"???"))</f>
        <v>0</v>
      </c>
      <c r="BD461" s="170">
        <f>IFERROR(-AC461/(IF(OR(AB461="USDAED",LEFT(AB461,3)=RIGHT(AB461,3)),AH461,AG461)-AE461)*BC461,0)</f>
        <v>0</v>
      </c>
      <c r="BE461" s="542">
        <f>BC461-BD461</f>
        <v>0</v>
      </c>
      <c r="BF461" s="170">
        <f>IF(BG461="USD",AU461,IF(BG461=S461,R461,-J461))</f>
        <v>452261.30653266335</v>
      </c>
      <c r="BG461" s="170" t="str">
        <f>LEFT(AJ461,3)</f>
        <v>USD</v>
      </c>
      <c r="BH461" s="542">
        <f>IF(OR(A461="REFUND",A461="CANCELLED"),0,IFERROR((IF(OR(AJ461="USDAED",LEFT(AJ461,3)=RIGHT(AJ461,3)),AQ461,AO461)-AM461)*-BF461*VLOOKUP(AJ461,'FX RATES'!$H$1:$J$26,3,FALSE),0))</f>
        <v>-157251.25628140851</v>
      </c>
      <c r="BI461" s="170" t="str">
        <f>RIGHT(AJ461,3)</f>
        <v>RUB</v>
      </c>
      <c r="BJ461" s="542">
        <f>IF(BH461=0,0,IFERROR(BH461/IF(BI461&lt;&gt;"USD",AQ461,1),"???"))</f>
        <v>-2044.8797955969897</v>
      </c>
      <c r="BK461" s="170">
        <f>IFERROR(-AK461/(IF(OR(AJ461="USDAED",LEFT(AJ461,3)=RIGHT(AJ461,3)),AP461,AO461)-AM461)*BJ461,0)</f>
        <v>0</v>
      </c>
      <c r="BL461" s="542">
        <f>BJ461-BK461</f>
        <v>-2044.8797955969897</v>
      </c>
      <c r="BM461" s="170">
        <f>IF(AND(ISERROR(SEARCH("REFUND",A461)),ISERROR(SEARCH("CANCELLED",A461))),BD461+BK461,0)</f>
        <v>0</v>
      </c>
      <c r="BN461" s="542">
        <f>IF(AND(ISERROR(SEARCH("REFUND",A461)),ISERROR(SEARCH("CANCELLED",A461))),BE461+BL461,0)</f>
        <v>-2044.8797955969897</v>
      </c>
    </row>
    <row r="462" spans="1:66" ht="19.5" customHeight="1">
      <c r="A462" s="167" t="s">
        <v>366</v>
      </c>
      <c r="B462" s="168" t="s">
        <v>52</v>
      </c>
      <c r="C462" s="168" t="s">
        <v>383</v>
      </c>
      <c r="D462" s="168" t="s">
        <v>465</v>
      </c>
      <c r="E462" s="171">
        <v>46059</v>
      </c>
      <c r="F462" s="171"/>
      <c r="G462" s="168" t="s">
        <v>52</v>
      </c>
      <c r="H462" s="168" t="s">
        <v>523</v>
      </c>
      <c r="I462" s="169"/>
      <c r="J462" s="170">
        <f>IF(I462="",AR462,I462)</f>
        <v>-34448535</v>
      </c>
      <c r="K462" s="168" t="s">
        <v>9</v>
      </c>
      <c r="L462" s="171" t="s">
        <v>411</v>
      </c>
      <c r="M462" s="168" t="s">
        <v>25</v>
      </c>
      <c r="N462" s="167" t="s">
        <v>371</v>
      </c>
      <c r="O462" s="168" t="s">
        <v>39</v>
      </c>
      <c r="P462" s="349" t="s">
        <v>466</v>
      </c>
      <c r="Q462" s="169">
        <v>1652625</v>
      </c>
      <c r="R462" s="170">
        <f>IF(Q462="",AS462,Q462)</f>
        <v>1652625</v>
      </c>
      <c r="S462" s="168" t="s">
        <v>8</v>
      </c>
      <c r="T462" s="171" t="s">
        <v>40</v>
      </c>
      <c r="U462" s="168" t="s">
        <v>17</v>
      </c>
      <c r="V462" s="167" t="s">
        <v>371</v>
      </c>
      <c r="W462" s="172" t="s">
        <v>375</v>
      </c>
      <c r="X462" s="173">
        <f>IF(Y462="",VLOOKUP(H462,CLIENTS!$A$1:$O$649,5,FALSE),Y462)</f>
        <v>0</v>
      </c>
      <c r="Y462" s="174">
        <v>0</v>
      </c>
      <c r="Z462" s="173">
        <f>IF(AA462="",VLOOKUP(P462,CLIENTS!$A$1:$O$649,5,FALSE),AA462)</f>
        <v>0</v>
      </c>
      <c r="AA462" s="174">
        <v>0</v>
      </c>
      <c r="AB462" s="173" t="str">
        <f>IF(W462="via USD",IF(K462="EUR",K462&amp;"USD","USD"&amp;K462),IFERROR(VLOOKUP(K462&amp;S462,'FX RATES'!$H$2:$H$20,1,FALSE),S462&amp;K462))</f>
        <v>USDRUB</v>
      </c>
      <c r="AC462" s="175">
        <f>IF(LEFT(AB462,3)=RIGHT(AB462,3),0,IFERROR(INDEX(CLIENTS!$A$1:$O$649,MATCH(H462,CLIENTS!$A$1:$A$649,0),MATCH(AB462,CLIENTS!$A$1:$O$1,0)),0))</f>
        <v>0</v>
      </c>
      <c r="AD462" s="176">
        <v>76.552300000000002</v>
      </c>
      <c r="AE462" s="177">
        <f>IF(W462="CLIENT","",IF(AD462="",AH462+AC462,AD462+AC462))</f>
        <v>76.552300000000002</v>
      </c>
      <c r="AF462" s="177" t="str">
        <f>E462&amp;AB462</f>
        <v>46059USDRUB</v>
      </c>
      <c r="AG462" s="176">
        <v>76.900000000000006</v>
      </c>
      <c r="AH462" s="178">
        <f ca="1">IF(LEFT(AB462,3)=RIGHT(AB462,3),1,VLOOKUP(AB462,'FX RATES'!$H$1:$I$20,2,FALSE))</f>
        <v>76.720500000000001</v>
      </c>
      <c r="AI462" s="178">
        <f>IF(OR(AB462="USDAED",LEFT(AB462,3)=RIGHT(AB462,3)),AH462,IF(LEFT(AB462)="USD",AG462,IF(RIGHT(AB462,3)="USD",1,IFERROR(VLOOKUP(E462&amp;"USD"&amp;RIGHT(AB462,3),$AF:$AG,2,FALSE),VLOOKUP(E462&amp;"USD"&amp;RIGHT(AJ462,3),$AN:$AO,2,FALSE)))))</f>
        <v>76.900000000000006</v>
      </c>
      <c r="AJ462" s="173" t="str">
        <f>IF(W462="via USD",IF(S462="EUR",S462&amp;"USD","USD"&amp;S462),IFERROR(VLOOKUP(K462&amp;S462,'FX RATES'!$H$2:$H$20,1,FALSE),S462&amp;K462))</f>
        <v>USDAED</v>
      </c>
      <c r="AK462" s="175">
        <f>IF(LEFT(AJ462,3)=RIGHT(AJ462,3),0,IFERROR(INDEX(CLIENTS!$A$1:$O$649,MATCH(P462,CLIENTS!$A$1:$A$649,0),MATCH(AJ462,CLIENTS!$A$1:$O$1,0)),0))</f>
        <v>0</v>
      </c>
      <c r="AL462" s="176">
        <v>3.6724999999999999</v>
      </c>
      <c r="AM462" s="177">
        <f>IF(W462="VENDOR","",IF(AL462="",AP462+AK462,AL462+AK462))</f>
        <v>3.6724999999999999</v>
      </c>
      <c r="AN462" s="177" t="str">
        <f>E462&amp;AJ462</f>
        <v>46059USDAED</v>
      </c>
      <c r="AO462" s="176">
        <v>3.6724999999999999</v>
      </c>
      <c r="AP462" s="178">
        <f>IF(LEFT(AJ462,3)=RIGHT(AJ462,3),1,VLOOKUP(AJ462,'FX RATES'!$H$1:$I$20,2,FALSE))</f>
        <v>3.6724999999999999</v>
      </c>
      <c r="AQ462" s="178">
        <f>IF(OR(AJ462="USDAED",LEFT(AJ462,3)=RIGHT(AJ462,3)),AP462,IF(LEFT(AJ462)="USD",AO462,IF(RIGHT(AJ462,3)="USD",1,IFERROR(VLOOKUP(E462&amp;"USD"&amp;RIGHT(AJ462,3),$AN:$AO,2,FALSE),VLOOKUP(E462&amp;"USD"&amp;RIGHT(AB462,3),$AF:$AG,2,FALSE)))))</f>
        <v>3.6724999999999999</v>
      </c>
      <c r="AR462" s="179">
        <f>-Q462*(1-Z462)/(1+X462)*IF(W462="CLIENT",IF(S462=RIGHT(AJ462,3),1/AM462,AM462),IF(W462="VENDOR",IF(S462=RIGHT(AJ462,3),1/AE462,AE462),AE462^(VLOOKUP(AB462,'FX RATES'!$H$1:$J$26,3,FALSE))/AM462^(VLOOKUP(AJ462,'FX RATES'!$H$1:$J$26,3,FALSE))))</f>
        <v>-34448535</v>
      </c>
      <c r="AS462" s="179">
        <f>-I462*(1+X462)/(1-Z462)*IF(W462="VENDOR",IF(K462=RIGHT(AB462,3),1/AE462,AE462),IF(W462="CLIENT",IF(K462=RIGHT(AB462,3),1/AM462,AM462),AM462^(VLOOKUP(AJ462,'FX RATES'!$H$1:$J$26,3,FALSE))/AE462^(VLOOKUP(AB462,'FX RATES'!$H$1:$J$26,3,FALSE))))</f>
        <v>0</v>
      </c>
      <c r="AT462" s="170">
        <f>IF(AB462&lt;&gt;AJ462,J462/IF(K462=RIGHT(AB462,3),AE462,1/AE462),IF(S462="USD",J462/IF(K462=RIGHT(AB462,3),IF(W462="CLIENT",AM462,AE462),1/IF(W462="CLIENT",AM462,AE462)),J462*VLOOKUP(K462,'FX RATES'!$E$1:$F$10,2,FALSE)))</f>
        <v>-450000</v>
      </c>
      <c r="AU462" s="170">
        <f>IF(AB462&lt;&gt;AJ462,R462/IF(S462=RIGHT(AJ462,3),AM462,1/AM462),IF(K462="USD",R462/IF(S462=RIGHT(AJ462,3),IF(W462="CLIENT",AM462,AE462),1/IF(W462="CLIENT",AM462,AE462)),R462*VLOOKUP(S462,'FX RATES'!$E$1:$F$10,2,FALSE)))</f>
        <v>450000</v>
      </c>
      <c r="AV462" s="170">
        <f>AT462+AU462</f>
        <v>0</v>
      </c>
      <c r="AW462" s="169"/>
      <c r="AX462" s="170">
        <f>IF(AND(ISERROR(SEARCH("INVOICE",T462)),ISERROR(SEARCH("SWITCH",T462)),ISERROR(SEARCH("FOREX",T462)),ISERROR(SEARCH("REFUND",A462)),ISERROR(SEARCH("CANCELLED",A462))),IF(AW462="",-AT462*X462+AU462*Z462,AW462),0)</f>
        <v>0</v>
      </c>
      <c r="AY462" s="170">
        <f>IF(AZ462="USD",AT462,IF(AZ462=K462,J462,-R462))</f>
        <v>-450000</v>
      </c>
      <c r="AZ462" s="170" t="str">
        <f>LEFT(AB462,3)</f>
        <v>USD</v>
      </c>
      <c r="BA462" s="542">
        <f>IF(OR(A462="REFUND",A462="CANCELLED"),0,IFERROR((IF(OR(AB462="USDAED",LEFT(AB462,3)=RIGHT(AB462,3)),AI462,AG462)-AE462)*-AY462*VLOOKUP(AB462,'FX RATES'!$H$1:$J$26,3,FALSE),0))</f>
        <v>156465.00000000146</v>
      </c>
      <c r="BB462" s="170" t="str">
        <f>RIGHT(AB462,3)</f>
        <v>RUB</v>
      </c>
      <c r="BC462" s="542">
        <f>IF(BA462=0,0,IFERROR(BA462/IF(BB462&lt;&gt;"USD",AI462,1),"???"))</f>
        <v>2034.6553966190045</v>
      </c>
      <c r="BD462" s="170">
        <f>IFERROR(-AC462/(IF(OR(AB462="USDAED",LEFT(AB462,3)=RIGHT(AB462,3)),AH462,AG462)-AE462)*BC462,0)</f>
        <v>0</v>
      </c>
      <c r="BE462" s="542">
        <f>BC462-BD462</f>
        <v>2034.6553966190045</v>
      </c>
      <c r="BF462" s="170">
        <f>IF(BG462="USD",AU462,IF(BG462=S462,R462,-J462))</f>
        <v>450000</v>
      </c>
      <c r="BG462" s="170" t="str">
        <f>LEFT(AJ462,3)</f>
        <v>USD</v>
      </c>
      <c r="BH462" s="542">
        <f>IF(OR(A462="REFUND",A462="CANCELLED"),0,IFERROR((IF(OR(AJ462="USDAED",LEFT(AJ462,3)=RIGHT(AJ462,3)),AQ462,AO462)-AM462)*-BF462*VLOOKUP(AJ462,'FX RATES'!$H$1:$J$26,3,FALSE),0))</f>
        <v>0</v>
      </c>
      <c r="BI462" s="170" t="str">
        <f>RIGHT(AJ462,3)</f>
        <v>AED</v>
      </c>
      <c r="BJ462" s="542">
        <f>IF(BH462=0,0,IFERROR(BH462/IF(BI462&lt;&gt;"USD",AQ462,1),"???"))</f>
        <v>0</v>
      </c>
      <c r="BK462" s="170">
        <f>IFERROR(-AK462/(IF(OR(AJ462="USDAED",LEFT(AJ462,3)=RIGHT(AJ462,3)),AP462,AO462)-AM462)*BJ462,0)</f>
        <v>0</v>
      </c>
      <c r="BL462" s="542">
        <f>BJ462-BK462</f>
        <v>0</v>
      </c>
      <c r="BM462" s="170">
        <f>IF(AND(ISERROR(SEARCH("REFUND",A462)),ISERROR(SEARCH("CANCELLED",A462))),BD462+BK462,0)</f>
        <v>0</v>
      </c>
      <c r="BN462" s="542">
        <f>IF(AND(ISERROR(SEARCH("REFUND",A462)),ISERROR(SEARCH("CANCELLED",A462))),BE462+BL462,0)</f>
        <v>2034.6553966190045</v>
      </c>
    </row>
    <row r="464" spans="1:66" ht="19.5" customHeight="1">
      <c r="A464" s="167" t="s">
        <v>366</v>
      </c>
      <c r="B464" s="168" t="s">
        <v>39</v>
      </c>
      <c r="C464" s="168" t="s">
        <v>367</v>
      </c>
      <c r="D464" s="168" t="s">
        <v>368</v>
      </c>
      <c r="E464" s="171">
        <v>46059</v>
      </c>
      <c r="F464" s="171"/>
      <c r="G464" s="168" t="s">
        <v>39</v>
      </c>
      <c r="H464" s="168" t="s">
        <v>405</v>
      </c>
      <c r="I464" s="169">
        <v>-456315</v>
      </c>
      <c r="J464" s="170">
        <f>IF(I464="",AR464,I464)</f>
        <v>-456315</v>
      </c>
      <c r="K464" s="168" t="s">
        <v>8</v>
      </c>
      <c r="L464" s="168" t="s">
        <v>16</v>
      </c>
      <c r="M464" s="168" t="s">
        <v>17</v>
      </c>
      <c r="N464" s="167" t="s">
        <v>371</v>
      </c>
      <c r="O464" s="168" t="s">
        <v>39</v>
      </c>
      <c r="P464" s="168" t="s">
        <v>406</v>
      </c>
      <c r="Q464" s="169">
        <v>9705270</v>
      </c>
      <c r="R464" s="170">
        <f>IF(Q464="",AS464,Q464)</f>
        <v>9705270</v>
      </c>
      <c r="S464" s="168" t="s">
        <v>9</v>
      </c>
      <c r="T464" s="171" t="s">
        <v>391</v>
      </c>
      <c r="U464" s="168" t="s">
        <v>25</v>
      </c>
      <c r="V464" s="167" t="s">
        <v>371</v>
      </c>
      <c r="W464" s="172" t="s">
        <v>375</v>
      </c>
      <c r="X464" s="173">
        <f>IF(Y464="",VLOOKUP(H464,CLIENTS!$A$1:$O$649,5,FALSE),Y464)</f>
        <v>0</v>
      </c>
      <c r="Y464" s="174">
        <v>0</v>
      </c>
      <c r="Z464" s="173">
        <f>IF(AA464="",VLOOKUP(P464,CLIENTS!$A$1:$O$649,5,FALSE),AA464)</f>
        <v>7.0000000000000001E-3</v>
      </c>
      <c r="AA464" s="174">
        <v>7.0000000000000001E-3</v>
      </c>
      <c r="AB464" s="173" t="str">
        <f>IF(W464="via USD",IF(K464="EUR",K464&amp;"USD","USD"&amp;K464),IFERROR(VLOOKUP(K464&amp;S464,'FX RATES'!$H$2:$H$20,1,FALSE),S464&amp;K464))</f>
        <v>USDAED</v>
      </c>
      <c r="AC464" s="175">
        <f>IF(LEFT(AB464,3)=RIGHT(AB464,3),0,IFERROR(INDEX(CLIENTS!$A$1:$O$649,MATCH(H464,CLIENTS!$A$1:$A$649,0),MATCH(AB464,CLIENTS!$A$1:$O$1,0)),0))+0.0075</f>
        <v>0</v>
      </c>
      <c r="AD464" s="176">
        <v>3.67</v>
      </c>
      <c r="AE464" s="177">
        <f>IF(W464="CLIENT","",IF(AD464="",AH464+AC464,AD464+AC464))</f>
        <v>3.67</v>
      </c>
      <c r="AF464" s="177" t="str">
        <f>E464&amp;AB464</f>
        <v>46059USDAED</v>
      </c>
      <c r="AG464" s="176"/>
      <c r="AH464" s="178">
        <f>IF(LEFT(AB464,3)=RIGHT(AB464,3),1,VLOOKUP(AB464,'FX RATES'!$H$1:$I$20,2,FALSE))</f>
        <v>3.6724999999999999</v>
      </c>
      <c r="AI464" s="178">
        <f>IF(OR(AB464="USDAED",LEFT(AB464,3)=RIGHT(AB464,3)),AH464,IF(LEFT(AB464)="USD",AG464,IF(RIGHT(AB464,3)="USD",1,IFERROR(VLOOKUP(E464&amp;"USD"&amp;RIGHT(AB464,3),$AF:$AG,2,FALSE),VLOOKUP(E464&amp;"USD"&amp;RIGHT(AJ464,3),$AN:$AO,2,FALSE)))))</f>
        <v>3.6724999999999999</v>
      </c>
      <c r="AJ464" s="173" t="str">
        <f>IF(W464="via USD",IF(S464="EUR",S464&amp;"USD","USD"&amp;S464),IFERROR(VLOOKUP(K464&amp;S464,'FX RATES'!$H$2:$H$20,1,FALSE),S464&amp;K464))</f>
        <v>USDRUB</v>
      </c>
      <c r="AK464" s="175">
        <f>IF(LEFT(AJ464,3)=RIGHT(AJ464,3),0,IFERROR(INDEX(CLIENTS!$A$1:$O$649,MATCH(P464,CLIENTS!$A$1:$A$649,0),MATCH(AJ464,CLIENTS!$A$1:$O$1,0)),0))-0.15</f>
        <v>0</v>
      </c>
      <c r="AL464" s="176">
        <v>77.510000000000005</v>
      </c>
      <c r="AM464" s="177">
        <f>IF(W464="VENDOR","",IF(AL464="",AP464+AK464,AL464+AK464))</f>
        <v>77.510000000000005</v>
      </c>
      <c r="AN464" s="177" t="str">
        <f>E464&amp;AJ464</f>
        <v>46059USDRUB</v>
      </c>
      <c r="AO464" s="176">
        <v>76.900000000000006</v>
      </c>
      <c r="AP464" s="178">
        <f ca="1">IF(LEFT(AJ464,3)=RIGHT(AJ464,3),1,VLOOKUP(AJ464,'FX RATES'!$H$1:$I$20,2,FALSE))</f>
        <v>76.720500000000001</v>
      </c>
      <c r="AQ464" s="178">
        <f>IF(OR(AJ464="USDAED",LEFT(AJ464,3)=RIGHT(AJ464,3)),AP464,IF(LEFT(AJ464)="USD",AO464,IF(RIGHT(AJ464,3)="USD",1,IFERROR(VLOOKUP(E464&amp;"USD"&amp;RIGHT(AJ464,3),$AN:$AO,2,FALSE),VLOOKUP(E464&amp;"USD"&amp;RIGHT(AB464,3),$AF:$AG,2,FALSE)))))</f>
        <v>76.900000000000006</v>
      </c>
      <c r="AR464" s="179">
        <f>-Q464*(1-Z464)/(1+X464)*IF(W464="CLIENT",IF(S464=RIGHT(AJ464,3),1/AM464,AM464),IF(W464="VENDOR",IF(S464=RIGHT(AJ464,3),1/AE464,AE464),AE464^(VLOOKUP(AB464,'FX RATES'!$H$1:$J$26,3,FALSE))/AM464^(VLOOKUP(AJ464,'FX RATES'!$H$1:$J$26,3,FALSE))))</f>
        <v>-456315.47559927742</v>
      </c>
      <c r="AS464" s="179">
        <f>-I464*(1+X464)/(1-Z464)*IF(W464="VENDOR",IF(K464=RIGHT(AB464,3),1/AE464,AE464),IF(W464="CLIENT",IF(K464=RIGHT(AB464,3),1/AM464,AM464),AM464^(VLOOKUP(AJ464,'FX RATES'!$H$1:$J$26,3,FALSE))/AE464^(VLOOKUP(AB464,'FX RATES'!$H$1:$J$26,3,FALSE))))</f>
        <v>9705259.8845872078</v>
      </c>
      <c r="AT464" s="170">
        <f>IF(AB464&lt;&gt;AJ464,J464/IF(K464=RIGHT(AB464,3),AE464,1/AE464),IF(S464="USD",J464/IF(K464=RIGHT(AB464,3),IF(W464="CLIENT",AM464,AE464),1/IF(W464="CLIENT",AM464,AE464)),J464*VLOOKUP(K464,'FX RATES'!$E$1:$F$10,2,FALSE)))</f>
        <v>-124336.51226158038</v>
      </c>
      <c r="AU464" s="170">
        <f>IF(AB464&lt;&gt;AJ464,R464/IF(S464=RIGHT(AJ464,3),AM464,1/AM464),IF(K464="USD",R464/IF(S464=RIGHT(AJ464,3),IF(W464="CLIENT",AM464,AE464),1/IF(W464="CLIENT",AM464,AE464)),R464*VLOOKUP(S464,'FX RATES'!$E$1:$F$10,2,FALSE)))</f>
        <v>125213.13378918849</v>
      </c>
      <c r="AV464" s="170">
        <f>AT464+AU464</f>
        <v>876.62152760810568</v>
      </c>
      <c r="AW464" s="169"/>
      <c r="AX464" s="170">
        <f>IF(AND(ISERROR(SEARCH("INVOICE",T464)),ISERROR(SEARCH("SWITCH",T464)),ISERROR(SEARCH("FOREX",T464)),ISERROR(SEARCH("REFUND",A464)),ISERROR(SEARCH("CANCELLED",A464))),IF(AW464="",-AT464*X464+AU464*Z464,AW464),0)</f>
        <v>876.4919365243195</v>
      </c>
      <c r="AY464" s="170">
        <f>IF(AZ464="USD",AT464,IF(AZ464=K464,J464,-R464))</f>
        <v>-124336.51226158038</v>
      </c>
      <c r="AZ464" s="170" t="str">
        <f>LEFT(AB464,3)</f>
        <v>USD</v>
      </c>
      <c r="BA464" s="542">
        <f>IF(OR(A464="REFUND",A464="CANCELLED"),0,IFERROR((IF(OR(AB464="USDAED",LEFT(AB464,3)=RIGHT(AB464,3)),AI464,AG464)-AE464)*-AY464*VLOOKUP(AB464,'FX RATES'!$H$1:$J$26,3,FALSE),0))</f>
        <v>310.84128065394435</v>
      </c>
      <c r="BB464" s="170" t="str">
        <f>RIGHT(AB464,3)</f>
        <v>AED</v>
      </c>
      <c r="BC464" s="542">
        <f>IF(BA464=0,0,IFERROR(BA464/IF(BB464&lt;&gt;"USD",AI464,1),"???"))</f>
        <v>84.640239796853464</v>
      </c>
      <c r="BD464" s="170">
        <f>IFERROR(-AC464/(IF(OR(AB464="USDAED",LEFT(AB464,3)=RIGHT(AB464,3)),AH464,AG464)-AE464)*BC464,0)</f>
        <v>0</v>
      </c>
      <c r="BE464" s="542">
        <f>BC464-BD464</f>
        <v>84.640239796853464</v>
      </c>
      <c r="BF464" s="170">
        <f>IF(BG464="USD",AU464,IF(BG464=S464,R464,-J464))</f>
        <v>125213.13378918849</v>
      </c>
      <c r="BG464" s="170" t="str">
        <f>LEFT(AJ464,3)</f>
        <v>USD</v>
      </c>
      <c r="BH464" s="542">
        <f>IF(OR(A464="REFUND",A464="CANCELLED"),0,IFERROR((IF(OR(AJ464="USDAED",LEFT(AJ464,3)=RIGHT(AJ464,3)),AQ464,AO464)-AM464)*-BF464*VLOOKUP(AJ464,'FX RATES'!$H$1:$J$26,3,FALSE),0))</f>
        <v>76380.011611404901</v>
      </c>
      <c r="BI464" s="170" t="str">
        <f>RIGHT(AJ464,3)</f>
        <v>RUB</v>
      </c>
      <c r="BJ464" s="542">
        <f>IF(BH464=0,0,IFERROR(BH464/IF(BI464&lt;&gt;"USD",AQ464,1),"???"))</f>
        <v>993.23812238497919</v>
      </c>
      <c r="BK464" s="170">
        <f>IFERROR(-AK464/(IF(OR(AJ464="USDAED",LEFT(AJ464,3)=RIGHT(AJ464,3)),AP464,AO464)-AM464)*BJ464,0)</f>
        <v>0</v>
      </c>
      <c r="BL464" s="542">
        <f>BJ464-BK464</f>
        <v>993.23812238497919</v>
      </c>
      <c r="BM464" s="170">
        <f>IF(AND(ISERROR(SEARCH("REFUND",A464)),ISERROR(SEARCH("CANCELLED",A464))),BD464+BK464,0)</f>
        <v>0</v>
      </c>
      <c r="BN464" s="542">
        <f>IF(AND(ISERROR(SEARCH("REFUND",A464)),ISERROR(SEARCH("CANCELLED",A464))),BE464+BL464,0)</f>
        <v>1077.8783621818327</v>
      </c>
    </row>
    <row r="465" spans="1:66" ht="19.5" customHeight="1">
      <c r="A465" s="167" t="s">
        <v>366</v>
      </c>
      <c r="B465" s="168" t="s">
        <v>52</v>
      </c>
      <c r="C465" s="168" t="s">
        <v>381</v>
      </c>
      <c r="D465" s="168" t="s">
        <v>128</v>
      </c>
      <c r="E465" s="171">
        <v>46059</v>
      </c>
      <c r="F465" s="171"/>
      <c r="G465" s="168" t="s">
        <v>52</v>
      </c>
      <c r="H465" s="168" t="s">
        <v>52</v>
      </c>
      <c r="I465" s="169"/>
      <c r="J465" s="170">
        <f>IF(I465="",AR465,I465)</f>
        <v>-1100000</v>
      </c>
      <c r="K465" s="168" t="s">
        <v>9</v>
      </c>
      <c r="L465" s="168" t="s">
        <v>25</v>
      </c>
      <c r="M465" s="168" t="s">
        <v>25</v>
      </c>
      <c r="N465" s="167" t="s">
        <v>371</v>
      </c>
      <c r="O465" s="168" t="s">
        <v>52</v>
      </c>
      <c r="P465" s="168" t="s">
        <v>52</v>
      </c>
      <c r="Q465" s="169">
        <v>1100000</v>
      </c>
      <c r="R465" s="170">
        <f>IF(Q465="",AS465,Q465)</f>
        <v>1100000</v>
      </c>
      <c r="S465" s="168" t="s">
        <v>9</v>
      </c>
      <c r="T465" s="168" t="s">
        <v>25</v>
      </c>
      <c r="U465" s="168" t="s">
        <v>25</v>
      </c>
      <c r="V465" s="167" t="s">
        <v>371</v>
      </c>
      <c r="W465" s="172" t="s">
        <v>382</v>
      </c>
      <c r="X465" s="173">
        <f>IF(Y465="",VLOOKUP(H465,CLIENTS!$A$1:$O$649,5,FALSE),Y465)</f>
        <v>0</v>
      </c>
      <c r="Y465" s="174"/>
      <c r="Z465" s="173">
        <f>IF(AA465="",VLOOKUP(P465,CLIENTS!$A$1:$O$649,5,FALSE),AA465)</f>
        <v>0</v>
      </c>
      <c r="AA465" s="174"/>
      <c r="AB465" s="173" t="str">
        <f>IF(W465="via USD",IF(K465="EUR",K465&amp;"USD","USD"&amp;K465),IFERROR(VLOOKUP(K465&amp;S465,'FX RATES'!$H$2:$H$20,1,FALSE),S465&amp;K465))</f>
        <v>RUBRUB</v>
      </c>
      <c r="AC465" s="175">
        <f>IF(LEFT(AB465,3)=RIGHT(AB465,3),0,IFERROR(INDEX(CLIENTS!$A$1:$O$649,MATCH(H465,CLIENTS!$A$1:$A$649,0),MATCH(AB465,CLIENTS!$A$1:$O$1,0)),0))</f>
        <v>0</v>
      </c>
      <c r="AD465" s="176"/>
      <c r="AE465" s="177">
        <f>IF(W465="CLIENT","",IF(AD465="",AH465+AC465,AD465+AC465))</f>
        <v>1</v>
      </c>
      <c r="AF465" s="177" t="str">
        <f>E465&amp;AB465</f>
        <v>46059RUBRUB</v>
      </c>
      <c r="AG465" s="176"/>
      <c r="AH465" s="178">
        <f>IF(LEFT(AB465,3)=RIGHT(AB465,3),1,VLOOKUP(AB465,'FX RATES'!$H$1:$I$20,2,FALSE))</f>
        <v>1</v>
      </c>
      <c r="AI465" s="178">
        <f>IF(OR(AB465="USDAED",LEFT(AB465,3)=RIGHT(AB465,3)),AH465,IF(LEFT(AB465)="USD",AG465,IF(RIGHT(AB465,3)="USD",1,IFERROR(VLOOKUP(E465&amp;"USD"&amp;RIGHT(AB465,3),$AF:$AG,2,FALSE),VLOOKUP(E465&amp;"USD"&amp;RIGHT(AJ465,3),$AN:$AO,2,FALSE)))))</f>
        <v>1</v>
      </c>
      <c r="AJ465" s="173" t="str">
        <f>IF(W465="via USD",IF(S465="EUR",S465&amp;"USD","USD"&amp;S465),IFERROR(VLOOKUP(K465&amp;S465,'FX RATES'!$H$2:$H$20,1,FALSE),S465&amp;K465))</f>
        <v>RUBRUB</v>
      </c>
      <c r="AK465" s="175">
        <f>IF(LEFT(AJ465,3)=RIGHT(AJ465,3),0,IFERROR(INDEX(CLIENTS!$A$1:$O$649,MATCH(P465,CLIENTS!$A$1:$A$649,0),MATCH(AJ465,CLIENTS!$A$1:$O$1,0)),0))</f>
        <v>0</v>
      </c>
      <c r="AL465" s="176"/>
      <c r="AM465" s="177" t="str">
        <f>IF(W465="VENDOR","",IF(AL465="",AP465+AK465,AL465+AK465))</f>
        <v/>
      </c>
      <c r="AN465" s="177" t="str">
        <f>E465&amp;AJ465</f>
        <v>46059RUBRUB</v>
      </c>
      <c r="AO465" s="176"/>
      <c r="AP465" s="178">
        <f>IF(LEFT(AJ465,3)=RIGHT(AJ465,3),1,VLOOKUP(AJ465,'FX RATES'!$H$1:$I$20,2,FALSE))</f>
        <v>1</v>
      </c>
      <c r="AQ465" s="178">
        <f>IF(OR(AJ465="USDAED",LEFT(AJ465,3)=RIGHT(AJ465,3)),AP465,IF(LEFT(AJ465)="USD",AO465,IF(RIGHT(AJ465,3)="USD",1,IFERROR(VLOOKUP(E465&amp;"USD"&amp;RIGHT(AJ465,3),$AN:$AO,2,FALSE),VLOOKUP(E465&amp;"USD"&amp;RIGHT(AB465,3),$AF:$AG,2,FALSE)))))</f>
        <v>1</v>
      </c>
      <c r="AR465" s="179">
        <f>-Q465*(1-Z465)/(1+X465)*IF(W465="CLIENT",IF(S465=RIGHT(AJ465,3),1/AM465,AM465),IF(W465="VENDOR",IF(S465=RIGHT(AJ465,3),1/AE465,AE465),AE465^(VLOOKUP(AB465,'FX RATES'!$H$1:$J$26,3,FALSE))/AM465^(VLOOKUP(AJ465,'FX RATES'!$H$1:$J$26,3,FALSE))))</f>
        <v>-1100000</v>
      </c>
      <c r="AS465" s="179">
        <f>-I465*(1+X465)/(1-Z465)*IF(W465="VENDOR",IF(K465=RIGHT(AB465,3),1/AE465,AE465),IF(W465="CLIENT",IF(K465=RIGHT(AB465,3),1/AM465,AM465),AM465^(VLOOKUP(AJ465,'FX RATES'!$H$1:$J$26,3,FALSE))/AE465^(VLOOKUP(AB465,'FX RATES'!$H$1:$J$26,3,FALSE))))</f>
        <v>0</v>
      </c>
      <c r="AT465" s="170">
        <f ca="1">IF(AB465&lt;&gt;AJ465,J465/IF(K465=RIGHT(AB465,3),AE465,1/AE465),IF(S465="USD",J465/IF(K465=RIGHT(AB465,3),IF(W465="CLIENT",AM465,AE465),1/IF(W465="CLIENT",AM465,AE465)),J465*VLOOKUP(K465,'FX RATES'!$E$1:$F$10,2,FALSE)))</f>
        <v>-14337.75848697545</v>
      </c>
      <c r="AU465" s="170">
        <f ca="1">IF(AB465&lt;&gt;AJ465,R465/IF(S465=RIGHT(AJ465,3),AM465,1/AM465),IF(K465="USD",R465/IF(S465=RIGHT(AJ465,3),IF(W465="CLIENT",AM465,AE465),1/IF(W465="CLIENT",AM465,AE465)),R465*VLOOKUP(S465,'FX RATES'!$E$1:$F$10,2,FALSE)))</f>
        <v>14337.75848697545</v>
      </c>
      <c r="AV465" s="170">
        <f ca="1">AT465+AU465</f>
        <v>0</v>
      </c>
      <c r="AW465" s="169"/>
      <c r="AX465" s="170">
        <f ca="1">IF(AND(ISERROR(SEARCH("INVOICE",T465)),ISERROR(SEARCH("SWITCH",T465)),ISERROR(SEARCH("FOREX",T465)),ISERROR(SEARCH("REFUND",A465)),ISERROR(SEARCH("CANCELLED",A465))),IF(AW465="",-AT465*X465+AU465*Z465,AW465),0)</f>
        <v>0</v>
      </c>
      <c r="AY465" s="170">
        <f>IF(AZ465="USD",AT465,IF(AZ465=K465,J465,-R465))</f>
        <v>-1100000</v>
      </c>
      <c r="AZ465" s="170" t="str">
        <f>LEFT(AB465,3)</f>
        <v>RUB</v>
      </c>
      <c r="BA465" s="542">
        <f>IF(OR(A465="REFUND",A465="CANCELLED"),0,IFERROR((IF(OR(AB465="USDAED",LEFT(AB465,3)=RIGHT(AB465,3)),AI465,AG465)-AE465)*-AY465*VLOOKUP(AB465,'FX RATES'!$H$1:$J$26,3,FALSE),0))</f>
        <v>0</v>
      </c>
      <c r="BB465" s="170" t="str">
        <f>RIGHT(AB465,3)</f>
        <v>RUB</v>
      </c>
      <c r="BC465" s="542">
        <f>IF(BA465=0,0,IFERROR(BA465/IF(BB465&lt;&gt;"USD",AI465,1),"???"))</f>
        <v>0</v>
      </c>
      <c r="BD465" s="170">
        <f>IFERROR(-AC465/(IF(OR(AB465="USDAED",LEFT(AB465,3)=RIGHT(AB465,3)),AH465,AG465)-AE465)*BC465,0)</f>
        <v>0</v>
      </c>
      <c r="BE465" s="542">
        <f>BC465-BD465</f>
        <v>0</v>
      </c>
      <c r="BF465" s="170">
        <f>IF(BG465="USD",AU465,IF(BG465=S465,R465,-J465))</f>
        <v>1100000</v>
      </c>
      <c r="BG465" s="170" t="str">
        <f>LEFT(AJ465,3)</f>
        <v>RUB</v>
      </c>
      <c r="BH465" s="542">
        <f>IF(OR(A465="REFUND",A465="CANCELLED"),0,IFERROR((IF(OR(AJ465="USDAED",LEFT(AJ465,3)=RIGHT(AJ465,3)),AQ465,AO465)-AM465)*-BF465*VLOOKUP(AJ465,'FX RATES'!$H$1:$J$26,3,FALSE),0))</f>
        <v>0</v>
      </c>
      <c r="BI465" s="170" t="str">
        <f>RIGHT(AJ465,3)</f>
        <v>RUB</v>
      </c>
      <c r="BJ465" s="542">
        <f>IF(BH465=0,0,IFERROR(BH465/IF(BI465&lt;&gt;"USD",AQ465,1),"???"))</f>
        <v>0</v>
      </c>
      <c r="BK465" s="170">
        <f>IFERROR(-AK465/(IF(OR(AJ465="USDAED",LEFT(AJ465,3)=RIGHT(AJ465,3)),AP465,AO465)-AM465)*BJ465,0)</f>
        <v>0</v>
      </c>
      <c r="BL465" s="542">
        <f>BJ465-BK465</f>
        <v>0</v>
      </c>
      <c r="BM465" s="170">
        <f>IF(AND(ISERROR(SEARCH("REFUND",A465)),ISERROR(SEARCH("CANCELLED",A465))),BD465+BK465,0)</f>
        <v>0</v>
      </c>
      <c r="BN465" s="542">
        <f>IF(AND(ISERROR(SEARCH("REFUND",A465)),ISERROR(SEARCH("CANCELLED",A465))),BE465+BL465,0)</f>
        <v>0</v>
      </c>
    </row>
    <row r="466" spans="1:66" ht="19.5" customHeight="1">
      <c r="A466" s="167" t="s">
        <v>366</v>
      </c>
      <c r="B466" s="168" t="s">
        <v>0</v>
      </c>
      <c r="C466" s="168" t="s">
        <v>383</v>
      </c>
      <c r="D466" s="168" t="s">
        <v>121</v>
      </c>
      <c r="E466" s="171">
        <v>46059</v>
      </c>
      <c r="F466" s="171"/>
      <c r="G466" s="168" t="s">
        <v>39</v>
      </c>
      <c r="H466" s="181" t="s">
        <v>476</v>
      </c>
      <c r="I466" s="169">
        <f>-(R464+R465)</f>
        <v>-10805270</v>
      </c>
      <c r="J466" s="170">
        <f>IF(I466="",AR466,I466)</f>
        <v>-10805270</v>
      </c>
      <c r="K466" s="168" t="s">
        <v>9</v>
      </c>
      <c r="L466" s="171" t="s">
        <v>25</v>
      </c>
      <c r="M466" s="168" t="s">
        <v>25</v>
      </c>
      <c r="N466" s="167" t="s">
        <v>371</v>
      </c>
      <c r="O466" s="168" t="s">
        <v>0</v>
      </c>
      <c r="P466" s="168" t="s">
        <v>0</v>
      </c>
      <c r="Q466" s="169"/>
      <c r="R466" s="170">
        <f>IF(Q466="",AS466,Q466)</f>
        <v>141149.41477688367</v>
      </c>
      <c r="S466" s="168" t="s">
        <v>5</v>
      </c>
      <c r="T466" s="171" t="s">
        <v>477</v>
      </c>
      <c r="U466" s="168" t="s">
        <v>14</v>
      </c>
      <c r="V466" s="167" t="s">
        <v>371</v>
      </c>
      <c r="W466" s="172" t="s">
        <v>382</v>
      </c>
      <c r="X466" s="173">
        <f>IF(Y466="",VLOOKUP(H466,CLIENTS!$A$1:$O$649,5,FALSE),Y466)</f>
        <v>0</v>
      </c>
      <c r="Y466" s="174"/>
      <c r="Z466" s="173">
        <f>IF(AA466="",VLOOKUP(P466,CLIENTS!$A$1:$O$649,5,FALSE),AA466)</f>
        <v>0</v>
      </c>
      <c r="AA466" s="174"/>
      <c r="AB466" s="173" t="str">
        <f>IF(W466="via USD",IF(K466="EUR",K466&amp;"USD","USD"&amp;K466),IFERROR(VLOOKUP(K466&amp;S466,'FX RATES'!$H$2:$H$20,1,FALSE),S466&amp;K466))</f>
        <v>USDRUB</v>
      </c>
      <c r="AC466" s="175">
        <f>IF(LEFT(AB466,3)=RIGHT(AB466,3),0,IFERROR(INDEX(CLIENTS!$A$1:$O$649,MATCH(H466,CLIENTS!$A$1:$A$649,0),MATCH(AB466,CLIENTS!$A$1:$O$1,0)),0))+0.07</f>
        <v>0</v>
      </c>
      <c r="AD466" s="176">
        <v>76.552000000000007</v>
      </c>
      <c r="AE466" s="177">
        <f>IF(W466="CLIENT","",IF(AD466="",AH466+AC466,AD466+AC466))</f>
        <v>76.552000000000007</v>
      </c>
      <c r="AF466" s="177" t="str">
        <f>E466&amp;AB466</f>
        <v>46059USDRUB</v>
      </c>
      <c r="AG466" s="176">
        <v>76.900000000000006</v>
      </c>
      <c r="AH466" s="178">
        <f ca="1">IF(LEFT(AB466,3)=RIGHT(AB466,3),1,VLOOKUP(AB466,'FX RATES'!$H$1:$I$20,2,FALSE))</f>
        <v>76.720500000000001</v>
      </c>
      <c r="AI466" s="178">
        <f>IF(OR(AB466="USDAED",LEFT(AB466,3)=RIGHT(AB466,3)),AH466,IF(LEFT(AB466)="USD",AG466,IF(RIGHT(AB466,3)="USD",1,IFERROR(VLOOKUP(E466&amp;"USD"&amp;RIGHT(AB466,3),$AF:$AG,2,FALSE),VLOOKUP(E466&amp;"USD"&amp;RIGHT(AJ466,3),$AN:$AO,2,FALSE)))))</f>
        <v>76.900000000000006</v>
      </c>
      <c r="AJ466" s="173" t="str">
        <f>IF(W466="via USD",IF(S466="EUR",S466&amp;"USD","USD"&amp;S466),IFERROR(VLOOKUP(K466&amp;S466,'FX RATES'!$H$2:$H$20,1,FALSE),S466&amp;K466))</f>
        <v>USDRUB</v>
      </c>
      <c r="AK466" s="175">
        <f>IF(LEFT(AJ466,3)=RIGHT(AJ466,3),0,IFERROR(INDEX(CLIENTS!$A$1:$O$649,MATCH(P466,CLIENTS!$A$1:$A$649,0),MATCH(AJ466,CLIENTS!$A$1:$O$1,0)),0))</f>
        <v>0</v>
      </c>
      <c r="AL466" s="176"/>
      <c r="AM466" s="177" t="str">
        <f>IF(W466="VENDOR","",IF(AL466="",AP466+AK466,AL466+AK466))</f>
        <v/>
      </c>
      <c r="AN466" s="177" t="str">
        <f>E466&amp;AJ466</f>
        <v>46059USDRUB</v>
      </c>
      <c r="AO466" s="176"/>
      <c r="AP466" s="178">
        <f ca="1">IF(LEFT(AJ466,3)=RIGHT(AJ466,3),1,VLOOKUP(AJ466,'FX RATES'!$H$1:$I$20,2,FALSE))</f>
        <v>76.720500000000001</v>
      </c>
      <c r="AQ466" s="178">
        <f>IF(OR(AJ466="USDAED",LEFT(AJ466,3)=RIGHT(AJ466,3)),AP466,IF(LEFT(AJ466)="USD",AO466,IF(RIGHT(AJ466,3)="USD",1,IFERROR(VLOOKUP(E466&amp;"USD"&amp;RIGHT(AJ466,3),$AN:$AO,2,FALSE),VLOOKUP(E466&amp;"USD"&amp;RIGHT(AB466,3),$AF:$AG,2,FALSE)))))</f>
        <v>76.900000000000006</v>
      </c>
      <c r="AR466" s="179">
        <f>-Q466*(1-Z466)/(1+X466)*IF(W466="CLIENT",IF(S466=RIGHT(AJ466,3),1/AM466,AM466),IF(W466="VENDOR",IF(S466=RIGHT(AJ466,3),1/AE466,AE466),AE466^(VLOOKUP(AB466,'FX RATES'!$H$1:$J$26,3,FALSE))/AM466^(VLOOKUP(AJ466,'FX RATES'!$H$1:$J$26,3,FALSE))))</f>
        <v>0</v>
      </c>
      <c r="AS466" s="179">
        <f>-I466*(1+X466)/(1-Z466)*IF(W466="VENDOR",IF(K466=RIGHT(AB466,3),1/AE466,AE466),IF(W466="CLIENT",IF(K466=RIGHT(AB466,3),1/AM466,AM466),AM466^(VLOOKUP(AJ466,'FX RATES'!$H$1:$J$26,3,FALSE))/AE466^(VLOOKUP(AB466,'FX RATES'!$H$1:$J$26,3,FALSE))))</f>
        <v>141149.41477688367</v>
      </c>
      <c r="AT466" s="170">
        <f>IF(AB466&lt;&gt;AJ466,J466/IF(K466=RIGHT(AB466,3),AE466,1/AE466),IF(S466="USD",J466/IF(K466=RIGHT(AB466,3),IF(W466="CLIENT",AM466,AE466),1/IF(W466="CLIENT",AM466,AE466)),J466*VLOOKUP(K466,'FX RATES'!$E$1:$F$10,2,FALSE)))</f>
        <v>-141149.41477688367</v>
      </c>
      <c r="AU466" s="170">
        <f>IF(AB466&lt;&gt;AJ466,R466/IF(S466=RIGHT(AJ466,3),AM466,1/AM466),IF(K466="USD",R466/IF(S466=RIGHT(AJ466,3),IF(W466="CLIENT",AM466,AE466),1/IF(W466="CLIENT",AM466,AE466)),R466*VLOOKUP(S466,'FX RATES'!$E$1:$F$10,2,FALSE)))</f>
        <v>141149.41477688367</v>
      </c>
      <c r="AV466" s="170">
        <f>AT466+AU466</f>
        <v>0</v>
      </c>
      <c r="AW466" s="169"/>
      <c r="AX466" s="170">
        <f>IF(AND(ISERROR(SEARCH("INVOICE",T466)),ISERROR(SEARCH("SWITCH",T466)),ISERROR(SEARCH("FOREX",T466)),ISERROR(SEARCH("REFUND",A466)),ISERROR(SEARCH("CANCELLED",A466))),IF(AW466="",-AT466*X466+AU466*Z466,AW466),0)</f>
        <v>0</v>
      </c>
      <c r="AY466" s="170">
        <f>IF(AZ466="USD",AT466,IF(AZ466=K466,J466,-R466))</f>
        <v>-141149.41477688367</v>
      </c>
      <c r="AZ466" s="170" t="str">
        <f>LEFT(AB466,3)</f>
        <v>USD</v>
      </c>
      <c r="BA466" s="542">
        <f>IF(OR(A466="REFUND",A466="CANCELLED"),0,IFERROR((IF(OR(AB466="USDAED",LEFT(AB466,3)=RIGHT(AB466,3)),AI466,AG466)-AE466)*-AY466*VLOOKUP(AB466,'FX RATES'!$H$1:$J$26,3,FALSE),0))</f>
        <v>49119.996342355371</v>
      </c>
      <c r="BB466" s="170" t="str">
        <f>RIGHT(AB466,3)</f>
        <v>RUB</v>
      </c>
      <c r="BC466" s="542">
        <f>IF(BA466=0,0,IFERROR(BA466/IF(BB466&lt;&gt;"USD",AI466,1),"???"))</f>
        <v>638.75157792399693</v>
      </c>
      <c r="BD466" s="170">
        <f>IFERROR(-AC466/(IF(OR(AB466="USDAED",LEFT(AB466,3)=RIGHT(AB466,3)),AH466,AG466)-AE466)*BC466,0)</f>
        <v>0</v>
      </c>
      <c r="BE466" s="542">
        <f>BC466-BD466</f>
        <v>638.75157792399693</v>
      </c>
      <c r="BF466" s="170">
        <f>IF(BG466="USD",AU466,IF(BG466=S466,R466,-J466))</f>
        <v>141149.41477688367</v>
      </c>
      <c r="BG466" s="170" t="str">
        <f>LEFT(AJ466,3)</f>
        <v>USD</v>
      </c>
      <c r="BH466" s="542">
        <f>IF(OR(A466="REFUND",A466="CANCELLED"),0,IFERROR((IF(OR(AJ466="USDAED",LEFT(AJ466,3)=RIGHT(AJ466,3)),AQ466,AO466)-AM466)*-BF466*VLOOKUP(AJ466,'FX RATES'!$H$1:$J$26,3,FALSE),0))</f>
        <v>0</v>
      </c>
      <c r="BI466" s="170" t="str">
        <f>RIGHT(AJ466,3)</f>
        <v>RUB</v>
      </c>
      <c r="BJ466" s="542">
        <f>IF(BH466=0,0,IFERROR(BH466/IF(BI466&lt;&gt;"USD",AQ466,1),"???"))</f>
        <v>0</v>
      </c>
      <c r="BK466" s="170">
        <f>IFERROR(-AK466/(IF(OR(AJ466="USDAED",LEFT(AJ466,3)=RIGHT(AJ466,3)),AP466,AO466)-AM466)*BJ466,0)</f>
        <v>0</v>
      </c>
      <c r="BL466" s="542">
        <f>BJ466-BK466</f>
        <v>0</v>
      </c>
      <c r="BM466" s="170">
        <f>IF(AND(ISERROR(SEARCH("REFUND",A466)),ISERROR(SEARCH("CANCELLED",A466))),BD466+BK466,0)</f>
        <v>0</v>
      </c>
      <c r="BN466" s="542">
        <f>IF(AND(ISERROR(SEARCH("REFUND",A466)),ISERROR(SEARCH("CANCELLED",A466))),BE466+BL466,0)</f>
        <v>638.75157792399693</v>
      </c>
    </row>
    <row r="467" spans="1:66" ht="19.5" customHeight="1">
      <c r="A467" s="167"/>
      <c r="B467" s="182"/>
      <c r="C467" s="182"/>
      <c r="D467" s="182"/>
      <c r="E467" s="184"/>
      <c r="F467" s="184"/>
      <c r="G467" s="182"/>
      <c r="H467" s="182"/>
      <c r="I467" s="170"/>
      <c r="J467" s="170"/>
      <c r="K467" s="182"/>
      <c r="L467" s="184"/>
      <c r="M467" s="182"/>
      <c r="O467" s="182"/>
      <c r="P467" s="444"/>
      <c r="Q467" s="170"/>
      <c r="R467" s="170"/>
      <c r="S467" s="182"/>
      <c r="T467" s="184"/>
      <c r="U467" s="182"/>
      <c r="X467" s="173"/>
      <c r="Y467" s="173"/>
      <c r="Z467" s="173"/>
      <c r="AA467" s="173"/>
      <c r="AB467" s="173"/>
      <c r="AC467" s="175"/>
      <c r="AD467" s="177"/>
      <c r="AE467" s="177"/>
      <c r="AF467" s="177"/>
      <c r="AG467" s="177"/>
      <c r="AH467" s="178"/>
      <c r="AI467" s="178"/>
      <c r="AJ467" s="173"/>
      <c r="AK467" s="175"/>
      <c r="AL467" s="177"/>
      <c r="AM467" s="177"/>
      <c r="AN467" s="177"/>
      <c r="AO467" s="177"/>
      <c r="AP467" s="178"/>
      <c r="AQ467" s="178"/>
      <c r="AR467" s="185"/>
      <c r="AS467" s="185"/>
      <c r="AT467" s="170"/>
      <c r="AU467" s="170"/>
      <c r="AV467" s="170"/>
      <c r="AW467" s="170"/>
      <c r="AX467" s="170"/>
      <c r="AY467" s="170"/>
      <c r="AZ467" s="170"/>
      <c r="BA467" s="542"/>
      <c r="BB467" s="170"/>
      <c r="BC467" s="542"/>
      <c r="BD467" s="170"/>
      <c r="BE467" s="542"/>
      <c r="BF467" s="170"/>
      <c r="BG467" s="170"/>
      <c r="BH467" s="542"/>
      <c r="BI467" s="170"/>
      <c r="BJ467" s="542"/>
      <c r="BK467" s="170"/>
      <c r="BL467" s="542"/>
      <c r="BM467" s="170"/>
      <c r="BN467" s="542"/>
    </row>
    <row r="468" spans="1:66" ht="19.5" customHeight="1">
      <c r="A468" s="167" t="s">
        <v>366</v>
      </c>
      <c r="B468" s="168" t="s">
        <v>39</v>
      </c>
      <c r="C468" s="168" t="s">
        <v>367</v>
      </c>
      <c r="D468" s="168" t="s">
        <v>368</v>
      </c>
      <c r="E468" s="171">
        <v>46062</v>
      </c>
      <c r="F468" s="171"/>
      <c r="G468" s="168" t="s">
        <v>39</v>
      </c>
      <c r="H468" s="186" t="s">
        <v>541</v>
      </c>
      <c r="I468" s="169">
        <v>-1669960</v>
      </c>
      <c r="J468" s="170">
        <f>IF(I468="",AR468,I468)</f>
        <v>-1669960</v>
      </c>
      <c r="K468" s="168" t="s">
        <v>8</v>
      </c>
      <c r="L468" s="171" t="s">
        <v>537</v>
      </c>
      <c r="M468" s="168" t="s">
        <v>20</v>
      </c>
      <c r="N468" s="167" t="s">
        <v>553</v>
      </c>
      <c r="O468" s="168" t="s">
        <v>39</v>
      </c>
      <c r="P468" s="168" t="s">
        <v>542</v>
      </c>
      <c r="Q468" s="169"/>
      <c r="R468" s="227">
        <f>IF(Q468="",AS468,Q468)</f>
        <v>35706577.338691548</v>
      </c>
      <c r="S468" s="168" t="s">
        <v>9</v>
      </c>
      <c r="T468" s="171" t="s">
        <v>543</v>
      </c>
      <c r="U468" s="168" t="s">
        <v>374</v>
      </c>
      <c r="V468" s="167" t="s">
        <v>371</v>
      </c>
      <c r="W468" s="172" t="s">
        <v>375</v>
      </c>
      <c r="X468" s="173">
        <f>IF(Y468="",VLOOKUP(H468,CLIENTS!$A$1:$O$649,5,FALSE),Y468)</f>
        <v>0</v>
      </c>
      <c r="Y468" s="174">
        <v>0</v>
      </c>
      <c r="Z468" s="173">
        <f>IF(AA468="",VLOOKUP(P468,CLIENTS!$A$1:$O$649,5,FALSE),AA468)</f>
        <v>6.0000000000000001E-3</v>
      </c>
      <c r="AA468" s="174">
        <v>6.0000000000000001E-3</v>
      </c>
      <c r="AB468" s="173" t="str">
        <f>IF(W468="via USD",IF(K468="EUR",K468&amp;"USD","USD"&amp;K468),IFERROR(VLOOKUP(K468&amp;S468,'FX RATES'!$H$2:$H$20,1,FALSE),S468&amp;K468))</f>
        <v>USDAED</v>
      </c>
      <c r="AC468" s="175">
        <f>IF(LEFT(AB468,3)=RIGHT(AB468,3),0,IFERROR(INDEX(CLIENTS!$A$1:$O$649,MATCH(H468,CLIENTS!$A$1:$A$649,0),MATCH(AB468,CLIENTS!$A$1:$O$1,0)),0))</f>
        <v>0</v>
      </c>
      <c r="AD468" s="176">
        <v>3.67</v>
      </c>
      <c r="AE468" s="177">
        <f>IF(W468="CLIENT","",IF(AD468="",AH468+AC468,AD468+AC468))</f>
        <v>3.67</v>
      </c>
      <c r="AF468" s="177" t="str">
        <f>E468&amp;AB468</f>
        <v>46062USDAED</v>
      </c>
      <c r="AG468" s="176"/>
      <c r="AH468" s="178">
        <f>IF(LEFT(AB468,3)=RIGHT(AB468,3),1,VLOOKUP(AB468,'FX RATES'!$H$1:$I$20,2,FALSE))</f>
        <v>3.6724999999999999</v>
      </c>
      <c r="AI468" s="178">
        <f>IF(OR(AB468="USDAED",LEFT(AB468,3)=RIGHT(AB468,3)),AH468,IF(LEFT(AB468)="USD",AG468,IF(RIGHT(AB468,3)="USD",1,IFERROR(VLOOKUP(E468&amp;"USD"&amp;RIGHT(AB468,3),$AF:$AG,2,FALSE),VLOOKUP(E468&amp;"USD"&amp;RIGHT(AJ468,3),$AN:$AO,2,FALSE)))))</f>
        <v>3.6724999999999999</v>
      </c>
      <c r="AJ468" s="173" t="str">
        <f>IF(W468="via USD",IF(S468="EUR",S468&amp;"USD","USD"&amp;S468),IFERROR(VLOOKUP(K468&amp;S468,'FX RATES'!$H$2:$H$20,1,FALSE),S468&amp;K468))</f>
        <v>USDRUB</v>
      </c>
      <c r="AK468" s="175">
        <f>IF(LEFT(AJ468,3)=RIGHT(AJ468,3),0,IFERROR(INDEX(CLIENTS!$A$1:$O$649,MATCH(P468,CLIENTS!$A$1:$A$649,0),MATCH(AJ468,CLIENTS!$A$1:$O$1,0)),0))</f>
        <v>0</v>
      </c>
      <c r="AL468" s="176">
        <v>78</v>
      </c>
      <c r="AM468" s="177">
        <f>IF(W468="VENDOR","",IF(AL468="",AP468+AK468,AL468+AK468))</f>
        <v>78</v>
      </c>
      <c r="AN468" s="177" t="str">
        <f>E468&amp;AJ468</f>
        <v>46062USDRUB</v>
      </c>
      <c r="AO468" s="176">
        <v>77.349999999999994</v>
      </c>
      <c r="AP468" s="178">
        <f ca="1">IF(LEFT(AJ468,3)=RIGHT(AJ468,3),1,VLOOKUP(AJ468,'FX RATES'!$H$1:$I$20,2,FALSE))</f>
        <v>76.720500000000001</v>
      </c>
      <c r="AQ468" s="178">
        <f>IF(OR(AJ468="USDAED",LEFT(AJ468,3)=RIGHT(AJ468,3)),AP468,IF(LEFT(AJ468)="USD",AO468,IF(RIGHT(AJ468,3)="USD",1,IFERROR(VLOOKUP(E468&amp;"USD"&amp;RIGHT(AJ468,3),$AN:$AO,2,FALSE),VLOOKUP(E468&amp;"USD"&amp;RIGHT(AB468,3),$AF:$AG,2,FALSE)))))</f>
        <v>77.349999999999994</v>
      </c>
      <c r="AR468" s="179">
        <f>-Q468*(1-Z468)/(1+X468)*IF(W468="CLIENT",IF(S468=RIGHT(AJ468,3),1/AM468,AM468),IF(W468="VENDOR",IF(S468=RIGHT(AJ468,3),1/AE468,AE468),AE468^(VLOOKUP(AB468,'FX RATES'!$H$1:$J$26,3,FALSE))/AM468^(VLOOKUP(AJ468,'FX RATES'!$H$1:$J$26,3,FALSE))))</f>
        <v>0</v>
      </c>
      <c r="AS468" s="179">
        <f>-I468*(1+X468)/(1-Z468)*IF(W468="VENDOR",IF(K468=RIGHT(AB468,3),1/AE468,AE468),IF(W468="CLIENT",IF(K468=RIGHT(AB468,3),1/AM468,AM468),AM468^(VLOOKUP(AJ468,'FX RATES'!$H$1:$J$26,3,FALSE))/AE468^(VLOOKUP(AB468,'FX RATES'!$H$1:$J$26,3,FALSE))))</f>
        <v>35706577.338691548</v>
      </c>
      <c r="AT468" s="170">
        <f>IF(AB468&lt;&gt;AJ468,J468/IF(K468=RIGHT(AB468,3),AE468,1/AE468),IF(S468="USD",J468/IF(K468=RIGHT(AB468,3),IF(W468="CLIENT",AM468,AE468),1/IF(W468="CLIENT",AM468,AE468)),J468*VLOOKUP(K468,'FX RATES'!$E$1:$F$10,2,FALSE)))</f>
        <v>-455029.97275204363</v>
      </c>
      <c r="AU468" s="170">
        <f>IF(AB468&lt;&gt;AJ468,R468/IF(S468=RIGHT(AJ468,3),AM468,1/AM468),IF(K468="USD",R468/IF(S468=RIGHT(AJ468,3),IF(W468="CLIENT",AM468,AE468),1/IF(W468="CLIENT",AM468,AE468)),R468*VLOOKUP(S468,'FX RATES'!$E$1:$F$10,2,FALSE)))</f>
        <v>457776.63254732755</v>
      </c>
      <c r="AV468" s="170">
        <f>AT468+AU468</f>
        <v>2746.659795283922</v>
      </c>
      <c r="AW468" s="169"/>
      <c r="AX468" s="170">
        <f>IF(AND(ISERROR(SEARCH("INVOICE",T468)),ISERROR(SEARCH("SWITCH",T468)),ISERROR(SEARCH("FOREX",T468)),ISERROR(SEARCH("REFUND",A468)),ISERROR(SEARCH("CANCELLED",A468))),IF(AW468="",-AT468*X468+AU468*Z468,AW468),0)</f>
        <v>2746.6597952839652</v>
      </c>
      <c r="AY468" s="170">
        <f>IF(AZ468="USD",AT468,IF(AZ468=K468,J468,-R468))</f>
        <v>-455029.97275204363</v>
      </c>
      <c r="AZ468" s="170" t="str">
        <f>LEFT(AB468,3)</f>
        <v>USD</v>
      </c>
      <c r="BA468" s="542">
        <f>IF(OR(A468="REFUND",A468="CANCELLED"),0,IFERROR((IF(OR(AB468="USDAED",LEFT(AB468,3)=RIGHT(AB468,3)),AI468,AG468)-AE468)*-AY468*VLOOKUP(AB468,'FX RATES'!$H$1:$J$26,3,FALSE),0))</f>
        <v>1137.5749318800849</v>
      </c>
      <c r="BB468" s="170" t="str">
        <f>RIGHT(AB468,3)</f>
        <v>AED</v>
      </c>
      <c r="BC468" s="542">
        <f>IF(BA468=0,0,IFERROR(BA468/IF(BB468&lt;&gt;"USD",AI468,1),"???"))</f>
        <v>309.75491678150712</v>
      </c>
      <c r="BD468" s="170">
        <f>IFERROR(-AC468/(IF(OR(AB468="USDAED",LEFT(AB468,3)=RIGHT(AB468,3)),AH468,AG468)-AE468)*BC468,0)</f>
        <v>0</v>
      </c>
      <c r="BE468" s="542">
        <f>BC468-BD468</f>
        <v>309.75491678150712</v>
      </c>
      <c r="BF468" s="170">
        <f>IF(BG468="USD",AU468,IF(BG468=S468,R468,-J468))</f>
        <v>457776.63254732755</v>
      </c>
      <c r="BG468" s="170" t="str">
        <f>LEFT(AJ468,3)</f>
        <v>USD</v>
      </c>
      <c r="BH468" s="542">
        <f>IF(OR(A468="REFUND",A468="CANCELLED"),0,IFERROR((IF(OR(AJ468="USDAED",LEFT(AJ468,3)=RIGHT(AJ468,3)),AQ468,AO468)-AM468)*-BF468*VLOOKUP(AJ468,'FX RATES'!$H$1:$J$26,3,FALSE),0))</f>
        <v>297554.81115576549</v>
      </c>
      <c r="BI468" s="170" t="str">
        <f>RIGHT(AJ468,3)</f>
        <v>RUB</v>
      </c>
      <c r="BJ468" s="542">
        <f>IF(BH468=0,0,IFERROR(BH468/IF(BI468&lt;&gt;"USD",AQ468,1),"???"))</f>
        <v>3846.8624583809374</v>
      </c>
      <c r="BK468" s="170">
        <f>IFERROR(-AK468/(IF(OR(AJ468="USDAED",LEFT(AJ468,3)=RIGHT(AJ468,3)),AP468,AO468)-AM468)*BJ468,0)</f>
        <v>0</v>
      </c>
      <c r="BL468" s="542">
        <f>BJ468-BK468</f>
        <v>3846.8624583809374</v>
      </c>
      <c r="BM468" s="170">
        <f>IF(AND(ISERROR(SEARCH("REFUND",A468)),ISERROR(SEARCH("CANCELLED",A468))),BD468+BK468,0)</f>
        <v>0</v>
      </c>
      <c r="BN468" s="542">
        <f>IF(AND(ISERROR(SEARCH("REFUND",A468)),ISERROR(SEARCH("CANCELLED",A468))),BE468+BL468,0)</f>
        <v>4156.6173751624447</v>
      </c>
    </row>
    <row r="469" spans="1:66" ht="19.5" customHeight="1">
      <c r="A469" s="167" t="s">
        <v>601</v>
      </c>
      <c r="B469" s="168" t="s">
        <v>39</v>
      </c>
      <c r="C469" s="168" t="s">
        <v>383</v>
      </c>
      <c r="D469" s="168" t="s">
        <v>128</v>
      </c>
      <c r="E469" s="171">
        <v>46062</v>
      </c>
      <c r="F469" s="171"/>
      <c r="G469" s="168" t="s">
        <v>39</v>
      </c>
      <c r="H469" s="168" t="s">
        <v>384</v>
      </c>
      <c r="I469" s="169">
        <v>-35706000</v>
      </c>
      <c r="J469" s="170">
        <f>IF(I469="",AR469,I469)</f>
        <v>-35706000</v>
      </c>
      <c r="K469" s="168" t="s">
        <v>9</v>
      </c>
      <c r="L469" s="171" t="s">
        <v>374</v>
      </c>
      <c r="M469" s="168" t="s">
        <v>374</v>
      </c>
      <c r="N469" s="167" t="s">
        <v>553</v>
      </c>
      <c r="O469" s="168" t="s">
        <v>39</v>
      </c>
      <c r="P469" s="349" t="s">
        <v>384</v>
      </c>
      <c r="Q469" s="169"/>
      <c r="R469" s="170">
        <f>IF(Q469="",AS469,Q469)</f>
        <v>1688226.9503546101</v>
      </c>
      <c r="S469" s="168" t="s">
        <v>8</v>
      </c>
      <c r="T469" s="171" t="s">
        <v>385</v>
      </c>
      <c r="U469" s="168" t="s">
        <v>20</v>
      </c>
      <c r="V469" s="167" t="s">
        <v>371</v>
      </c>
      <c r="W469" s="172" t="s">
        <v>382</v>
      </c>
      <c r="X469" s="173">
        <f>IF(Y469="",VLOOKUP(H469,CLIENTS!$A$1:$O$649,5,FALSE),Y469)</f>
        <v>0</v>
      </c>
      <c r="Y469" s="174">
        <v>0</v>
      </c>
      <c r="Z469" s="173">
        <f>IF(AA469="",VLOOKUP(P469,CLIENTS!$A$1:$O$649,5,FALSE),AA469)</f>
        <v>0</v>
      </c>
      <c r="AA469" s="174">
        <v>0</v>
      </c>
      <c r="AB469" s="173" t="str">
        <f>IF(W469="via USD",IF(K469="EUR",K469&amp;"USD","USD"&amp;K469),IFERROR(VLOOKUP(K469&amp;S469,'FX RATES'!$H$2:$H$20,1,FALSE),S469&amp;K469))</f>
        <v>AEDRUB</v>
      </c>
      <c r="AC469" s="175">
        <f>IF(LEFT(AB469,3)=RIGHT(AB469,3),0,IFERROR(INDEX(CLIENTS!$A$1:$O$649,MATCH(H469,CLIENTS!$A$1:$A$649,0),MATCH(AB469,CLIENTS!$A$1:$O$1,0)),0))</f>
        <v>0</v>
      </c>
      <c r="AD469" s="176">
        <v>21.15</v>
      </c>
      <c r="AE469" s="177">
        <f>IF(W469="CLIENT","",IF(AD469="",AH469+AC469,AD469+AC469))</f>
        <v>21.15</v>
      </c>
      <c r="AF469" s="177" t="str">
        <f>E469&amp;AB469</f>
        <v>46062AEDRUB</v>
      </c>
      <c r="AG469" s="176">
        <v>21.062000000000001</v>
      </c>
      <c r="AH469" s="178">
        <f ca="1">IF(LEFT(AB469,3)=RIGHT(AB469,3),1,VLOOKUP(AB469,'FX RATES'!$H$1:$I$20,2,FALSE))</f>
        <v>20.8843</v>
      </c>
      <c r="AI469" s="178">
        <f>IF(OR(AB469="USDAED",LEFT(AB469,3)=RIGHT(AB469,3)),AH469,IF(LEFT(AB469)="USD",AG469,IF(RIGHT(AB469,3)="USD",1,IFERROR(VLOOKUP(E469&amp;"USD"&amp;RIGHT(AB469,3),$AF:$AG,2,FALSE),VLOOKUP(E469&amp;"USD"&amp;RIGHT(AJ469,3),$AN:$AO,2,FALSE)))))</f>
        <v>77.349999999999994</v>
      </c>
      <c r="AJ469" s="173" t="str">
        <f>IF(W469="via USD",IF(S469="EUR",S469&amp;"USD","USD"&amp;S469),IFERROR(VLOOKUP(K469&amp;S469,'FX RATES'!$H$2:$H$20,1,FALSE),S469&amp;K469))</f>
        <v>AEDRUB</v>
      </c>
      <c r="AK469" s="175">
        <f>IF(LEFT(AJ469,3)=RIGHT(AJ469,3),0,IFERROR(INDEX(CLIENTS!$A$1:$O$649,MATCH(P469,CLIENTS!$A$1:$A$649,0),MATCH(AJ469,CLIENTS!$A$1:$O$1,0)),0))</f>
        <v>0</v>
      </c>
      <c r="AL469" s="176"/>
      <c r="AM469" s="177" t="str">
        <f>IF(W469="VENDOR","",IF(AL469="",AP469+AK469,AL469+AK469))</f>
        <v/>
      </c>
      <c r="AN469" s="177" t="str">
        <f>E469&amp;AJ469</f>
        <v>46062AEDRUB</v>
      </c>
      <c r="AO469" s="176"/>
      <c r="AP469" s="178">
        <f ca="1">IF(LEFT(AJ469,3)=RIGHT(AJ469,3),1,VLOOKUP(AJ469,'FX RATES'!$H$1:$I$20,2,FALSE))</f>
        <v>20.8843</v>
      </c>
      <c r="AQ469" s="178">
        <f>IF(OR(AJ469="USDAED",LEFT(AJ469,3)=RIGHT(AJ469,3)),AP469,IF(LEFT(AJ469)="USD",AO469,IF(RIGHT(AJ469,3)="USD",1,IFERROR(VLOOKUP(E469&amp;"USD"&amp;RIGHT(AJ469,3),$AN:$AO,2,FALSE),VLOOKUP(E469&amp;"USD"&amp;RIGHT(AB469,3),$AF:$AG,2,FALSE)))))</f>
        <v>77.349999999999994</v>
      </c>
      <c r="AR469" s="179">
        <f>-Q469*(1-Z469)/(1+X469)*IF(W469="CLIENT",IF(S469=RIGHT(AJ469,3),1/AM469,AM469),IF(W469="VENDOR",IF(S469=RIGHT(AJ469,3),1/AE469,AE469),AE469^(VLOOKUP(AB469,'FX RATES'!$H$1:$J$26,3,FALSE))/AM469^(VLOOKUP(AJ469,'FX RATES'!$H$1:$J$26,3,FALSE))))</f>
        <v>0</v>
      </c>
      <c r="AS469" s="179">
        <f>-I469*(1+X469)/(1-Z469)*IF(W469="VENDOR",IF(K469=RIGHT(AB469,3),1/AE469,AE469),IF(W469="CLIENT",IF(K469=RIGHT(AB469,3),1/AM469,AM469),AM469^(VLOOKUP(AJ469,'FX RATES'!$H$1:$J$26,3,FALSE))/AE469^(VLOOKUP(AB469,'FX RATES'!$H$1:$J$26,3,FALSE))))</f>
        <v>1688226.9503546101</v>
      </c>
      <c r="AT469" s="170">
        <f ca="1">IF(AB469&lt;&gt;AJ469,J469/IF(K469=RIGHT(AB469,3),AE469,1/AE469),IF(S469="USD",J469/IF(K469=RIGHT(AB469,3),IF(W469="CLIENT",AM469,AE469),1/IF(W469="CLIENT",AM469,AE469)),J469*VLOOKUP(K469,'FX RATES'!$E$1:$F$10,2,FALSE)))</f>
        <v>-465403.64048722311</v>
      </c>
      <c r="AU469" s="170">
        <f ca="1">IF(AB469&lt;&gt;AJ469,R469/IF(S469=RIGHT(AJ469,3),AM469,1/AM469),IF(K469="USD",R469/IF(S469=RIGHT(AJ469,3),IF(W469="CLIENT",AM469,AE469),1/IF(W469="CLIENT",AM469,AE469)),R469*VLOOKUP(S469,'FX RATES'!$E$1:$F$10,2,FALSE)))</f>
        <v>459681.68337270874</v>
      </c>
      <c r="AV469" s="170">
        <f ca="1">AT469+AU469</f>
        <v>-5721.9571145143709</v>
      </c>
      <c r="AW469" s="169"/>
      <c r="AX469" s="170">
        <f ca="1">IF(AND(ISERROR(SEARCH("INVOICE",T469)),ISERROR(SEARCH("SWITCH",T469)),ISERROR(SEARCH("FOREX",T469)),ISERROR(SEARCH("REFUND",A469)),ISERROR(SEARCH("CANCELLED",A469))),IF(AW469="",-AT469*X469+AU469*Z469,AW469),0)</f>
        <v>0</v>
      </c>
      <c r="AY469" s="170">
        <f>IF(AZ469="USD",AT469,IF(AZ469=K469,J469,-R469))</f>
        <v>-1688226.9503546101</v>
      </c>
      <c r="AZ469" s="170" t="str">
        <f>LEFT(AB469,3)</f>
        <v>AED</v>
      </c>
      <c r="BA469" s="542">
        <f>IF(OR(A469="REFUND",A469="CANCELLED"),0,IFERROR((IF(OR(AB469="USDAED",LEFT(AB469,3)=RIGHT(AB469,3)),AI469,AG469)-AE469)*-AY469*VLOOKUP(AB469,'FX RATES'!$H$1:$J$26,3,FALSE),0))</f>
        <v>-148563.97163120133</v>
      </c>
      <c r="BB469" s="170" t="str">
        <f>RIGHT(AB469,3)</f>
        <v>RUB</v>
      </c>
      <c r="BC469" s="542">
        <f>IF(BA469=0,0,IFERROR(BA469/IF(BB469&lt;&gt;"USD",AI469,1),"???"))</f>
        <v>-1920.6719021486922</v>
      </c>
      <c r="BD469" s="170">
        <f>IFERROR(-AC469/(IF(OR(AB469="USDAED",LEFT(AB469,3)=RIGHT(AB469,3)),AH469,AG469)-AE469)*BC469,0)</f>
        <v>0</v>
      </c>
      <c r="BE469" s="542">
        <f>BC469-BD469</f>
        <v>-1920.6719021486922</v>
      </c>
      <c r="BF469" s="170">
        <f>IF(BG469="USD",AU469,IF(BG469=S469,R469,-J469))</f>
        <v>1688226.9503546101</v>
      </c>
      <c r="BG469" s="170" t="str">
        <f>LEFT(AJ469,3)</f>
        <v>AED</v>
      </c>
      <c r="BH469" s="542">
        <f>IF(OR(A469="REFUND",A469="CANCELLED"),0,IFERROR((IF(OR(AJ469="USDAED",LEFT(AJ469,3)=RIGHT(AJ469,3)),AQ469,AO469)-AM469)*-BF469*VLOOKUP(AJ469,'FX RATES'!$H$1:$J$26,3,FALSE),0))</f>
        <v>0</v>
      </c>
      <c r="BI469" s="170" t="str">
        <f>RIGHT(AJ469,3)</f>
        <v>RUB</v>
      </c>
      <c r="BJ469" s="542">
        <f>IF(BH469=0,0,IFERROR(BH469/IF(BI469&lt;&gt;"USD",AQ469,1),"???"))</f>
        <v>0</v>
      </c>
      <c r="BK469" s="170">
        <f>IFERROR(-AK469/(IF(OR(AJ469="USDAED",LEFT(AJ469,3)=RIGHT(AJ469,3)),AP469,AO469)-AM469)*BJ469,0)</f>
        <v>0</v>
      </c>
      <c r="BL469" s="542">
        <f>BJ469-BK469</f>
        <v>0</v>
      </c>
      <c r="BM469" s="170">
        <f>IF(AND(ISERROR(SEARCH("REFUND",A469)),ISERROR(SEARCH("CANCELLED",A469))),BD469+BK469,0)</f>
        <v>0</v>
      </c>
      <c r="BN469" s="542">
        <f>IF(AND(ISERROR(SEARCH("REFUND",A469)),ISERROR(SEARCH("CANCELLED",A469))),BE469+BL469,0)</f>
        <v>-1920.6719021486922</v>
      </c>
    </row>
    <row r="470" spans="1:66" ht="19.5" customHeight="1">
      <c r="A470" s="167"/>
      <c r="B470" s="182"/>
      <c r="C470" s="182"/>
      <c r="D470" s="182"/>
      <c r="E470" s="184"/>
      <c r="F470" s="184"/>
      <c r="G470" s="182"/>
      <c r="H470" s="182"/>
      <c r="I470" s="170"/>
      <c r="J470" s="170"/>
      <c r="K470" s="182"/>
      <c r="L470" s="184"/>
      <c r="M470" s="182"/>
      <c r="O470" s="182"/>
      <c r="P470" s="444"/>
      <c r="Q470" s="170"/>
      <c r="R470" s="170"/>
      <c r="S470" s="182"/>
      <c r="T470" s="184"/>
      <c r="U470" s="182"/>
      <c r="X470" s="173"/>
      <c r="Y470" s="173"/>
      <c r="Z470" s="173"/>
      <c r="AA470" s="173"/>
      <c r="AB470" s="173"/>
      <c r="AC470" s="175"/>
      <c r="AD470" s="177"/>
      <c r="AE470" s="177"/>
      <c r="AF470" s="177"/>
      <c r="AG470" s="177"/>
      <c r="AH470" s="178"/>
      <c r="AI470" s="178"/>
      <c r="AJ470" s="173"/>
      <c r="AK470" s="175"/>
      <c r="AL470" s="177"/>
      <c r="AM470" s="177"/>
      <c r="AN470" s="177"/>
      <c r="AO470" s="177"/>
      <c r="AP470" s="178"/>
      <c r="AQ470" s="178"/>
      <c r="AR470" s="185"/>
      <c r="AS470" s="185"/>
      <c r="AT470" s="170"/>
      <c r="AU470" s="170"/>
      <c r="AV470" s="170"/>
      <c r="AW470" s="170"/>
      <c r="AX470" s="170"/>
      <c r="AY470" s="170"/>
      <c r="AZ470" s="170"/>
      <c r="BA470" s="542"/>
      <c r="BB470" s="170"/>
      <c r="BC470" s="542"/>
      <c r="BD470" s="170"/>
      <c r="BE470" s="542"/>
      <c r="BF470" s="170"/>
      <c r="BG470" s="170"/>
      <c r="BH470" s="542"/>
      <c r="BI470" s="170"/>
      <c r="BJ470" s="542"/>
      <c r="BK470" s="170"/>
      <c r="BL470" s="542"/>
      <c r="BM470" s="170"/>
      <c r="BN470" s="542"/>
    </row>
    <row r="471" spans="1:66" ht="19.5" customHeight="1">
      <c r="A471" s="167" t="s">
        <v>601</v>
      </c>
      <c r="B471" s="225" t="s">
        <v>42</v>
      </c>
      <c r="C471" s="225" t="s">
        <v>367</v>
      </c>
      <c r="D471" s="225" t="s">
        <v>368</v>
      </c>
      <c r="E471" s="226">
        <v>46062</v>
      </c>
      <c r="F471" s="226"/>
      <c r="G471" s="225" t="s">
        <v>42</v>
      </c>
      <c r="H471" s="225" t="s">
        <v>527</v>
      </c>
      <c r="I471" s="227">
        <v>-10000000</v>
      </c>
      <c r="J471" s="170">
        <f>IF(I471="",AR471,I471)</f>
        <v>-10000000</v>
      </c>
      <c r="K471" s="225" t="s">
        <v>7</v>
      </c>
      <c r="L471" s="226" t="s">
        <v>22</v>
      </c>
      <c r="M471" s="225" t="s">
        <v>22</v>
      </c>
      <c r="N471" s="167" t="s">
        <v>553</v>
      </c>
      <c r="O471" s="225" t="s">
        <v>52</v>
      </c>
      <c r="P471" s="225" t="s">
        <v>416</v>
      </c>
      <c r="Q471" s="227"/>
      <c r="R471" s="170">
        <f>IF(Q471="",AS471,Q471)</f>
        <v>111399999.99999999</v>
      </c>
      <c r="S471" s="225" t="s">
        <v>9</v>
      </c>
      <c r="T471" s="226" t="s">
        <v>414</v>
      </c>
      <c r="U471" s="225" t="s">
        <v>25</v>
      </c>
      <c r="V471" s="167" t="s">
        <v>371</v>
      </c>
      <c r="W471" s="230" t="s">
        <v>389</v>
      </c>
      <c r="X471" s="173">
        <f>IF(Y471="",VLOOKUP(H471,CLIENTS!$A$1:$O$649,5,FALSE),Y471)</f>
        <v>0</v>
      </c>
      <c r="Y471" s="234">
        <v>0</v>
      </c>
      <c r="Z471" s="173">
        <f>IF(AA471="",VLOOKUP(P471,CLIENTS!$A$1:$O$649,5,FALSE),AA471)</f>
        <v>3.0000000000000001E-3</v>
      </c>
      <c r="AA471" s="234">
        <v>3.0000000000000001E-3</v>
      </c>
      <c r="AB471" s="173" t="str">
        <f>IF(W471="via USD",IF(K471="EUR",K471&amp;"USD","USD"&amp;K471),IFERROR(VLOOKUP(K471&amp;S471,'FX RATES'!$H$2:$H$20,1,FALSE),S471&amp;K471))</f>
        <v>CNYRUB</v>
      </c>
      <c r="AC471" s="175">
        <f>IF(LEFT(AB471,3)=RIGHT(AB471,3),0,IFERROR(INDEX(CLIENTS!$A$1:$O$649,MATCH(H471,CLIENTS!$A$1:$A$649,0),MATCH(AB471,CLIENTS!$A$1:$O$1,0)),0))</f>
        <v>0</v>
      </c>
      <c r="AD471" s="176"/>
      <c r="AE471" s="177" t="str">
        <f>IF(W471="CLIENT","",IF(AD471="",AH471+AC471,AD471+AC471))</f>
        <v/>
      </c>
      <c r="AF471" s="177" t="str">
        <f>E471&amp;AB471</f>
        <v>46062CNYRUB</v>
      </c>
      <c r="AG471" s="176"/>
      <c r="AH471" s="178">
        <f ca="1">IF(LEFT(AB471,3)=RIGHT(AB471,3),1,VLOOKUP(AB471,'FX RATES'!$H$1:$I$20,2,FALSE))</f>
        <v>11.103899999999999</v>
      </c>
      <c r="AI471" s="178">
        <f>IF(OR(AB471="USDAED",LEFT(AB471,3)=RIGHT(AB471,3)),AH471,IF(LEFT(AB471)="USD",AG471,IF(RIGHT(AB471,3)="USD",1,IFERROR(VLOOKUP(E471&amp;"USD"&amp;RIGHT(AB471,3),$AF:$AG,2,FALSE),VLOOKUP(E471&amp;"USD"&amp;RIGHT(AJ471,3),$AN:$AO,2,FALSE)))))</f>
        <v>77.349999999999994</v>
      </c>
      <c r="AJ471" s="173" t="str">
        <f>IF(W471="via USD",IF(S471="EUR",S471&amp;"USD","USD"&amp;S471),IFERROR(VLOOKUP(K471&amp;S471,'FX RATES'!$H$2:$H$20,1,FALSE),S471&amp;K471))</f>
        <v>CNYRUB</v>
      </c>
      <c r="AK471" s="175">
        <f>IF(LEFT(AJ471,3)=RIGHT(AJ471,3),0,IFERROR(INDEX(CLIENTS!$A$1:$O$649,MATCH(P471,CLIENTS!$A$1:$A$649,0),MATCH(AJ471,CLIENTS!$A$1:$O$1,0)),0))</f>
        <v>0</v>
      </c>
      <c r="AL471" s="176">
        <v>11.106579999999999</v>
      </c>
      <c r="AM471" s="177">
        <f>IF(W471="VENDOR","",IF(AL471="",AP471+AK471,AL471+AK471))</f>
        <v>11.106579999999999</v>
      </c>
      <c r="AN471" s="177" t="str">
        <f>E471&amp;AJ471</f>
        <v>46062CNYRUB</v>
      </c>
      <c r="AO471" s="176">
        <v>11.15</v>
      </c>
      <c r="AP471" s="178">
        <f ca="1">IF(LEFT(AJ471,3)=RIGHT(AJ471,3),1,VLOOKUP(AJ471,'FX RATES'!$H$1:$I$20,2,FALSE))</f>
        <v>11.103899999999999</v>
      </c>
      <c r="AQ471" s="178">
        <f>IF(OR(AJ471="USDAED",LEFT(AJ471,3)=RIGHT(AJ471,3)),AP471,IF(LEFT(AJ471)="USD",AO471,IF(RIGHT(AJ471,3)="USD",1,IFERROR(VLOOKUP(E471&amp;"USD"&amp;RIGHT(AJ471,3),$AN:$AO,2,FALSE),VLOOKUP(E471&amp;"USD"&amp;RIGHT(AB471,3),$AF:$AG,2,FALSE)))))</f>
        <v>77.349999999999994</v>
      </c>
      <c r="AR471" s="179">
        <f>-Q471*(1-Z471)/(1+X471)*IF(W471="CLIENT",IF(S471=RIGHT(AJ471,3),1/AM471,AM471),IF(W471="VENDOR",IF(S471=RIGHT(AJ471,3),1/AE471,AE471),AE471^(VLOOKUP(AB471,'FX RATES'!$H$1:$J$26,3,FALSE))/AM471^(VLOOKUP(AJ471,'FX RATES'!$H$1:$J$26,3,FALSE))))</f>
        <v>0</v>
      </c>
      <c r="AS471" s="179">
        <f>-I471*(1+X471)/(1-Z471)*IF(W471="VENDOR",IF(K471=RIGHT(AB471,3),1/AE471,AE471),IF(W471="CLIENT",IF(K471=RIGHT(AB471,3),1/AM471,AM471),AM471^(VLOOKUP(AJ471,'FX RATES'!$H$1:$J$26,3,FALSE))/AE471^(VLOOKUP(AB471,'FX RATES'!$H$1:$J$26,3,FALSE))))</f>
        <v>111399999.99999999</v>
      </c>
      <c r="AT471" s="170">
        <f ca="1">IF(AB471&lt;&gt;AJ471,J471/IF(K471=RIGHT(AB471,3),AE471,1/AE471),IF(S471="USD",J471/IF(K471=RIGHT(AB471,3),IF(W471="CLIENT",AM471,AE471),1/IF(W471="CLIENT",AM471,AE471)),J471*VLOOKUP(K471,'FX RATES'!$E$1:$F$10,2,FALSE)))</f>
        <v>-1447596.9889982629</v>
      </c>
      <c r="AU471" s="170">
        <f ca="1">IF(AB471&lt;&gt;AJ471,R471/IF(S471=RIGHT(AJ471,3),AM471,1/AM471),IF(K471="USD",R471/IF(S471=RIGHT(AJ471,3),IF(W471="CLIENT",AM471,AE471),1/IF(W471="CLIENT",AM471,AE471)),R471*VLOOKUP(S471,'FX RATES'!$E$1:$F$10,2,FALSE)))</f>
        <v>1452023.9049536954</v>
      </c>
      <c r="AV471" s="170">
        <f ca="1">AT471+AU471</f>
        <v>4426.9159554324578</v>
      </c>
      <c r="AW471" s="227"/>
      <c r="AX471" s="170">
        <f ca="1">IF(AND(ISERROR(SEARCH("INVOICE",T471)),ISERROR(SEARCH("SWITCH",T471)),ISERROR(SEARCH("FOREX",T471)),ISERROR(SEARCH("REFUND",A471)),ISERROR(SEARCH("CANCELLED",A471))),IF(AW471="",-AT471*X471+AU471*Z471,AW471),0)</f>
        <v>4356.0717148610865</v>
      </c>
      <c r="AY471" s="170">
        <f>IF(AZ471="USD",AT471,IF(AZ471=K471,J471,-R471))</f>
        <v>-10000000</v>
      </c>
      <c r="AZ471" s="170" t="str">
        <f>LEFT(AB471,3)</f>
        <v>CNY</v>
      </c>
      <c r="BA471" s="542">
        <f>IF(OR(A471="REFUND",A471="CANCELLED"),0,IFERROR((IF(OR(AB471="USDAED",LEFT(AB471,3)=RIGHT(AB471,3)),AI471,AG471)-AE471)*-AY471*VLOOKUP(AB471,'FX RATES'!$H$1:$J$26,3,FALSE),0))</f>
        <v>0</v>
      </c>
      <c r="BB471" s="170" t="str">
        <f>RIGHT(AB471,3)</f>
        <v>RUB</v>
      </c>
      <c r="BC471" s="542">
        <f>IF(BA471=0,0,IFERROR(BA471/IF(BB471&lt;&gt;"USD",AI471,1),"???"))</f>
        <v>0</v>
      </c>
      <c r="BD471" s="170">
        <f>IFERROR(-AC471/(IF(OR(AB471="USDAED",LEFT(AB471,3)=RIGHT(AB471,3)),AH471,AG471)-AE471)*BC471,0)</f>
        <v>0</v>
      </c>
      <c r="BE471" s="542">
        <f>BC471-BD471</f>
        <v>0</v>
      </c>
      <c r="BF471" s="170">
        <f>IF(BG471="USD",AU471,IF(BG471=S471,R471,-J471))</f>
        <v>10000000</v>
      </c>
      <c r="BG471" s="170" t="str">
        <f>LEFT(AJ471,3)</f>
        <v>CNY</v>
      </c>
      <c r="BH471" s="542">
        <f>IF(OR(A471="REFUND",A471="CANCELLED"),0,IFERROR((IF(OR(AJ471="USDAED",LEFT(AJ471,3)=RIGHT(AJ471,3)),AQ471,AO471)-AM471)*-BF471*VLOOKUP(AJ471,'FX RATES'!$H$1:$J$26,3,FALSE),0))</f>
        <v>-434200.00000001123</v>
      </c>
      <c r="BI471" s="170" t="str">
        <f>RIGHT(AJ471,3)</f>
        <v>RUB</v>
      </c>
      <c r="BJ471" s="542">
        <f>IF(BH471=0,0,IFERROR(BH471/IF(BI471&lt;&gt;"USD",AQ471,1),"???"))</f>
        <v>-5613.4453781514057</v>
      </c>
      <c r="BK471" s="170">
        <f>IFERROR(-AK471/(IF(OR(AJ471="USDAED",LEFT(AJ471,3)=RIGHT(AJ471,3)),AP471,AO471)-AM471)*BJ471,0)</f>
        <v>0</v>
      </c>
      <c r="BL471" s="542">
        <f>BJ471-BK471</f>
        <v>-5613.4453781514057</v>
      </c>
      <c r="BM471" s="170">
        <f>IF(AND(ISERROR(SEARCH("REFUND",A471)),ISERROR(SEARCH("CANCELLED",A471))),BD471+BK471,0)</f>
        <v>0</v>
      </c>
      <c r="BN471" s="542">
        <f>IF(AND(ISERROR(SEARCH("REFUND",A471)),ISERROR(SEARCH("CANCELLED",A471))),BE471+BL471,0)</f>
        <v>-5613.4453781514057</v>
      </c>
    </row>
    <row r="472" spans="1:66" ht="19.5" customHeight="1">
      <c r="A472" s="167" t="s">
        <v>488</v>
      </c>
      <c r="B472" s="168" t="s">
        <v>52</v>
      </c>
      <c r="C472" s="168" t="s">
        <v>489</v>
      </c>
      <c r="D472" s="168" t="s">
        <v>128</v>
      </c>
      <c r="E472" s="171">
        <v>46062</v>
      </c>
      <c r="F472" s="171"/>
      <c r="G472" s="168" t="s">
        <v>52</v>
      </c>
      <c r="H472" s="181" t="s">
        <v>52</v>
      </c>
      <c r="I472" s="169">
        <f>-(R471+J473)</f>
        <v>-338999.9999999851</v>
      </c>
      <c r="J472" s="170">
        <f>IF(I472="",AR472,I472)</f>
        <v>-338999.9999999851</v>
      </c>
      <c r="K472" s="168" t="s">
        <v>9</v>
      </c>
      <c r="L472" s="171"/>
      <c r="M472" s="168"/>
      <c r="N472" s="167" t="s">
        <v>371</v>
      </c>
      <c r="O472" s="168" t="s">
        <v>52</v>
      </c>
      <c r="P472" s="168" t="s">
        <v>52</v>
      </c>
      <c r="Q472" s="169"/>
      <c r="R472" s="170">
        <f>IF(Q472="",AS472,Q472)</f>
        <v>4382.6761473818378</v>
      </c>
      <c r="S472" s="168" t="s">
        <v>5</v>
      </c>
      <c r="T472" s="171"/>
      <c r="U472" s="168"/>
      <c r="V472" s="167" t="s">
        <v>371</v>
      </c>
      <c r="W472" s="172" t="s">
        <v>382</v>
      </c>
      <c r="X472" s="173">
        <f>IF(Y472="",VLOOKUP(H472,CLIENTS!$A$1:$O$649,5,FALSE),Y472)</f>
        <v>0</v>
      </c>
      <c r="Y472" s="174"/>
      <c r="Z472" s="173">
        <f>IF(AA472="",VLOOKUP(P472,CLIENTS!$A$1:$O$649,5,FALSE),AA472)</f>
        <v>0</v>
      </c>
      <c r="AA472" s="174"/>
      <c r="AB472" s="173" t="str">
        <f>IF(W472="via USD",IF(K472="EUR",K472&amp;"USD","USD"&amp;K472),IFERROR(VLOOKUP(K472&amp;S472,'FX RATES'!$H$2:$H$20,1,FALSE),S472&amp;K472))</f>
        <v>USDRUB</v>
      </c>
      <c r="AC472" s="175">
        <f>IF(LEFT(AB472,3)=RIGHT(AB472,3),0,IFERROR(INDEX(CLIENTS!$A$1:$O$649,MATCH(H472,CLIENTS!$A$1:$A$649,0),MATCH(AB472,CLIENTS!$A$1:$O$1,0)),0))</f>
        <v>0</v>
      </c>
      <c r="AD472" s="176">
        <v>77.349999999999994</v>
      </c>
      <c r="AE472" s="177">
        <f>IF(W472="CLIENT","",IF(AD472="",AH472+AC472,AD472+AC472))</f>
        <v>77.349999999999994</v>
      </c>
      <c r="AF472" s="177" t="str">
        <f>E472&amp;AB472</f>
        <v>46062USDRUB</v>
      </c>
      <c r="AG472" s="176">
        <v>77.349999999999994</v>
      </c>
      <c r="AH472" s="178">
        <f ca="1">IF(LEFT(AB472,3)=RIGHT(AB472,3),1,VLOOKUP(AB472,'FX RATES'!$H$1:$I$20,2,FALSE))</f>
        <v>76.720500000000001</v>
      </c>
      <c r="AI472" s="178">
        <f>IF(OR(AB472="USDAED",LEFT(AB472,3)=RIGHT(AB472,3),AB472="USDUSDT",AB472="USDTUSD"),AH472,IF(LEFT(AB472)="USD",AG472,IF(RIGHT(AB472,3)="USD",1,IFERROR(VLOOKUP(E472&amp;"USD"&amp;RIGHT(AB472,3),$AF:$AG,2,FALSE),VLOOKUP(E472&amp;"USD"&amp;RIGHT(AJ472,3),$AN:$AO,2,FALSE)))))</f>
        <v>77.349999999999994</v>
      </c>
      <c r="AJ472" s="173" t="str">
        <f>IF(W472="via USD",IF(S472="EUR",S472&amp;"USD","USD"&amp;S472),IFERROR(VLOOKUP(K472&amp;S472,'FX RATES'!$H$2:$H$20,1,FALSE),S472&amp;K472))</f>
        <v>USDRUB</v>
      </c>
      <c r="AK472" s="175">
        <f>IF(LEFT(AJ472,3)=RIGHT(AJ472,3),0,IFERROR(INDEX(CLIENTS!$A$1:$O$649,MATCH(P472,CLIENTS!$A$1:$A$649,0),MATCH(AJ472,CLIENTS!$A$1:$O$1,0)),0))</f>
        <v>0</v>
      </c>
      <c r="AL472" s="176"/>
      <c r="AM472" s="177" t="str">
        <f>IF(W472="VENDOR","",IF(AL472="",AP472+AK472,AL472+AK472))</f>
        <v/>
      </c>
      <c r="AN472" s="177" t="str">
        <f>E472&amp;AJ472</f>
        <v>46062USDRUB</v>
      </c>
      <c r="AO472" s="176">
        <v>77.349999999999994</v>
      </c>
      <c r="AP472" s="178">
        <f ca="1">IF(LEFT(AJ472,3)=RIGHT(AJ472,3),1,VLOOKUP(AJ472,'FX RATES'!$H$1:$I$20,2,FALSE))</f>
        <v>76.720500000000001</v>
      </c>
      <c r="AQ472" s="178">
        <f>IF(OR(AJ472="USDAED",LEFT(AJ472,3)=RIGHT(AJ472,3)),AP472,IF(LEFT(AJ472)="USD",AO472,IF(RIGHT(AJ472,3)="USD",1,IFERROR(VLOOKUP(E472&amp;"USD"&amp;RIGHT(AJ472,3),$AN:$AO,2,FALSE),VLOOKUP(E472&amp;"USD"&amp;RIGHT(AB472,3),$AF:$AG,2,FALSE)))))</f>
        <v>77.349999999999994</v>
      </c>
      <c r="AR472" s="179">
        <f>-Q472*(1-Z472)/(1+X472)*IF(W472="CLIENT",IF(S472=RIGHT(AJ472,3),1/AM472,AM472),IF(W472="VENDOR",IF(S472=RIGHT(AJ472,3),1/AE472,AE472),AE472^(VLOOKUP(AB472,'FX RATES'!$H$1:$J$26,3,FALSE))/AM472^(VLOOKUP(AJ472,'FX RATES'!$H$1:$J$26,3,FALSE))))</f>
        <v>0</v>
      </c>
      <c r="AS472" s="179">
        <f>-I472*(1+X472)/(1-Z472)*IF(W472="VENDOR",IF(K472=RIGHT(AB472,3),1/AE472,AE472),IF(W472="CLIENT",IF(K472=RIGHT(AB472,3),1/AM472,AM472),AM472^(VLOOKUP(AJ472,'FX RATES'!$H$1:$J$26,3,FALSE))/AE472^(VLOOKUP(AB472,'FX RATES'!$H$1:$J$26,3,FALSE))))</f>
        <v>4382.6761473818378</v>
      </c>
      <c r="AT472" s="170">
        <f>IF(AB472&lt;&gt;AJ472,J472/IF(K472=RIGHT(AB472,3),AE472,1/AE472),IF(S472="USD",J472/IF(K472=RIGHT(AB472,3),IF(W472="CLIENT",AM472,AE472),1/IF(W472="CLIENT",AM472,AE472)),J472*VLOOKUP(K472,'FX RATES'!$E$1:$F$10,2,FALSE)))</f>
        <v>-4382.6761473818378</v>
      </c>
      <c r="AU472" s="170">
        <f>IF(AB472&lt;&gt;AJ472,R472/IF(S472=RIGHT(AJ472,3),AM472,1/AM472),IF(K472="USD",R472/IF(S472=RIGHT(AJ472,3),IF(W472="CLIENT",AM472,AE472),1/IF(W472="CLIENT",AM472,AE472)),R472*VLOOKUP(S472,'FX RATES'!$E$1:$F$10,2,FALSE)))</f>
        <v>4382.6761473818378</v>
      </c>
      <c r="AV472" s="170">
        <f>AT472+AU472</f>
        <v>0</v>
      </c>
      <c r="AW472" s="169"/>
      <c r="AX472" s="170">
        <f>IF(AND(ISERROR(SEARCH("INVOICE",T472)),ISERROR(SEARCH("SWITCH",T472)),ISERROR(SEARCH("FOREX",T472)),ISERROR(SEARCH("REFUND",A472)),ISERROR(SEARCH("CANCELLED",A472))),IF(AW472="",-AT472*X472+AU472*Z472,AW472),0)</f>
        <v>0</v>
      </c>
      <c r="AY472" s="170">
        <f>IF(AZ472="USD",AT472,IF(AZ472=K472,J472,-R472))</f>
        <v>-4382.6761473818378</v>
      </c>
      <c r="AZ472" s="170" t="str">
        <f>LEFT(AB472,3)</f>
        <v>USD</v>
      </c>
      <c r="BA472" s="542">
        <f>IF(OR(A472="REFUND",A472="CANCELLED"),0,IFERROR((IF(OR(AB472="USDAED",LEFT(AB472,3)=RIGHT(AB472,3)),AI472,AG472)-AE472)*-AY472*VLOOKUP(AB472,'FX RATES'!$H$1:$J$26,3,FALSE),0))</f>
        <v>0</v>
      </c>
      <c r="BB472" s="170" t="str">
        <f>RIGHT(AB472,3)</f>
        <v>RUB</v>
      </c>
      <c r="BC472" s="542">
        <f>IF(BA472=0,0,IFERROR(BA472/IF(BB472&lt;&gt;"USD",AI472,1),"???"))</f>
        <v>0</v>
      </c>
      <c r="BD472" s="170">
        <f>IFERROR(-AC472/(IF(OR(AB472="USDAED",LEFT(AB472,3)=RIGHT(AB472,3)),AH472,AG472)-AE472)*BC472,0)</f>
        <v>0</v>
      </c>
      <c r="BE472" s="542">
        <f>BC472-BD472</f>
        <v>0</v>
      </c>
      <c r="BF472" s="170">
        <f>IF(BG472="USD",AU472,IF(BG472=S472,R472,-J472))</f>
        <v>4382.6761473818378</v>
      </c>
      <c r="BG472" s="170" t="str">
        <f>LEFT(AJ472,3)</f>
        <v>USD</v>
      </c>
      <c r="BH472" s="542">
        <f>IF(OR(A472="REFUND",A472="CANCELLED"),0,IFERROR((IF(OR(AJ472="USDAED",LEFT(AJ472,3)=RIGHT(AJ472,3)),AQ472,AO472)-AM472)*-BF472*VLOOKUP(AJ472,'FX RATES'!$H$1:$J$26,3,FALSE),0))</f>
        <v>0</v>
      </c>
      <c r="BI472" s="170" t="str">
        <f>RIGHT(AJ472,3)</f>
        <v>RUB</v>
      </c>
      <c r="BJ472" s="542">
        <f>IF(BH472=0,0,IFERROR(BH472/IF(BI472&lt;&gt;"USD",AQ472,1),"???"))</f>
        <v>0</v>
      </c>
      <c r="BK472" s="170">
        <f>IFERROR(-AK472/(IF(OR(AJ472="USDAED",LEFT(AJ472,3)=RIGHT(AJ472,3)),AP472,AO472)-AM472)*BJ472,0)</f>
        <v>0</v>
      </c>
      <c r="BL472" s="542">
        <f>BJ472-BK472</f>
        <v>0</v>
      </c>
      <c r="BM472" s="170">
        <f>IF(AND(ISERROR(SEARCH("REFUND",A472)),ISERROR(SEARCH("CANCELLED",A472))),BD472+BK472,0)</f>
        <v>0</v>
      </c>
      <c r="BN472" s="542">
        <f>IF(AND(ISERROR(SEARCH("REFUND",A472)),ISERROR(SEARCH("CANCELLED",A472))),BE472+BL472,0)</f>
        <v>0</v>
      </c>
    </row>
    <row r="473" spans="1:66" ht="19.5" customHeight="1">
      <c r="A473" s="167" t="s">
        <v>601</v>
      </c>
      <c r="B473" s="225" t="s">
        <v>39</v>
      </c>
      <c r="C473" s="225" t="s">
        <v>383</v>
      </c>
      <c r="D473" s="225" t="s">
        <v>368</v>
      </c>
      <c r="E473" s="226">
        <v>46062</v>
      </c>
      <c r="F473" s="226"/>
      <c r="G473" s="225" t="s">
        <v>52</v>
      </c>
      <c r="H473" s="228" t="s">
        <v>390</v>
      </c>
      <c r="I473" s="227"/>
      <c r="J473" s="170">
        <f>IF(I473="",AR473,I473)</f>
        <v>-111061000</v>
      </c>
      <c r="K473" s="225" t="s">
        <v>9</v>
      </c>
      <c r="L473" s="226" t="s">
        <v>391</v>
      </c>
      <c r="M473" s="225" t="s">
        <v>25</v>
      </c>
      <c r="N473" s="167" t="s">
        <v>553</v>
      </c>
      <c r="O473" s="225" t="s">
        <v>42</v>
      </c>
      <c r="P473" s="225" t="s">
        <v>392</v>
      </c>
      <c r="Q473" s="227">
        <f>10000000</f>
        <v>10000000</v>
      </c>
      <c r="R473" s="170">
        <f>IF(Q473="",AS473,Q473)</f>
        <v>10000000</v>
      </c>
      <c r="S473" s="225" t="s">
        <v>7</v>
      </c>
      <c r="T473" s="226" t="s">
        <v>22</v>
      </c>
      <c r="U473" s="225" t="s">
        <v>22</v>
      </c>
      <c r="V473" s="167" t="s">
        <v>371</v>
      </c>
      <c r="W473" s="230" t="s">
        <v>382</v>
      </c>
      <c r="X473" s="173">
        <f>IF(Y473="",VLOOKUP(H473,CLIENTS!$A$1:$O$649,5,FALSE),Y473)</f>
        <v>0</v>
      </c>
      <c r="Y473" s="234"/>
      <c r="Z473" s="173">
        <f>IF(AA473="",VLOOKUP(P473,CLIENTS!$A$1:$O$649,5,FALSE),AA473)</f>
        <v>0</v>
      </c>
      <c r="AA473" s="234"/>
      <c r="AB473" s="173" t="str">
        <f>IF(W473="via USD",IF(K473="EUR",K473&amp;"USD","USD"&amp;K473),IFERROR(VLOOKUP(K473&amp;S473,'FX RATES'!$H$2:$H$20,1,FALSE),S473&amp;K473))</f>
        <v>CNYRUB</v>
      </c>
      <c r="AC473" s="175">
        <f>IF(LEFT(AB473,3)=RIGHT(AB473,3),0,IFERROR(INDEX(CLIENTS!$A$1:$O$649,MATCH(H473,CLIENTS!$A$1:$A$649,0),MATCH(AB473,CLIENTS!$A$1:$O$1,0)),0))</f>
        <v>0</v>
      </c>
      <c r="AD473" s="176">
        <v>11.1061</v>
      </c>
      <c r="AE473" s="177">
        <f>IF(W473="CLIENT","",IF(AD473="",AH473+AC473,AD473+AC473))</f>
        <v>11.1061</v>
      </c>
      <c r="AF473" s="177" t="str">
        <f>E473&amp;AB473</f>
        <v>46062CNYRUB</v>
      </c>
      <c r="AG473" s="176">
        <v>11.15</v>
      </c>
      <c r="AH473" s="178">
        <f ca="1">IF(LEFT(AB473,3)=RIGHT(AB473,3),1,VLOOKUP(AB473,'FX RATES'!$H$1:$I$20,2,FALSE))</f>
        <v>11.103899999999999</v>
      </c>
      <c r="AI473" s="178">
        <f>IF(OR(AB473="USDAED",LEFT(AB473,3)=RIGHT(AB473,3)),AH473,IF(LEFT(AB473)="USD",AG473,IF(RIGHT(AB473,3)="USD",1,IFERROR(VLOOKUP(E473&amp;"USD"&amp;RIGHT(AB473,3),$AF:$AG,2,FALSE),VLOOKUP(E473&amp;"USD"&amp;RIGHT(AJ473,3),$AN:$AO,2,FALSE)))))</f>
        <v>77.349999999999994</v>
      </c>
      <c r="AJ473" s="173" t="str">
        <f>IF(W473="via USD",IF(S473="EUR",S473&amp;"USD","USD"&amp;S473),IFERROR(VLOOKUP(K473&amp;S473,'FX RATES'!$H$2:$H$20,1,FALSE),S473&amp;K473))</f>
        <v>CNYRUB</v>
      </c>
      <c r="AK473" s="175">
        <f>IF(LEFT(AJ473,3)=RIGHT(AJ473,3),0,IFERROR(INDEX(CLIENTS!$A$1:$O$649,MATCH(P473,CLIENTS!$A$1:$A$649,0),MATCH(AJ473,CLIENTS!$A$1:$O$1,0)),0))</f>
        <v>0</v>
      </c>
      <c r="AL473" s="176"/>
      <c r="AM473" s="177" t="str">
        <f>IF(W473="VENDOR","",IF(AL473="",AP473+AK473,AL473+AK473))</f>
        <v/>
      </c>
      <c r="AN473" s="177" t="str">
        <f>E473&amp;AJ473</f>
        <v>46062CNYRUB</v>
      </c>
      <c r="AO473" s="176"/>
      <c r="AP473" s="178">
        <f ca="1">IF(LEFT(AJ473,3)=RIGHT(AJ473,3),1,VLOOKUP(AJ473,'FX RATES'!$H$1:$I$20,2,FALSE))</f>
        <v>11.103899999999999</v>
      </c>
      <c r="AQ473" s="178">
        <f>IF(OR(AJ473="USDAED",LEFT(AJ473,3)=RIGHT(AJ473,3)),AP473,IF(LEFT(AJ473)="USD",AO473,IF(RIGHT(AJ473,3)="USD",1,IFERROR(VLOOKUP(E473&amp;"USD"&amp;RIGHT(AJ473,3),$AN:$AO,2,FALSE),VLOOKUP(E473&amp;"USD"&amp;RIGHT(AB473,3),$AF:$AG,2,FALSE)))))</f>
        <v>77.349999999999994</v>
      </c>
      <c r="AR473" s="179">
        <f>-Q473*(1-Z473)/(1+X473)*IF(W473="CLIENT",IF(S473=RIGHT(AJ473,3),1/AM473,AM473),IF(W473="VENDOR",IF(S473=RIGHT(AJ473,3),1/AE473,AE473),AE473^(VLOOKUP(AB473,'FX RATES'!$H$1:$J$26,3,FALSE))/AM473^(VLOOKUP(AJ473,'FX RATES'!$H$1:$J$26,3,FALSE))))</f>
        <v>-111061000</v>
      </c>
      <c r="AS473" s="179">
        <f>-I473*(1+X473)/(1-Z473)*IF(W473="VENDOR",IF(K473=RIGHT(AB473,3),1/AE473,AE473),IF(W473="CLIENT",IF(K473=RIGHT(AB473,3),1/AM473,AM473),AM473^(VLOOKUP(AJ473,'FX RATES'!$H$1:$J$26,3,FALSE))/AE473^(VLOOKUP(AB473,'FX RATES'!$H$1:$J$26,3,FALSE))))</f>
        <v>0</v>
      </c>
      <c r="AT473" s="170">
        <f ca="1">IF(AB473&lt;&gt;AJ473,J473/IF(K473=RIGHT(AB473,3),AE473,1/AE473),IF(S473="USD",J473/IF(K473=RIGHT(AB473,3),IF(W473="CLIENT",AM473,AE473),1/IF(W473="CLIENT",AM473,AE473)),J473*VLOOKUP(K473,'FX RATES'!$E$1:$F$10,2,FALSE)))</f>
        <v>-1447605.2684745276</v>
      </c>
      <c r="AU473" s="170">
        <f ca="1">IF(AB473&lt;&gt;AJ473,R473/IF(S473=RIGHT(AJ473,3),AM473,1/AM473),IF(K473="USD",R473/IF(S473=RIGHT(AJ473,3),IF(W473="CLIENT",AM473,AE473),1/IF(W473="CLIENT",AM473,AE473)),R473*VLOOKUP(S473,'FX RATES'!$E$1:$F$10,2,FALSE)))</f>
        <v>1447596.9889982629</v>
      </c>
      <c r="AV473" s="170">
        <f ca="1">AT473+AU473</f>
        <v>-8.2794762647245079</v>
      </c>
      <c r="AW473" s="227"/>
      <c r="AX473" s="170">
        <f ca="1">IF(AND(ISERROR(SEARCH("INVOICE",T473)),ISERROR(SEARCH("SWITCH",T473)),ISERROR(SEARCH("FOREX",T473)),ISERROR(SEARCH("REFUND",A473)),ISERROR(SEARCH("CANCELLED",A473))),IF(AW473="",-AT473*X473+AU473*Z473,AW473),0)</f>
        <v>0</v>
      </c>
      <c r="AY473" s="170">
        <f>IF(AZ473="USD",AT473,IF(AZ473=K473,J473,-R473))</f>
        <v>-10000000</v>
      </c>
      <c r="AZ473" s="170" t="str">
        <f>LEFT(AB473,3)</f>
        <v>CNY</v>
      </c>
      <c r="BA473" s="542">
        <f>IF(OR(A473="REFUND",A473="CANCELLED"),0,IFERROR((IF(OR(AB473="USDAED",LEFT(AB473,3)=RIGHT(AB473,3)),AI473,AG473)-AE473)*-AY473*VLOOKUP(AB473,'FX RATES'!$H$1:$J$26,3,FALSE),0))</f>
        <v>439000.00000000716</v>
      </c>
      <c r="BB473" s="170" t="str">
        <f>RIGHT(AB473,3)</f>
        <v>RUB</v>
      </c>
      <c r="BC473" s="542">
        <f>IF(BA473=0,0,IFERROR(BA473/IF(BB473&lt;&gt;"USD",AI473,1),"???"))</f>
        <v>5675.5009696187099</v>
      </c>
      <c r="BD473" s="170">
        <f>IFERROR(-AC473/(IF(OR(AB473="USDAED",LEFT(AB473,3)=RIGHT(AB473,3)),AH473,AG473)-AE473)*BC473,0)</f>
        <v>0</v>
      </c>
      <c r="BE473" s="542">
        <f>BC473-BD473</f>
        <v>5675.5009696187099</v>
      </c>
      <c r="BF473" s="170">
        <f>IF(BG473="USD",AU473,IF(BG473=S473,R473,-J473))</f>
        <v>10000000</v>
      </c>
      <c r="BG473" s="170" t="str">
        <f>LEFT(AJ473,3)</f>
        <v>CNY</v>
      </c>
      <c r="BH473" s="542">
        <f>IF(OR(A473="REFUND",A473="CANCELLED"),0,IFERROR((IF(OR(AJ473="USDAED",LEFT(AJ473,3)=RIGHT(AJ473,3)),AQ473,AO473)-AM473)*-BF473*VLOOKUP(AJ473,'FX RATES'!$H$1:$J$26,3,FALSE),0))</f>
        <v>0</v>
      </c>
      <c r="BI473" s="170" t="str">
        <f>RIGHT(AJ473,3)</f>
        <v>RUB</v>
      </c>
      <c r="BJ473" s="542">
        <f>IF(BH473=0,0,IFERROR(BH473/IF(BI473&lt;&gt;"USD",AQ473,1),"???"))</f>
        <v>0</v>
      </c>
      <c r="BK473" s="170">
        <f>IFERROR(-AK473/(IF(OR(AJ473="USDAED",LEFT(AJ473,3)=RIGHT(AJ473,3)),AP473,AO473)-AM473)*BJ473,0)</f>
        <v>0</v>
      </c>
      <c r="BL473" s="542">
        <f>BJ473-BK473</f>
        <v>0</v>
      </c>
      <c r="BM473" s="170">
        <f>IF(AND(ISERROR(SEARCH("REFUND",A473)),ISERROR(SEARCH("CANCELLED",A473))),BD473+BK473,0)</f>
        <v>0</v>
      </c>
      <c r="BN473" s="542">
        <f>IF(AND(ISERROR(SEARCH("REFUND",A473)),ISERROR(SEARCH("CANCELLED",A473))),BE473+BL473,0)</f>
        <v>5675.5009696187099</v>
      </c>
    </row>
    <row r="474" spans="1:66" ht="19.5" customHeight="1">
      <c r="A474" s="167"/>
      <c r="B474" s="182"/>
      <c r="C474" s="182"/>
      <c r="D474" s="182"/>
      <c r="E474" s="184"/>
      <c r="F474" s="184"/>
      <c r="G474" s="182"/>
      <c r="H474" s="182"/>
      <c r="I474" s="170"/>
      <c r="J474" s="170"/>
      <c r="K474" s="182"/>
      <c r="L474" s="184"/>
      <c r="M474" s="182"/>
      <c r="O474" s="182"/>
      <c r="P474" s="444"/>
      <c r="Q474" s="170"/>
      <c r="R474" s="170"/>
      <c r="S474" s="182"/>
      <c r="T474" s="184"/>
      <c r="U474" s="182"/>
      <c r="X474" s="173"/>
      <c r="Y474" s="173"/>
      <c r="Z474" s="173"/>
      <c r="AA474" s="173"/>
      <c r="AB474" s="173"/>
      <c r="AC474" s="175"/>
      <c r="AD474" s="177"/>
      <c r="AE474" s="177"/>
      <c r="AF474" s="177"/>
      <c r="AG474" s="177"/>
      <c r="AH474" s="178"/>
      <c r="AI474" s="178"/>
      <c r="AJ474" s="173"/>
      <c r="AK474" s="175"/>
      <c r="AL474" s="177"/>
      <c r="AM474" s="177"/>
      <c r="AN474" s="177"/>
      <c r="AO474" s="177"/>
      <c r="AP474" s="178"/>
      <c r="AQ474" s="178"/>
      <c r="AR474" s="185"/>
      <c r="AS474" s="185"/>
      <c r="AT474" s="170"/>
      <c r="AU474" s="170"/>
      <c r="AV474" s="170"/>
      <c r="AW474" s="170"/>
      <c r="AX474" s="170"/>
      <c r="AY474" s="170"/>
      <c r="AZ474" s="170"/>
      <c r="BA474" s="542"/>
      <c r="BB474" s="170"/>
      <c r="BC474" s="542"/>
      <c r="BD474" s="170"/>
      <c r="BE474" s="542"/>
      <c r="BF474" s="170"/>
      <c r="BG474" s="170"/>
      <c r="BH474" s="542"/>
      <c r="BI474" s="170"/>
      <c r="BJ474" s="542"/>
      <c r="BK474" s="170"/>
      <c r="BL474" s="542"/>
      <c r="BM474" s="170"/>
      <c r="BN474" s="542"/>
    </row>
    <row r="475" spans="1:66" ht="19.5" customHeight="1">
      <c r="A475" s="167" t="s">
        <v>601</v>
      </c>
      <c r="B475" s="168" t="s">
        <v>45</v>
      </c>
      <c r="C475" s="168" t="s">
        <v>367</v>
      </c>
      <c r="D475" s="181" t="s">
        <v>368</v>
      </c>
      <c r="E475" s="171">
        <v>46062</v>
      </c>
      <c r="F475" s="171"/>
      <c r="G475" s="168" t="s">
        <v>45</v>
      </c>
      <c r="H475" s="181" t="s">
        <v>602</v>
      </c>
      <c r="I475" s="169">
        <v>-769028.37</v>
      </c>
      <c r="J475" s="170">
        <f>IF(I475="",AR475,I475)</f>
        <v>-769028.37</v>
      </c>
      <c r="K475" s="168" t="s">
        <v>5</v>
      </c>
      <c r="L475" s="168" t="s">
        <v>603</v>
      </c>
      <c r="M475" s="168" t="s">
        <v>49</v>
      </c>
      <c r="N475" s="167" t="s">
        <v>553</v>
      </c>
      <c r="O475" s="168" t="s">
        <v>52</v>
      </c>
      <c r="P475" s="168" t="s">
        <v>379</v>
      </c>
      <c r="Q475" s="169"/>
      <c r="R475" s="170">
        <f>IF(Q475="",AS475,Q475)</f>
        <v>59554484.444201007</v>
      </c>
      <c r="S475" s="168" t="s">
        <v>9</v>
      </c>
      <c r="T475" s="171" t="s">
        <v>380</v>
      </c>
      <c r="U475" s="171" t="s">
        <v>25</v>
      </c>
      <c r="V475" s="167" t="s">
        <v>371</v>
      </c>
      <c r="W475" s="172" t="s">
        <v>375</v>
      </c>
      <c r="X475" s="173">
        <f>IF(Y475="",VLOOKUP(H475,CLIENTS!$A$1:$O$649,5,FALSE),Y475)</f>
        <v>0</v>
      </c>
      <c r="Y475" s="174">
        <v>0</v>
      </c>
      <c r="Z475" s="173">
        <f>IF(AA475="",VLOOKUP(P475,CLIENTS!$A$1:$O$649,5,FALSE),AA475)</f>
        <v>5.0000000000000001E-3</v>
      </c>
      <c r="AA475" s="174">
        <v>5.0000000000000001E-3</v>
      </c>
      <c r="AB475" s="173" t="str">
        <f>IF(W475="via USD",IF(K475="EUR",K475&amp;"USD","USD"&amp;K475),IFERROR(VLOOKUP(K475&amp;S475,'FX RATES'!$H$2:$H$20,1,FALSE),S475&amp;K475))</f>
        <v>USDUSD</v>
      </c>
      <c r="AC475" s="175">
        <f>IF(LEFT(AB475,3)=RIGHT(AB475,3),0,IFERROR(INDEX(CLIENTS!$A$1:$O$649,MATCH(H475,CLIENTS!$A$1:$A$649,0),MATCH(AB475,CLIENTS!$A$1:$O$1,0)),0))</f>
        <v>0</v>
      </c>
      <c r="AD475" s="176"/>
      <c r="AE475" s="177">
        <f>IF(W475="CLIENT","",IF(AD475="",AH475+AC475,AD475+AC475))</f>
        <v>1</v>
      </c>
      <c r="AF475" s="177" t="str">
        <f>E475&amp;AB475</f>
        <v>46062USDUSD</v>
      </c>
      <c r="AG475" s="176"/>
      <c r="AH475" s="178">
        <f>IF(LEFT(AB475,3)=RIGHT(AB475,3),1,VLOOKUP(AB475,'FX RATES'!$H$1:$I$20,2,FALSE))</f>
        <v>1</v>
      </c>
      <c r="AI475" s="178">
        <f>IF(OR(AB475="USDAED",LEFT(AB475,3)=RIGHT(AB475,3)),AH475,IF(LEFT(AB475)="USD",AG475,IF(RIGHT(AB475,3)="USD",1,IFERROR(VLOOKUP(E475&amp;"USD"&amp;RIGHT(AB475,3),$AF:$AG,2,FALSE),VLOOKUP(E475&amp;"USD"&amp;RIGHT(AJ475,3),$AN:$AO,2,FALSE)))))</f>
        <v>1</v>
      </c>
      <c r="AJ475" s="173" t="str">
        <f>IF(W475="via USD",IF(S475="EUR",S475&amp;"USD","USD"&amp;S475),IFERROR(VLOOKUP(K475&amp;S475,'FX RATES'!$H$2:$H$20,1,FALSE),S475&amp;K475))</f>
        <v>USDRUB</v>
      </c>
      <c r="AK475" s="175">
        <f>IF(LEFT(AJ475,3)=RIGHT(AJ475,3),0,IFERROR(INDEX(CLIENTS!$A$1:$O$649,MATCH(P475,CLIENTS!$A$1:$A$649,0),MATCH(AJ475,CLIENTS!$A$1:$O$1,0)),0))</f>
        <v>0</v>
      </c>
      <c r="AL475" s="176">
        <v>77.054000000000002</v>
      </c>
      <c r="AM475" s="177">
        <f>IF(W475="VENDOR","",IF(AL475="",AP475+AK475,AL475+AK475))</f>
        <v>77.054000000000002</v>
      </c>
      <c r="AN475" s="177" t="str">
        <f>E475&amp;AJ475</f>
        <v>46062USDRUB</v>
      </c>
      <c r="AO475" s="176">
        <v>77.349999999999994</v>
      </c>
      <c r="AP475" s="178">
        <f ca="1">IF(LEFT(AJ475,3)=RIGHT(AJ475,3),1,VLOOKUP(AJ475,'FX RATES'!$H$1:$I$20,2,FALSE))</f>
        <v>76.720500000000001</v>
      </c>
      <c r="AQ475" s="178">
        <f>IF(OR(AJ475="USDAED",LEFT(AJ475,3)=RIGHT(AJ475,3)),AP475,IF(LEFT(AJ475)="USD",AO475,IF(RIGHT(AJ475,3)="USD",1,IFERROR(VLOOKUP(E475&amp;"USD"&amp;RIGHT(AJ475,3),$AN:$AO,2,FALSE),VLOOKUP(E475&amp;"USD"&amp;RIGHT(AB475,3),$AF:$AG,2,FALSE)))))</f>
        <v>77.349999999999994</v>
      </c>
      <c r="AR475" s="179">
        <f>-Q475*(1-Z475)/(1+X475)*IF(W475="CLIENT",IF(S475=RIGHT(AJ475,3),1/AM475,AM475),IF(W475="VENDOR",IF(S475=RIGHT(AJ475,3),1/AE475,AE475),AE475^(VLOOKUP(AB475,'FX RATES'!$H$1:$J$26,3,FALSE))/AM475^(VLOOKUP(AJ475,'FX RATES'!$H$1:$J$26,3,FALSE))))</f>
        <v>0</v>
      </c>
      <c r="AS475" s="179">
        <f>-I475*(1+X475)/(1-Z475)*IF(W475="VENDOR",IF(K475=RIGHT(AB475,3),1/AE475,AE475),IF(W475="CLIENT",IF(K475=RIGHT(AB475,3),1/AM475,AM475),AM475^(VLOOKUP(AJ475,'FX RATES'!$H$1:$J$26,3,FALSE))/AE475^(VLOOKUP(AB475,'FX RATES'!$H$1:$J$26,3,FALSE))))</f>
        <v>59554484.444201007</v>
      </c>
      <c r="AT475" s="170">
        <f>IF(AB475&lt;&gt;AJ475,J475/IF(K475=RIGHT(AB475,3),AE475,1/AE475),IF(S475="USD",J475/IF(K475=RIGHT(AB475,3),IF(W475="CLIENT",AM475,AE475),1/IF(W475="CLIENT",AM475,AE475)),J475*VLOOKUP(K475,'FX RATES'!$E$1:$F$10,2,FALSE)))</f>
        <v>-769028.37</v>
      </c>
      <c r="AU475" s="170">
        <f>IF(AB475&lt;&gt;AJ475,R475/IF(S475=RIGHT(AJ475,3),AM475,1/AM475),IF(K475="USD",R475/IF(S475=RIGHT(AJ475,3),IF(W475="CLIENT",AM475,AE475),1/IF(W475="CLIENT",AM475,AE475)),R475*VLOOKUP(S475,'FX RATES'!$E$1:$F$10,2,FALSE)))</f>
        <v>772892.8341708543</v>
      </c>
      <c r="AV475" s="170">
        <f>AT475+AU475</f>
        <v>3864.4641708543058</v>
      </c>
      <c r="AW475" s="169"/>
      <c r="AX475" s="170">
        <f>IF(AND(ISERROR(SEARCH("INVOICE",T475)),ISERROR(SEARCH("SWITCH",T475)),ISERROR(SEARCH("FOREX",T475)),ISERROR(SEARCH("REFUND",A475)),ISERROR(SEARCH("CANCELLED",A475))),IF(AW475="",-AT475*X475+AU475*Z475,AW475),0)</f>
        <v>3864.4641708542717</v>
      </c>
      <c r="AY475" s="170">
        <f>IF(AZ475="USD",AT475,IF(AZ475=K475,J475,-R475))</f>
        <v>-769028.37</v>
      </c>
      <c r="AZ475" s="170" t="str">
        <f>LEFT(AB475,3)</f>
        <v>USD</v>
      </c>
      <c r="BA475" s="542">
        <f>IF(OR(A475="REFUND",A475="CANCELLED"),0,IFERROR((IF(OR(AB475="USDAED",LEFT(AB475,3)=RIGHT(AB475,3)),AI475,AG475)-AE475)*-AY475*VLOOKUP(AB475,'FX RATES'!$H$1:$J$26,3,FALSE),0))</f>
        <v>0</v>
      </c>
      <c r="BB475" s="170" t="str">
        <f>RIGHT(AB475,3)</f>
        <v>USD</v>
      </c>
      <c r="BC475" s="542">
        <f>IF(BA475=0,0,IFERROR(BA475/IF(BB475&lt;&gt;"USD",AI475,1),"???"))</f>
        <v>0</v>
      </c>
      <c r="BD475" s="170">
        <f>IFERROR(-AC475/(IF(OR(AB475="USDAED",LEFT(AB475,3)=RIGHT(AB475,3)),AH475,AG475)-AE475)*BC475,0)</f>
        <v>0</v>
      </c>
      <c r="BE475" s="542">
        <f>BC475-BD475</f>
        <v>0</v>
      </c>
      <c r="BF475" s="170">
        <f>IF(BG475="USD",AU475,IF(BG475=S475,R475,-J475))</f>
        <v>772892.8341708543</v>
      </c>
      <c r="BG475" s="170" t="str">
        <f>LEFT(AJ475,3)</f>
        <v>USD</v>
      </c>
      <c r="BH475" s="542">
        <f>IF(OR(A475="REFUND",A475="CANCELLED"),0,IFERROR((IF(OR(AJ475="USDAED",LEFT(AJ475,3)=RIGHT(AJ475,3)),AQ475,AO475)-AM475)*-BF475*VLOOKUP(AJ475,'FX RATES'!$H$1:$J$26,3,FALSE),0))</f>
        <v>-228776.27891456691</v>
      </c>
      <c r="BI475" s="170" t="str">
        <f>RIGHT(AJ475,3)</f>
        <v>RUB</v>
      </c>
      <c r="BJ475" s="542">
        <f>IF(BH475=0,0,IFERROR(BH475/IF(BI475&lt;&gt;"USD",AQ475,1),"???"))</f>
        <v>-2957.6765211967281</v>
      </c>
      <c r="BK475" s="170">
        <f>IFERROR(-AK475/(IF(OR(AJ475="USDAED",LEFT(AJ475,3)=RIGHT(AJ475,3)),AP475,AO475)-AM475)*BJ475,0)</f>
        <v>0</v>
      </c>
      <c r="BL475" s="542">
        <f>BJ475-BK475</f>
        <v>-2957.6765211967281</v>
      </c>
      <c r="BM475" s="170">
        <f>IF(AND(ISERROR(SEARCH("REFUND",A475)),ISERROR(SEARCH("CANCELLED",A475))),BD475+BK475,0)</f>
        <v>0</v>
      </c>
      <c r="BN475" s="542">
        <f>IF(AND(ISERROR(SEARCH("REFUND",A475)),ISERROR(SEARCH("CANCELLED",A475))),BE475+BL475,0)</f>
        <v>-2957.6765211967281</v>
      </c>
    </row>
    <row r="476" spans="1:66" ht="19.5" customHeight="1">
      <c r="A476" s="167" t="s">
        <v>492</v>
      </c>
      <c r="B476" s="168" t="s">
        <v>52</v>
      </c>
      <c r="C476" s="168" t="s">
        <v>489</v>
      </c>
      <c r="D476" s="168" t="s">
        <v>128</v>
      </c>
      <c r="E476" s="171">
        <v>46062</v>
      </c>
      <c r="F476" s="171"/>
      <c r="G476" s="168" t="s">
        <v>52</v>
      </c>
      <c r="H476" s="181" t="s">
        <v>52</v>
      </c>
      <c r="I476" s="169"/>
      <c r="J476" s="170">
        <f>IF(I476="",AR476,I476)</f>
        <v>-4382.6761473818378</v>
      </c>
      <c r="K476" s="168" t="s">
        <v>5</v>
      </c>
      <c r="L476" s="171"/>
      <c r="M476" s="168"/>
      <c r="N476" s="167" t="s">
        <v>371</v>
      </c>
      <c r="O476" s="168" t="s">
        <v>52</v>
      </c>
      <c r="P476" s="168" t="s">
        <v>52</v>
      </c>
      <c r="Q476" s="169">
        <f>-J472</f>
        <v>338999.9999999851</v>
      </c>
      <c r="R476" s="170">
        <f>IF(Q476="",AS476,Q476)</f>
        <v>338999.9999999851</v>
      </c>
      <c r="S476" s="168" t="s">
        <v>9</v>
      </c>
      <c r="T476" s="171"/>
      <c r="U476" s="168"/>
      <c r="V476" s="167" t="s">
        <v>371</v>
      </c>
      <c r="W476" s="172" t="s">
        <v>389</v>
      </c>
      <c r="X476" s="173">
        <f>IF(Y476="",VLOOKUP(H476,CLIENTS!$A$1:$O$649,5,FALSE),Y476)</f>
        <v>0</v>
      </c>
      <c r="Y476" s="174"/>
      <c r="Z476" s="173">
        <f>IF(AA476="",VLOOKUP(P476,CLIENTS!$A$1:$O$649,5,FALSE),AA476)</f>
        <v>0</v>
      </c>
      <c r="AA476" s="174"/>
      <c r="AB476" s="173" t="str">
        <f>IF(W476="via USD",IF(K476="EUR",K476&amp;"USD","USD"&amp;K476),IFERROR(VLOOKUP(K476&amp;S476,'FX RATES'!$H$2:$H$20,1,FALSE),S476&amp;K476))</f>
        <v>USDRUB</v>
      </c>
      <c r="AC476" s="175">
        <f>IF(LEFT(AB476,3)=RIGHT(AB476,3),0,IFERROR(INDEX(CLIENTS!$A$1:$O$649,MATCH(H476,CLIENTS!$A$1:$A$649,0),MATCH(AB476,CLIENTS!$A$1:$O$1,0)),0))</f>
        <v>0</v>
      </c>
      <c r="AD476" s="176"/>
      <c r="AE476" s="177" t="str">
        <f>IF(W476="CLIENT","",IF(AD476="",AH476+AC476,AD476+AC476))</f>
        <v/>
      </c>
      <c r="AF476" s="177" t="str">
        <f>E476&amp;AB476</f>
        <v>46062USDRUB</v>
      </c>
      <c r="AG476" s="176">
        <v>77.349999999999994</v>
      </c>
      <c r="AH476" s="178">
        <f ca="1">IF(LEFT(AB476,3)=RIGHT(AB476,3),1,VLOOKUP(AB476,'FX RATES'!$H$1:$I$20,2,FALSE))</f>
        <v>76.720500000000001</v>
      </c>
      <c r="AI476" s="178">
        <f>IF(OR(AB476="USDAED",LEFT(AB476,3)=RIGHT(AB476,3),AB476="USDUSDT",AB476="USDTUSD"),AH476,IF(LEFT(AB476)="USD",AG476,IF(RIGHT(AB476,3)="USD",1,IFERROR(VLOOKUP(E476&amp;"USD"&amp;RIGHT(AB476,3),$AF:$AG,2,FALSE),VLOOKUP(E476&amp;"USD"&amp;RIGHT(AJ476,3),$AN:$AO,2,FALSE)))))</f>
        <v>77.349999999999994</v>
      </c>
      <c r="AJ476" s="173" t="str">
        <f>IF(W476="via USD",IF(S476="EUR",S476&amp;"USD","USD"&amp;S476),IFERROR(VLOOKUP(K476&amp;S476,'FX RATES'!$H$2:$H$20,1,FALSE),S476&amp;K476))</f>
        <v>USDRUB</v>
      </c>
      <c r="AK476" s="175">
        <f>IF(LEFT(AJ476,3)=RIGHT(AJ476,3),0,IFERROR(INDEX(CLIENTS!$A$1:$O$649,MATCH(P476,CLIENTS!$A$1:$A$649,0),MATCH(AJ476,CLIENTS!$A$1:$O$1,0)),0))</f>
        <v>0</v>
      </c>
      <c r="AL476" s="176">
        <v>77.349999999999994</v>
      </c>
      <c r="AM476" s="177">
        <f>IF(W476="VENDOR","",IF(AL476="",AP476+AK476,AL476+AK476))</f>
        <v>77.349999999999994</v>
      </c>
      <c r="AN476" s="177" t="str">
        <f>E476&amp;AJ476</f>
        <v>46062USDRUB</v>
      </c>
      <c r="AO476" s="176">
        <v>77.349999999999994</v>
      </c>
      <c r="AP476" s="178">
        <f ca="1">IF(LEFT(AJ476,3)=RIGHT(AJ476,3),1,VLOOKUP(AJ476,'FX RATES'!$H$1:$I$20,2,FALSE))</f>
        <v>76.720500000000001</v>
      </c>
      <c r="AQ476" s="178">
        <f>IF(OR(AJ476="USDAED",LEFT(AJ476,3)=RIGHT(AJ476,3)),AP476,IF(LEFT(AJ476)="USD",AO476,IF(RIGHT(AJ476,3)="USD",1,IFERROR(VLOOKUP(E476&amp;"USD"&amp;RIGHT(AJ476,3),$AN:$AO,2,FALSE),VLOOKUP(E476&amp;"USD"&amp;RIGHT(AB476,3),$AF:$AG,2,FALSE)))))</f>
        <v>77.349999999999994</v>
      </c>
      <c r="AR476" s="179">
        <f>-Q476*(1-Z476)/(1+X476)*IF(W476="CLIENT",IF(S476=RIGHT(AJ476,3),1/AM476,AM476),IF(W476="VENDOR",IF(S476=RIGHT(AJ476,3),1/AE476,AE476),AE476^(VLOOKUP(AB476,'FX RATES'!$H$1:$J$26,3,FALSE))/AM476^(VLOOKUP(AJ476,'FX RATES'!$H$1:$J$26,3,FALSE))))</f>
        <v>-4382.6761473818378</v>
      </c>
      <c r="AS476" s="179">
        <f>-I476*(1+X476)/(1-Z476)*IF(W476="VENDOR",IF(K476=RIGHT(AB476,3),1/AE476,AE476),IF(W476="CLIENT",IF(K476=RIGHT(AB476,3),1/AM476,AM476),AM476^(VLOOKUP(AJ476,'FX RATES'!$H$1:$J$26,3,FALSE))/AE476^(VLOOKUP(AB476,'FX RATES'!$H$1:$J$26,3,FALSE))))</f>
        <v>0</v>
      </c>
      <c r="AT476" s="170">
        <f>IF(AB476&lt;&gt;AJ476,J476/IF(K476=RIGHT(AB476,3),AE476,1/AE476),IF(S476="USD",J476/IF(K476=RIGHT(AB476,3),IF(W476="CLIENT",AM476,AE476),1/IF(W476="CLIENT",AM476,AE476)),J476*VLOOKUP(K476,'FX RATES'!$E$1:$F$10,2,FALSE)))</f>
        <v>-4382.6761473818378</v>
      </c>
      <c r="AU476" s="170">
        <f>IF(AB476&lt;&gt;AJ476,R476/IF(S476=RIGHT(AJ476,3),AM476,1/AM476),IF(K476="USD",R476/IF(S476=RIGHT(AJ476,3),IF(W476="CLIENT",AM476,AE476),1/IF(W476="CLIENT",AM476,AE476)),R476*VLOOKUP(S476,'FX RATES'!$E$1:$F$10,2,FALSE)))</f>
        <v>4382.6761473818378</v>
      </c>
      <c r="AV476" s="170">
        <f>AT476+AU476</f>
        <v>0</v>
      </c>
      <c r="AW476" s="169"/>
      <c r="AX476" s="170">
        <f>IF(AND(ISERROR(SEARCH("INVOICE",T476)),ISERROR(SEARCH("SWITCH",T476)),ISERROR(SEARCH("FOREX",T476)),ISERROR(SEARCH("REFUND",A476)),ISERROR(SEARCH("CANCELLED",A476))),IF(AW476="",-AT476*X476+AU476*Z476,AW476),0)</f>
        <v>0</v>
      </c>
      <c r="AY476" s="170">
        <f>IF(AZ476="USD",AT476,IF(AZ476=K476,J476,-R476))</f>
        <v>-4382.6761473818378</v>
      </c>
      <c r="AZ476" s="170" t="str">
        <f>LEFT(AB476,3)</f>
        <v>USD</v>
      </c>
      <c r="BA476" s="542">
        <f>IF(OR(A476="REFUND",A476="CANCELLED"),0,IFERROR((IF(OR(AB476="USDAED",LEFT(AB476,3)=RIGHT(AB476,3)),AI476,AG476)-AE476)*-AY476*VLOOKUP(AB476,'FX RATES'!$H$1:$J$26,3,FALSE),0))</f>
        <v>0</v>
      </c>
      <c r="BB476" s="170" t="str">
        <f>RIGHT(AB476,3)</f>
        <v>RUB</v>
      </c>
      <c r="BC476" s="542">
        <f>IF(BA476=0,0,IFERROR(BA476/IF(BB476&lt;&gt;"USD",AI476,1),"???"))</f>
        <v>0</v>
      </c>
      <c r="BD476" s="170">
        <f>IFERROR(-AC476/(IF(OR(AB476="USDAED",LEFT(AB476,3)=RIGHT(AB476,3)),AH476,AG476)-AE476)*BC476,0)</f>
        <v>0</v>
      </c>
      <c r="BE476" s="542">
        <f>BC476-BD476</f>
        <v>0</v>
      </c>
      <c r="BF476" s="170">
        <f>IF(BG476="USD",AU476,IF(BG476=S476,R476,-J476))</f>
        <v>4382.6761473818378</v>
      </c>
      <c r="BG476" s="170" t="str">
        <f>LEFT(AJ476,3)</f>
        <v>USD</v>
      </c>
      <c r="BH476" s="542">
        <f>IF(OR(A476="REFUND",A476="CANCELLED"),0,IFERROR((IF(OR(AJ476="USDAED",LEFT(AJ476,3)=RIGHT(AJ476,3)),AQ476,AO476)-AM476)*-BF476*VLOOKUP(AJ476,'FX RATES'!$H$1:$J$26,3,FALSE),0))</f>
        <v>0</v>
      </c>
      <c r="BI476" s="170" t="str">
        <f>RIGHT(AJ476,3)</f>
        <v>RUB</v>
      </c>
      <c r="BJ476" s="542">
        <f>IF(BH476=0,0,IFERROR(BH476/IF(BI476&lt;&gt;"USD",AQ476,1),"???"))</f>
        <v>0</v>
      </c>
      <c r="BK476" s="170">
        <f>IFERROR(-AK476/(IF(OR(AJ476="USDAED",LEFT(AJ476,3)=RIGHT(AJ476,3)),AP476,AO476)-AM476)*BJ476,0)</f>
        <v>0</v>
      </c>
      <c r="BL476" s="542">
        <f>BJ476-BK476</f>
        <v>0</v>
      </c>
      <c r="BM476" s="170">
        <f>IF(AND(ISERROR(SEARCH("REFUND",A476)),ISERROR(SEARCH("CANCELLED",A476))),BD476+BK476,0)</f>
        <v>0</v>
      </c>
      <c r="BN476" s="542">
        <f>IF(AND(ISERROR(SEARCH("REFUND",A476)),ISERROR(SEARCH("CANCELLED",A476))),BE476+BL476,0)</f>
        <v>0</v>
      </c>
    </row>
    <row r="477" spans="1:66" ht="19.5" customHeight="1">
      <c r="A477" s="167" t="s">
        <v>601</v>
      </c>
      <c r="B477" s="168" t="s">
        <v>52</v>
      </c>
      <c r="C477" s="168" t="s">
        <v>381</v>
      </c>
      <c r="D477" s="168" t="s">
        <v>128</v>
      </c>
      <c r="E477" s="171">
        <v>46062</v>
      </c>
      <c r="F477" s="171"/>
      <c r="G477" s="168" t="s">
        <v>52</v>
      </c>
      <c r="H477" s="168" t="s">
        <v>52</v>
      </c>
      <c r="I477" s="169"/>
      <c r="J477" s="170">
        <f>IF(I477="",AR477,I477)</f>
        <v>-1074116.1548459828</v>
      </c>
      <c r="K477" s="168" t="s">
        <v>9</v>
      </c>
      <c r="L477" s="168" t="s">
        <v>25</v>
      </c>
      <c r="M477" s="168" t="s">
        <v>25</v>
      </c>
      <c r="N477" s="167" t="s">
        <v>371</v>
      </c>
      <c r="O477" s="168" t="s">
        <v>52</v>
      </c>
      <c r="P477" s="168" t="s">
        <v>52</v>
      </c>
      <c r="Q477" s="169">
        <f>-(R475+R476+J478)</f>
        <v>1074116.1548459828</v>
      </c>
      <c r="R477" s="170">
        <f>IF(Q477="",AS477,Q477)</f>
        <v>1074116.1548459828</v>
      </c>
      <c r="S477" s="168" t="s">
        <v>9</v>
      </c>
      <c r="T477" s="168" t="s">
        <v>25</v>
      </c>
      <c r="U477" s="168" t="s">
        <v>25</v>
      </c>
      <c r="V477" s="167" t="s">
        <v>371</v>
      </c>
      <c r="W477" s="172" t="s">
        <v>382</v>
      </c>
      <c r="X477" s="173">
        <f>IF(Y477="",VLOOKUP(H477,CLIENTS!$A$1:$O$649,5,FALSE),Y477)</f>
        <v>0</v>
      </c>
      <c r="Y477" s="174"/>
      <c r="Z477" s="173">
        <f>IF(AA477="",VLOOKUP(P477,CLIENTS!$A$1:$O$649,5,FALSE),AA477)</f>
        <v>0</v>
      </c>
      <c r="AA477" s="174"/>
      <c r="AB477" s="173" t="str">
        <f>IF(W477="via USD",IF(K477="EUR",K477&amp;"USD","USD"&amp;K477),IFERROR(VLOOKUP(K477&amp;S477,'FX RATES'!$H$2:$H$20,1,FALSE),S477&amp;K477))</f>
        <v>RUBRUB</v>
      </c>
      <c r="AC477" s="175">
        <f>IF(LEFT(AB477,3)=RIGHT(AB477,3),0,IFERROR(INDEX(CLIENTS!$A$1:$O$649,MATCH(H477,CLIENTS!$A$1:$A$649,0),MATCH(AB477,CLIENTS!$A$1:$O$1,0)),0))</f>
        <v>0</v>
      </c>
      <c r="AD477" s="176"/>
      <c r="AE477" s="177">
        <f>IF(W477="CLIENT","",IF(AD477="",AH477+AC477,AD477+AC477))</f>
        <v>1</v>
      </c>
      <c r="AF477" s="177" t="str">
        <f>E477&amp;AB477</f>
        <v>46062RUBRUB</v>
      </c>
      <c r="AG477" s="176"/>
      <c r="AH477" s="178">
        <f>IF(LEFT(AB477,3)=RIGHT(AB477,3),1,VLOOKUP(AB477,'FX RATES'!$H$1:$I$20,2,FALSE))</f>
        <v>1</v>
      </c>
      <c r="AI477" s="178">
        <f>IF(OR(AB477="USDAED",LEFT(AB477,3)=RIGHT(AB477,3)),AH477,IF(LEFT(AB477)="USD",AG477,IF(RIGHT(AB477,3)="USD",1,IFERROR(VLOOKUP(E477&amp;"USD"&amp;RIGHT(AB477,3),$AF:$AG,2,FALSE),VLOOKUP(E477&amp;"USD"&amp;RIGHT(AJ477,3),$AN:$AO,2,FALSE)))))</f>
        <v>1</v>
      </c>
      <c r="AJ477" s="173" t="str">
        <f>IF(W477="via USD",IF(S477="EUR",S477&amp;"USD","USD"&amp;S477),IFERROR(VLOOKUP(K477&amp;S477,'FX RATES'!$H$2:$H$20,1,FALSE),S477&amp;K477))</f>
        <v>RUBRUB</v>
      </c>
      <c r="AK477" s="175">
        <f>IF(LEFT(AJ477,3)=RIGHT(AJ477,3),0,IFERROR(INDEX(CLIENTS!$A$1:$O$649,MATCH(P477,CLIENTS!$A$1:$A$649,0),MATCH(AJ477,CLIENTS!$A$1:$O$1,0)),0))</f>
        <v>0</v>
      </c>
      <c r="AL477" s="176"/>
      <c r="AM477" s="177" t="str">
        <f>IF(W477="VENDOR","",IF(AL477="",AP477+AK477,AL477+AK477))</f>
        <v/>
      </c>
      <c r="AN477" s="177" t="str">
        <f>E477&amp;AJ477</f>
        <v>46062RUBRUB</v>
      </c>
      <c r="AO477" s="176"/>
      <c r="AP477" s="178">
        <f>IF(LEFT(AJ477,3)=RIGHT(AJ477,3),1,VLOOKUP(AJ477,'FX RATES'!$H$1:$I$20,2,FALSE))</f>
        <v>1</v>
      </c>
      <c r="AQ477" s="178">
        <f>IF(OR(AJ477="USDAED",LEFT(AJ477,3)=RIGHT(AJ477,3)),AP477,IF(LEFT(AJ477)="USD",AO477,IF(RIGHT(AJ477,3)="USD",1,IFERROR(VLOOKUP(E477&amp;"USD"&amp;RIGHT(AJ477,3),$AN:$AO,2,FALSE),VLOOKUP(E477&amp;"USD"&amp;RIGHT(AB477,3),$AF:$AG,2,FALSE)))))</f>
        <v>1</v>
      </c>
      <c r="AR477" s="179">
        <f>-Q477*(1-Z477)/(1+X477)*IF(W477="CLIENT",IF(S477=RIGHT(AJ477,3),1/AM477,AM477),IF(W477="VENDOR",IF(S477=RIGHT(AJ477,3),1/AE477,AE477),AE477^(VLOOKUP(AB477,'FX RATES'!$H$1:$J$26,3,FALSE))/AM477^(VLOOKUP(AJ477,'FX RATES'!$H$1:$J$26,3,FALSE))))</f>
        <v>-1074116.1548459828</v>
      </c>
      <c r="AS477" s="179">
        <f>-I477*(1+X477)/(1-Z477)*IF(W477="VENDOR",IF(K477=RIGHT(AB477,3),1/AE477,AE477),IF(W477="CLIENT",IF(K477=RIGHT(AB477,3),1/AM477,AM477),AM477^(VLOOKUP(AJ477,'FX RATES'!$H$1:$J$26,3,FALSE))/AE477^(VLOOKUP(AB477,'FX RATES'!$H$1:$J$26,3,FALSE))))</f>
        <v>0</v>
      </c>
      <c r="AT477" s="170">
        <f ca="1">IF(AB477&lt;&gt;AJ477,J477/IF(K477=RIGHT(AB477,3),AE477,1/AE477),IF(S477="USD",J477/IF(K477=RIGHT(AB477,3),IF(W477="CLIENT",AM477,AE477),1/IF(W477="CLIENT",AM477,AE477)),J477*VLOOKUP(K477,'FX RATES'!$E$1:$F$10,2,FALSE)))</f>
        <v>-14000.380013764023</v>
      </c>
      <c r="AU477" s="170">
        <f ca="1">IF(AB477&lt;&gt;AJ477,R477/IF(S477=RIGHT(AJ477,3),AM477,1/AM477),IF(K477="USD",R477/IF(S477=RIGHT(AJ477,3),IF(W477="CLIENT",AM477,AE477),1/IF(W477="CLIENT",AM477,AE477)),R477*VLOOKUP(S477,'FX RATES'!$E$1:$F$10,2,FALSE)))</f>
        <v>14000.380013764023</v>
      </c>
      <c r="AV477" s="170">
        <f ca="1">AT477+AU477</f>
        <v>0</v>
      </c>
      <c r="AW477" s="169"/>
      <c r="AX477" s="170">
        <f ca="1">IF(AND(ISERROR(SEARCH("INVOICE",T477)),ISERROR(SEARCH("SWITCH",T477)),ISERROR(SEARCH("FOREX",T477)),ISERROR(SEARCH("REFUND",A477)),ISERROR(SEARCH("CANCELLED",A477))),IF(AW477="",-AT477*X477+AU477*Z477,AW477),0)</f>
        <v>0</v>
      </c>
      <c r="AY477" s="170">
        <f>IF(AZ477="USD",AT477,IF(AZ477=K477,J477,-R477))</f>
        <v>-1074116.1548459828</v>
      </c>
      <c r="AZ477" s="170" t="str">
        <f>LEFT(AB477,3)</f>
        <v>RUB</v>
      </c>
      <c r="BA477" s="542">
        <f>IF(OR(A477="REFUND",A477="CANCELLED"),0,IFERROR((IF(OR(AB477="USDAED",LEFT(AB477,3)=RIGHT(AB477,3)),AI477,AG477)-AE477)*-AY477*VLOOKUP(AB477,'FX RATES'!$H$1:$J$26,3,FALSE),0))</f>
        <v>0</v>
      </c>
      <c r="BB477" s="170" t="str">
        <f>RIGHT(AB477,3)</f>
        <v>RUB</v>
      </c>
      <c r="BC477" s="542">
        <f>IF(BA477=0,0,IFERROR(BA477/IF(BB477&lt;&gt;"USD",AI477,1),"???"))</f>
        <v>0</v>
      </c>
      <c r="BD477" s="170">
        <f>IFERROR(-AC477/(IF(OR(AB477="USDAED",LEFT(AB477,3)=RIGHT(AB477,3)),AH477,AG477)-AE477)*BC477,0)</f>
        <v>0</v>
      </c>
      <c r="BE477" s="542">
        <f>BC477-BD477</f>
        <v>0</v>
      </c>
      <c r="BF477" s="170">
        <f>IF(BG477="USD",AU477,IF(BG477=S477,R477,-J477))</f>
        <v>1074116.1548459828</v>
      </c>
      <c r="BG477" s="170" t="str">
        <f>LEFT(AJ477,3)</f>
        <v>RUB</v>
      </c>
      <c r="BH477" s="542">
        <f>IF(OR(A477="REFUND",A477="CANCELLED"),0,IFERROR((IF(OR(AJ477="USDAED",LEFT(AJ477,3)=RIGHT(AJ477,3)),AQ477,AO477)-AM477)*-BF477*VLOOKUP(AJ477,'FX RATES'!$H$1:$J$26,3,FALSE),0))</f>
        <v>0</v>
      </c>
      <c r="BI477" s="170" t="str">
        <f>RIGHT(AJ477,3)</f>
        <v>RUB</v>
      </c>
      <c r="BJ477" s="542">
        <f>IF(BH477=0,0,IFERROR(BH477/IF(BI477&lt;&gt;"USD",AQ477,1),"???"))</f>
        <v>0</v>
      </c>
      <c r="BK477" s="170">
        <f>IFERROR(-AK477/(IF(OR(AJ477="USDAED",LEFT(AJ477,3)=RIGHT(AJ477,3)),AP477,AO477)-AM477)*BJ477,0)</f>
        <v>0</v>
      </c>
      <c r="BL477" s="542">
        <f>BJ477-BK477</f>
        <v>0</v>
      </c>
      <c r="BM477" s="170">
        <f>IF(AND(ISERROR(SEARCH("REFUND",A477)),ISERROR(SEARCH("CANCELLED",A477))),BD477+BK477,0)</f>
        <v>0</v>
      </c>
      <c r="BN477" s="542">
        <f>IF(AND(ISERROR(SEARCH("REFUND",A477)),ISERROR(SEARCH("CANCELLED",A477))),BE477+BL477,0)</f>
        <v>0</v>
      </c>
    </row>
    <row r="478" spans="1:66" ht="19.5" customHeight="1">
      <c r="A478" s="167" t="s">
        <v>601</v>
      </c>
      <c r="B478" s="168" t="s">
        <v>52</v>
      </c>
      <c r="C478" s="168" t="s">
        <v>383</v>
      </c>
      <c r="D478" s="168" t="s">
        <v>465</v>
      </c>
      <c r="E478" s="171">
        <v>46062</v>
      </c>
      <c r="F478" s="171"/>
      <c r="G478" s="168" t="s">
        <v>52</v>
      </c>
      <c r="H478" s="168" t="s">
        <v>524</v>
      </c>
      <c r="I478" s="169"/>
      <c r="J478" s="170">
        <f>IF(I478="",AR478,I478)</f>
        <v>-60967600.599046975</v>
      </c>
      <c r="K478" s="168" t="s">
        <v>9</v>
      </c>
      <c r="L478" s="171" t="s">
        <v>525</v>
      </c>
      <c r="M478" s="168" t="s">
        <v>25</v>
      </c>
      <c r="N478" s="167" t="s">
        <v>553</v>
      </c>
      <c r="O478" s="168" t="s">
        <v>34</v>
      </c>
      <c r="P478" s="349" t="s">
        <v>526</v>
      </c>
      <c r="Q478" s="169">
        <v>2900000</v>
      </c>
      <c r="R478" s="170">
        <f>IF(Q478="",AS478,Q478)</f>
        <v>2900000</v>
      </c>
      <c r="S478" s="168" t="s">
        <v>8</v>
      </c>
      <c r="T478" s="171" t="s">
        <v>15</v>
      </c>
      <c r="U478" s="168" t="s">
        <v>15</v>
      </c>
      <c r="V478" s="389" t="s">
        <v>371</v>
      </c>
      <c r="W478" s="172" t="s">
        <v>375</v>
      </c>
      <c r="X478" s="173">
        <f>IF(Y478="",VLOOKUP(H478,CLIENTS!$A$1:$O$649,5,FALSE),Y478)</f>
        <v>0</v>
      </c>
      <c r="Y478" s="174">
        <v>0</v>
      </c>
      <c r="Z478" s="173">
        <f>IF(AA478="",VLOOKUP(P478,CLIENTS!$A$1:$O$649,5,FALSE),AA478)</f>
        <v>-2E-3</v>
      </c>
      <c r="AA478" s="174">
        <v>-2E-3</v>
      </c>
      <c r="AB478" s="173" t="str">
        <f>IF(W478="via USD",IF(K478="EUR",K478&amp;"USD","USD"&amp;K478),IFERROR(VLOOKUP(K478&amp;S478,'FX RATES'!$H$2:$H$20,1,FALSE),S478&amp;K478))</f>
        <v>USDRUB</v>
      </c>
      <c r="AC478" s="175">
        <f>IF(LEFT(AB478,3)=RIGHT(AB478,3),0,IFERROR(INDEX(CLIENTS!$A$1:$O$649,MATCH(H478,CLIENTS!$A$1:$A$649,0),MATCH(AB478,CLIENTS!$A$1:$O$1,0)),0))</f>
        <v>0</v>
      </c>
      <c r="AD478" s="176">
        <v>77.054000000000002</v>
      </c>
      <c r="AE478" s="177">
        <f>IF(W478="CLIENT","",IF(AD478="",AH478+AC478,AD478+AC478))</f>
        <v>77.054000000000002</v>
      </c>
      <c r="AF478" s="177" t="str">
        <f>E478&amp;AB478</f>
        <v>46062USDRUB</v>
      </c>
      <c r="AG478" s="176">
        <v>77.349999999999994</v>
      </c>
      <c r="AH478" s="178">
        <f ca="1">IF(LEFT(AB478,3)=RIGHT(AB478,3),1,VLOOKUP(AB478,'FX RATES'!$H$1:$I$20,2,FALSE))</f>
        <v>76.720500000000001</v>
      </c>
      <c r="AI478" s="178">
        <f>IF(OR(AB478="USDAED",LEFT(AB478,3)=RIGHT(AB478,3)),AH478,IF(LEFT(AB478)="USD",AG478,IF(RIGHT(AB478,3)="USD",1,IFERROR(VLOOKUP(E478&amp;"USD"&amp;RIGHT(AB478,3),$AF:$AG,2,FALSE),VLOOKUP(E478&amp;"USD"&amp;RIGHT(AJ478,3),$AN:$AO,2,FALSE)))))</f>
        <v>77.349999999999994</v>
      </c>
      <c r="AJ478" s="173" t="str">
        <f>IF(W478="via USD",IF(S478="EUR",S478&amp;"USD","USD"&amp;S478),IFERROR(VLOOKUP(K478&amp;S478,'FX RATES'!$H$2:$H$20,1,FALSE),S478&amp;K478))</f>
        <v>USDAED</v>
      </c>
      <c r="AK478" s="175">
        <f>IF(LEFT(AJ478,3)=RIGHT(AJ478,3),0,IFERROR(INDEX(CLIENTS!$A$1:$O$649,MATCH(P478,CLIENTS!$A$1:$A$649,0),MATCH(AJ478,CLIENTS!$A$1:$O$1,0)),0))</f>
        <v>0</v>
      </c>
      <c r="AL478" s="176">
        <v>3.6724999999999999</v>
      </c>
      <c r="AM478" s="177">
        <f>IF(W478="VENDOR","",IF(AL478="",AP478+AK478,AL478+AK478))</f>
        <v>3.6724999999999999</v>
      </c>
      <c r="AN478" s="177" t="str">
        <f>E478&amp;AJ478</f>
        <v>46062USDAED</v>
      </c>
      <c r="AO478" s="176">
        <v>3.6724999999999999</v>
      </c>
      <c r="AP478" s="178">
        <f>IF(LEFT(AJ478,3)=RIGHT(AJ478,3),1,VLOOKUP(AJ478,'FX RATES'!$H$1:$I$20,2,FALSE))</f>
        <v>3.6724999999999999</v>
      </c>
      <c r="AQ478" s="178">
        <f>IF(OR(AJ478="USDAED",LEFT(AJ478,3)=RIGHT(AJ478,3)),AP478,IF(LEFT(AJ478)="USD",AO478,IF(RIGHT(AJ478,3)="USD",1,IFERROR(VLOOKUP(E478&amp;"USD"&amp;RIGHT(AJ478,3),$AN:$AO,2,FALSE),VLOOKUP(E478&amp;"USD"&amp;RIGHT(AB478,3),$AF:$AG,2,FALSE)))))</f>
        <v>3.6724999999999999</v>
      </c>
      <c r="AR478" s="179">
        <f>-Q478*(1-Z478)/(1+X478)*IF(W478="CLIENT",IF(S478=RIGHT(AJ478,3),1/AM478,AM478),IF(W478="VENDOR",IF(S478=RIGHT(AJ478,3),1/AE478,AE478),AE478^(VLOOKUP(AB478,'FX RATES'!$H$1:$J$26,3,FALSE))/AM478^(VLOOKUP(AJ478,'FX RATES'!$H$1:$J$26,3,FALSE))))</f>
        <v>-60967600.599046975</v>
      </c>
      <c r="AS478" s="179">
        <f>-I478*(1+X478)/(1-Z478)*IF(W478="VENDOR",IF(K478=RIGHT(AB478,3),1/AE478,AE478),IF(W478="CLIENT",IF(K478=RIGHT(AB478,3),1/AM478,AM478),AM478^(VLOOKUP(AJ478,'FX RATES'!$H$1:$J$26,3,FALSE))/AE478^(VLOOKUP(AB478,'FX RATES'!$H$1:$J$26,3,FALSE))))</f>
        <v>0</v>
      </c>
      <c r="AT478" s="170">
        <f>IF(AB478&lt;&gt;AJ478,J478/IF(K478=RIGHT(AB478,3),AE478,1/AE478),IF(S478="USD",J478/IF(K478=RIGHT(AB478,3),IF(W478="CLIENT",AM478,AE478),1/IF(W478="CLIENT",AM478,AE478)),J478*VLOOKUP(K478,'FX RATES'!$E$1:$F$10,2,FALSE)))</f>
        <v>-791232.13070115726</v>
      </c>
      <c r="AU478" s="170">
        <f>IF(AB478&lt;&gt;AJ478,R478/IF(S478=RIGHT(AJ478,3),AM478,1/AM478),IF(K478="USD",R478/IF(S478=RIGHT(AJ478,3),IF(W478="CLIENT",AM478,AE478),1/IF(W478="CLIENT",AM478,AE478)),R478*VLOOKUP(S478,'FX RATES'!$E$1:$F$10,2,FALSE)))</f>
        <v>789652.82505105517</v>
      </c>
      <c r="AV478" s="170">
        <f>AT478+AU478</f>
        <v>-1579.305650102091</v>
      </c>
      <c r="AW478" s="169"/>
      <c r="AX478" s="170">
        <f>IF(AND(ISERROR(SEARCH("INVOICE",T478)),ISERROR(SEARCH("SWITCH",T478)),ISERROR(SEARCH("FOREX",T478)),ISERROR(SEARCH("REFUND",A478)),ISERROR(SEARCH("CANCELLED",A478))),IF(AW478="",-AT478*X478+AU478*Z478,AW478),0)</f>
        <v>-1579.3056501021103</v>
      </c>
      <c r="AY478" s="170">
        <f>IF(AZ478="USD",AT478,IF(AZ478=K478,J478,-R478))</f>
        <v>-791232.13070115726</v>
      </c>
      <c r="AZ478" s="170" t="str">
        <f>LEFT(AB478,3)</f>
        <v>USD</v>
      </c>
      <c r="BA478" s="542">
        <f>IF(OR(A478="REFUND",A478="CANCELLED"),0,IFERROR((IF(OR(AB478="USDAED",LEFT(AB478,3)=RIGHT(AB478,3)),AI478,AG478)-AE478)*-AY478*VLOOKUP(AB478,'FX RATES'!$H$1:$J$26,3,FALSE),0))</f>
        <v>234204.71068753643</v>
      </c>
      <c r="BB478" s="170" t="str">
        <f>RIGHT(AB478,3)</f>
        <v>RUB</v>
      </c>
      <c r="BC478" s="542">
        <f>IF(BA478=0,0,IFERROR(BA478/IF(BB478&lt;&gt;"USD",AI478,1),"???"))</f>
        <v>3027.8566346158559</v>
      </c>
      <c r="BD478" s="170">
        <f>IFERROR(-AC478/(IF(OR(AB478="USDAED",LEFT(AB478,3)=RIGHT(AB478,3)),AH478,AG478)-AE478)*BC478,0)</f>
        <v>0</v>
      </c>
      <c r="BE478" s="542">
        <f>BC478-BD478</f>
        <v>3027.8566346158559</v>
      </c>
      <c r="BF478" s="170">
        <f>IF(BG478="USD",AU478,IF(BG478=S478,R478,-J478))</f>
        <v>789652.82505105517</v>
      </c>
      <c r="BG478" s="170" t="str">
        <f>LEFT(AJ478,3)</f>
        <v>USD</v>
      </c>
      <c r="BH478" s="542">
        <f>IF(OR(A478="REFUND",A478="CANCELLED"),0,IFERROR((IF(OR(AJ478="USDAED",LEFT(AJ478,3)=RIGHT(AJ478,3)),AQ478,AO478)-AM478)*-BF478*VLOOKUP(AJ478,'FX RATES'!$H$1:$J$26,3,FALSE),0))</f>
        <v>0</v>
      </c>
      <c r="BI478" s="170" t="str">
        <f>RIGHT(AJ478,3)</f>
        <v>AED</v>
      </c>
      <c r="BJ478" s="542">
        <f>IF(BH478=0,0,IFERROR(BH478/IF(BI478&lt;&gt;"USD",AQ478,1),"???"))</f>
        <v>0</v>
      </c>
      <c r="BK478" s="170">
        <f>IFERROR(-AK478/(IF(OR(AJ478="USDAED",LEFT(AJ478,3)=RIGHT(AJ478,3)),AP478,AO478)-AM478)*BJ478,0)</f>
        <v>0</v>
      </c>
      <c r="BL478" s="542">
        <f>BJ478-BK478</f>
        <v>0</v>
      </c>
      <c r="BM478" s="170">
        <f>IF(AND(ISERROR(SEARCH("REFUND",A478)),ISERROR(SEARCH("CANCELLED",A478))),BD478+BK478,0)</f>
        <v>0</v>
      </c>
      <c r="BN478" s="542">
        <f>IF(AND(ISERROR(SEARCH("REFUND",A478)),ISERROR(SEARCH("CANCELLED",A478))),BE478+BL478,0)</f>
        <v>3027.8566346158559</v>
      </c>
    </row>
    <row r="479" spans="1:66" ht="19.5" customHeight="1">
      <c r="A479" s="167"/>
      <c r="B479" s="182"/>
      <c r="C479" s="182"/>
      <c r="D479" s="182"/>
      <c r="E479" s="184"/>
      <c r="F479" s="184"/>
      <c r="G479" s="182"/>
      <c r="H479" s="182"/>
      <c r="I479" s="170"/>
      <c r="J479" s="170"/>
      <c r="K479" s="182"/>
      <c r="L479" s="184"/>
      <c r="M479" s="182"/>
      <c r="O479" s="182"/>
      <c r="P479" s="444"/>
      <c r="Q479" s="170"/>
      <c r="R479" s="170"/>
      <c r="S479" s="182"/>
      <c r="T479" s="184"/>
      <c r="U479" s="182"/>
      <c r="X479" s="173"/>
      <c r="Y479" s="173"/>
      <c r="Z479" s="173"/>
      <c r="AA479" s="173"/>
      <c r="AB479" s="173"/>
      <c r="AC479" s="175"/>
      <c r="AD479" s="177"/>
      <c r="AE479" s="177"/>
      <c r="AF479" s="177"/>
      <c r="AG479" s="177"/>
      <c r="AH479" s="178"/>
      <c r="AI479" s="178"/>
      <c r="AJ479" s="173"/>
      <c r="AK479" s="175"/>
      <c r="AL479" s="177"/>
      <c r="AM479" s="177"/>
      <c r="AN479" s="177"/>
      <c r="AO479" s="177"/>
      <c r="AP479" s="178"/>
      <c r="AQ479" s="178"/>
      <c r="AR479" s="185"/>
      <c r="AS479" s="185"/>
      <c r="AT479" s="170"/>
      <c r="AU479" s="170"/>
      <c r="AV479" s="170"/>
      <c r="AW479" s="170"/>
      <c r="AX479" s="170"/>
      <c r="AY479" s="170"/>
      <c r="AZ479" s="170"/>
      <c r="BA479" s="542"/>
      <c r="BB479" s="170"/>
      <c r="BC479" s="542"/>
      <c r="BD479" s="170"/>
      <c r="BE479" s="542"/>
      <c r="BF479" s="170"/>
      <c r="BG479" s="170"/>
      <c r="BH479" s="542"/>
      <c r="BI479" s="170"/>
      <c r="BJ479" s="542"/>
      <c r="BK479" s="170"/>
      <c r="BL479" s="542"/>
      <c r="BM479" s="170"/>
      <c r="BN479" s="542"/>
    </row>
    <row r="480" spans="1:66" ht="19.5" customHeight="1">
      <c r="A480" s="167" t="s">
        <v>601</v>
      </c>
      <c r="B480" s="168" t="s">
        <v>44</v>
      </c>
      <c r="C480" s="168" t="s">
        <v>367</v>
      </c>
      <c r="D480" s="168" t="s">
        <v>368</v>
      </c>
      <c r="E480" s="171">
        <v>46062</v>
      </c>
      <c r="F480" s="171"/>
      <c r="G480" s="168" t="s">
        <v>44</v>
      </c>
      <c r="H480" s="168" t="s">
        <v>412</v>
      </c>
      <c r="I480" s="169"/>
      <c r="J480" s="170">
        <f>IF(I480="",AR480,I480)</f>
        <v>-1963414.9998397275</v>
      </c>
      <c r="K480" s="168" t="s">
        <v>7</v>
      </c>
      <c r="L480" s="171" t="s">
        <v>22</v>
      </c>
      <c r="M480" s="168" t="s">
        <v>22</v>
      </c>
      <c r="N480" s="167" t="s">
        <v>553</v>
      </c>
      <c r="O480" s="168" t="s">
        <v>52</v>
      </c>
      <c r="P480" s="168" t="s">
        <v>417</v>
      </c>
      <c r="Q480" s="169">
        <v>21937508.379999999</v>
      </c>
      <c r="R480" s="170">
        <f>IF(Q480="",AS480,Q480)</f>
        <v>21937508.379999999</v>
      </c>
      <c r="S480" s="168" t="s">
        <v>9</v>
      </c>
      <c r="T480" s="171" t="s">
        <v>414</v>
      </c>
      <c r="U480" s="168" t="s">
        <v>25</v>
      </c>
      <c r="V480" s="167" t="s">
        <v>371</v>
      </c>
      <c r="W480" s="172" t="s">
        <v>389</v>
      </c>
      <c r="X480" s="173">
        <f>IF(Y480="",VLOOKUP(H480,CLIENTS!$A$1:$O$649,5,FALSE),Y480)</f>
        <v>0</v>
      </c>
      <c r="Y480" s="174">
        <v>0</v>
      </c>
      <c r="Z480" s="173">
        <f>IF(AA480="",VLOOKUP(P480,CLIENTS!$A$1:$O$649,5,FALSE),AA480)</f>
        <v>6.0000000000000001E-3</v>
      </c>
      <c r="AA480" s="174">
        <v>6.0000000000000001E-3</v>
      </c>
      <c r="AB480" s="173" t="str">
        <f>IF(W480="via USD",IF(K480="EUR",K480&amp;"USD","USD"&amp;K480),IFERROR(VLOOKUP(K480&amp;S480,'FX RATES'!$H$2:$H$20,1,FALSE),S480&amp;K480))</f>
        <v>CNYRUB</v>
      </c>
      <c r="AC480" s="175">
        <f>IF(LEFT(AB480,3)=RIGHT(AB480,3),0,IFERROR(INDEX(CLIENTS!$A$1:$O$649,MATCH(H480,CLIENTS!$A$1:$A$649,0),MATCH(AB480,CLIENTS!$A$1:$O$1,0)),0))</f>
        <v>0</v>
      </c>
      <c r="AD480" s="176"/>
      <c r="AE480" s="177" t="str">
        <f>IF(W480="CLIENT","",IF(AD480="",AH480+AC480,AD480+AC480))</f>
        <v/>
      </c>
      <c r="AF480" s="177" t="str">
        <f>E480&amp;AB480</f>
        <v>46062CNYRUB</v>
      </c>
      <c r="AG480" s="176"/>
      <c r="AH480" s="178">
        <f ca="1">IF(LEFT(AB480,3)=RIGHT(AB480,3),1,VLOOKUP(AB480,'FX RATES'!$H$1:$I$20,2,FALSE))</f>
        <v>11.103899999999999</v>
      </c>
      <c r="AI480" s="178">
        <f>IF(OR(AB480="USDAED",LEFT(AB480,3)=RIGHT(AB480,3)),AH480,IF(LEFT(AB480)="USD",AG480,IF(RIGHT(AB480,3)="USD",1,IFERROR(VLOOKUP(E480&amp;"USD"&amp;RIGHT(AB480,3),$AF:$AG,2,FALSE),VLOOKUP(E480&amp;"USD"&amp;RIGHT(AJ480,3),$AN:$AO,2,FALSE)))))</f>
        <v>77.349999999999994</v>
      </c>
      <c r="AJ480" s="173" t="str">
        <f>IF(W480="via USD",IF(S480="EUR",S480&amp;"USD","USD"&amp;S480),IFERROR(VLOOKUP(K480&amp;S480,'FX RATES'!$H$2:$H$20,1,FALSE),S480&amp;K480))</f>
        <v>CNYRUB</v>
      </c>
      <c r="AK480" s="175">
        <f>IF(LEFT(AJ480,3)=RIGHT(AJ480,3),0,IFERROR(INDEX(CLIENTS!$A$1:$O$649,MATCH(P480,CLIENTS!$A$1:$A$649,0),MATCH(AJ480,CLIENTS!$A$1:$O$1,0)),0))</f>
        <v>0</v>
      </c>
      <c r="AL480" s="176">
        <v>11.1061</v>
      </c>
      <c r="AM480" s="177">
        <f>IF(W480="VENDOR","",IF(AL480="",AP480+AK480,AL480+AK480))</f>
        <v>11.1061</v>
      </c>
      <c r="AN480" s="177" t="str">
        <f>E480&amp;AJ480</f>
        <v>46062CNYRUB</v>
      </c>
      <c r="AO480" s="176">
        <v>11.29</v>
      </c>
      <c r="AP480" s="178">
        <f ca="1">IF(LEFT(AJ480,3)=RIGHT(AJ480,3),1,VLOOKUP(AJ480,'FX RATES'!$H$1:$I$20,2,FALSE))</f>
        <v>11.103899999999999</v>
      </c>
      <c r="AQ480" s="178">
        <f>IF(OR(AJ480="USDAED",LEFT(AJ480,3)=RIGHT(AJ480,3)),AP480,IF(LEFT(AJ480)="USD",AO480,IF(RIGHT(AJ480,3)="USD",1,IFERROR(VLOOKUP(E480&amp;"USD"&amp;RIGHT(AJ480,3),$AN:$AO,2,FALSE),VLOOKUP(E480&amp;"USD"&amp;RIGHT(AB480,3),$AF:$AG,2,FALSE)))))</f>
        <v>77.349999999999994</v>
      </c>
      <c r="AR480" s="179">
        <f>-Q480*(1-Z480)/(1+X480)*IF(W480="CLIENT",IF(S480=RIGHT(AJ480,3),1/AM480,AM480),IF(W480="VENDOR",IF(S480=RIGHT(AJ480,3),1/AE480,AE480),AE480^(VLOOKUP(AB480,'FX RATES'!$H$1:$J$26,3,FALSE))/AM480^(VLOOKUP(AJ480,'FX RATES'!$H$1:$J$26,3,FALSE))))</f>
        <v>-1963414.9998397275</v>
      </c>
      <c r="AS480" s="179">
        <f>-I480*(1+X480)/(1-Z480)*IF(W480="VENDOR",IF(K480=RIGHT(AB480,3),1/AE480,AE480),IF(W480="CLIENT",IF(K480=RIGHT(AB480,3),1/AM480,AM480),AM480^(VLOOKUP(AJ480,'FX RATES'!$H$1:$J$26,3,FALSE))/AE480^(VLOOKUP(AB480,'FX RATES'!$H$1:$J$26,3,FALSE))))</f>
        <v>0</v>
      </c>
      <c r="AT480" s="170">
        <f ca="1">IF(AB480&lt;&gt;AJ480,J480/IF(K480=RIGHT(AB480,3),AE480,1/AE480),IF(S480="USD",J480/IF(K480=RIGHT(AB480,3),IF(W480="CLIENT",AM480,AE480),1/IF(W480="CLIENT",AM480,AE480)),J480*VLOOKUP(K480,'FX RATES'!$E$1:$F$10,2,FALSE)))</f>
        <v>-284223.36419220146</v>
      </c>
      <c r="AU480" s="170">
        <f ca="1">IF(AB480&lt;&gt;AJ480,R480/IF(S480=RIGHT(AJ480,3),AM480,1/AM480),IF(K480="USD",R480/IF(S480=RIGHT(AJ480,3),IF(W480="CLIENT",AM480,AE480),1/IF(W480="CLIENT",AM480,AE480)),R480*VLOOKUP(S480,'FX RATES'!$E$1:$F$10,2,FALSE)))</f>
        <v>285940.63359858183</v>
      </c>
      <c r="AV480" s="170">
        <f ca="1">AT480+AU480</f>
        <v>1717.2694063803647</v>
      </c>
      <c r="AW480" s="169"/>
      <c r="AX480" s="170">
        <f ca="1">IF(AND(ISERROR(SEARCH("INVOICE",T480)),ISERROR(SEARCH("SWITCH",T480)),ISERROR(SEARCH("FOREX",T480)),ISERROR(SEARCH("REFUND",A480)),ISERROR(SEARCH("CANCELLED",A480))),IF(AW480="",-AT480*X480+AU480*Z480,AW480),0)</f>
        <v>1715.643801591491</v>
      </c>
      <c r="AY480" s="170">
        <f>IF(AZ480="USD",AT480,IF(AZ480=K480,J480,-R480))</f>
        <v>-1963414.9998397275</v>
      </c>
      <c r="AZ480" s="170" t="str">
        <f>LEFT(AB480,3)</f>
        <v>CNY</v>
      </c>
      <c r="BA480" s="542">
        <f>IF(OR(A480="REFUND",A480="CANCELLED"),0,IFERROR((IF(OR(AB480="USDAED",LEFT(AB480,3)=RIGHT(AB480,3)),AI480,AG480)-AE480)*-AY480*VLOOKUP(AB480,'FX RATES'!$H$1:$J$26,3,FALSE),0))</f>
        <v>0</v>
      </c>
      <c r="BB480" s="170" t="str">
        <f>RIGHT(AB480,3)</f>
        <v>RUB</v>
      </c>
      <c r="BC480" s="542">
        <f>IF(BA480=0,0,IFERROR(BA480/IF(BB480&lt;&gt;"USD",AI480,1),"???"))</f>
        <v>0</v>
      </c>
      <c r="BD480" s="170">
        <f>IFERROR(-AC480/(IF(OR(AB480="USDAED",LEFT(AB480,3)=RIGHT(AB480,3)),AH480,AG480)-AE480)*BC480,0)</f>
        <v>0</v>
      </c>
      <c r="BE480" s="542">
        <f>BC480-BD480</f>
        <v>0</v>
      </c>
      <c r="BF480" s="170">
        <f>IF(BG480="USD",AU480,IF(BG480=S480,R480,-J480))</f>
        <v>1963414.9998397275</v>
      </c>
      <c r="BG480" s="170" t="str">
        <f>LEFT(AJ480,3)</f>
        <v>CNY</v>
      </c>
      <c r="BH480" s="542">
        <f>IF(OR(A480="REFUND",A480="CANCELLED"),0,IFERROR((IF(OR(AJ480="USDAED",LEFT(AJ480,3)=RIGHT(AJ480,3)),AQ480,AO480)-AM480)*-BF480*VLOOKUP(AJ480,'FX RATES'!$H$1:$J$26,3,FALSE),0))</f>
        <v>-361072.01847052493</v>
      </c>
      <c r="BI480" s="170" t="str">
        <f>RIGHT(AJ480,3)</f>
        <v>RUB</v>
      </c>
      <c r="BJ480" s="542">
        <f>IF(BH480=0,0,IFERROR(BH480/IF(BI480&lt;&gt;"USD",AQ480,1),"???"))</f>
        <v>-4668.0286809376203</v>
      </c>
      <c r="BK480" s="170">
        <f>IFERROR(-AK480/(IF(OR(AJ480="USDAED",LEFT(AJ480,3)=RIGHT(AJ480,3)),AP480,AO480)-AM480)*BJ480,0)</f>
        <v>0</v>
      </c>
      <c r="BL480" s="542">
        <f>BJ480-BK480</f>
        <v>-4668.0286809376203</v>
      </c>
      <c r="BM480" s="170">
        <f>IF(AND(ISERROR(SEARCH("REFUND",A480)),ISERROR(SEARCH("CANCELLED",A480))),BD480+BK480,0)</f>
        <v>0</v>
      </c>
      <c r="BN480" s="542">
        <f>IF(AND(ISERROR(SEARCH("REFUND",A480)),ISERROR(SEARCH("CANCELLED",A480))),BE480+BL480,0)</f>
        <v>-4668.0286809376203</v>
      </c>
    </row>
    <row r="481" spans="1:66" ht="19.5" customHeight="1">
      <c r="A481" s="167" t="s">
        <v>601</v>
      </c>
      <c r="B481" s="168" t="s">
        <v>52</v>
      </c>
      <c r="C481" s="168" t="s">
        <v>383</v>
      </c>
      <c r="D481" s="168" t="s">
        <v>465</v>
      </c>
      <c r="E481" s="171">
        <v>46062</v>
      </c>
      <c r="F481" s="171"/>
      <c r="G481" s="168" t="s">
        <v>52</v>
      </c>
      <c r="H481" s="168" t="s">
        <v>604</v>
      </c>
      <c r="I481" s="169"/>
      <c r="J481" s="170">
        <f t="shared" ref="J481" si="519">IF(I481="",AR481,I481)</f>
        <v>-21805883.331499998</v>
      </c>
      <c r="K481" s="168" t="s">
        <v>9</v>
      </c>
      <c r="L481" s="171" t="s">
        <v>411</v>
      </c>
      <c r="M481" s="168" t="s">
        <v>25</v>
      </c>
      <c r="N481" s="167" t="s">
        <v>553</v>
      </c>
      <c r="O481" s="168" t="s">
        <v>44</v>
      </c>
      <c r="P481" s="349" t="s">
        <v>604</v>
      </c>
      <c r="Q481" s="169">
        <v>1963415</v>
      </c>
      <c r="R481" s="170">
        <f t="shared" ref="R481" si="520">IF(Q481="",AS481,Q481)</f>
        <v>1963415</v>
      </c>
      <c r="S481" s="168" t="s">
        <v>7</v>
      </c>
      <c r="T481" s="171" t="s">
        <v>40</v>
      </c>
      <c r="U481" s="168" t="s">
        <v>85</v>
      </c>
      <c r="V481" s="418" t="s">
        <v>371</v>
      </c>
      <c r="W481" s="172" t="s">
        <v>382</v>
      </c>
      <c r="X481" s="173">
        <f>IF(Y481="",VLOOKUP(H481,CLIENTS!$A$1:$O$649,5,FALSE),Y481)</f>
        <v>0</v>
      </c>
      <c r="Y481" s="174">
        <v>0</v>
      </c>
      <c r="Z481" s="173">
        <f>IF(AA481="",VLOOKUP(P481,CLIENTS!$A$1:$O$649,5,FALSE),AA481)</f>
        <v>0</v>
      </c>
      <c r="AA481" s="174">
        <v>0</v>
      </c>
      <c r="AB481" s="173" t="str">
        <f>IF(W481="via USD",IF(K481="EUR",K481&amp;"USD","USD"&amp;K481),IFERROR(VLOOKUP(K481&amp;S481,'FX RATES'!$H$2:$H$20,1,FALSE),S481&amp;K481))</f>
        <v>CNYRUB</v>
      </c>
      <c r="AC481" s="175">
        <f>IF(LEFT(AB481,3)=RIGHT(AB481,3),0,IFERROR(INDEX(CLIENTS!$A$1:$O$649,MATCH(H481,CLIENTS!$A$1:$A$649,0),MATCH(AB481,CLIENTS!$A$1:$O$1,0)),0))</f>
        <v>0</v>
      </c>
      <c r="AD481" s="176">
        <v>11.1061</v>
      </c>
      <c r="AE481" s="177">
        <f t="shared" ref="AE481" si="521">IF(W481="CLIENT","",IF(AD481="",AH481+AC481,AD481+AC481))</f>
        <v>11.1061</v>
      </c>
      <c r="AF481" s="177" t="str">
        <f t="shared" ref="AF481" si="522">E481&amp;AB481</f>
        <v>46062CNYRUB</v>
      </c>
      <c r="AG481" s="176">
        <v>11.29</v>
      </c>
      <c r="AH481" s="178">
        <f ca="1">IF(LEFT(AB481,3)=RIGHT(AB481,3),1,VLOOKUP(AB481,'FX RATES'!$H$1:$I$20,2,FALSE))</f>
        <v>11.103899999999999</v>
      </c>
      <c r="AI481" s="178">
        <f>IF(OR(AB481="USDAED",LEFT(AB481,3)=RIGHT(AB481,3)),AH481,IF(LEFT(AB481)="USD",AG481,IF(RIGHT(AB481,3)="USD",1,IFERROR(VLOOKUP(E481&amp;"USD"&amp;RIGHT(AB481,3),$AF:$AG,2,FALSE),VLOOKUP(E481&amp;"USD"&amp;RIGHT(AJ481,3),$AN:$AO,2,FALSE)))))</f>
        <v>77.349999999999994</v>
      </c>
      <c r="AJ481" s="173" t="str">
        <f>IF(W481="via USD",IF(S481="EUR",S481&amp;"USD","USD"&amp;S481),IFERROR(VLOOKUP(K481&amp;S481,'FX RATES'!$H$2:$H$20,1,FALSE),S481&amp;K481))</f>
        <v>CNYRUB</v>
      </c>
      <c r="AK481" s="175">
        <f>IF(LEFT(AJ481,3)=RIGHT(AJ481,3),0,IFERROR(INDEX(CLIENTS!$A$1:$O$649,MATCH(P481,CLIENTS!$A$1:$A$649,0),MATCH(AJ481,CLIENTS!$A$1:$O$1,0)),0))</f>
        <v>0</v>
      </c>
      <c r="AL481" s="176"/>
      <c r="AM481" s="177" t="str">
        <f t="shared" ref="AM481" si="523">IF(W481="VENDOR","",IF(AL481="",AP481+AK481,AL481+AK481))</f>
        <v/>
      </c>
      <c r="AN481" s="177" t="str">
        <f t="shared" ref="AN481" si="524">E481&amp;AJ481</f>
        <v>46062CNYRUB</v>
      </c>
      <c r="AO481" s="176"/>
      <c r="AP481" s="178">
        <f ca="1">IF(LEFT(AJ481,3)=RIGHT(AJ481,3),1,VLOOKUP(AJ481,'FX RATES'!$H$1:$I$20,2,FALSE))</f>
        <v>11.103899999999999</v>
      </c>
      <c r="AQ481" s="178">
        <f>IF(OR(AJ481="USDAED",LEFT(AJ481,3)=RIGHT(AJ481,3)),AP481,IF(LEFT(AJ481)="USD",AO481,IF(RIGHT(AJ481,3)="USD",1,IFERROR(VLOOKUP(E481&amp;"USD"&amp;RIGHT(AJ481,3),$AN:$AO,2,FALSE),VLOOKUP(E481&amp;"USD"&amp;RIGHT(AB481,3),$AF:$AG,2,FALSE)))))</f>
        <v>77.349999999999994</v>
      </c>
      <c r="AR481" s="179">
        <f>-Q481*(1-Z481)/(1+X481)*IF(W481="CLIENT",IF(S481=RIGHT(AJ481,3),1/AM481,AM481),IF(W481="VENDOR",IF(S481=RIGHT(AJ481,3),1/AE481,AE481),AE481^(VLOOKUP(AB481,'FX RATES'!$H$1:$J$26,3,FALSE))/AM481^(VLOOKUP(AJ481,'FX RATES'!$H$1:$J$26,3,FALSE))))</f>
        <v>-21805883.331499998</v>
      </c>
      <c r="AS481" s="179">
        <f>-I481*(1+X481)/(1-Z481)*IF(W481="VENDOR",IF(K481=RIGHT(AB481,3),1/AE481,AE481),IF(W481="CLIENT",IF(K481=RIGHT(AB481,3),1/AM481,AM481),AM481^(VLOOKUP(AJ481,'FX RATES'!$H$1:$J$26,3,FALSE))/AE481^(VLOOKUP(AB481,'FX RATES'!$H$1:$J$26,3,FALSE))))</f>
        <v>0</v>
      </c>
      <c r="AT481" s="170">
        <f ca="1">IF(AB481&lt;&gt;AJ481,J481/IF(K481=RIGHT(AB481,3),AE481,1/AE481),IF(S481="USD",J481/IF(K481=RIGHT(AB481,3),IF(W481="CLIENT",AM481,AE481),1/IF(W481="CLIENT",AM481,AE481)),J481*VLOOKUP(K481,'FX RATES'!$E$1:$F$10,2,FALSE)))</f>
        <v>-284224.98982019146</v>
      </c>
      <c r="AU481" s="170">
        <f ca="1">IF(AB481&lt;&gt;AJ481,R481/IF(S481=RIGHT(AJ481,3),AM481,1/AM481),IF(K481="USD",R481/IF(S481=RIGHT(AJ481,3),IF(W481="CLIENT",AM481,AE481),1/IF(W481="CLIENT",AM481,AE481)),R481*VLOOKUP(S481,'FX RATES'!$E$1:$F$10,2,FALSE)))</f>
        <v>284223.36421540246</v>
      </c>
      <c r="AV481" s="170">
        <f t="shared" ref="AV481" ca="1" si="525">AT481+AU481</f>
        <v>-1.6256047890055925</v>
      </c>
      <c r="AW481" s="169"/>
      <c r="AX481" s="170">
        <f t="shared" ref="AX481" ca="1" si="526">IF(AND(ISERROR(SEARCH("INVOICE",T481)),ISERROR(SEARCH("SWITCH",T481)),ISERROR(SEARCH("FOREX",T481)),ISERROR(SEARCH("REFUND",A481)),ISERROR(SEARCH("CANCELLED",A481))),IF(AW481="",-AT481*X481+AU481*Z481,AW481),0)</f>
        <v>0</v>
      </c>
      <c r="AY481" s="170">
        <f t="shared" ref="AY481" si="527">IF(AZ481="USD",AT481,IF(AZ481=K481,J481,-R481))</f>
        <v>-1963415</v>
      </c>
      <c r="AZ481" s="170" t="str">
        <f t="shared" ref="AZ481" si="528">LEFT(AB481,3)</f>
        <v>CNY</v>
      </c>
      <c r="BA481" s="542">
        <f>IF(OR(A481="REFUND",A481="CANCELLED"),0,IFERROR((IF(OR(AB481="USDAED",LEFT(AB481,3)=RIGHT(AB481,3)),AI481,AG481)-AE481)*-AY481*VLOOKUP(AB481,'FX RATES'!$H$1:$J$26,3,FALSE),0))</f>
        <v>361072.01849999902</v>
      </c>
      <c r="BB481" s="170" t="str">
        <f t="shared" ref="BB481" si="529">RIGHT(AB481,3)</f>
        <v>RUB</v>
      </c>
      <c r="BC481" s="542">
        <f t="shared" ref="BC481" si="530">IF(BA481=0,0,IFERROR(BA481/IF(BB481&lt;&gt;"USD",AI481,1),"???"))</f>
        <v>4668.0286813186685</v>
      </c>
      <c r="BD481" s="170">
        <f t="shared" ref="BD481" si="531">IFERROR(-AC481/(IF(OR(AB481="USDAED",LEFT(AB481,3)=RIGHT(AB481,3)),AH481,AG481)-AE481)*BC481,0)</f>
        <v>0</v>
      </c>
      <c r="BE481" s="542">
        <f t="shared" ref="BE481" si="532">BC481-BD481</f>
        <v>4668.0286813186685</v>
      </c>
      <c r="BF481" s="170">
        <f t="shared" ref="BF481" si="533">IF(BG481="USD",AU481,IF(BG481=S481,R481,-J481))</f>
        <v>1963415</v>
      </c>
      <c r="BG481" s="170" t="str">
        <f t="shared" ref="BG481" si="534">LEFT(AJ481,3)</f>
        <v>CNY</v>
      </c>
      <c r="BH481" s="542">
        <f>IF(OR(A481="REFUND",A481="CANCELLED"),0,IFERROR((IF(OR(AJ481="USDAED",LEFT(AJ481,3)=RIGHT(AJ481,3)),AQ481,AO481)-AM481)*-BF481*VLOOKUP(AJ481,'FX RATES'!$H$1:$J$26,3,FALSE),0))</f>
        <v>0</v>
      </c>
      <c r="BI481" s="170" t="str">
        <f t="shared" ref="BI481" si="535">RIGHT(AJ481,3)</f>
        <v>RUB</v>
      </c>
      <c r="BJ481" s="542">
        <f t="shared" ref="BJ481" si="536">IF(BH481=0,0,IFERROR(BH481/IF(BI481&lt;&gt;"USD",AQ481,1),"???"))</f>
        <v>0</v>
      </c>
      <c r="BK481" s="170">
        <f t="shared" ref="BK481" si="537">IFERROR(-AK481/(IF(OR(AJ481="USDAED",LEFT(AJ481,3)=RIGHT(AJ481,3)),AP481,AO481)-AM481)*BJ481,0)</f>
        <v>0</v>
      </c>
      <c r="BL481" s="542">
        <f t="shared" ref="BL481" si="538">BJ481-BK481</f>
        <v>0</v>
      </c>
      <c r="BM481" s="170">
        <f t="shared" ref="BM481" si="539">IF(AND(ISERROR(SEARCH("REFUND",A481)),ISERROR(SEARCH("CANCELLED",A481))),BD481+BK481,0)</f>
        <v>0</v>
      </c>
      <c r="BN481" s="542">
        <f t="shared" ref="BN481" si="540">IF(AND(ISERROR(SEARCH("REFUND",A481)),ISERROR(SEARCH("CANCELLED",A481))),BE481+BL481,0)</f>
        <v>4668.0286813186685</v>
      </c>
    </row>
    <row r="482" spans="1:66" ht="19.5" customHeight="1">
      <c r="A482" s="167"/>
      <c r="B482" s="182"/>
      <c r="C482" s="182"/>
      <c r="D482" s="182"/>
      <c r="E482" s="184"/>
      <c r="F482" s="184"/>
      <c r="G482" s="182"/>
      <c r="H482" s="182"/>
      <c r="I482" s="170"/>
      <c r="J482" s="170"/>
      <c r="K482" s="182"/>
      <c r="L482" s="184"/>
      <c r="M482" s="182"/>
      <c r="O482" s="182"/>
      <c r="P482" s="444"/>
      <c r="Q482" s="170"/>
      <c r="R482" s="170"/>
      <c r="S482" s="182"/>
      <c r="T482" s="184"/>
      <c r="U482" s="182"/>
      <c r="X482" s="173"/>
      <c r="Y482" s="173"/>
      <c r="Z482" s="173"/>
      <c r="AA482" s="173"/>
      <c r="AB482" s="173"/>
      <c r="AC482" s="175"/>
      <c r="AD482" s="177"/>
      <c r="AE482" s="177"/>
      <c r="AF482" s="177"/>
      <c r="AG482" s="177"/>
      <c r="AH482" s="178"/>
      <c r="AI482" s="178"/>
      <c r="AJ482" s="173"/>
      <c r="AK482" s="175"/>
      <c r="AL482" s="177"/>
      <c r="AM482" s="177"/>
      <c r="AN482" s="177"/>
      <c r="AO482" s="177"/>
      <c r="AP482" s="178"/>
      <c r="AQ482" s="178"/>
      <c r="AR482" s="185"/>
      <c r="AS482" s="185"/>
      <c r="AT482" s="170"/>
      <c r="AU482" s="170"/>
      <c r="AV482" s="170"/>
      <c r="AW482" s="170"/>
      <c r="AX482" s="170"/>
      <c r="AY482" s="170"/>
      <c r="AZ482" s="170"/>
      <c r="BA482" s="542"/>
      <c r="BB482" s="170"/>
      <c r="BC482" s="542"/>
      <c r="BD482" s="170"/>
      <c r="BE482" s="542"/>
      <c r="BF482" s="170"/>
      <c r="BG482" s="170"/>
      <c r="BH482" s="542"/>
      <c r="BI482" s="170"/>
      <c r="BJ482" s="542"/>
      <c r="BK482" s="170"/>
      <c r="BL482" s="542"/>
      <c r="BM482" s="170"/>
      <c r="BN482" s="542"/>
    </row>
    <row r="483" spans="1:66" ht="19.5" customHeight="1">
      <c r="A483" s="167" t="s">
        <v>366</v>
      </c>
      <c r="B483" s="168" t="s">
        <v>102</v>
      </c>
      <c r="C483" s="181" t="s">
        <v>367</v>
      </c>
      <c r="D483" s="181" t="s">
        <v>418</v>
      </c>
      <c r="E483" s="171">
        <v>46062</v>
      </c>
      <c r="F483" s="171"/>
      <c r="G483" s="168" t="s">
        <v>52</v>
      </c>
      <c r="H483" s="168" t="s">
        <v>605</v>
      </c>
      <c r="I483" s="169">
        <v>-21800</v>
      </c>
      <c r="J483" s="170">
        <f>IF(I483="",AR483,I483)</f>
        <v>-21800</v>
      </c>
      <c r="K483" s="168" t="s">
        <v>5</v>
      </c>
      <c r="L483" s="168" t="s">
        <v>420</v>
      </c>
      <c r="M483" s="168" t="s">
        <v>420</v>
      </c>
      <c r="N483" s="167" t="s">
        <v>371</v>
      </c>
      <c r="O483" s="168" t="s">
        <v>52</v>
      </c>
      <c r="P483" s="168" t="s">
        <v>605</v>
      </c>
      <c r="Q483" s="169"/>
      <c r="R483" s="170">
        <f>IF(Q483="",AS483,Q483)</f>
        <v>22076.597692489198</v>
      </c>
      <c r="S483" s="168" t="s">
        <v>53</v>
      </c>
      <c r="T483" s="168" t="s">
        <v>420</v>
      </c>
      <c r="U483" s="168" t="s">
        <v>54</v>
      </c>
      <c r="V483" s="167" t="s">
        <v>371</v>
      </c>
      <c r="W483" s="172" t="s">
        <v>375</v>
      </c>
      <c r="X483" s="173">
        <f>IF(Y483="",VLOOKUP(H483,CLIENTS!$A$1:$O$649,5,FALSE),Y483)</f>
        <v>0</v>
      </c>
      <c r="Y483" s="174">
        <v>0</v>
      </c>
      <c r="Z483" s="173">
        <f>IF(AA483="",VLOOKUP(P483,CLIENTS!$A$1:$O$649,5,FALSE),AA483)</f>
        <v>1.2529E-2</v>
      </c>
      <c r="AA483" s="174">
        <v>1.2529E-2</v>
      </c>
      <c r="AB483" s="173" t="str">
        <f>IF(W483="via USD",IF(K483="EUR",K483&amp;"USD","USD"&amp;K483),IFERROR(VLOOKUP(K483&amp;S483,'FX RATES'!$H$2:$H$20,1,FALSE),S483&amp;K483))</f>
        <v>USDUSD</v>
      </c>
      <c r="AC483" s="175">
        <f>IF(LEFT(AB483,3)=RIGHT(AB483,3),0,IFERROR(INDEX(CLIENTS!$A$1:$O$649,MATCH(H483,CLIENTS!$A$1:$A$649,0),MATCH(AB483,CLIENTS!$A$1:$O$1,0)),0))</f>
        <v>0</v>
      </c>
      <c r="AD483" s="176"/>
      <c r="AE483" s="177">
        <f>IF(W483="CLIENT","",IF(AD483="",AH483+AC483,AD483+AC483))</f>
        <v>1</v>
      </c>
      <c r="AF483" s="177" t="str">
        <f>E483&amp;AB483</f>
        <v>46062USDUSD</v>
      </c>
      <c r="AG483" s="176"/>
      <c r="AH483" s="178">
        <f>IF(LEFT(AB483,3)=RIGHT(AB483,3),1,VLOOKUP(AB483,'FX RATES'!$H$1:$I$20,2,FALSE))</f>
        <v>1</v>
      </c>
      <c r="AI483" s="178">
        <f>IF(OR(AB483="USDAED",LEFT(AB483,3)=RIGHT(AB483,3)),AH483,IF(LEFT(AB483)="USD",AG483,IF(RIGHT(AB483,3)="USD",1,IFERROR(VLOOKUP(E483&amp;"USD"&amp;RIGHT(AB483,3),$AF:$AG,2,FALSE),VLOOKUP(E483&amp;"USD"&amp;RIGHT(AJ483,3),$AN:$AO,2,FALSE)))))</f>
        <v>1</v>
      </c>
      <c r="AJ483" s="173" t="str">
        <f>IF(W483="via USD",IF(S483="EUR",S483&amp;"USD","USD"&amp;S483),IFERROR(VLOOKUP(K483&amp;S483,'FX RATES'!$H$2:$H$20,1,FALSE),S483&amp;K483))</f>
        <v>USDUSDT</v>
      </c>
      <c r="AK483" s="175">
        <f>IF(LEFT(AJ483,3)=RIGHT(AJ483,3),0,IFERROR(INDEX(CLIENTS!$A$1:$O$649,MATCH(P483,CLIENTS!$A$1:$A$649,0),MATCH(AJ483,CLIENTS!$A$1:$O$1,0)),0))</f>
        <v>0</v>
      </c>
      <c r="AL483" s="176"/>
      <c r="AM483" s="177">
        <f>IF(W483="VENDOR","",IF(AL483="",AP483+AK483,AL483+AK483))</f>
        <v>1</v>
      </c>
      <c r="AN483" s="177" t="str">
        <f>E483&amp;AJ483</f>
        <v>46062USDUSDT</v>
      </c>
      <c r="AO483" s="176"/>
      <c r="AP483" s="178">
        <f>IF(LEFT(AJ483,3)=RIGHT(AJ483,3),1,VLOOKUP(AJ483,'FX RATES'!$H$1:$I$50,2,FALSE))</f>
        <v>1</v>
      </c>
      <c r="AQ483" s="178">
        <f>IF(OR(AJ483="USDAED",LEFT(AJ483,3)=RIGHT(AJ483,3),AJ483="USDUSDT",AJ483="USDTUSD"),AP483,IF(LEFT(AJ483)="USD",AO483,IF(RIGHT(AJ483,3)="USD",1,IFERROR(VLOOKUP(E483&amp;"USD"&amp;RIGHT(AJ483,3),$AN:$AO,2,FALSE),VLOOKUP(E483&amp;"USD"&amp;RIGHT(AB483,3),$AF:$AG,2,FALSE)))))</f>
        <v>1</v>
      </c>
      <c r="AR483" s="179">
        <f>-Q483*(1-Z483)/(1+X483)*IF(W483="CLIENT",IF(S483=RIGHT(AJ483,3),1/AM483,AM483),IF(W483="VENDOR",IF(S483=RIGHT(AJ483,3),1/AE483,AE483),AE483^(VLOOKUP(AB483,'FX RATES'!$H$1:$J$26,3,FALSE))/AM483^(VLOOKUP(AJ483,'FX RATES'!$H$1:$J$26,3,FALSE))))</f>
        <v>0</v>
      </c>
      <c r="AS483" s="179">
        <f>-I483*(1+X483)/(1-Z483)*IF(W483="VENDOR",IF(K483=RIGHT(AB483,3),1/AE483,AE483),IF(W483="CLIENT",IF(K483=RIGHT(AB483,3),1/AM483,AM483),AM483^(VLOOKUP(AJ483,'FX RATES'!$H$1:$J$26,3,FALSE))/AE483^(VLOOKUP(AB483,'FX RATES'!$H$1:$J$26,3,FALSE))))</f>
        <v>22076.597692489198</v>
      </c>
      <c r="AT483" s="170">
        <f>IF(AB483&lt;&gt;AJ483,J483/IF(K483=RIGHT(AB483,3),AE483,1/AE483),IF(S483="USD",J483/IF(K483=RIGHT(AB483,3),IF(W483="CLIENT",AM483,AE483),1/IF(W483="CLIENT",AM483,AE483)),J483*VLOOKUP(K483,'FX RATES'!$E$1:$F$10,2,FALSE)))</f>
        <v>-21800</v>
      </c>
      <c r="AU483" s="170">
        <f>IF(AB483&lt;&gt;AJ483,R483/IF(S483=RIGHT(AJ483,3),AM483,1/AM483),IF(K483="USD",R483/IF(S483=RIGHT(AJ483,3),IF(W483="CLIENT",AM483,AE483),1/IF(W483="CLIENT",AM483,AE483)),R483*VLOOKUP(S483,'FX RATES'!$E$1:$F$10,2,FALSE)))</f>
        <v>22076.597692489198</v>
      </c>
      <c r="AV483" s="170">
        <f>AT483+AU483</f>
        <v>276.59769248919838</v>
      </c>
      <c r="AW483" s="169"/>
      <c r="AX483" s="170">
        <f>IF(AND(ISERROR(SEARCH("INVOICE",T483)),ISERROR(SEARCH("SWITCH",T483)),ISERROR(SEARCH("FOREX",T483)),ISERROR(SEARCH("REFUND",A483)),ISERROR(SEARCH("CANCELLED",A483))),IF(AW483="",-AT483*X483+AU483*Z483,AW483),0)</f>
        <v>276.59769248919719</v>
      </c>
      <c r="AY483" s="170">
        <f>IF(AZ483="USD",AT483,IF(AZ483=K483,J483,-R483))</f>
        <v>-21800</v>
      </c>
      <c r="AZ483" s="170" t="str">
        <f>LEFT(AB483,3)</f>
        <v>USD</v>
      </c>
      <c r="BA483" s="542">
        <f>IF(OR(A483="REFUND",A483="CANCELLED"),0,IFERROR((IF(OR(AB483="USDAED",LEFT(AB483,3)=RIGHT(AB483,3)),AI483,AG483)-AE483)*-AY483*VLOOKUP(AB483,'FX RATES'!$H$1:$J$26,3,FALSE),0))</f>
        <v>0</v>
      </c>
      <c r="BB483" s="170" t="str">
        <f>RIGHT(AB483,3)</f>
        <v>USD</v>
      </c>
      <c r="BC483" s="542">
        <f>IF(BA483=0,0,IFERROR(BA483/IF(BB483&lt;&gt;"USD",AI483,1),"???"))</f>
        <v>0</v>
      </c>
      <c r="BD483" s="170">
        <f>IFERROR(-AC483/(IF(OR(AB483="USDAED",LEFT(AB483,3)=RIGHT(AB483,3)),AH483,AG483)-AE483)*BC483,0)</f>
        <v>0</v>
      </c>
      <c r="BE483" s="542">
        <f>BC483-BD483</f>
        <v>0</v>
      </c>
      <c r="BF483" s="170">
        <f>IF(BG483="USD",AU483,IF(BG483=S483,R483,-J483))</f>
        <v>22076.597692489198</v>
      </c>
      <c r="BG483" s="170" t="str">
        <f>LEFT(AJ483,3)</f>
        <v>USD</v>
      </c>
      <c r="BH483" s="542">
        <f>IF(OR(A483="REFUND",A483="CANCELLED"),0,IFERROR((IF(OR(AJ483="USDAED",LEFT(AJ483,3)=RIGHT(AJ483,3),AJ483="USDUSDT",AJ483="USDTUSD"),AQ483,AO483)-AM483)*-BF483*VLOOKUP(AJ483,'FX RATES'!$H$1:$J$26,3,FALSE),0))</f>
        <v>0</v>
      </c>
      <c r="BI483" s="170" t="str">
        <f>RIGHT(AJ483,4)</f>
        <v>USDT</v>
      </c>
      <c r="BJ483" s="542">
        <f>IF(BH483=0,0,IFERROR(BH483/IF(BI483&lt;&gt;"USD",AQ483,1),"???"))</f>
        <v>0</v>
      </c>
      <c r="BK483" s="170">
        <f>IFERROR(-AK483/(IF(OR(AJ483="USDAED",LEFT(AJ483,3)=RIGHT(AJ483,3)),AP483,AO483)-AM483)*BJ483,0)</f>
        <v>0</v>
      </c>
      <c r="BL483" s="542">
        <f>BJ483-BK483</f>
        <v>0</v>
      </c>
      <c r="BM483" s="170">
        <f>IF(AND(ISERROR(SEARCH("REFUND",A483)),ISERROR(SEARCH("CANCELLED",A483))),BD483+BK483,0)</f>
        <v>0</v>
      </c>
      <c r="BN483" s="542">
        <f>IF(AND(ISERROR(SEARCH("REFUND",A483)),ISERROR(SEARCH("CANCELLED",A483))),BE483+BL483,0)</f>
        <v>0</v>
      </c>
    </row>
    <row r="484" spans="1:66" ht="19.5" customHeight="1">
      <c r="A484" s="167" t="s">
        <v>366</v>
      </c>
      <c r="B484" s="172" t="s">
        <v>102</v>
      </c>
      <c r="C484" s="172" t="s">
        <v>102</v>
      </c>
      <c r="D484" s="181" t="s">
        <v>418</v>
      </c>
      <c r="E484" s="171">
        <v>46062</v>
      </c>
      <c r="F484" s="171"/>
      <c r="G484" s="172" t="s">
        <v>102</v>
      </c>
      <c r="H484" s="172" t="s">
        <v>105</v>
      </c>
      <c r="I484" s="169"/>
      <c r="J484" s="170">
        <f>IF(I484="",AR484,I484)</f>
        <v>-21887.5488</v>
      </c>
      <c r="K484" s="172" t="s">
        <v>53</v>
      </c>
      <c r="L484" s="172" t="s">
        <v>420</v>
      </c>
      <c r="M484" s="172" t="s">
        <v>54</v>
      </c>
      <c r="N484" s="167" t="s">
        <v>371</v>
      </c>
      <c r="O484" s="172" t="s">
        <v>102</v>
      </c>
      <c r="P484" s="172" t="s">
        <v>105</v>
      </c>
      <c r="Q484" s="169">
        <f>-J483</f>
        <v>21800</v>
      </c>
      <c r="R484" s="170">
        <f>IF(Q484="",AS484,Q484)</f>
        <v>21800</v>
      </c>
      <c r="S484" s="172" t="s">
        <v>5</v>
      </c>
      <c r="T484" s="171" t="s">
        <v>420</v>
      </c>
      <c r="U484" s="172" t="s">
        <v>54</v>
      </c>
      <c r="V484" s="167" t="s">
        <v>371</v>
      </c>
      <c r="W484" s="172" t="s">
        <v>375</v>
      </c>
      <c r="X484" s="173">
        <f>IF(Y484="",VLOOKUP(H484,CLIENTS!$A$1:$O$649,5,FALSE),Y484)</f>
        <v>0</v>
      </c>
      <c r="Y484" s="174">
        <v>0</v>
      </c>
      <c r="Z484" s="173">
        <f>IF(AA484="",VLOOKUP(P484,CLIENTS!$A$1:$O$649,5,FALSE),AA484)</f>
        <v>-4.0159999999999996E-3</v>
      </c>
      <c r="AA484" s="174">
        <v>-4.0159999999999996E-3</v>
      </c>
      <c r="AB484" s="173" t="str">
        <f>IF(W484="via USD",IF(K484="EUR",K484&amp;"USD","USD"&amp;K484),IFERROR(VLOOKUP(K484&amp;S484,'FX RATES'!$H$2:$H$55,1,FALSE),S484&amp;K484))</f>
        <v>USDUSDT</v>
      </c>
      <c r="AC484" s="175">
        <f>IF(LEFT(AB484,3)=RIGHT(AB484,3),0,IFERROR(INDEX(CLIENTS!$A$1:$O$649,MATCH(H484,CLIENTS!$A$1:$A$649,0),MATCH(AB484,CLIENTS!$A$1:$O$1,0)),0))</f>
        <v>0</v>
      </c>
      <c r="AD484" s="176"/>
      <c r="AE484" s="177">
        <f>IF(W484="CLIENT","",IF(AD484="",AH484+AC484,AD484+AC484))</f>
        <v>1</v>
      </c>
      <c r="AF484" s="177" t="str">
        <f>E484&amp;AB484</f>
        <v>46062USDUSDT</v>
      </c>
      <c r="AG484" s="176">
        <v>1</v>
      </c>
      <c r="AH484" s="178">
        <f>IF(OR(LEFT(AB484,3)=RIGHT(AB484,3),OR(AB484="USDUSDT",AB484="USDTUSD")),1,VLOOKUP(AB484,'FX RATES'!$H$1:$I$20,2,FALSE))</f>
        <v>1</v>
      </c>
      <c r="AI484" s="178">
        <f>IF(OR(AB484="USDAED",LEFT(AB484,3)=RIGHT(AB484,3)),AH484,IF(LEFT(AB484)="USD",AG484,IF(OR(RIGHT(AB484,3)="USD",RIGHT(AB484,4)="USDT"),1,IFERROR(VLOOKUP(E484&amp;"USD"&amp;RIGHT(AB484,3),$AF:$AG,2,FALSE),VLOOKUP(E484&amp;"USD"&amp;RIGHT(AJ484,3),$AN:$AO,2,FALSE)))))</f>
        <v>1</v>
      </c>
      <c r="AJ484" s="173" t="str">
        <f>IF(W484="via USD",IF(S484="EUR",S484&amp;"USD","USD"&amp;S484),IFERROR(VLOOKUP(K484&amp;S484,'FX RATES'!$H$2:$H$20,1,FALSE),S484&amp;K484))</f>
        <v>USDUSD</v>
      </c>
      <c r="AK484" s="175">
        <f>IF(LEFT(AJ484,3)=RIGHT(AJ484,3),0,IFERROR(INDEX(CLIENTS!$A$1:$O$649,MATCH(P484,CLIENTS!$A$1:$A$649,0),MATCH(AJ484,CLIENTS!$A$1:$O$1,0)),0))</f>
        <v>0</v>
      </c>
      <c r="AL484" s="176"/>
      <c r="AM484" s="177">
        <f>IF(W484="VENDOR","",IF(AL484="",AP484+AK484,AL484+AK484))</f>
        <v>1</v>
      </c>
      <c r="AN484" s="177" t="str">
        <f>E484&amp;AJ484</f>
        <v>46062USDUSD</v>
      </c>
      <c r="AO484" s="176"/>
      <c r="AP484" s="178">
        <f>IF(OR(LEFT(AJ484,3)=RIGHT(AJ484,3),AND(OR(AB484="USDUSDT",AB484="USDTUSD"),OR(AJ484="USDUSDT",AJ484="USDTUSD"))),1,VLOOKUP(AJ484,'FX RATES'!$H$1:$I$20,2,FALSE))</f>
        <v>1</v>
      </c>
      <c r="AQ484" s="178">
        <f>IF(OR(AJ484="USDAED",LEFT(AJ484,3)=RIGHT(AJ484,3)),AP484,IF(LEFT(AJ484)="USD",AO484,IF(OR(RIGHT(AB484,3)="USD",RIGHT(AB484,4)="USDT"),1,IFERROR(VLOOKUP(E484&amp;"USD"&amp;RIGHT(AJ484,3),$AN:$AO,2,FALSE),VLOOKUP(E484&amp;"USD"&amp;RIGHT(AB484,3),$AF:$AG,2,FALSE)))))</f>
        <v>1</v>
      </c>
      <c r="AR484" s="179">
        <f>-Q484*(1-Z484)/(1+X484)*IF(W484="CLIENT",IF(S484=RIGHT(AJ484,3),1/AM484,AM484),IF(W484="VENDOR",IF(S484=RIGHT(AJ484,3),1/AE484,AE484),AE484^(VLOOKUP(AB484,'FX RATES'!$H$1:$J$26,3,FALSE))/AM484^(VLOOKUP(AJ484,'FX RATES'!$H$1:$J$26,3,FALSE))))</f>
        <v>-21887.5488</v>
      </c>
      <c r="AS484" s="179">
        <f>-I484*(1+X484)/(1-Z484)*IF(W484="VENDOR",IF(K484=RIGHT(AB484,3),1/AE484,AE484),IF(W484="CLIENT",IF(K484=RIGHT(AB484,3),1/AM484,AM484),AM484^(VLOOKUP(AJ484,'FX RATES'!$H$1:$J$26,3,FALSE))/AE484^(VLOOKUP(AB484,'FX RATES'!$H$1:$J$26,3,FALSE))))</f>
        <v>0</v>
      </c>
      <c r="AT484" s="170">
        <f>IF(AB484&lt;&gt;AJ484,J484/IF(K484=RIGHT(AB484,3),AE484,1/AE484),IF(S484="USD",J484/IF(K484=RIGHT(AB484,3),IF(W484="CLIENT",AM484,AE484),1/IF(W484="CLIENT",AM484,AE484)),J484*VLOOKUP(K484,'FX RATES'!$E$1:$F$10,2,FALSE)))</f>
        <v>-21887.5488</v>
      </c>
      <c r="AU484" s="170">
        <f>IF(AB484&lt;&gt;AJ484,R484/IF(S484=RIGHT(AJ484,3),AM484,1/AM484),IF(K484="USD",R484/IF(S484=RIGHT(AJ484,3),IF(W484="CLIENT",AM484,AE484),1/IF(W484="CLIENT",AM484,AE484)),R484*VLOOKUP(S484,'FX RATES'!$E$1:$F$10,2,FALSE)))</f>
        <v>21800</v>
      </c>
      <c r="AV484" s="170">
        <f>AT484+AU484</f>
        <v>-87.548800000000483</v>
      </c>
      <c r="AW484" s="169"/>
      <c r="AX484" s="170">
        <f>IF(AND(ISERROR(SEARCH("INVOICE",T484)),ISERROR(SEARCH("SWITCH",T484)),ISERROR(SEARCH("FOREX",T484)),ISERROR(SEARCH("REFUND",A484)),ISERROR(SEARCH("CANCELLED",A484))),IF(AW484="",-AT484*X484+AU484*Z484,AW484),0)</f>
        <v>-87.548799999999986</v>
      </c>
      <c r="AY484" s="170">
        <f>IF(AZ484="USD",AT484,IF(AZ484=K484,J484,-R484))</f>
        <v>-21887.5488</v>
      </c>
      <c r="AZ484" s="170" t="str">
        <f>LEFT(AB484,3)</f>
        <v>USD</v>
      </c>
      <c r="BA484" s="542">
        <f>IF(OR(A484="REFUND",A484="CANCELLED"),0,IFERROR((IF(OR(AB484="USDAED",LEFT(AB484,3)=RIGHT(AB484,3)),AI484,AG484)-AE484)*-AY484*VLOOKUP(AB484,'FX RATES'!$H$1:$J$26,3,FALSE),0))</f>
        <v>0</v>
      </c>
      <c r="BB484" s="170" t="str">
        <f>RIGHT(AB484,4)</f>
        <v>USDT</v>
      </c>
      <c r="BC484" s="542">
        <f>IF(BA484=0,0,IFERROR(BA484/IF(BB484&lt;&gt;"USD",AI484,1),"???"))</f>
        <v>0</v>
      </c>
      <c r="BD484" s="170">
        <f>IFERROR(-AC484/(IF(OR(AB484="USDAED",LEFT(AB484,3)=RIGHT(AB484,3)),AH484,AG484)-AE484)*BC484,0)</f>
        <v>0</v>
      </c>
      <c r="BE484" s="542">
        <f>BC484-BD484</f>
        <v>0</v>
      </c>
      <c r="BF484" s="170">
        <f>IF(BG484="USD",AU484,IF(BG484=S484,R484,-J484))</f>
        <v>21800</v>
      </c>
      <c r="BG484" s="170" t="str">
        <f>LEFT(AJ484,3)</f>
        <v>USD</v>
      </c>
      <c r="BH484" s="542">
        <f>IF(OR(A484="REFUND",A484="CANCELLED"),0,IFERROR((IF(OR(AJ484="USDAED",LEFT(AJ484,3)=RIGHT(AJ484,3)),AQ484,AO484)-AM484)*-BF484*VLOOKUP(AJ484,'FX RATES'!$H$1:$J$26,3,FALSE),0))</f>
        <v>0</v>
      </c>
      <c r="BI484" s="170" t="str">
        <f>RIGHT(AJ484,3)</f>
        <v>USD</v>
      </c>
      <c r="BJ484" s="542">
        <f>IF(BH484=0,0,IFERROR(BH484/IF(BI484&lt;&gt;"USD",AQ484,1),"???"))</f>
        <v>0</v>
      </c>
      <c r="BK484" s="170">
        <f>IFERROR(-AK484/(IF(OR(AJ484="USDAED",LEFT(AJ484,3)=RIGHT(AJ484,3)),AP484,AO484)-AM484)*BJ484,0)</f>
        <v>0</v>
      </c>
      <c r="BL484" s="542">
        <f>BJ484-BK484</f>
        <v>0</v>
      </c>
      <c r="BM484" s="170">
        <f>IF(AND(ISERROR(SEARCH("REFUND",A484)),ISERROR(SEARCH("CANCELLED",A484))),BD484+BK484,0)</f>
        <v>0</v>
      </c>
      <c r="BN484" s="542">
        <f>IF(AND(ISERROR(SEARCH("REFUND",A484)),ISERROR(SEARCH("CANCELLED",A484))),BE484+BL484,0)</f>
        <v>0</v>
      </c>
    </row>
    <row r="486" spans="1:66" ht="19.5" customHeight="1">
      <c r="A486" s="167" t="s">
        <v>366</v>
      </c>
      <c r="B486" s="168" t="s">
        <v>102</v>
      </c>
      <c r="C486" s="181" t="s">
        <v>367</v>
      </c>
      <c r="D486" s="181" t="s">
        <v>418</v>
      </c>
      <c r="E486" s="171">
        <v>46062</v>
      </c>
      <c r="F486" s="171"/>
      <c r="G486" s="168" t="s">
        <v>52</v>
      </c>
      <c r="H486" s="168" t="s">
        <v>605</v>
      </c>
      <c r="I486" s="169">
        <v>-18965</v>
      </c>
      <c r="J486" s="170">
        <f>IF(I486="",AR486,I486)</f>
        <v>-18965</v>
      </c>
      <c r="K486" s="168" t="s">
        <v>5</v>
      </c>
      <c r="L486" s="168" t="s">
        <v>420</v>
      </c>
      <c r="M486" s="168" t="s">
        <v>420</v>
      </c>
      <c r="N486" s="167" t="s">
        <v>371</v>
      </c>
      <c r="O486" s="168" t="s">
        <v>52</v>
      </c>
      <c r="P486" s="168" t="s">
        <v>605</v>
      </c>
      <c r="Q486" s="169"/>
      <c r="R486" s="170">
        <f>IF(Q486="",AS486,Q486)</f>
        <v>19218.754829389851</v>
      </c>
      <c r="S486" s="168" t="s">
        <v>53</v>
      </c>
      <c r="T486" s="168" t="s">
        <v>420</v>
      </c>
      <c r="U486" s="168" t="s">
        <v>54</v>
      </c>
      <c r="V486" s="167" t="s">
        <v>371</v>
      </c>
      <c r="W486" s="172" t="s">
        <v>375</v>
      </c>
      <c r="X486" s="173">
        <f>IF(Y486="",VLOOKUP(H486,CLIENTS!$A$1:$O$649,5,FALSE),Y486)</f>
        <v>0</v>
      </c>
      <c r="Y486" s="174">
        <v>0</v>
      </c>
      <c r="Z486" s="173">
        <f>IF(AA486="",VLOOKUP(P486,CLIENTS!$A$1:$O$649,5,FALSE),AA486)</f>
        <v>1.32035E-2</v>
      </c>
      <c r="AA486" s="174">
        <v>1.32035E-2</v>
      </c>
      <c r="AB486" s="173" t="str">
        <f>IF(W486="via USD",IF(K486="EUR",K486&amp;"USD","USD"&amp;K486),IFERROR(VLOOKUP(K486&amp;S486,'FX RATES'!$H$2:$H$20,1,FALSE),S486&amp;K486))</f>
        <v>USDUSD</v>
      </c>
      <c r="AC486" s="175">
        <f>IF(LEFT(AB486,3)=RIGHT(AB486,3),0,IFERROR(INDEX(CLIENTS!$A$1:$O$649,MATCH(H486,CLIENTS!$A$1:$A$649,0),MATCH(AB486,CLIENTS!$A$1:$O$1,0)),0))</f>
        <v>0</v>
      </c>
      <c r="AD486" s="176"/>
      <c r="AE486" s="177">
        <f>IF(W486="CLIENT","",IF(AD486="",AH486+AC486,AD486+AC486))</f>
        <v>1</v>
      </c>
      <c r="AF486" s="177" t="str">
        <f>E486&amp;AB486</f>
        <v>46062USDUSD</v>
      </c>
      <c r="AG486" s="176"/>
      <c r="AH486" s="178">
        <f>IF(LEFT(AB486,3)=RIGHT(AB486,3),1,VLOOKUP(AB486,'FX RATES'!$H$1:$I$20,2,FALSE))</f>
        <v>1</v>
      </c>
      <c r="AI486" s="178">
        <f>IF(OR(AB486="USDAED",LEFT(AB486,3)=RIGHT(AB486,3)),AH486,IF(LEFT(AB486)="USD",AG486,IF(RIGHT(AB486,3)="USD",1,IFERROR(VLOOKUP(E486&amp;"USD"&amp;RIGHT(AB486,3),$AF:$AG,2,FALSE),VLOOKUP(E486&amp;"USD"&amp;RIGHT(AJ486,3),$AN:$AO,2,FALSE)))))</f>
        <v>1</v>
      </c>
      <c r="AJ486" s="173" t="str">
        <f>IF(W486="via USD",IF(S486="EUR",S486&amp;"USD","USD"&amp;S486),IFERROR(VLOOKUP(K486&amp;S486,'FX RATES'!$H$2:$H$20,1,FALSE),S486&amp;K486))</f>
        <v>USDUSDT</v>
      </c>
      <c r="AK486" s="175">
        <f>IF(LEFT(AJ486,3)=RIGHT(AJ486,3),0,IFERROR(INDEX(CLIENTS!$A$1:$O$649,MATCH(P486,CLIENTS!$A$1:$A$649,0),MATCH(AJ486,CLIENTS!$A$1:$O$1,0)),0))</f>
        <v>0</v>
      </c>
      <c r="AL486" s="176"/>
      <c r="AM486" s="177">
        <f>IF(W486="VENDOR","",IF(AL486="",AP486+AK486,AL486+AK486))</f>
        <v>1</v>
      </c>
      <c r="AN486" s="177" t="str">
        <f>E486&amp;AJ486</f>
        <v>46062USDUSDT</v>
      </c>
      <c r="AO486" s="176"/>
      <c r="AP486" s="178">
        <f>IF(LEFT(AJ486,3)=RIGHT(AJ486,3),1,VLOOKUP(AJ486,'FX RATES'!$H$1:$I$50,2,FALSE))</f>
        <v>1</v>
      </c>
      <c r="AQ486" s="178">
        <f>IF(OR(AJ486="USDAED",LEFT(AJ486,3)=RIGHT(AJ486,3),AJ486="USDUSDT",AJ486="USDTUSD"),AP486,IF(LEFT(AJ486)="USD",AO486,IF(RIGHT(AJ486,3)="USD",1,IFERROR(VLOOKUP(E486&amp;"USD"&amp;RIGHT(AJ486,3),$AN:$AO,2,FALSE),VLOOKUP(E486&amp;"USD"&amp;RIGHT(AB486,3),$AF:$AG,2,FALSE)))))</f>
        <v>1</v>
      </c>
      <c r="AR486" s="179">
        <f>-Q486*(1-Z486)/(1+X486)*IF(W486="CLIENT",IF(S486=RIGHT(AJ486,3),1/AM486,AM486),IF(W486="VENDOR",IF(S486=RIGHT(AJ486,3),1/AE486,AE486),AE486^(VLOOKUP(AB486,'FX RATES'!$H$1:$J$26,3,FALSE))/AM486^(VLOOKUP(AJ486,'FX RATES'!$H$1:$J$26,3,FALSE))))</f>
        <v>0</v>
      </c>
      <c r="AS486" s="179">
        <f>-I486*(1+X486)/(1-Z486)*IF(W486="VENDOR",IF(K486=RIGHT(AB486,3),1/AE486,AE486),IF(W486="CLIENT",IF(K486=RIGHT(AB486,3),1/AM486,AM486),AM486^(VLOOKUP(AJ486,'FX RATES'!$H$1:$J$26,3,FALSE))/AE486^(VLOOKUP(AB486,'FX RATES'!$H$1:$J$26,3,FALSE))))</f>
        <v>19218.754829389851</v>
      </c>
      <c r="AT486" s="170">
        <f>IF(AB486&lt;&gt;AJ486,J486/IF(K486=RIGHT(AB486,3),AE486,1/AE486),IF(S486="USD",J486/IF(K486=RIGHT(AB486,3),IF(W486="CLIENT",AM486,AE486),1/IF(W486="CLIENT",AM486,AE486)),J486*VLOOKUP(K486,'FX RATES'!$E$1:$F$10,2,FALSE)))</f>
        <v>-18965</v>
      </c>
      <c r="AU486" s="170">
        <f>IF(AB486&lt;&gt;AJ486,R486/IF(S486=RIGHT(AJ486,3),AM486,1/AM486),IF(K486="USD",R486/IF(S486=RIGHT(AJ486,3),IF(W486="CLIENT",AM486,AE486),1/IF(W486="CLIENT",AM486,AE486)),R486*VLOOKUP(S486,'FX RATES'!$E$1:$F$10,2,FALSE)))</f>
        <v>19218.754829389851</v>
      </c>
      <c r="AV486" s="170">
        <f>AT486+AU486</f>
        <v>253.75482938985078</v>
      </c>
      <c r="AW486" s="169"/>
      <c r="AX486" s="170">
        <f>IF(AND(ISERROR(SEARCH("INVOICE",T486)),ISERROR(SEARCH("SWITCH",T486)),ISERROR(SEARCH("FOREX",T486)),ISERROR(SEARCH("REFUND",A486)),ISERROR(SEARCH("CANCELLED",A486))),IF(AW486="",-AT486*X486+AU486*Z486,AW486),0)</f>
        <v>253.75482938984891</v>
      </c>
      <c r="AY486" s="170">
        <f>IF(AZ486="USD",AT486,IF(AZ486=K486,J486,-R486))</f>
        <v>-18965</v>
      </c>
      <c r="AZ486" s="170" t="str">
        <f>LEFT(AB486,3)</f>
        <v>USD</v>
      </c>
      <c r="BA486" s="542">
        <f>IF(OR(A486="REFUND",A486="CANCELLED"),0,IFERROR((IF(OR(AB486="USDAED",LEFT(AB486,3)=RIGHT(AB486,3)),AI486,AG486)-AE486)*-AY486*VLOOKUP(AB486,'FX RATES'!$H$1:$J$26,3,FALSE),0))</f>
        <v>0</v>
      </c>
      <c r="BB486" s="170" t="str">
        <f>RIGHT(AB486,3)</f>
        <v>USD</v>
      </c>
      <c r="BC486" s="542">
        <f>IF(BA486=0,0,IFERROR(BA486/IF(BB486&lt;&gt;"USD",AI486,1),"???"))</f>
        <v>0</v>
      </c>
      <c r="BD486" s="170">
        <f>IFERROR(-AC486/(IF(OR(AB486="USDAED",LEFT(AB486,3)=RIGHT(AB486,3)),AH486,AG486)-AE486)*BC486,0)</f>
        <v>0</v>
      </c>
      <c r="BE486" s="542">
        <f>BC486-BD486</f>
        <v>0</v>
      </c>
      <c r="BF486" s="170">
        <f>IF(BG486="USD",AU486,IF(BG486=S486,R486,-J486))</f>
        <v>19218.754829389851</v>
      </c>
      <c r="BG486" s="170" t="str">
        <f>LEFT(AJ486,3)</f>
        <v>USD</v>
      </c>
      <c r="BH486" s="542">
        <f>IF(OR(A486="REFUND",A486="CANCELLED"),0,IFERROR((IF(OR(AJ486="USDAED",LEFT(AJ486,3)=RIGHT(AJ486,3),AJ486="USDUSDT",AJ486="USDTUSD"),AQ486,AO486)-AM486)*-BF486*VLOOKUP(AJ486,'FX RATES'!$H$1:$J$26,3,FALSE),0))</f>
        <v>0</v>
      </c>
      <c r="BI486" s="170" t="str">
        <f>RIGHT(AJ486,4)</f>
        <v>USDT</v>
      </c>
      <c r="BJ486" s="542">
        <f>IF(BH486=0,0,IFERROR(BH486/IF(BI486&lt;&gt;"USD",AQ486,1),"???"))</f>
        <v>0</v>
      </c>
      <c r="BK486" s="170">
        <f>IFERROR(-AK486/(IF(OR(AJ486="USDAED",LEFT(AJ486,3)=RIGHT(AJ486,3)),AP486,AO486)-AM486)*BJ486,0)</f>
        <v>0</v>
      </c>
      <c r="BL486" s="542">
        <f>BJ486-BK486</f>
        <v>0</v>
      </c>
      <c r="BM486" s="170">
        <f>IF(AND(ISERROR(SEARCH("REFUND",A486)),ISERROR(SEARCH("CANCELLED",A486))),BD486+BK486,0)</f>
        <v>0</v>
      </c>
      <c r="BN486" s="542">
        <f>IF(AND(ISERROR(SEARCH("REFUND",A486)),ISERROR(SEARCH("CANCELLED",A486))),BE486+BL486,0)</f>
        <v>0</v>
      </c>
    </row>
    <row r="487" spans="1:66" ht="19.5" customHeight="1">
      <c r="A487" s="167" t="s">
        <v>366</v>
      </c>
      <c r="B487" s="172" t="s">
        <v>102</v>
      </c>
      <c r="C487" s="172" t="s">
        <v>102</v>
      </c>
      <c r="D487" s="181" t="s">
        <v>418</v>
      </c>
      <c r="E487" s="171">
        <v>46062</v>
      </c>
      <c r="F487" s="171"/>
      <c r="G487" s="172" t="s">
        <v>102</v>
      </c>
      <c r="H487" s="172" t="s">
        <v>105</v>
      </c>
      <c r="I487" s="169"/>
      <c r="J487" s="170">
        <f>IF(I487="",AR487,I487)</f>
        <v>-19041.16344</v>
      </c>
      <c r="K487" s="172" t="s">
        <v>53</v>
      </c>
      <c r="L487" s="172" t="s">
        <v>420</v>
      </c>
      <c r="M487" s="172" t="s">
        <v>54</v>
      </c>
      <c r="N487" s="167" t="s">
        <v>371</v>
      </c>
      <c r="O487" s="172" t="s">
        <v>102</v>
      </c>
      <c r="P487" s="172" t="s">
        <v>105</v>
      </c>
      <c r="Q487" s="169">
        <f>-J486</f>
        <v>18965</v>
      </c>
      <c r="R487" s="170">
        <f>IF(Q487="",AS487,Q487)</f>
        <v>18965</v>
      </c>
      <c r="S487" s="172" t="s">
        <v>5</v>
      </c>
      <c r="T487" s="171" t="s">
        <v>420</v>
      </c>
      <c r="U487" s="172" t="s">
        <v>54</v>
      </c>
      <c r="V487" s="167" t="s">
        <v>371</v>
      </c>
      <c r="W487" s="172" t="s">
        <v>375</v>
      </c>
      <c r="X487" s="173">
        <f>IF(Y487="",VLOOKUP(H487,CLIENTS!$A$1:$O$649,5,FALSE),Y487)</f>
        <v>0</v>
      </c>
      <c r="Y487" s="174">
        <v>0</v>
      </c>
      <c r="Z487" s="173">
        <f>IF(AA487="",VLOOKUP(P487,CLIENTS!$A$1:$O$649,5,FALSE),AA487)</f>
        <v>-4.0159999999999996E-3</v>
      </c>
      <c r="AA487" s="174">
        <v>-4.0159999999999996E-3</v>
      </c>
      <c r="AB487" s="173" t="str">
        <f>IF(W487="via USD",IF(K487="EUR",K487&amp;"USD","USD"&amp;K487),IFERROR(VLOOKUP(K487&amp;S487,'FX RATES'!$H$2:$H$55,1,FALSE),S487&amp;K487))</f>
        <v>USDUSDT</v>
      </c>
      <c r="AC487" s="175">
        <f>IF(LEFT(AB487,3)=RIGHT(AB487,3),0,IFERROR(INDEX(CLIENTS!$A$1:$O$649,MATCH(H487,CLIENTS!$A$1:$A$649,0),MATCH(AB487,CLIENTS!$A$1:$O$1,0)),0))</f>
        <v>0</v>
      </c>
      <c r="AD487" s="176"/>
      <c r="AE487" s="177">
        <f>IF(W487="CLIENT","",IF(AD487="",AH487+AC487,AD487+AC487))</f>
        <v>1</v>
      </c>
      <c r="AF487" s="177" t="str">
        <f>E487&amp;AB487</f>
        <v>46062USDUSDT</v>
      </c>
      <c r="AG487" s="176">
        <v>1</v>
      </c>
      <c r="AH487" s="178">
        <f>IF(OR(LEFT(AB487,3)=RIGHT(AB487,3),OR(AB487="USDUSDT",AB487="USDTUSD")),1,VLOOKUP(AB487,'FX RATES'!$H$1:$I$20,2,FALSE))</f>
        <v>1</v>
      </c>
      <c r="AI487" s="178">
        <f>IF(OR(AB487="USDAED",LEFT(AB487,3)=RIGHT(AB487,3)),AH487,IF(LEFT(AB487)="USD",AG487,IF(OR(RIGHT(AB487,3)="USD",RIGHT(AB487,4)="USDT"),1,IFERROR(VLOOKUP(E487&amp;"USD"&amp;RIGHT(AB487,3),$AF:$AG,2,FALSE),VLOOKUP(E487&amp;"USD"&amp;RIGHT(AJ487,3),$AN:$AO,2,FALSE)))))</f>
        <v>1</v>
      </c>
      <c r="AJ487" s="173" t="str">
        <f>IF(W487="via USD",IF(S487="EUR",S487&amp;"USD","USD"&amp;S487),IFERROR(VLOOKUP(K487&amp;S487,'FX RATES'!$H$2:$H$20,1,FALSE),S487&amp;K487))</f>
        <v>USDUSD</v>
      </c>
      <c r="AK487" s="175">
        <f>IF(LEFT(AJ487,3)=RIGHT(AJ487,3),0,IFERROR(INDEX(CLIENTS!$A$1:$O$649,MATCH(P487,CLIENTS!$A$1:$A$649,0),MATCH(AJ487,CLIENTS!$A$1:$O$1,0)),0))</f>
        <v>0</v>
      </c>
      <c r="AL487" s="176"/>
      <c r="AM487" s="177">
        <f>IF(W487="VENDOR","",IF(AL487="",AP487+AK487,AL487+AK487))</f>
        <v>1</v>
      </c>
      <c r="AN487" s="177" t="str">
        <f>E487&amp;AJ487</f>
        <v>46062USDUSD</v>
      </c>
      <c r="AO487" s="176"/>
      <c r="AP487" s="178">
        <f>IF(OR(LEFT(AJ487,3)=RIGHT(AJ487,3),AND(OR(AB487="USDUSDT",AB487="USDTUSD"),OR(AJ487="USDUSDT",AJ487="USDTUSD"))),1,VLOOKUP(AJ487,'FX RATES'!$H$1:$I$20,2,FALSE))</f>
        <v>1</v>
      </c>
      <c r="AQ487" s="178">
        <f>IF(OR(AJ487="USDAED",LEFT(AJ487,3)=RIGHT(AJ487,3)),AP487,IF(LEFT(AJ487)="USD",AO487,IF(OR(RIGHT(AB487,3)="USD",RIGHT(AB487,4)="USDT"),1,IFERROR(VLOOKUP(E487&amp;"USD"&amp;RIGHT(AJ487,3),$AN:$AO,2,FALSE),VLOOKUP(E487&amp;"USD"&amp;RIGHT(AB487,3),$AF:$AG,2,FALSE)))))</f>
        <v>1</v>
      </c>
      <c r="AR487" s="179">
        <f>-Q487*(1-Z487)/(1+X487)*IF(W487="CLIENT",IF(S487=RIGHT(AJ487,3),1/AM487,AM487),IF(W487="VENDOR",IF(S487=RIGHT(AJ487,3),1/AE487,AE487),AE487^(VLOOKUP(AB487,'FX RATES'!$H$1:$J$26,3,FALSE))/AM487^(VLOOKUP(AJ487,'FX RATES'!$H$1:$J$26,3,FALSE))))</f>
        <v>-19041.16344</v>
      </c>
      <c r="AS487" s="179">
        <f>-I487*(1+X487)/(1-Z487)*IF(W487="VENDOR",IF(K487=RIGHT(AB487,3),1/AE487,AE487),IF(W487="CLIENT",IF(K487=RIGHT(AB487,3),1/AM487,AM487),AM487^(VLOOKUP(AJ487,'FX RATES'!$H$1:$J$26,3,FALSE))/AE487^(VLOOKUP(AB487,'FX RATES'!$H$1:$J$26,3,FALSE))))</f>
        <v>0</v>
      </c>
      <c r="AT487" s="170">
        <f>IF(AB487&lt;&gt;AJ487,J487/IF(K487=RIGHT(AB487,3),AE487,1/AE487),IF(S487="USD",J487/IF(K487=RIGHT(AB487,3),IF(W487="CLIENT",AM487,AE487),1/IF(W487="CLIENT",AM487,AE487)),J487*VLOOKUP(K487,'FX RATES'!$E$1:$F$10,2,FALSE)))</f>
        <v>-19041.16344</v>
      </c>
      <c r="AU487" s="170">
        <f>IF(AB487&lt;&gt;AJ487,R487/IF(S487=RIGHT(AJ487,3),AM487,1/AM487),IF(K487="USD",R487/IF(S487=RIGHT(AJ487,3),IF(W487="CLIENT",AM487,AE487),1/IF(W487="CLIENT",AM487,AE487)),R487*VLOOKUP(S487,'FX RATES'!$E$1:$F$10,2,FALSE)))</f>
        <v>18965</v>
      </c>
      <c r="AV487" s="170">
        <f>AT487+AU487</f>
        <v>-76.163440000000264</v>
      </c>
      <c r="AW487" s="169"/>
      <c r="AX487" s="170">
        <f>IF(AND(ISERROR(SEARCH("INVOICE",T487)),ISERROR(SEARCH("SWITCH",T487)),ISERROR(SEARCH("FOREX",T487)),ISERROR(SEARCH("REFUND",A487)),ISERROR(SEARCH("CANCELLED",A487))),IF(AW487="",-AT487*X487+AU487*Z487,AW487),0)</f>
        <v>-76.163439999999994</v>
      </c>
      <c r="AY487" s="170">
        <f>IF(AZ487="USD",AT487,IF(AZ487=K487,J487,-R487))</f>
        <v>-19041.16344</v>
      </c>
      <c r="AZ487" s="170" t="str">
        <f>LEFT(AB487,3)</f>
        <v>USD</v>
      </c>
      <c r="BA487" s="542">
        <f>IF(OR(A487="REFUND",A487="CANCELLED"),0,IFERROR((IF(OR(AB487="USDAED",LEFT(AB487,3)=RIGHT(AB487,3)),AI487,AG487)-AE487)*-AY487*VLOOKUP(AB487,'FX RATES'!$H$1:$J$26,3,FALSE),0))</f>
        <v>0</v>
      </c>
      <c r="BB487" s="170" t="str">
        <f>RIGHT(AB487,4)</f>
        <v>USDT</v>
      </c>
      <c r="BC487" s="542">
        <f>IF(BA487=0,0,IFERROR(BA487/IF(BB487&lt;&gt;"USD",AI487,1),"???"))</f>
        <v>0</v>
      </c>
      <c r="BD487" s="170">
        <f>IFERROR(-AC487/(IF(OR(AB487="USDAED",LEFT(AB487,3)=RIGHT(AB487,3)),AH487,AG487)-AE487)*BC487,0)</f>
        <v>0</v>
      </c>
      <c r="BE487" s="542">
        <f>BC487-BD487</f>
        <v>0</v>
      </c>
      <c r="BF487" s="170">
        <f>IF(BG487="USD",AU487,IF(BG487=S487,R487,-J487))</f>
        <v>18965</v>
      </c>
      <c r="BG487" s="170" t="str">
        <f>LEFT(AJ487,3)</f>
        <v>USD</v>
      </c>
      <c r="BH487" s="542">
        <f>IF(OR(A487="REFUND",A487="CANCELLED"),0,IFERROR((IF(OR(AJ487="USDAED",LEFT(AJ487,3)=RIGHT(AJ487,3)),AQ487,AO487)-AM487)*-BF487*VLOOKUP(AJ487,'FX RATES'!$H$1:$J$26,3,FALSE),0))</f>
        <v>0</v>
      </c>
      <c r="BI487" s="170" t="str">
        <f>RIGHT(AJ487,3)</f>
        <v>USD</v>
      </c>
      <c r="BJ487" s="542">
        <f>IF(BH487=0,0,IFERROR(BH487/IF(BI487&lt;&gt;"USD",AQ487,1),"???"))</f>
        <v>0</v>
      </c>
      <c r="BK487" s="170">
        <f>IFERROR(-AK487/(IF(OR(AJ487="USDAED",LEFT(AJ487,3)=RIGHT(AJ487,3)),AP487,AO487)-AM487)*BJ487,0)</f>
        <v>0</v>
      </c>
      <c r="BL487" s="542">
        <f>BJ487-BK487</f>
        <v>0</v>
      </c>
      <c r="BM487" s="170">
        <f>IF(AND(ISERROR(SEARCH("REFUND",A487)),ISERROR(SEARCH("CANCELLED",A487))),BD487+BK487,0)</f>
        <v>0</v>
      </c>
      <c r="BN487" s="542">
        <f>IF(AND(ISERROR(SEARCH("REFUND",A487)),ISERROR(SEARCH("CANCELLED",A487))),BE487+BL487,0)</f>
        <v>0</v>
      </c>
    </row>
    <row r="488" spans="1:66" ht="19.5" customHeight="1">
      <c r="A488" s="167"/>
      <c r="B488" s="182"/>
      <c r="C488" s="182"/>
      <c r="D488" s="182"/>
      <c r="E488" s="184"/>
      <c r="F488" s="184"/>
      <c r="G488" s="182"/>
      <c r="H488" s="182"/>
      <c r="I488" s="170"/>
      <c r="J488" s="170"/>
      <c r="K488" s="182"/>
      <c r="L488" s="184"/>
      <c r="M488" s="182"/>
      <c r="O488" s="182"/>
      <c r="P488" s="444"/>
      <c r="Q488" s="170"/>
      <c r="R488" s="170"/>
      <c r="S488" s="182"/>
      <c r="T488" s="184"/>
      <c r="U488" s="182"/>
      <c r="X488" s="173"/>
      <c r="Y488" s="173"/>
      <c r="Z488" s="173"/>
      <c r="AA488" s="173"/>
      <c r="AB488" s="173"/>
      <c r="AC488" s="175"/>
      <c r="AD488" s="177"/>
      <c r="AE488" s="177"/>
      <c r="AF488" s="177"/>
      <c r="AG488" s="177"/>
      <c r="AH488" s="178"/>
      <c r="AI488" s="178"/>
      <c r="AJ488" s="173"/>
      <c r="AK488" s="175"/>
      <c r="AL488" s="177"/>
      <c r="AM488" s="177"/>
      <c r="AN488" s="177"/>
      <c r="AO488" s="177"/>
      <c r="AP488" s="178"/>
      <c r="AQ488" s="178"/>
      <c r="AR488" s="185"/>
      <c r="AS488" s="185"/>
      <c r="AT488" s="170"/>
      <c r="AU488" s="170"/>
      <c r="AV488" s="170"/>
      <c r="AW488" s="170"/>
      <c r="AX488" s="170"/>
      <c r="AY488" s="170"/>
      <c r="AZ488" s="170"/>
      <c r="BA488" s="542"/>
      <c r="BB488" s="170"/>
      <c r="BC488" s="542"/>
      <c r="BD488" s="170"/>
      <c r="BE488" s="542"/>
      <c r="BF488" s="170"/>
      <c r="BG488" s="170"/>
      <c r="BH488" s="542"/>
      <c r="BI488" s="170"/>
      <c r="BJ488" s="542"/>
      <c r="BK488" s="170"/>
      <c r="BL488" s="542"/>
      <c r="BM488" s="170"/>
      <c r="BN488" s="542"/>
    </row>
    <row r="489" spans="1:66" ht="19.5" customHeight="1">
      <c r="A489" s="167" t="s">
        <v>601</v>
      </c>
      <c r="B489" s="168" t="s">
        <v>39</v>
      </c>
      <c r="C489" s="168" t="s">
        <v>367</v>
      </c>
      <c r="D489" s="168" t="s">
        <v>368</v>
      </c>
      <c r="E489" s="171">
        <v>46062</v>
      </c>
      <c r="F489" s="171"/>
      <c r="G489" s="168" t="s">
        <v>39</v>
      </c>
      <c r="H489" s="181" t="s">
        <v>369</v>
      </c>
      <c r="I489" s="169">
        <v>-560047.07999999996</v>
      </c>
      <c r="J489" s="170">
        <f>IF(I489="",AR489,I489)</f>
        <v>-560047.07999999996</v>
      </c>
      <c r="K489" s="168" t="s">
        <v>5</v>
      </c>
      <c r="L489" s="168" t="s">
        <v>569</v>
      </c>
      <c r="M489" s="168" t="s">
        <v>20</v>
      </c>
      <c r="N489" s="167" t="s">
        <v>553</v>
      </c>
      <c r="O489" s="168" t="s">
        <v>39</v>
      </c>
      <c r="P489" s="168" t="s">
        <v>372</v>
      </c>
      <c r="Q489" s="169"/>
      <c r="R489" s="170">
        <f>IF(Q489="",AS489,Q489)</f>
        <v>43838475.57602419</v>
      </c>
      <c r="S489" s="168" t="s">
        <v>9</v>
      </c>
      <c r="T489" s="171" t="s">
        <v>373</v>
      </c>
      <c r="U489" s="168" t="s">
        <v>374</v>
      </c>
      <c r="V489" s="167" t="s">
        <v>371</v>
      </c>
      <c r="W489" s="172" t="s">
        <v>375</v>
      </c>
      <c r="X489" s="173">
        <f>IF(Y489="",VLOOKUP(H489,CLIENTS!$A$1:$O$649,5,FALSE),Y489)</f>
        <v>0</v>
      </c>
      <c r="Y489" s="174">
        <v>0</v>
      </c>
      <c r="Z489" s="173">
        <f>IF(AA489="",VLOOKUP(P489,CLIENTS!$A$1:$O$649,5,FALSE),AA489)</f>
        <v>8.0000000000000002E-3</v>
      </c>
      <c r="AA489" s="174">
        <v>8.0000000000000002E-3</v>
      </c>
      <c r="AB489" s="173" t="str">
        <f>IF(W489="via USD",IF(K489="EUR",K489&amp;"USD","USD"&amp;K489),IFERROR(VLOOKUP(K489&amp;S489,'FX RATES'!$H$2:$H$20,1,FALSE),S489&amp;K489))</f>
        <v>USDUSD</v>
      </c>
      <c r="AC489" s="175">
        <f>IF(LEFT(AB489,3)=RIGHT(AB489,3),0,IFERROR(INDEX(CLIENTS!$A$1:$O$649,MATCH(H489,CLIENTS!$A$1:$A$649,0),MATCH(AB489,CLIENTS!$A$1:$O$1,0)),0))</f>
        <v>0</v>
      </c>
      <c r="AD489" s="176"/>
      <c r="AE489" s="177">
        <f>IF(W489="CLIENT","",IF(AD489="",AH489+AC489,AD489+AC489))</f>
        <v>1</v>
      </c>
      <c r="AF489" s="177" t="str">
        <f>E489&amp;AB489</f>
        <v>46062USDUSD</v>
      </c>
      <c r="AG489" s="176"/>
      <c r="AH489" s="178">
        <f>IF(LEFT(AB489,3)=RIGHT(AB489,3),1,VLOOKUP(AB489,'FX RATES'!$H$1:$I$20,2,FALSE))</f>
        <v>1</v>
      </c>
      <c r="AI489" s="178">
        <f>IF(OR(AB489="USDAED",LEFT(AB489,3)=RIGHT(AB489,3)),AH489,IF(LEFT(AB489)="USD",AG489,IF(RIGHT(AB489,3)="USD",1,IFERROR(VLOOKUP(E489&amp;"USD"&amp;RIGHT(AB489,3),$AF:$AG,2,FALSE),VLOOKUP(E489&amp;"USD"&amp;RIGHT(AJ489,3),$AN:$AO,2,FALSE)))))</f>
        <v>1</v>
      </c>
      <c r="AJ489" s="173" t="str">
        <f>IF(W489="via USD",IF(S489="EUR",S489&amp;"USD","USD"&amp;S489),IFERROR(VLOOKUP(K489&amp;S489,'FX RATES'!$H$2:$H$20,1,FALSE),S489&amp;K489))</f>
        <v>USDRUB</v>
      </c>
      <c r="AK489" s="175">
        <f>IF(LEFT(AJ489,3)=RIGHT(AJ489,3),0,IFERROR(INDEX(CLIENTS!$A$1:$O$649,MATCH(P489,CLIENTS!$A$1:$A$649,0),MATCH(AJ489,CLIENTS!$A$1:$O$1,0)),0))</f>
        <v>0</v>
      </c>
      <c r="AL489" s="176">
        <v>77.650199999999998</v>
      </c>
      <c r="AM489" s="177">
        <f>IF(W489="VENDOR","",IF(AL489="",AP489+AK489,AL489+AK489))</f>
        <v>77.650199999999998</v>
      </c>
      <c r="AN489" s="177" t="str">
        <f>E489&amp;AJ489</f>
        <v>46062USDRUB</v>
      </c>
      <c r="AO489" s="176">
        <v>77.349999999999994</v>
      </c>
      <c r="AP489" s="178">
        <f ca="1">IF(LEFT(AJ489,3)=RIGHT(AJ489,3),1,VLOOKUP(AJ489,'FX RATES'!$H$1:$I$20,2,FALSE))</f>
        <v>76.720500000000001</v>
      </c>
      <c r="AQ489" s="178">
        <f>IF(OR(AJ489="USDAED",LEFT(AJ489,3)=RIGHT(AJ489,3)),AP489,IF(LEFT(AJ489)="USD",AO489,IF(RIGHT(AJ489,3)="USD",1,IFERROR(VLOOKUP(E489&amp;"USD"&amp;RIGHT(AJ489,3),$AN:$AO,2,FALSE),VLOOKUP(E489&amp;"USD"&amp;RIGHT(AB489,3),$AF:$AG,2,FALSE)))))</f>
        <v>77.349999999999994</v>
      </c>
      <c r="AR489" s="179">
        <f>-Q489*(1-Z489)/(1+X489)*IF(W489="CLIENT",IF(S489=RIGHT(AJ489,3),1/AM489,AM489),IF(W489="VENDOR",IF(S489=RIGHT(AJ489,3),1/AE489,AE489),AE489^(VLOOKUP(AB489,'FX RATES'!$H$1:$J$26,3,FALSE))/AM489^(VLOOKUP(AJ489,'FX RATES'!$H$1:$J$26,3,FALSE))))</f>
        <v>0</v>
      </c>
      <c r="AS489" s="179">
        <f>-I489*(1+X489)/(1-Z489)*IF(W489="VENDOR",IF(K489=RIGHT(AB489,3),1/AE489,AE489),IF(W489="CLIENT",IF(K489=RIGHT(AB489,3),1/AM489,AM489),AM489^(VLOOKUP(AJ489,'FX RATES'!$H$1:$J$26,3,FALSE))/AE489^(VLOOKUP(AB489,'FX RATES'!$H$1:$J$26,3,FALSE))))</f>
        <v>43838475.57602419</v>
      </c>
      <c r="AT489" s="170">
        <f>IF(AB489&lt;&gt;AJ489,J489/IF(K489=RIGHT(AB489,3),AE489,1/AE489),IF(S489="USD",J489/IF(K489=RIGHT(AB489,3),IF(W489="CLIENT",AM489,AE489),1/IF(W489="CLIENT",AM489,AE489)),J489*VLOOKUP(K489,'FX RATES'!$E$1:$F$10,2,FALSE)))</f>
        <v>-560047.07999999996</v>
      </c>
      <c r="AU489" s="170">
        <f>IF(AB489&lt;&gt;AJ489,R489/IF(S489=RIGHT(AJ489,3),AM489,1/AM489),IF(K489="USD",R489/IF(S489=RIGHT(AJ489,3),IF(W489="CLIENT",AM489,AE489),1/IF(W489="CLIENT",AM489,AE489)),R489*VLOOKUP(S489,'FX RATES'!$E$1:$F$10,2,FALSE)))</f>
        <v>564563.58870967734</v>
      </c>
      <c r="AV489" s="170">
        <f>AT489+AU489</f>
        <v>4516.5087096773786</v>
      </c>
      <c r="AW489" s="169"/>
      <c r="AX489" s="170">
        <f>IF(AND(ISERROR(SEARCH("INVOICE",T489)),ISERROR(SEARCH("SWITCH",T489)),ISERROR(SEARCH("FOREX",T489)),ISERROR(SEARCH("REFUND",A489)),ISERROR(SEARCH("CANCELLED",A489))),IF(AW489="",-AT489*X489+AU489*Z489,AW489),0)</f>
        <v>4516.5087096774187</v>
      </c>
      <c r="AY489" s="170">
        <f>IF(AZ489="USD",AT489,IF(AZ489=K489,J489,-R489))</f>
        <v>-560047.07999999996</v>
      </c>
      <c r="AZ489" s="170" t="str">
        <f>LEFT(AB489,3)</f>
        <v>USD</v>
      </c>
      <c r="BA489" s="542">
        <f>IF(OR(A489="REFUND",A489="CANCELLED"),0,IFERROR((IF(OR(AB489="USDAED",LEFT(AB489,3)=RIGHT(AB489,3)),AI489,AG489)-AE489)*-AY489*VLOOKUP(AB489,'FX RATES'!$H$1:$J$26,3,FALSE),0))</f>
        <v>0</v>
      </c>
      <c r="BB489" s="170" t="str">
        <f>RIGHT(AB489,3)</f>
        <v>USD</v>
      </c>
      <c r="BC489" s="542">
        <f>IF(BA489=0,0,IFERROR(BA489/IF(BB489&lt;&gt;"USD",AI489,1),"???"))</f>
        <v>0</v>
      </c>
      <c r="BD489" s="170">
        <f>IFERROR(-AC489/(IF(OR(AB489="USDAED",LEFT(AB489,3)=RIGHT(AB489,3)),AH489,AG489)-AE489)*BC489,0)</f>
        <v>0</v>
      </c>
      <c r="BE489" s="542">
        <f>BC489-BD489</f>
        <v>0</v>
      </c>
      <c r="BF489" s="170">
        <f>IF(BG489="USD",AU489,IF(BG489=S489,R489,-J489))</f>
        <v>564563.58870967734</v>
      </c>
      <c r="BG489" s="170" t="str">
        <f>LEFT(AJ489,3)</f>
        <v>USD</v>
      </c>
      <c r="BH489" s="542">
        <f>IF(OR(A489="REFUND",A489="CANCELLED"),0,IFERROR((IF(OR(AJ489="USDAED",LEFT(AJ489,3)=RIGHT(AJ489,3)),AQ489,AO489)-AM489)*-BF489*VLOOKUP(AJ489,'FX RATES'!$H$1:$J$26,3,FALSE),0))</f>
        <v>169481.98933064728</v>
      </c>
      <c r="BI489" s="170" t="str">
        <f>RIGHT(AJ489,3)</f>
        <v>RUB</v>
      </c>
      <c r="BJ489" s="542">
        <f>IF(BH489=0,0,IFERROR(BH489/IF(BI489&lt;&gt;"USD",AQ489,1),"???"))</f>
        <v>2191.105227286972</v>
      </c>
      <c r="BK489" s="170">
        <f>IFERROR(-AK489/(IF(OR(AJ489="USDAED",LEFT(AJ489,3)=RIGHT(AJ489,3)),AP489,AO489)-AM489)*BJ489,0)</f>
        <v>0</v>
      </c>
      <c r="BL489" s="542">
        <f>BJ489-BK489</f>
        <v>2191.105227286972</v>
      </c>
      <c r="BM489" s="170">
        <f>IF(AND(ISERROR(SEARCH("REFUND",A489)),ISERROR(SEARCH("CANCELLED",A489))),BD489+BK489,0)</f>
        <v>0</v>
      </c>
      <c r="BN489" s="542">
        <f>IF(AND(ISERROR(SEARCH("REFUND",A489)),ISERROR(SEARCH("CANCELLED",A489))),BE489+BL489,0)</f>
        <v>2191.105227286972</v>
      </c>
    </row>
    <row r="490" spans="1:66" ht="19.5" customHeight="1">
      <c r="A490" s="167" t="s">
        <v>601</v>
      </c>
      <c r="B490" s="168" t="s">
        <v>39</v>
      </c>
      <c r="C490" s="168" t="s">
        <v>383</v>
      </c>
      <c r="D490" s="168" t="s">
        <v>128</v>
      </c>
      <c r="E490" s="171">
        <v>46062</v>
      </c>
      <c r="F490" s="171"/>
      <c r="G490" s="168" t="s">
        <v>39</v>
      </c>
      <c r="H490" s="168" t="s">
        <v>384</v>
      </c>
      <c r="I490" s="169">
        <v>-43838000</v>
      </c>
      <c r="J490" s="170">
        <f>IF(I490="",AR490,I490)</f>
        <v>-43838000</v>
      </c>
      <c r="K490" s="168" t="s">
        <v>9</v>
      </c>
      <c r="L490" s="171" t="s">
        <v>374</v>
      </c>
      <c r="M490" s="168" t="s">
        <v>374</v>
      </c>
      <c r="N490" s="167" t="s">
        <v>553</v>
      </c>
      <c r="O490" s="168" t="s">
        <v>39</v>
      </c>
      <c r="P490" s="349" t="s">
        <v>384</v>
      </c>
      <c r="Q490" s="169"/>
      <c r="R490" s="170">
        <f>IF(Q490="",AS490,Q490)</f>
        <v>2073699.1485335857</v>
      </c>
      <c r="S490" s="168" t="s">
        <v>8</v>
      </c>
      <c r="T490" s="171" t="s">
        <v>385</v>
      </c>
      <c r="U490" s="168" t="s">
        <v>20</v>
      </c>
      <c r="V490" s="167" t="s">
        <v>371</v>
      </c>
      <c r="W490" s="172" t="s">
        <v>382</v>
      </c>
      <c r="X490" s="173">
        <f>IF(Y490="",VLOOKUP(H490,CLIENTS!$A$1:$O$649,5,FALSE),Y490)</f>
        <v>0</v>
      </c>
      <c r="Y490" s="174">
        <v>0</v>
      </c>
      <c r="Z490" s="173">
        <f>IF(AA490="",VLOOKUP(P490,CLIENTS!$A$1:$O$649,5,FALSE),AA490)</f>
        <v>0</v>
      </c>
      <c r="AA490" s="174">
        <v>0</v>
      </c>
      <c r="AB490" s="173" t="str">
        <f>IF(W490="via USD",IF(K490="EUR",K490&amp;"USD","USD"&amp;K490),IFERROR(VLOOKUP(K490&amp;S490,'FX RATES'!$H$2:$H$20,1,FALSE),S490&amp;K490))</f>
        <v>AEDRUB</v>
      </c>
      <c r="AC490" s="175">
        <f>IF(LEFT(AB490,3)=RIGHT(AB490,3),0,IFERROR(INDEX(CLIENTS!$A$1:$O$649,MATCH(H490,CLIENTS!$A$1:$A$649,0),MATCH(AB490,CLIENTS!$A$1:$O$1,0)),0))</f>
        <v>0</v>
      </c>
      <c r="AD490" s="176">
        <v>21.14</v>
      </c>
      <c r="AE490" s="177">
        <f>IF(W490="CLIENT","",IF(AD490="",AH490+AC490,AD490+AC490))</f>
        <v>21.14</v>
      </c>
      <c r="AF490" s="177" t="str">
        <f>E490&amp;AB490</f>
        <v>46062AEDRUB</v>
      </c>
      <c r="AG490" s="176">
        <v>21.062000000000001</v>
      </c>
      <c r="AH490" s="178">
        <f ca="1">IF(LEFT(AB490,3)=RIGHT(AB490,3),1,VLOOKUP(AB490,'FX RATES'!$H$1:$I$20,2,FALSE))</f>
        <v>20.8843</v>
      </c>
      <c r="AI490" s="178">
        <f>IF(OR(AB490="USDAED",LEFT(AB490,3)=RIGHT(AB490,3)),AH490,IF(LEFT(AB490)="USD",AG490,IF(RIGHT(AB490,3)="USD",1,IFERROR(VLOOKUP(E490&amp;"USD"&amp;RIGHT(AB490,3),$AF:$AG,2,FALSE),VLOOKUP(E490&amp;"USD"&amp;RIGHT(AJ490,3),$AN:$AO,2,FALSE)))))</f>
        <v>77.349999999999994</v>
      </c>
      <c r="AJ490" s="173" t="str">
        <f>IF(W490="via USD",IF(S490="EUR",S490&amp;"USD","USD"&amp;S490),IFERROR(VLOOKUP(K490&amp;S490,'FX RATES'!$H$2:$H$20,1,FALSE),S490&amp;K490))</f>
        <v>AEDRUB</v>
      </c>
      <c r="AK490" s="175">
        <f>IF(LEFT(AJ490,3)=RIGHT(AJ490,3),0,IFERROR(INDEX(CLIENTS!$A$1:$O$649,MATCH(P490,CLIENTS!$A$1:$A$649,0),MATCH(AJ490,CLIENTS!$A$1:$O$1,0)),0))</f>
        <v>0</v>
      </c>
      <c r="AL490" s="176"/>
      <c r="AM490" s="177" t="str">
        <f>IF(W490="VENDOR","",IF(AL490="",AP490+AK490,AL490+AK490))</f>
        <v/>
      </c>
      <c r="AN490" s="177" t="str">
        <f>E490&amp;AJ490</f>
        <v>46062AEDRUB</v>
      </c>
      <c r="AO490" s="176"/>
      <c r="AP490" s="178">
        <f ca="1">IF(LEFT(AJ490,3)=RIGHT(AJ490,3),1,VLOOKUP(AJ490,'FX RATES'!$H$1:$I$20,2,FALSE))</f>
        <v>20.8843</v>
      </c>
      <c r="AQ490" s="178">
        <f>IF(OR(AJ490="USDAED",LEFT(AJ490,3)=RIGHT(AJ490,3)),AP490,IF(LEFT(AJ490)="USD",AO490,IF(RIGHT(AJ490,3)="USD",1,IFERROR(VLOOKUP(E490&amp;"USD"&amp;RIGHT(AJ490,3),$AN:$AO,2,FALSE),VLOOKUP(E490&amp;"USD"&amp;RIGHT(AB490,3),$AF:$AG,2,FALSE)))))</f>
        <v>77.349999999999994</v>
      </c>
      <c r="AR490" s="179">
        <f>-Q490*(1-Z490)/(1+X490)*IF(W490="CLIENT",IF(S490=RIGHT(AJ490,3),1/AM490,AM490),IF(W490="VENDOR",IF(S490=RIGHT(AJ490,3),1/AE490,AE490),AE490^(VLOOKUP(AB490,'FX RATES'!$H$1:$J$26,3,FALSE))/AM490^(VLOOKUP(AJ490,'FX RATES'!$H$1:$J$26,3,FALSE))))</f>
        <v>0</v>
      </c>
      <c r="AS490" s="179">
        <f>-I490*(1+X490)/(1-Z490)*IF(W490="VENDOR",IF(K490=RIGHT(AB490,3),1/AE490,AE490),IF(W490="CLIENT",IF(K490=RIGHT(AB490,3),1/AM490,AM490),AM490^(VLOOKUP(AJ490,'FX RATES'!$H$1:$J$26,3,FALSE))/AE490^(VLOOKUP(AB490,'FX RATES'!$H$1:$J$26,3,FALSE))))</f>
        <v>2073699.1485335857</v>
      </c>
      <c r="AT490" s="170">
        <f ca="1">IF(AB490&lt;&gt;AJ490,J490/IF(K490=RIGHT(AB490,3),AE490,1/AE490),IF(S490="USD",J490/IF(K490=RIGHT(AB490,3),IF(W490="CLIENT",AM490,AE490),1/IF(W490="CLIENT",AM490,AE490)),J490*VLOOKUP(K490,'FX RATES'!$E$1:$F$10,2,FALSE)))</f>
        <v>-571398.77868366346</v>
      </c>
      <c r="AU490" s="170">
        <f ca="1">IF(AB490&lt;&gt;AJ490,R490/IF(S490=RIGHT(AJ490,3),AM490,1/AM490),IF(K490="USD",R490/IF(S490=RIGHT(AJ490,3),IF(W490="CLIENT",AM490,AE490),1/IF(W490="CLIENT",AM490,AE490)),R490*VLOOKUP(S490,'FX RATES'!$E$1:$F$10,2,FALSE)))</f>
        <v>564640.62204802746</v>
      </c>
      <c r="AV490" s="170">
        <f ca="1">AT490+AU490</f>
        <v>-6758.1566356359981</v>
      </c>
      <c r="AW490" s="169"/>
      <c r="AX490" s="170">
        <f ca="1">IF(AND(ISERROR(SEARCH("INVOICE",T490)),ISERROR(SEARCH("SWITCH",T490)),ISERROR(SEARCH("FOREX",T490)),ISERROR(SEARCH("REFUND",A490)),ISERROR(SEARCH("CANCELLED",A490))),IF(AW490="",-AT490*X490+AU490*Z490,AW490),0)</f>
        <v>0</v>
      </c>
      <c r="AY490" s="170">
        <f>IF(AZ490="USD",AT490,IF(AZ490=K490,J490,-R490))</f>
        <v>-2073699.1485335857</v>
      </c>
      <c r="AZ490" s="170" t="str">
        <f>LEFT(AB490,3)</f>
        <v>AED</v>
      </c>
      <c r="BA490" s="542">
        <f>IF(OR(A490="REFUND",A490="CANCELLED"),0,IFERROR((IF(OR(AB490="USDAED",LEFT(AB490,3)=RIGHT(AB490,3)),AI490,AG490)-AE490)*-AY490*VLOOKUP(AB490,'FX RATES'!$H$1:$J$26,3,FALSE),0))</f>
        <v>-161748.53358561845</v>
      </c>
      <c r="BB490" s="170" t="str">
        <f>RIGHT(AB490,3)</f>
        <v>RUB</v>
      </c>
      <c r="BC490" s="542">
        <f>IF(BA490=0,0,IFERROR(BA490/IF(BB490&lt;&gt;"USD",AI490,1),"???"))</f>
        <v>-2091.1251917985583</v>
      </c>
      <c r="BD490" s="170">
        <f>IFERROR(-AC490/(IF(OR(AB490="USDAED",LEFT(AB490,3)=RIGHT(AB490,3)),AH490,AG490)-AE490)*BC490,0)</f>
        <v>0</v>
      </c>
      <c r="BE490" s="542">
        <f>BC490-BD490</f>
        <v>-2091.1251917985583</v>
      </c>
      <c r="BF490" s="170">
        <f>IF(BG490="USD",AU490,IF(BG490=S490,R490,-J490))</f>
        <v>2073699.1485335857</v>
      </c>
      <c r="BG490" s="170" t="str">
        <f>LEFT(AJ490,3)</f>
        <v>AED</v>
      </c>
      <c r="BH490" s="542">
        <f>IF(OR(A490="REFUND",A490="CANCELLED"),0,IFERROR((IF(OR(AJ490="USDAED",LEFT(AJ490,3)=RIGHT(AJ490,3)),AQ490,AO490)-AM490)*-BF490*VLOOKUP(AJ490,'FX RATES'!$H$1:$J$26,3,FALSE),0))</f>
        <v>0</v>
      </c>
      <c r="BI490" s="170" t="str">
        <f>RIGHT(AJ490,3)</f>
        <v>RUB</v>
      </c>
      <c r="BJ490" s="542">
        <f>IF(BH490=0,0,IFERROR(BH490/IF(BI490&lt;&gt;"USD",AQ490,1),"???"))</f>
        <v>0</v>
      </c>
      <c r="BK490" s="170">
        <f>IFERROR(-AK490/(IF(OR(AJ490="USDAED",LEFT(AJ490,3)=RIGHT(AJ490,3)),AP490,AO490)-AM490)*BJ490,0)</f>
        <v>0</v>
      </c>
      <c r="BL490" s="542">
        <f>BJ490-BK490</f>
        <v>0</v>
      </c>
      <c r="BM490" s="170">
        <f>IF(AND(ISERROR(SEARCH("REFUND",A490)),ISERROR(SEARCH("CANCELLED",A490))),BD490+BK490,0)</f>
        <v>0</v>
      </c>
      <c r="BN490" s="542">
        <f>IF(AND(ISERROR(SEARCH("REFUND",A490)),ISERROR(SEARCH("CANCELLED",A490))),BE490+BL490,0)</f>
        <v>-2091.1251917985583</v>
      </c>
    </row>
    <row r="491" spans="1:66" ht="19.5" customHeight="1">
      <c r="A491" s="167"/>
      <c r="B491" s="182"/>
      <c r="C491" s="182"/>
      <c r="D491" s="182"/>
      <c r="E491" s="184"/>
      <c r="F491" s="184"/>
      <c r="G491" s="182"/>
      <c r="H491" s="182"/>
      <c r="I491" s="170"/>
      <c r="J491" s="170"/>
      <c r="K491" s="182"/>
      <c r="L491" s="184"/>
      <c r="M491" s="182"/>
      <c r="O491" s="182"/>
      <c r="P491" s="444"/>
      <c r="Q491" s="170"/>
      <c r="R491" s="170"/>
      <c r="S491" s="182"/>
      <c r="T491" s="184"/>
      <c r="U491" s="182"/>
      <c r="X491" s="173"/>
      <c r="Y491" s="173"/>
      <c r="Z491" s="173"/>
      <c r="AA491" s="173"/>
      <c r="AB491" s="173"/>
      <c r="AC491" s="175"/>
      <c r="AD491" s="177"/>
      <c r="AE491" s="177"/>
      <c r="AF491" s="177"/>
      <c r="AG491" s="177"/>
      <c r="AH491" s="178"/>
      <c r="AI491" s="178"/>
      <c r="AJ491" s="173"/>
      <c r="AK491" s="175"/>
      <c r="AL491" s="177"/>
      <c r="AM491" s="177"/>
      <c r="AN491" s="177"/>
      <c r="AO491" s="177"/>
      <c r="AP491" s="178"/>
      <c r="AQ491" s="178"/>
      <c r="AR491" s="185"/>
      <c r="AS491" s="185"/>
      <c r="AT491" s="170"/>
      <c r="AU491" s="170"/>
      <c r="AV491" s="170"/>
      <c r="AW491" s="170"/>
      <c r="AX491" s="170"/>
      <c r="AY491" s="170"/>
      <c r="AZ491" s="170"/>
      <c r="BA491" s="542"/>
      <c r="BB491" s="170"/>
      <c r="BC491" s="542"/>
      <c r="BD491" s="170"/>
      <c r="BE491" s="542"/>
      <c r="BF491" s="170"/>
      <c r="BG491" s="170"/>
      <c r="BH491" s="542"/>
      <c r="BI491" s="170"/>
      <c r="BJ491" s="542"/>
      <c r="BK491" s="170"/>
      <c r="BL491" s="542"/>
      <c r="BM491" s="170"/>
      <c r="BN491" s="542"/>
    </row>
    <row r="492" spans="1:66" ht="19.5" customHeight="1">
      <c r="A492" s="167" t="s">
        <v>601</v>
      </c>
      <c r="B492" s="168" t="s">
        <v>39</v>
      </c>
      <c r="C492" s="168" t="s">
        <v>367</v>
      </c>
      <c r="D492" s="168" t="s">
        <v>368</v>
      </c>
      <c r="E492" s="171">
        <v>46063</v>
      </c>
      <c r="F492" s="171"/>
      <c r="G492" s="168" t="s">
        <v>39</v>
      </c>
      <c r="H492" s="181" t="s">
        <v>407</v>
      </c>
      <c r="I492" s="169">
        <v>-10000000</v>
      </c>
      <c r="J492" s="170">
        <f>IF(I492="",AR492,I492)</f>
        <v>-10000000</v>
      </c>
      <c r="K492" s="168" t="s">
        <v>8</v>
      </c>
      <c r="L492" s="171" t="s">
        <v>15</v>
      </c>
      <c r="M492" s="168" t="s">
        <v>17</v>
      </c>
      <c r="N492" s="167" t="s">
        <v>553</v>
      </c>
      <c r="O492" s="168" t="s">
        <v>39</v>
      </c>
      <c r="P492" s="168" t="s">
        <v>408</v>
      </c>
      <c r="Q492" s="169"/>
      <c r="R492" s="170">
        <f>IF(Q492="",AS492,Q492)</f>
        <v>212100083.33333331</v>
      </c>
      <c r="S492" s="168" t="s">
        <v>9</v>
      </c>
      <c r="T492" s="171" t="s">
        <v>409</v>
      </c>
      <c r="U492" s="168" t="s">
        <v>374</v>
      </c>
      <c r="V492" s="167" t="s">
        <v>371</v>
      </c>
      <c r="W492" s="172" t="s">
        <v>375</v>
      </c>
      <c r="X492" s="173">
        <f>IF(Y492="",VLOOKUP(H492,CLIENTS!$A$1:$O$649,5,FALSE),Y492)</f>
        <v>3.0000000000000001E-3</v>
      </c>
      <c r="Y492" s="174">
        <v>3.0000000000000001E-3</v>
      </c>
      <c r="Z492" s="173">
        <f>IF(AA492="",VLOOKUP(P492,CLIENTS!$A$1:$O$649,5,FALSE),AA492)</f>
        <v>0</v>
      </c>
      <c r="AA492" s="174">
        <v>0</v>
      </c>
      <c r="AB492" s="173" t="str">
        <f>IF(W492="via USD",IF(K492="EUR",K492&amp;"USD","USD"&amp;K492),IFERROR(VLOOKUP(K492&amp;S492,'FX RATES'!$H$2:$H$20,1,FALSE),S492&amp;K492))</f>
        <v>USDAED</v>
      </c>
      <c r="AC492" s="175">
        <f>IF(LEFT(AB492,3)=RIGHT(AB492,3),0,IFERROR(INDEX(CLIENTS!$A$1:$O$649,MATCH(H492,CLIENTS!$A$1:$A$649,0),MATCH(AB492,CLIENTS!$A$1:$O$1,0)),0))</f>
        <v>-5.0000000000000001E-4</v>
      </c>
      <c r="AD492" s="176"/>
      <c r="AE492" s="177">
        <f>IF(W492="CLIENT","",IF(AD492="",AH492+AC492,AD492+AC492))</f>
        <v>3.6719999999999997</v>
      </c>
      <c r="AF492" s="177" t="str">
        <f>E492&amp;AB492</f>
        <v>46063USDAED</v>
      </c>
      <c r="AG492" s="176"/>
      <c r="AH492" s="178">
        <f>IF(LEFT(AB492,3)=RIGHT(AB492,3),1,VLOOKUP(AB492,'FX RATES'!$H$1:$I$20,2,FALSE))</f>
        <v>3.6724999999999999</v>
      </c>
      <c r="AI492" s="178">
        <f>IF(OR(AB492="USDAED",LEFT(AB492,3)=RIGHT(AB492,3)),AH492,IF(LEFT(AB492)="USD",AG492,IF(RIGHT(AB492,3)="USD",1,IFERROR(VLOOKUP(E492&amp;"USD"&amp;RIGHT(AB492,3),$AF:$AG,2,FALSE),VLOOKUP(E492&amp;"USD"&amp;RIGHT(AJ492,3),$AN:$AO,2,FALSE)))))</f>
        <v>3.6724999999999999</v>
      </c>
      <c r="AJ492" s="173" t="str">
        <f>IF(W492="via USD",IF(S492="EUR",S492&amp;"USD","USD"&amp;S492),IFERROR(VLOOKUP(K492&amp;S492,'FX RATES'!$H$2:$H$20,1,FALSE),S492&amp;K492))</f>
        <v>USDRUB</v>
      </c>
      <c r="AK492" s="175">
        <f>IF(LEFT(AJ492,3)=RIGHT(AJ492,3),0,IFERROR(INDEX(CLIENTS!$A$1:$O$649,MATCH(P492,CLIENTS!$A$1:$A$649,0),MATCH(AJ492,CLIENTS!$A$1:$O$1,0)),0))</f>
        <v>0</v>
      </c>
      <c r="AL492" s="176">
        <v>77.650199999999998</v>
      </c>
      <c r="AM492" s="177">
        <f>IF(W492="VENDOR","",IF(AL492="",AP492+AK492,AL492+AK492))</f>
        <v>77.650199999999998</v>
      </c>
      <c r="AN492" s="177" t="str">
        <f>E492&amp;AJ492</f>
        <v>46063USDRUB</v>
      </c>
      <c r="AO492" s="176">
        <v>77.2</v>
      </c>
      <c r="AP492" s="178">
        <f ca="1">IF(LEFT(AJ492,3)=RIGHT(AJ492,3),1,VLOOKUP(AJ492,'FX RATES'!$H$1:$I$20,2,FALSE))</f>
        <v>76.720500000000001</v>
      </c>
      <c r="AQ492" s="178">
        <f>IF(OR(AJ492="USDAED",LEFT(AJ492,3)=RIGHT(AJ492,3)),AP492,IF(LEFT(AJ492)="USD",AO492,IF(RIGHT(AJ492,3)="USD",1,IFERROR(VLOOKUP(E492&amp;"USD"&amp;RIGHT(AJ492,3),$AN:$AO,2,FALSE),VLOOKUP(E492&amp;"USD"&amp;RIGHT(AB492,3),$AF:$AG,2,FALSE)))))</f>
        <v>77.2</v>
      </c>
      <c r="AR492" s="179">
        <f>-Q492*(1-Z492)/(1+X492)*IF(W492="CLIENT",IF(S492=RIGHT(AJ492,3),1/AM492,AM492),IF(W492="VENDOR",IF(S492=RIGHT(AJ492,3),1/AE492,AE492),AE492^(VLOOKUP(AB492,'FX RATES'!$H$1:$J$26,3,FALSE))/AM492^(VLOOKUP(AJ492,'FX RATES'!$H$1:$J$26,3,FALSE))))</f>
        <v>0</v>
      </c>
      <c r="AS492" s="179">
        <f>-I492*(1+X492)/(1-Z492)*IF(W492="VENDOR",IF(K492=RIGHT(AB492,3),1/AE492,AE492),IF(W492="CLIENT",IF(K492=RIGHT(AB492,3),1/AM492,AM492),AM492^(VLOOKUP(AJ492,'FX RATES'!$H$1:$J$26,3,FALSE))/AE492^(VLOOKUP(AB492,'FX RATES'!$H$1:$J$26,3,FALSE))))</f>
        <v>212100083.33333331</v>
      </c>
      <c r="AT492" s="170">
        <f>IF(AB492&lt;&gt;AJ492,J492/IF(K492=RIGHT(AB492,3),AE492,1/AE492),IF(S492="USD",J492/IF(K492=RIGHT(AB492,3),IF(W492="CLIENT",AM492,AE492),1/IF(W492="CLIENT",AM492,AE492)),J492*VLOOKUP(K492,'FX RATES'!$E$1:$F$10,2,FALSE)))</f>
        <v>-2723311.5468409588</v>
      </c>
      <c r="AU492" s="170">
        <f>IF(AB492&lt;&gt;AJ492,R492/IF(S492=RIGHT(AJ492,3),AM492,1/AM492),IF(K492="USD",R492/IF(S492=RIGHT(AJ492,3),IF(W492="CLIENT",AM492,AE492),1/IF(W492="CLIENT",AM492,AE492)),R492*VLOOKUP(S492,'FX RATES'!$E$1:$F$10,2,FALSE)))</f>
        <v>2731481.4814814813</v>
      </c>
      <c r="AV492" s="170">
        <f>AT492+AU492</f>
        <v>8169.9346405225806</v>
      </c>
      <c r="AW492" s="169"/>
      <c r="AX492" s="170">
        <f>IF(AND(ISERROR(SEARCH("INVOICE",T492)),ISERROR(SEARCH("SWITCH",T492)),ISERROR(SEARCH("FOREX",T492)),ISERROR(SEARCH("REFUND",A492)),ISERROR(SEARCH("CANCELLED",A492))),IF(AW492="",-AT492*X492+AU492*Z492,AW492),0)</f>
        <v>8169.9346405228762</v>
      </c>
      <c r="AY492" s="170">
        <f>IF(AZ492="USD",AT492,IF(AZ492=K492,J492,-R492))</f>
        <v>-2723311.5468409588</v>
      </c>
      <c r="AZ492" s="170" t="str">
        <f>LEFT(AB492,3)</f>
        <v>USD</v>
      </c>
      <c r="BA492" s="542">
        <f>IF(OR(A492="REFUND",A492="CANCELLED"),0,IFERROR((IF(OR(AB492="USDAED",LEFT(AB492,3)=RIGHT(AB492,3)),AI492,AG492)-AE492)*-AY492*VLOOKUP(AB492,'FX RATES'!$H$1:$J$26,3,FALSE),0))</f>
        <v>1361.6557734209341</v>
      </c>
      <c r="BB492" s="170" t="str">
        <f>RIGHT(AB492,3)</f>
        <v>AED</v>
      </c>
      <c r="BC492" s="542">
        <f>IF(BA492=0,0,IFERROR(BA492/IF(BB492&lt;&gt;"USD",AI492,1),"???"))</f>
        <v>370.77080283755868</v>
      </c>
      <c r="BD492" s="170">
        <f>IFERROR(-AC492/(IF(OR(AB492="USDAED",LEFT(AB492,3)=RIGHT(AB492,3)),AH492,AG492)-AE492)*BC492,0)</f>
        <v>370.77080283743487</v>
      </c>
      <c r="BE492" s="542">
        <f>BC492-BD492</f>
        <v>1.2380496627883986E-10</v>
      </c>
      <c r="BF492" s="170">
        <f>IF(BG492="USD",AU492,IF(BG492=S492,R492,-J492))</f>
        <v>2731481.4814814813</v>
      </c>
      <c r="BG492" s="170" t="str">
        <f>LEFT(AJ492,3)</f>
        <v>USD</v>
      </c>
      <c r="BH492" s="542">
        <f>IF(OR(A492="REFUND",A492="CANCELLED"),0,IFERROR((IF(OR(AJ492="USDAED",LEFT(AJ492,3)=RIGHT(AJ492,3)),AQ492,AO492)-AM492)*-BF492*VLOOKUP(AJ492,'FX RATES'!$H$1:$J$26,3,FALSE),0))</f>
        <v>1229712.9629629499</v>
      </c>
      <c r="BI492" s="170" t="str">
        <f>RIGHT(AJ492,3)</f>
        <v>RUB</v>
      </c>
      <c r="BJ492" s="542">
        <f>IF(BH492=0,0,IFERROR(BH492/IF(BI492&lt;&gt;"USD",AQ492,1),"???"))</f>
        <v>15928.924390711785</v>
      </c>
      <c r="BK492" s="170">
        <f>IFERROR(-AK492/(IF(OR(AJ492="USDAED",LEFT(AJ492,3)=RIGHT(AJ492,3)),AP492,AO492)-AM492)*BJ492,0)</f>
        <v>0</v>
      </c>
      <c r="BL492" s="542">
        <f>BJ492-BK492</f>
        <v>15928.924390711785</v>
      </c>
      <c r="BM492" s="170">
        <f>IF(AND(ISERROR(SEARCH("REFUND",A492)),ISERROR(SEARCH("CANCELLED",A492))),BD492+BK492,0)</f>
        <v>370.77080283743487</v>
      </c>
      <c r="BN492" s="542">
        <f>IF(AND(ISERROR(SEARCH("REFUND",A492)),ISERROR(SEARCH("CANCELLED",A492))),BE492+BL492,0)</f>
        <v>15928.924390711909</v>
      </c>
    </row>
    <row r="493" spans="1:66" ht="19.5" customHeight="1">
      <c r="A493" s="167" t="s">
        <v>601</v>
      </c>
      <c r="B493" s="168" t="s">
        <v>39</v>
      </c>
      <c r="C493" s="168" t="s">
        <v>367</v>
      </c>
      <c r="D493" s="168" t="s">
        <v>368</v>
      </c>
      <c r="E493" s="171">
        <v>46063</v>
      </c>
      <c r="F493" s="171"/>
      <c r="G493" s="168" t="s">
        <v>39</v>
      </c>
      <c r="H493" s="168" t="s">
        <v>393</v>
      </c>
      <c r="I493" s="169">
        <v>-235075.43360802674</v>
      </c>
      <c r="J493" s="170">
        <f>IF(I493="",AR493,I493)</f>
        <v>-235075.43360802674</v>
      </c>
      <c r="K493" s="168" t="s">
        <v>5</v>
      </c>
      <c r="L493" s="171" t="s">
        <v>378</v>
      </c>
      <c r="M493" s="168" t="s">
        <v>20</v>
      </c>
      <c r="N493" s="167" t="s">
        <v>553</v>
      </c>
      <c r="O493" s="168" t="s">
        <v>39</v>
      </c>
      <c r="P493" s="168" t="s">
        <v>394</v>
      </c>
      <c r="Q493" s="169">
        <v>18382381.75</v>
      </c>
      <c r="R493" s="170">
        <f>IF(Q493="",AS493,Q493)</f>
        <v>18382381.75</v>
      </c>
      <c r="S493" s="168" t="s">
        <v>9</v>
      </c>
      <c r="T493" s="171" t="s">
        <v>25</v>
      </c>
      <c r="U493" s="168" t="s">
        <v>374</v>
      </c>
      <c r="V493" s="167" t="s">
        <v>371</v>
      </c>
      <c r="W493" s="172" t="s">
        <v>389</v>
      </c>
      <c r="X493" s="173">
        <f>IF(Y493="",VLOOKUP(H493,CLIENTS!$A$1:$O$649,5,FALSE),Y493)</f>
        <v>0</v>
      </c>
      <c r="Y493" s="174">
        <v>0</v>
      </c>
      <c r="Z493" s="173">
        <f>IF(AA493="",VLOOKUP(P493,CLIENTS!$A$1:$O$649,5,FALSE),AA493)</f>
        <v>7.0000000000000001E-3</v>
      </c>
      <c r="AA493" s="174">
        <v>7.0000000000000001E-3</v>
      </c>
      <c r="AB493" s="173" t="str">
        <f>IF(W493="via USD",IF(K493="EUR",K493&amp;"USD","USD"&amp;K493),IFERROR(VLOOKUP(K493&amp;S493,'FX RATES'!$H$2:$H$20,1,FALSE),S493&amp;K493))</f>
        <v>USDRUB</v>
      </c>
      <c r="AC493" s="175">
        <f>IF(LEFT(AB493,3)=RIGHT(AB493,3),0,IFERROR(INDEX(CLIENTS!$A$1:$O$649,MATCH(H493,CLIENTS!$A$1:$A$649,0),MATCH(AB493,CLIENTS!$A$1:$O$1,0)),0))</f>
        <v>0</v>
      </c>
      <c r="AD493" s="176"/>
      <c r="AE493" s="177" t="str">
        <f>IF(W493="CLIENT","",IF(AD493="",AH493+AC493,AD493+AC493))</f>
        <v/>
      </c>
      <c r="AF493" s="177" t="str">
        <f>E493&amp;AB493</f>
        <v>46063USDRUB</v>
      </c>
      <c r="AG493" s="176">
        <v>77.2</v>
      </c>
      <c r="AH493" s="178">
        <f ca="1">IF(LEFT(AB493,3)=RIGHT(AB493,3),1,VLOOKUP(AB493,'FX RATES'!$H$1:$I$20,2,FALSE))</f>
        <v>76.720500000000001</v>
      </c>
      <c r="AI493" s="178">
        <f>IF(OR(AB493="USDAED",LEFT(AB493,3)=RIGHT(AB493,3)),AH493,IF(LEFT(AB493)="USD",AG493,IF(RIGHT(AB493,3)="USD",1,IFERROR(VLOOKUP(E493&amp;"USD"&amp;RIGHT(AB493,3),$AF:$AG,2,FALSE),VLOOKUP(E493&amp;"USD"&amp;RIGHT(AJ493,3),$AN:$AO,2,FALSE)))))</f>
        <v>77.2</v>
      </c>
      <c r="AJ493" s="173" t="str">
        <f>IF(W493="via USD",IF(S493="EUR",S493&amp;"USD","USD"&amp;S493),IFERROR(VLOOKUP(K493&amp;S493,'FX RATES'!$H$2:$H$20,1,FALSE),S493&amp;K493))</f>
        <v>USDRUB</v>
      </c>
      <c r="AK493" s="175">
        <f>IF(LEFT(AJ493,3)=RIGHT(AJ493,3),0,IFERROR(INDEX(CLIENTS!$A$1:$O$649,MATCH(P493,CLIENTS!$A$1:$A$649,0),MATCH(AJ493,CLIENTS!$A$1:$O$1,0)),0))</f>
        <v>0</v>
      </c>
      <c r="AL493" s="176">
        <v>77.650199999999998</v>
      </c>
      <c r="AM493" s="177">
        <f>IF(W493="VENDOR","",IF(AL493="",AP493+AK493,AL493+AK493))</f>
        <v>77.650199999999998</v>
      </c>
      <c r="AN493" s="177" t="str">
        <f>E493&amp;AJ493</f>
        <v>46063USDRUB</v>
      </c>
      <c r="AO493" s="176">
        <v>77.2</v>
      </c>
      <c r="AP493" s="178">
        <f ca="1">IF(LEFT(AJ493,3)=RIGHT(AJ493,3),1,VLOOKUP(AJ493,'FX RATES'!$H$1:$I$20,2,FALSE))</f>
        <v>76.720500000000001</v>
      </c>
      <c r="AQ493" s="178">
        <f>IF(OR(AJ493="USDAED",LEFT(AJ493,3)=RIGHT(AJ493,3)),AP493,IF(LEFT(AJ493)="USD",AO493,IF(RIGHT(AJ493,3)="USD",1,IFERROR(VLOOKUP(E493&amp;"USD"&amp;RIGHT(AJ493,3),$AN:$AO,2,FALSE),VLOOKUP(E493&amp;"USD"&amp;RIGHT(AB493,3),$AF:$AG,2,FALSE)))))</f>
        <v>77.2</v>
      </c>
      <c r="AR493" s="179">
        <f>-Q493*(1-Z493)/(1+X493)*IF(W493="CLIENT",IF(S493=RIGHT(AJ493,3),1/AM493,AM493),IF(W493="VENDOR",IF(S493=RIGHT(AJ493,3),1/AE493,AE493),AE493^(VLOOKUP(AB493,'FX RATES'!$H$1:$J$26,3,FALSE))/AM493^(VLOOKUP(AJ493,'FX RATES'!$H$1:$J$26,3,FALSE))))</f>
        <v>-235076.08580209711</v>
      </c>
      <c r="AS493" s="179">
        <f>-I493*(1+X493)/(1-Z493)*IF(W493="VENDOR",IF(K493=RIGHT(AB493,3),1/AE493,AE493),IF(W493="CLIENT",IF(K493=RIGHT(AB493,3),1/AM493,AM493),AM493^(VLOOKUP(AJ493,'FX RATES'!$H$1:$J$26,3,FALSE))/AE493^(VLOOKUP(AB493,'FX RATES'!$H$1:$J$26,3,FALSE))))</f>
        <v>18382330.749999996</v>
      </c>
      <c r="AT493" s="170">
        <f>IF(AB493&lt;&gt;AJ493,J493/IF(K493=RIGHT(AB493,3),AE493,1/AE493),IF(S493="USD",J493/IF(K493=RIGHT(AB493,3),IF(W493="CLIENT",AM493,AE493),1/IF(W493="CLIENT",AM493,AE493)),J493*VLOOKUP(K493,'FX RATES'!$E$1:$F$10,2,FALSE)))</f>
        <v>-235075.43360802674</v>
      </c>
      <c r="AU493" s="170">
        <f>IF(AB493&lt;&gt;AJ493,R493/IF(S493=RIGHT(AJ493,3),AM493,1/AM493),IF(K493="USD",R493/IF(S493=RIGHT(AJ493,3),IF(W493="CLIENT",AM493,AE493),1/IF(W493="CLIENT",AM493,AE493)),R493*VLOOKUP(S493,'FX RATES'!$E$1:$F$10,2,FALSE)))</f>
        <v>236733.21833040996</v>
      </c>
      <c r="AV493" s="170">
        <f>AT493+AU493</f>
        <v>1657.7847223832214</v>
      </c>
      <c r="AW493" s="169"/>
      <c r="AX493" s="170">
        <f>IF(AND(ISERROR(SEARCH("INVOICE",T493)),ISERROR(SEARCH("SWITCH",T493)),ISERROR(SEARCH("FOREX",T493)),ISERROR(SEARCH("REFUND",A493)),ISERROR(SEARCH("CANCELLED",A493))),IF(AW493="",-AT493*X493+AU493*Z493,AW493),0)</f>
        <v>1657.1325283128697</v>
      </c>
      <c r="AY493" s="170">
        <f>IF(AZ493="USD",AT493,IF(AZ493=K493,J493,-R493))</f>
        <v>-235075.43360802674</v>
      </c>
      <c r="AZ493" s="170" t="str">
        <f>LEFT(AB493,3)</f>
        <v>USD</v>
      </c>
      <c r="BA493" s="542">
        <f>IF(OR(A493="REFUND",A493="CANCELLED"),0,IFERROR((IF(OR(AB493="USDAED",LEFT(AB493,3)=RIGHT(AB493,3)),AI493,AG493)-AE493)*-AY493*VLOOKUP(AB493,'FX RATES'!$H$1:$J$26,3,FALSE),0))</f>
        <v>0</v>
      </c>
      <c r="BB493" s="170" t="str">
        <f>RIGHT(AB493,3)</f>
        <v>RUB</v>
      </c>
      <c r="BC493" s="542">
        <f>IF(BA493=0,0,IFERROR(BA493/IF(BB493&lt;&gt;"USD",AI493,1),"???"))</f>
        <v>0</v>
      </c>
      <c r="BD493" s="170">
        <f>IFERROR(-AC493/(IF(OR(AB493="USDAED",LEFT(AB493,3)=RIGHT(AB493,3)),AH493,AG493)-AE493)*BC493,0)</f>
        <v>0</v>
      </c>
      <c r="BE493" s="542">
        <f>BC493-BD493</f>
        <v>0</v>
      </c>
      <c r="BF493" s="170">
        <f>IF(BG493="USD",AU493,IF(BG493=S493,R493,-J493))</f>
        <v>236733.21833040996</v>
      </c>
      <c r="BG493" s="170" t="str">
        <f>LEFT(AJ493,3)</f>
        <v>USD</v>
      </c>
      <c r="BH493" s="542">
        <f>IF(OR(A493="REFUND",A493="CANCELLED"),0,IFERROR((IF(OR(AJ493="USDAED",LEFT(AJ493,3)=RIGHT(AJ493,3)),AQ493,AO493)-AM493)*-BF493*VLOOKUP(AJ493,'FX RATES'!$H$1:$J$26,3,FALSE),0))</f>
        <v>106577.29489234944</v>
      </c>
      <c r="BI493" s="170" t="str">
        <f>RIGHT(AJ493,3)</f>
        <v>RUB</v>
      </c>
      <c r="BJ493" s="542">
        <f>IF(BH493=0,0,IFERROR(BH493/IF(BI493&lt;&gt;"USD",AQ493,1),"???"))</f>
        <v>1380.5349079319876</v>
      </c>
      <c r="BK493" s="170">
        <f>IFERROR(-AK493/(IF(OR(AJ493="USDAED",LEFT(AJ493,3)=RIGHT(AJ493,3)),AP493,AO493)-AM493)*BJ493,0)</f>
        <v>0</v>
      </c>
      <c r="BL493" s="542">
        <f>BJ493-BK493</f>
        <v>1380.5349079319876</v>
      </c>
      <c r="BM493" s="170">
        <f>IF(AND(ISERROR(SEARCH("REFUND",A493)),ISERROR(SEARCH("CANCELLED",A493))),BD493+BK493,0)</f>
        <v>0</v>
      </c>
      <c r="BN493" s="542">
        <f>IF(AND(ISERROR(SEARCH("REFUND",A493)),ISERROR(SEARCH("CANCELLED",A493))),BE493+BL493,0)</f>
        <v>1380.5349079319876</v>
      </c>
    </row>
    <row r="494" spans="1:66" ht="19.5" customHeight="1">
      <c r="A494" s="167" t="s">
        <v>601</v>
      </c>
      <c r="B494" s="168" t="s">
        <v>39</v>
      </c>
      <c r="C494" s="168" t="s">
        <v>383</v>
      </c>
      <c r="D494" s="168" t="s">
        <v>128</v>
      </c>
      <c r="E494" s="171">
        <v>46063</v>
      </c>
      <c r="F494" s="171"/>
      <c r="G494" s="168" t="s">
        <v>39</v>
      </c>
      <c r="H494" s="168" t="s">
        <v>384</v>
      </c>
      <c r="I494" s="169">
        <v>-230482000</v>
      </c>
      <c r="J494" s="170">
        <f>IF(I494="",AR494,I494)</f>
        <v>-230482000</v>
      </c>
      <c r="K494" s="168" t="s">
        <v>9</v>
      </c>
      <c r="L494" s="171" t="s">
        <v>374</v>
      </c>
      <c r="M494" s="168" t="s">
        <v>374</v>
      </c>
      <c r="N494" s="167" t="s">
        <v>553</v>
      </c>
      <c r="O494" s="168" t="s">
        <v>39</v>
      </c>
      <c r="P494" s="349" t="s">
        <v>384</v>
      </c>
      <c r="Q494" s="169"/>
      <c r="R494" s="170">
        <f>IF(Q494="",AS494,Q494)</f>
        <v>10913490.222074909</v>
      </c>
      <c r="S494" s="168" t="s">
        <v>8</v>
      </c>
      <c r="T494" s="171" t="s">
        <v>385</v>
      </c>
      <c r="U494" s="168" t="s">
        <v>20</v>
      </c>
      <c r="V494" s="167" t="s">
        <v>371</v>
      </c>
      <c r="W494" s="172" t="s">
        <v>382</v>
      </c>
      <c r="X494" s="173">
        <f>IF(Y494="",VLOOKUP(H494,CLIENTS!$A$1:$O$649,5,FALSE),Y494)</f>
        <v>0</v>
      </c>
      <c r="Y494" s="174">
        <v>0</v>
      </c>
      <c r="Z494" s="173">
        <f>IF(AA494="",VLOOKUP(P494,CLIENTS!$A$1:$O$649,5,FALSE),AA494)</f>
        <v>0</v>
      </c>
      <c r="AA494" s="174">
        <v>0</v>
      </c>
      <c r="AB494" s="173" t="str">
        <f>IF(W494="via USD",IF(K494="EUR",K494&amp;"USD","USD"&amp;K494),IFERROR(VLOOKUP(K494&amp;S494,'FX RATES'!$H$2:$H$20,1,FALSE),S494&amp;K494))</f>
        <v>AEDRUB</v>
      </c>
      <c r="AC494" s="175">
        <f>IF(LEFT(AB494,3)=RIGHT(AB494,3),0,IFERROR(INDEX(CLIENTS!$A$1:$O$649,MATCH(H494,CLIENTS!$A$1:$A$649,0),MATCH(AB494,CLIENTS!$A$1:$O$1,0)),0))</f>
        <v>0</v>
      </c>
      <c r="AD494" s="176">
        <v>21.119</v>
      </c>
      <c r="AE494" s="177">
        <f>IF(W494="CLIENT","",IF(AD494="",AH494+AC494,AD494+AC494))</f>
        <v>21.119</v>
      </c>
      <c r="AF494" s="177" t="str">
        <f>E494&amp;AB494</f>
        <v>46063AEDRUB</v>
      </c>
      <c r="AG494" s="176">
        <v>21.021100000000001</v>
      </c>
      <c r="AH494" s="178">
        <f ca="1">IF(LEFT(AB494,3)=RIGHT(AB494,3),1,VLOOKUP(AB494,'FX RATES'!$H$1:$I$20,2,FALSE))</f>
        <v>20.8843</v>
      </c>
      <c r="AI494" s="178">
        <f>IF(OR(AB494="USDAED",LEFT(AB494,3)=RIGHT(AB494,3)),AH494,IF(LEFT(AB494)="USD",AG494,IF(RIGHT(AB494,3)="USD",1,IFERROR(VLOOKUP(E494&amp;"USD"&amp;RIGHT(AB494,3),$AF:$AG,2,FALSE),VLOOKUP(E494&amp;"USD"&amp;RIGHT(AJ494,3),$AN:$AO,2,FALSE)))))</f>
        <v>77.2</v>
      </c>
      <c r="AJ494" s="173" t="str">
        <f>IF(W494="via USD",IF(S494="EUR",S494&amp;"USD","USD"&amp;S494),IFERROR(VLOOKUP(K494&amp;S494,'FX RATES'!$H$2:$H$20,1,FALSE),S494&amp;K494))</f>
        <v>AEDRUB</v>
      </c>
      <c r="AK494" s="175">
        <f>IF(LEFT(AJ494,3)=RIGHT(AJ494,3),0,IFERROR(INDEX(CLIENTS!$A$1:$O$649,MATCH(P494,CLIENTS!$A$1:$A$649,0),MATCH(AJ494,CLIENTS!$A$1:$O$1,0)),0))</f>
        <v>0</v>
      </c>
      <c r="AL494" s="176"/>
      <c r="AM494" s="177" t="str">
        <f>IF(W494="VENDOR","",IF(AL494="",AP494+AK494,AL494+AK494))</f>
        <v/>
      </c>
      <c r="AN494" s="177" t="str">
        <f>E494&amp;AJ494</f>
        <v>46063AEDRUB</v>
      </c>
      <c r="AO494" s="176"/>
      <c r="AP494" s="178">
        <f ca="1">IF(LEFT(AJ494,3)=RIGHT(AJ494,3),1,VLOOKUP(AJ494,'FX RATES'!$H$1:$I$20,2,FALSE))</f>
        <v>20.8843</v>
      </c>
      <c r="AQ494" s="178">
        <f>IF(OR(AJ494="USDAED",LEFT(AJ494,3)=RIGHT(AJ494,3)),AP494,IF(LEFT(AJ494)="USD",AO494,IF(RIGHT(AJ494,3)="USD",1,IFERROR(VLOOKUP(E494&amp;"USD"&amp;RIGHT(AJ494,3),$AN:$AO,2,FALSE),VLOOKUP(E494&amp;"USD"&amp;RIGHT(AB494,3),$AF:$AG,2,FALSE)))))</f>
        <v>77.2</v>
      </c>
      <c r="AR494" s="179">
        <f>-Q494*(1-Z494)/(1+X494)*IF(W494="CLIENT",IF(S494=RIGHT(AJ494,3),1/AM494,AM494),IF(W494="VENDOR",IF(S494=RIGHT(AJ494,3),1/AE494,AE494),AE494^(VLOOKUP(AB494,'FX RATES'!$H$1:$J$26,3,FALSE))/AM494^(VLOOKUP(AJ494,'FX RATES'!$H$1:$J$26,3,FALSE))))</f>
        <v>0</v>
      </c>
      <c r="AS494" s="179">
        <f>-I494*(1+X494)/(1-Z494)*IF(W494="VENDOR",IF(K494=RIGHT(AB494,3),1/AE494,AE494),IF(W494="CLIENT",IF(K494=RIGHT(AB494,3),1/AM494,AM494),AM494^(VLOOKUP(AJ494,'FX RATES'!$H$1:$J$26,3,FALSE))/AE494^(VLOOKUP(AB494,'FX RATES'!$H$1:$J$26,3,FALSE))))</f>
        <v>10913490.222074909</v>
      </c>
      <c r="AT494" s="170">
        <f ca="1">IF(AB494&lt;&gt;AJ494,J494/IF(K494=RIGHT(AB494,3),AE494,1/AE494),IF(S494="USD",J494/IF(K494=RIGHT(AB494,3),IF(W494="CLIENT",AM494,AE494),1/IF(W494="CLIENT",AM494,AE494)),J494*VLOOKUP(K494,'FX RATES'!$E$1:$F$10,2,FALSE)))</f>
        <v>-3004177.5014500688</v>
      </c>
      <c r="AU494" s="170">
        <f ca="1">IF(AB494&lt;&gt;AJ494,R494/IF(S494=RIGHT(AJ494,3),AM494,1/AM494),IF(K494="USD",R494/IF(S494=RIGHT(AJ494,3),IF(W494="CLIENT",AM494,AE494),1/IF(W494="CLIENT",AM494,AE494)),R494*VLOOKUP(S494,'FX RATES'!$E$1:$F$10,2,FALSE)))</f>
        <v>2971597.8386088624</v>
      </c>
      <c r="AV494" s="170">
        <f ca="1">AT494+AU494</f>
        <v>-32579.662841206416</v>
      </c>
      <c r="AW494" s="169"/>
      <c r="AX494" s="170">
        <f ca="1">IF(AND(ISERROR(SEARCH("INVOICE",T494)),ISERROR(SEARCH("SWITCH",T494)),ISERROR(SEARCH("FOREX",T494)),ISERROR(SEARCH("REFUND",A494)),ISERROR(SEARCH("CANCELLED",A494))),IF(AW494="",-AT494*X494+AU494*Z494,AW494),0)</f>
        <v>0</v>
      </c>
      <c r="AY494" s="170">
        <f>IF(AZ494="USD",AT494,IF(AZ494=K494,J494,-R494))</f>
        <v>-10913490.222074909</v>
      </c>
      <c r="AZ494" s="170" t="str">
        <f>LEFT(AB494,3)</f>
        <v>AED</v>
      </c>
      <c r="BA494" s="542">
        <f>IF(OR(A494="REFUND",A494="CANCELLED"),0,IFERROR((IF(OR(AB494="USDAED",LEFT(AB494,3)=RIGHT(AB494,3)),AI494,AG494)-AE494)*-AY494*VLOOKUP(AB494,'FX RATES'!$H$1:$J$26,3,FALSE),0))</f>
        <v>-1068430.6927411249</v>
      </c>
      <c r="BB494" s="170" t="str">
        <f>RIGHT(AB494,3)</f>
        <v>RUB</v>
      </c>
      <c r="BC494" s="542">
        <f>IF(BA494=0,0,IFERROR(BA494/IF(BB494&lt;&gt;"USD",AI494,1),"???"))</f>
        <v>-13839.775812708871</v>
      </c>
      <c r="BD494" s="170">
        <f>IFERROR(-AC494/(IF(OR(AB494="USDAED",LEFT(AB494,3)=RIGHT(AB494,3)),AH494,AG494)-AE494)*BC494,0)</f>
        <v>0</v>
      </c>
      <c r="BE494" s="542">
        <f>BC494-BD494</f>
        <v>-13839.775812708871</v>
      </c>
      <c r="BF494" s="170">
        <f>IF(BG494="USD",AU494,IF(BG494=S494,R494,-J494))</f>
        <v>10913490.222074909</v>
      </c>
      <c r="BG494" s="170" t="str">
        <f>LEFT(AJ494,3)</f>
        <v>AED</v>
      </c>
      <c r="BH494" s="542">
        <f>IF(OR(A494="REFUND",A494="CANCELLED"),0,IFERROR((IF(OR(AJ494="USDAED",LEFT(AJ494,3)=RIGHT(AJ494,3)),AQ494,AO494)-AM494)*-BF494*VLOOKUP(AJ494,'FX RATES'!$H$1:$J$26,3,FALSE),0))</f>
        <v>0</v>
      </c>
      <c r="BI494" s="170" t="str">
        <f>RIGHT(AJ494,3)</f>
        <v>RUB</v>
      </c>
      <c r="BJ494" s="542">
        <f>IF(BH494=0,0,IFERROR(BH494/IF(BI494&lt;&gt;"USD",AQ494,1),"???"))</f>
        <v>0</v>
      </c>
      <c r="BK494" s="170">
        <f>IFERROR(-AK494/(IF(OR(AJ494="USDAED",LEFT(AJ494,3)=RIGHT(AJ494,3)),AP494,AO494)-AM494)*BJ494,0)</f>
        <v>0</v>
      </c>
      <c r="BL494" s="542">
        <f>BJ494-BK494</f>
        <v>0</v>
      </c>
      <c r="BM494" s="170">
        <f>IF(AND(ISERROR(SEARCH("REFUND",A494)),ISERROR(SEARCH("CANCELLED",A494))),BD494+BK494,0)</f>
        <v>0</v>
      </c>
      <c r="BN494" s="542">
        <f>IF(AND(ISERROR(SEARCH("REFUND",A494)),ISERROR(SEARCH("CANCELLED",A494))),BE494+BL494,0)</f>
        <v>-13839.775812708871</v>
      </c>
    </row>
    <row r="495" spans="1:66" ht="19.5" customHeight="1">
      <c r="A495" s="167"/>
      <c r="B495" s="182"/>
      <c r="C495" s="182"/>
      <c r="D495" s="182"/>
      <c r="E495" s="184"/>
      <c r="F495" s="184"/>
      <c r="G495" s="182"/>
      <c r="H495" s="182"/>
      <c r="I495" s="170"/>
      <c r="J495" s="170"/>
      <c r="K495" s="182"/>
      <c r="L495" s="184"/>
      <c r="M495" s="182"/>
      <c r="O495" s="182"/>
      <c r="P495" s="444"/>
      <c r="Q495" s="170"/>
      <c r="R495" s="170"/>
      <c r="S495" s="182"/>
      <c r="T495" s="184"/>
      <c r="U495" s="182"/>
      <c r="X495" s="173"/>
      <c r="Y495" s="173"/>
      <c r="Z495" s="173"/>
      <c r="AA495" s="173"/>
      <c r="AB495" s="173"/>
      <c r="AC495" s="175"/>
      <c r="AD495" s="177"/>
      <c r="AE495" s="177"/>
      <c r="AF495" s="177"/>
      <c r="AG495" s="177"/>
      <c r="AH495" s="178"/>
      <c r="AI495" s="178"/>
      <c r="AJ495" s="173"/>
      <c r="AK495" s="175"/>
      <c r="AL495" s="177"/>
      <c r="AM495" s="177"/>
      <c r="AN495" s="177"/>
      <c r="AO495" s="177"/>
      <c r="AP495" s="178"/>
      <c r="AQ495" s="178"/>
      <c r="AR495" s="185"/>
      <c r="AS495" s="185"/>
      <c r="AT495" s="170"/>
      <c r="AU495" s="170"/>
      <c r="AV495" s="170"/>
      <c r="AW495" s="170"/>
      <c r="AX495" s="170"/>
      <c r="AY495" s="170"/>
      <c r="AZ495" s="170"/>
      <c r="BA495" s="542"/>
      <c r="BB495" s="170"/>
      <c r="BC495" s="542"/>
      <c r="BD495" s="170"/>
      <c r="BE495" s="542"/>
      <c r="BF495" s="170"/>
      <c r="BG495" s="170"/>
      <c r="BH495" s="542"/>
      <c r="BI495" s="170"/>
      <c r="BJ495" s="542"/>
      <c r="BK495" s="170"/>
      <c r="BL495" s="542"/>
      <c r="BM495" s="170"/>
      <c r="BN495" s="542"/>
    </row>
    <row r="496" spans="1:66" ht="19.5" customHeight="1">
      <c r="A496" s="167" t="s">
        <v>601</v>
      </c>
      <c r="B496" s="181" t="s">
        <v>39</v>
      </c>
      <c r="C496" s="181" t="s">
        <v>367</v>
      </c>
      <c r="D496" s="181" t="s">
        <v>418</v>
      </c>
      <c r="E496" s="171">
        <v>46063</v>
      </c>
      <c r="F496" s="171"/>
      <c r="G496" s="181" t="s">
        <v>39</v>
      </c>
      <c r="H496" s="168" t="s">
        <v>428</v>
      </c>
      <c r="I496" s="169">
        <v>-479500</v>
      </c>
      <c r="J496" s="170">
        <f>IF(I496="",AR496,I496)</f>
        <v>-479500</v>
      </c>
      <c r="K496" s="168" t="s">
        <v>5</v>
      </c>
      <c r="L496" s="168" t="s">
        <v>378</v>
      </c>
      <c r="M496" s="168" t="s">
        <v>20</v>
      </c>
      <c r="N496" s="167" t="s">
        <v>553</v>
      </c>
      <c r="O496" s="168" t="s">
        <v>52</v>
      </c>
      <c r="P496" s="168" t="s">
        <v>428</v>
      </c>
      <c r="Q496" s="169"/>
      <c r="R496" s="170">
        <f>IF(Q496="",AS496,Q496)</f>
        <v>480460.92184368736</v>
      </c>
      <c r="S496" s="168" t="s">
        <v>53</v>
      </c>
      <c r="T496" s="168" t="s">
        <v>420</v>
      </c>
      <c r="U496" s="168" t="s">
        <v>54</v>
      </c>
      <c r="V496" s="167" t="s">
        <v>371</v>
      </c>
      <c r="W496" s="172" t="s">
        <v>375</v>
      </c>
      <c r="X496" s="173">
        <f>IF(Y496="",VLOOKUP(H496,CLIENTS!$A$1:$O$649,5,FALSE),Y496)</f>
        <v>0</v>
      </c>
      <c r="Y496" s="174">
        <v>0</v>
      </c>
      <c r="Z496" s="173">
        <f>IF(AA496="",VLOOKUP(P496,CLIENTS!$A$1:$O$649,5,FALSE),AA496)</f>
        <v>2E-3</v>
      </c>
      <c r="AA496" s="174">
        <v>2E-3</v>
      </c>
      <c r="AB496" s="173" t="str">
        <f>IF(W496="via USD",IF(K496="EUR",K496&amp;"USD","USD"&amp;K496),IFERROR(VLOOKUP(K496&amp;S496,'FX RATES'!$H$2:$H$20,1,FALSE),S496&amp;K496))</f>
        <v>USDUSD</v>
      </c>
      <c r="AC496" s="175">
        <f>IF(LEFT(AB496,3)=RIGHT(AB496,3),0,IFERROR(INDEX(CLIENTS!$A$1:$O$649,MATCH(H496,CLIENTS!$A$1:$A$649,0),MATCH(AB496,CLIENTS!$A$1:$O$1,0)),0))</f>
        <v>0</v>
      </c>
      <c r="AD496" s="176"/>
      <c r="AE496" s="177">
        <f>IF(W496="CLIENT","",IF(AD496="",AH496+AC496,AD496+AC496))</f>
        <v>1</v>
      </c>
      <c r="AF496" s="177" t="str">
        <f>E496&amp;AB496</f>
        <v>46063USDUSD</v>
      </c>
      <c r="AG496" s="176"/>
      <c r="AH496" s="178">
        <f>IF(LEFT(AB496,3)=RIGHT(AB496,3),1,VLOOKUP(AB496,'FX RATES'!$H$1:$I$20,2,FALSE))</f>
        <v>1</v>
      </c>
      <c r="AI496" s="178">
        <f>IF(OR(AB496="USDAED",LEFT(AB496,3)=RIGHT(AB496,3)),AH496,IF(LEFT(AB496)="USD",AG496,IF(RIGHT(AB496,3)="USD",1,IFERROR(VLOOKUP(E496&amp;"USD"&amp;RIGHT(AB496,3),$AF:$AG,2,FALSE),VLOOKUP(E496&amp;"USD"&amp;RIGHT(AJ496,3),$AN:$AO,2,FALSE)))))</f>
        <v>1</v>
      </c>
      <c r="AJ496" s="173" t="str">
        <f>IF(W496="via USD",IF(S496="EUR",S496&amp;"USD","USD"&amp;S496),IFERROR(VLOOKUP(K496&amp;S496,'FX RATES'!$H$2:$H$20,1,FALSE),S496&amp;K496))</f>
        <v>USDUSDT</v>
      </c>
      <c r="AK496" s="175">
        <f>IF(LEFT(AJ496,3)=RIGHT(AJ496,3),0,IFERROR(INDEX(CLIENTS!$A$1:$O$649,MATCH(P496,CLIENTS!$A$1:$A$649,0),MATCH(AJ496,CLIENTS!$A$1:$O$1,0)),0))</f>
        <v>0</v>
      </c>
      <c r="AL496" s="176"/>
      <c r="AM496" s="177">
        <f>IF(W496="VENDOR","",IF(AL496="",AP496+AK496,AL496+AK496))</f>
        <v>1</v>
      </c>
      <c r="AN496" s="177" t="str">
        <f>E496&amp;AJ496</f>
        <v>46063USDUSDT</v>
      </c>
      <c r="AO496" s="176">
        <v>1</v>
      </c>
      <c r="AP496" s="178">
        <f>IF(LEFT(AJ496,3)=RIGHT(AJ496,3),1,VLOOKUP(AJ496,'FX RATES'!$H$1:$I$50,2,FALSE))</f>
        <v>1</v>
      </c>
      <c r="AQ496" s="178">
        <f>IF(OR(AJ496="USDAED",LEFT(AJ496,3)=RIGHT(AJ496,3),AJ496="USDUSDT",AJ496="USDTUSD"),AP496,IF(LEFT(AJ496)="USD",AO496,IF(RIGHT(AJ496,3)="USD",1,IFERROR(VLOOKUP(E496&amp;"USD"&amp;RIGHT(AJ496,3),$AN:$AO,2,FALSE),VLOOKUP(E496&amp;"USD"&amp;RIGHT(AB496,3),$AF:$AG,2,FALSE)))))</f>
        <v>1</v>
      </c>
      <c r="AR496" s="179">
        <f>-Q496*(1-Z496)/(1+X496)*IF(W496="CLIENT",IF(S496=RIGHT(AJ496,3),1/AM496,AM496),IF(W496="VENDOR",IF(S496=RIGHT(AJ496,3),1/AE496,AE496),AE496^(VLOOKUP(AB496,'FX RATES'!$H$1:$J$26,3,FALSE))/AM496^(VLOOKUP(AJ496,'FX RATES'!$H$1:$J$26,3,FALSE))))</f>
        <v>0</v>
      </c>
      <c r="AS496" s="179">
        <f>-I496*(1+X496)/(1-Z496)*IF(W496="VENDOR",IF(K496=RIGHT(AB496,3),1/AE496,AE496),IF(W496="CLIENT",IF(K496=RIGHT(AB496,3),1/AM496,AM496),AM496^(VLOOKUP(AJ496,'FX RATES'!$H$1:$J$26,3,FALSE))/AE496^(VLOOKUP(AB496,'FX RATES'!$H$1:$J$26,3,FALSE))))</f>
        <v>480460.92184368736</v>
      </c>
      <c r="AT496" s="170">
        <f>IF(AB496&lt;&gt;AJ496,J496/IF(K496=RIGHT(AB496,3),AE496,1/AE496),IF(S496="USD",J496/IF(K496=RIGHT(AB496,3),IF(W496="CLIENT",AM496,AE496),1/IF(W496="CLIENT",AM496,AE496)),J496*VLOOKUP(K496,'FX RATES'!$E$1:$F$10,2,FALSE)))</f>
        <v>-479500</v>
      </c>
      <c r="AU496" s="170">
        <f>IF(AB496&lt;&gt;AJ496,R496/IF(S496=RIGHT(AJ496,3),AM496,1/AM496),IF(K496="USD",R496/IF(S496=RIGHT(AJ496,3),IF(W496="CLIENT",AM496,AE496),1/IF(W496="CLIENT",AM496,AE496)),R496*VLOOKUP(S496,'FX RATES'!$E$1:$F$10,2,FALSE)))</f>
        <v>480460.92184368736</v>
      </c>
      <c r="AV496" s="170">
        <f>AT496+AU496</f>
        <v>960.92184368736343</v>
      </c>
      <c r="AW496" s="169"/>
      <c r="AX496" s="170">
        <f>IF(AND(ISERROR(SEARCH("INVOICE",T496)),ISERROR(SEARCH("SWITCH",T496)),ISERROR(SEARCH("FOREX",T496)),ISERROR(SEARCH("REFUND",A496)),ISERROR(SEARCH("CANCELLED",A496))),IF(AW496="",-AT496*X496+AU496*Z496,AW496),0)</f>
        <v>960.9218436873748</v>
      </c>
      <c r="AY496" s="170">
        <f>IF(AZ496="USD",AT496,IF(AZ496=K496,J496,-R496))</f>
        <v>-479500</v>
      </c>
      <c r="AZ496" s="170" t="str">
        <f>LEFT(AB496,3)</f>
        <v>USD</v>
      </c>
      <c r="BA496" s="542">
        <f>IF(OR(A496="REFUND",A496="CANCELLED"),0,IFERROR((IF(OR(AB496="USDAED",LEFT(AB496,3)=RIGHT(AB496,3)),AI496,AG496)-AE496)*-AY496*VLOOKUP(AB496,'FX RATES'!$H$1:$J$26,3,FALSE),0))</f>
        <v>0</v>
      </c>
      <c r="BB496" s="170" t="str">
        <f>RIGHT(AB496,3)</f>
        <v>USD</v>
      </c>
      <c r="BC496" s="542">
        <f>IF(BA496=0,0,IFERROR(BA496/IF(BB496&lt;&gt;"USD",AI496,1),"???"))</f>
        <v>0</v>
      </c>
      <c r="BD496" s="170">
        <f>IFERROR(-AC496/(IF(OR(AB496="USDAED",LEFT(AB496,3)=RIGHT(AB496,3)),AH496,AG496)-AE496)*BC496,0)</f>
        <v>0</v>
      </c>
      <c r="BE496" s="542">
        <f>BC496-BD496</f>
        <v>0</v>
      </c>
      <c r="BF496" s="170">
        <f>IF(BG496="USD",AU496,IF(BG496=S496,R496,-J496))</f>
        <v>480460.92184368736</v>
      </c>
      <c r="BG496" s="170" t="str">
        <f>LEFT(AJ496,3)</f>
        <v>USD</v>
      </c>
      <c r="BH496" s="542">
        <f>IF(OR(A496="REFUND",A496="CANCELLED"),0,IFERROR((IF(OR(AJ496="USDAED",LEFT(AJ496,3)=RIGHT(AJ496,3),AJ496="USDUSDT",AJ496="USDTUSD"),AQ496,AO496)-AM496)*-BF496*VLOOKUP(AJ496,'FX RATES'!$H$1:$J$26,3,FALSE),0))</f>
        <v>0</v>
      </c>
      <c r="BI496" s="170" t="str">
        <f>RIGHT(AJ496,4)</f>
        <v>USDT</v>
      </c>
      <c r="BJ496" s="542">
        <f>IF(BH496=0,0,IFERROR(BH496/IF(BI496&lt;&gt;"USD",AQ496,1),"???"))</f>
        <v>0</v>
      </c>
      <c r="BK496" s="170">
        <f>IFERROR(-AK496/(IF(OR(AJ496="USDAED",LEFT(AJ496,3)=RIGHT(AJ496,3)),AP496,AO496)-AM496)*BJ496,0)</f>
        <v>0</v>
      </c>
      <c r="BL496" s="542">
        <f>BJ496-BK496</f>
        <v>0</v>
      </c>
      <c r="BM496" s="170">
        <f>IF(AND(ISERROR(SEARCH("REFUND",A496)),ISERROR(SEARCH("CANCELLED",A496))),BD496+BK496,0)</f>
        <v>0</v>
      </c>
      <c r="BN496" s="542">
        <f>IF(AND(ISERROR(SEARCH("REFUND",A496)),ISERROR(SEARCH("CANCELLED",A496))),BE496+BL496,0)</f>
        <v>0</v>
      </c>
    </row>
    <row r="497" spans="1:66" ht="19.5" customHeight="1">
      <c r="A497" s="167" t="s">
        <v>601</v>
      </c>
      <c r="B497" s="181" t="s">
        <v>39</v>
      </c>
      <c r="C497" s="181" t="s">
        <v>367</v>
      </c>
      <c r="D497" s="181" t="s">
        <v>418</v>
      </c>
      <c r="E497" s="171">
        <v>46063</v>
      </c>
      <c r="F497" s="171"/>
      <c r="G497" s="181" t="s">
        <v>39</v>
      </c>
      <c r="H497" s="168" t="s">
        <v>606</v>
      </c>
      <c r="I497" s="169">
        <v>-518500</v>
      </c>
      <c r="J497" s="170">
        <f>IF(I497="",AR497,I497)</f>
        <v>-518500</v>
      </c>
      <c r="K497" s="168" t="s">
        <v>5</v>
      </c>
      <c r="L497" s="168" t="s">
        <v>51</v>
      </c>
      <c r="M497" s="168" t="s">
        <v>20</v>
      </c>
      <c r="N497" s="167" t="s">
        <v>553</v>
      </c>
      <c r="O497" s="168" t="s">
        <v>52</v>
      </c>
      <c r="P497" s="168" t="s">
        <v>428</v>
      </c>
      <c r="Q497" s="169"/>
      <c r="R497" s="170">
        <f>IF(Q497="",AS497,Q497)</f>
        <v>519539.07815631264</v>
      </c>
      <c r="S497" s="168" t="s">
        <v>53</v>
      </c>
      <c r="T497" s="168" t="s">
        <v>420</v>
      </c>
      <c r="U497" s="168" t="s">
        <v>54</v>
      </c>
      <c r="V497" s="167" t="s">
        <v>371</v>
      </c>
      <c r="W497" s="172" t="s">
        <v>375</v>
      </c>
      <c r="X497" s="173">
        <f>IF(Y497="",VLOOKUP(H497,CLIENTS!$A$1:$O$649,5,FALSE),Y497)</f>
        <v>0</v>
      </c>
      <c r="Y497" s="174">
        <v>0</v>
      </c>
      <c r="Z497" s="173">
        <f>IF(AA497="",VLOOKUP(P497,CLIENTS!$A$1:$O$649,5,FALSE),AA497)</f>
        <v>2E-3</v>
      </c>
      <c r="AA497" s="174">
        <v>2E-3</v>
      </c>
      <c r="AB497" s="173" t="str">
        <f>IF(W497="via USD",IF(K497="EUR",K497&amp;"USD","USD"&amp;K497),IFERROR(VLOOKUP(K497&amp;S497,'FX RATES'!$H$2:$H$20,1,FALSE),S497&amp;K497))</f>
        <v>USDUSD</v>
      </c>
      <c r="AC497" s="175">
        <f>IF(LEFT(AB497,3)=RIGHT(AB497,3),0,IFERROR(INDEX(CLIENTS!$A$1:$O$649,MATCH(H497,CLIENTS!$A$1:$A$649,0),MATCH(AB497,CLIENTS!$A$1:$O$1,0)),0))</f>
        <v>0</v>
      </c>
      <c r="AD497" s="176"/>
      <c r="AE497" s="177">
        <f>IF(W497="CLIENT","",IF(AD497="",AH497+AC497,AD497+AC497))</f>
        <v>1</v>
      </c>
      <c r="AF497" s="177" t="str">
        <f>E497&amp;AB497</f>
        <v>46063USDUSD</v>
      </c>
      <c r="AG497" s="176"/>
      <c r="AH497" s="178">
        <f>IF(LEFT(AB497,3)=RIGHT(AB497,3),1,VLOOKUP(AB497,'FX RATES'!$H$1:$I$20,2,FALSE))</f>
        <v>1</v>
      </c>
      <c r="AI497" s="178">
        <f>IF(OR(AB497="USDAED",LEFT(AB497,3)=RIGHT(AB497,3)),AH497,IF(LEFT(AB497)="USD",AG497,IF(RIGHT(AB497,3)="USD",1,IFERROR(VLOOKUP(E497&amp;"USD"&amp;RIGHT(AB497,3),$AF:$AG,2,FALSE),VLOOKUP(E497&amp;"USD"&amp;RIGHT(AJ497,3),$AN:$AO,2,FALSE)))))</f>
        <v>1</v>
      </c>
      <c r="AJ497" s="173" t="str">
        <f>IF(W497="via USD",IF(S497="EUR",S497&amp;"USD","USD"&amp;S497),IFERROR(VLOOKUP(K497&amp;S497,'FX RATES'!$H$2:$H$20,1,FALSE),S497&amp;K497))</f>
        <v>USDUSDT</v>
      </c>
      <c r="AK497" s="175">
        <f>IF(LEFT(AJ497,3)=RIGHT(AJ497,3),0,IFERROR(INDEX(CLIENTS!$A$1:$O$649,MATCH(P497,CLIENTS!$A$1:$A$649,0),MATCH(AJ497,CLIENTS!$A$1:$O$1,0)),0))</f>
        <v>0</v>
      </c>
      <c r="AL497" s="176"/>
      <c r="AM497" s="177">
        <f>IF(W497="VENDOR","",IF(AL497="",AP497+AK497,AL497+AK497))</f>
        <v>1</v>
      </c>
      <c r="AN497" s="177" t="str">
        <f>E497&amp;AJ497</f>
        <v>46063USDUSDT</v>
      </c>
      <c r="AO497" s="176">
        <v>1</v>
      </c>
      <c r="AP497" s="178">
        <f>IF(LEFT(AJ497,3)=RIGHT(AJ497,3),1,VLOOKUP(AJ497,'FX RATES'!$H$1:$I$50,2,FALSE))</f>
        <v>1</v>
      </c>
      <c r="AQ497" s="178">
        <f>IF(OR(AJ497="USDAED",LEFT(AJ497,3)=RIGHT(AJ497,3),AJ497="USDUSDT",AJ497="USDTUSD"),AP497,IF(LEFT(AJ497)="USD",AO497,IF(RIGHT(AJ497,3)="USD",1,IFERROR(VLOOKUP(E497&amp;"USD"&amp;RIGHT(AJ497,3),$AN:$AO,2,FALSE),VLOOKUP(E497&amp;"USD"&amp;RIGHT(AB497,3),$AF:$AG,2,FALSE)))))</f>
        <v>1</v>
      </c>
      <c r="AR497" s="179">
        <f>-Q497*(1-Z497)/(1+X497)*IF(W497="CLIENT",IF(S497=RIGHT(AJ497,3),1/AM497,AM497),IF(W497="VENDOR",IF(S497=RIGHT(AJ497,3),1/AE497,AE497),AE497^(VLOOKUP(AB497,'FX RATES'!$H$1:$J$26,3,FALSE))/AM497^(VLOOKUP(AJ497,'FX RATES'!$H$1:$J$26,3,FALSE))))</f>
        <v>0</v>
      </c>
      <c r="AS497" s="179">
        <f>-I497*(1+X497)/(1-Z497)*IF(W497="VENDOR",IF(K497=RIGHT(AB497,3),1/AE497,AE497),IF(W497="CLIENT",IF(K497=RIGHT(AB497,3),1/AM497,AM497),AM497^(VLOOKUP(AJ497,'FX RATES'!$H$1:$J$26,3,FALSE))/AE497^(VLOOKUP(AB497,'FX RATES'!$H$1:$J$26,3,FALSE))))</f>
        <v>519539.07815631264</v>
      </c>
      <c r="AT497" s="170">
        <f>IF(AB497&lt;&gt;AJ497,J497/IF(K497=RIGHT(AB497,3),AE497,1/AE497),IF(S497="USD",J497/IF(K497=RIGHT(AB497,3),IF(W497="CLIENT",AM497,AE497),1/IF(W497="CLIENT",AM497,AE497)),J497*VLOOKUP(K497,'FX RATES'!$E$1:$F$10,2,FALSE)))</f>
        <v>-518500</v>
      </c>
      <c r="AU497" s="170">
        <f>IF(AB497&lt;&gt;AJ497,R497/IF(S497=RIGHT(AJ497,3),AM497,1/AM497),IF(K497="USD",R497/IF(S497=RIGHT(AJ497,3),IF(W497="CLIENT",AM497,AE497),1/IF(W497="CLIENT",AM497,AE497)),R497*VLOOKUP(S497,'FX RATES'!$E$1:$F$10,2,FALSE)))</f>
        <v>519539.07815631264</v>
      </c>
      <c r="AV497" s="170">
        <f>AT497+AU497</f>
        <v>1039.0781563126366</v>
      </c>
      <c r="AW497" s="169"/>
      <c r="AX497" s="170">
        <f>IF(AND(ISERROR(SEARCH("INVOICE",T497)),ISERROR(SEARCH("SWITCH",T497)),ISERROR(SEARCH("FOREX",T497)),ISERROR(SEARCH("REFUND",A497)),ISERROR(SEARCH("CANCELLED",A497))),IF(AW497="",-AT497*X497+AU497*Z497,AW497),0)</f>
        <v>1039.0781563126252</v>
      </c>
      <c r="AY497" s="170">
        <f>IF(AZ497="USD",AT497,IF(AZ497=K497,J497,-R497))</f>
        <v>-518500</v>
      </c>
      <c r="AZ497" s="170" t="str">
        <f>LEFT(AB497,3)</f>
        <v>USD</v>
      </c>
      <c r="BA497" s="542">
        <f>IF(OR(A497="REFUND",A497="CANCELLED"),0,IFERROR((IF(OR(AB497="USDAED",LEFT(AB497,3)=RIGHT(AB497,3)),AI497,AG497)-AE497)*-AY497*VLOOKUP(AB497,'FX RATES'!$H$1:$J$26,3,FALSE),0))</f>
        <v>0</v>
      </c>
      <c r="BB497" s="170" t="str">
        <f>RIGHT(AB497,3)</f>
        <v>USD</v>
      </c>
      <c r="BC497" s="542">
        <f>IF(BA497=0,0,IFERROR(BA497/IF(BB497&lt;&gt;"USD",AI497,1),"???"))</f>
        <v>0</v>
      </c>
      <c r="BD497" s="170">
        <f>IFERROR(-AC497/(IF(OR(AB497="USDAED",LEFT(AB497,3)=RIGHT(AB497,3)),AH497,AG497)-AE497)*BC497,0)</f>
        <v>0</v>
      </c>
      <c r="BE497" s="542">
        <f>BC497-BD497</f>
        <v>0</v>
      </c>
      <c r="BF497" s="170">
        <f>IF(BG497="USD",AU497,IF(BG497=S497,R497,-J497))</f>
        <v>519539.07815631264</v>
      </c>
      <c r="BG497" s="170" t="str">
        <f>LEFT(AJ497,3)</f>
        <v>USD</v>
      </c>
      <c r="BH497" s="542">
        <f>IF(OR(A497="REFUND",A497="CANCELLED"),0,IFERROR((IF(OR(AJ497="USDAED",LEFT(AJ497,3)=RIGHT(AJ497,3),AJ497="USDUSDT",AJ497="USDTUSD"),AQ497,AO497)-AM497)*-BF497*VLOOKUP(AJ497,'FX RATES'!$H$1:$J$26,3,FALSE),0))</f>
        <v>0</v>
      </c>
      <c r="BI497" s="170" t="str">
        <f>RIGHT(AJ497,4)</f>
        <v>USDT</v>
      </c>
      <c r="BJ497" s="542">
        <f>IF(BH497=0,0,IFERROR(BH497/IF(BI497&lt;&gt;"USD",AQ497,1),"???"))</f>
        <v>0</v>
      </c>
      <c r="BK497" s="170">
        <f>IFERROR(-AK497/(IF(OR(AJ497="USDAED",LEFT(AJ497,3)=RIGHT(AJ497,3)),AP497,AO497)-AM497)*BJ497,0)</f>
        <v>0</v>
      </c>
      <c r="BL497" s="542">
        <f>BJ497-BK497</f>
        <v>0</v>
      </c>
      <c r="BM497" s="170">
        <f>IF(AND(ISERROR(SEARCH("REFUND",A497)),ISERROR(SEARCH("CANCELLED",A497))),BD497+BK497,0)</f>
        <v>0</v>
      </c>
      <c r="BN497" s="542">
        <f>IF(AND(ISERROR(SEARCH("REFUND",A497)),ISERROR(SEARCH("CANCELLED",A497))),BE497+BL497,0)</f>
        <v>0</v>
      </c>
    </row>
    <row r="498" spans="1:66" ht="19.5" customHeight="1">
      <c r="A498" s="180"/>
      <c r="E498" s="180"/>
      <c r="F498" s="182"/>
      <c r="L498" s="180"/>
      <c r="M498" s="180"/>
      <c r="N498" s="180"/>
      <c r="O498" s="180"/>
      <c r="P498" s="180"/>
      <c r="V498" s="180"/>
      <c r="W498" s="180"/>
    </row>
    <row r="499" spans="1:66" ht="19.5" customHeight="1">
      <c r="A499" s="167" t="s">
        <v>601</v>
      </c>
      <c r="B499" s="168" t="s">
        <v>39</v>
      </c>
      <c r="C499" s="168" t="s">
        <v>367</v>
      </c>
      <c r="D499" s="168" t="s">
        <v>472</v>
      </c>
      <c r="E499" s="171">
        <v>46063</v>
      </c>
      <c r="F499" s="171"/>
      <c r="G499" s="168" t="s">
        <v>39</v>
      </c>
      <c r="H499" s="168" t="s">
        <v>508</v>
      </c>
      <c r="I499" s="169">
        <v>-1083372.73</v>
      </c>
      <c r="J499" s="170">
        <f>IF(I499="",AR499,I499)</f>
        <v>-1083372.73</v>
      </c>
      <c r="K499" s="168" t="s">
        <v>8</v>
      </c>
      <c r="L499" s="168" t="s">
        <v>16</v>
      </c>
      <c r="M499" s="168" t="s">
        <v>17</v>
      </c>
      <c r="N499" s="167" t="s">
        <v>553</v>
      </c>
      <c r="O499" s="168" t="s">
        <v>52</v>
      </c>
      <c r="P499" s="168" t="s">
        <v>509</v>
      </c>
      <c r="Q499" s="169"/>
      <c r="R499" s="170">
        <f>IF(Q499="",AS499,Q499)</f>
        <v>23423561.011306658</v>
      </c>
      <c r="S499" s="168" t="s">
        <v>9</v>
      </c>
      <c r="T499" s="171" t="s">
        <v>25</v>
      </c>
      <c r="U499" s="168" t="s">
        <v>374</v>
      </c>
      <c r="V499" s="167" t="s">
        <v>371</v>
      </c>
      <c r="W499" s="172" t="s">
        <v>375</v>
      </c>
      <c r="X499" s="173">
        <f>IF(Y499="",VLOOKUP(H499,CLIENTS!$A$1:$O$649,5,FALSE),Y499)</f>
        <v>0</v>
      </c>
      <c r="Y499" s="174">
        <v>0</v>
      </c>
      <c r="Z499" s="173">
        <f>IF(AA499="",VLOOKUP(P499,CLIENTS!$A$1:$O$649,5,FALSE),AA499)</f>
        <v>1.7000000000000001E-2</v>
      </c>
      <c r="AA499" s="174">
        <v>1.7000000000000001E-2</v>
      </c>
      <c r="AB499" s="173" t="str">
        <f>IF(W499="via USD",IF(K499="EUR",K499&amp;"USD","USD"&amp;K499),IFERROR(VLOOKUP(K499&amp;S499,'FX RATES'!$H$2:$H$20,1,FALSE),S499&amp;K499))</f>
        <v>USDAED</v>
      </c>
      <c r="AC499" s="175">
        <f>IF(LEFT(AB499,3)=RIGHT(AB499,3),0,IFERROR(INDEX(CLIENTS!$A$1:$O$649,MATCH(H499,CLIENTS!$A$1:$A$649,0),MATCH(AB499,CLIENTS!$A$1:$O$1,0)),0))</f>
        <v>-2.5000000000000001E-3</v>
      </c>
      <c r="AD499" s="176"/>
      <c r="AE499" s="177">
        <f>IF(W499="CLIENT","",IF(AD499="",AH499+AC499,AD499+AC499))</f>
        <v>3.67</v>
      </c>
      <c r="AF499" s="177" t="str">
        <f>E499&amp;AB499</f>
        <v>46063USDAED</v>
      </c>
      <c r="AG499" s="176"/>
      <c r="AH499" s="178">
        <f>IF(LEFT(AB499,3)=RIGHT(AB499,3),1,VLOOKUP(AB499,'FX RATES'!$H$1:$I$20,2,FALSE))</f>
        <v>3.6724999999999999</v>
      </c>
      <c r="AI499" s="178">
        <f>IF(OR(AB499="USDAED",LEFT(AB499,3)=RIGHT(AB499,3)),AH499,IF(LEFT(AB499)="USD",AG499,IF(RIGHT(AB499,3)="USD",1,IFERROR(VLOOKUP(E499&amp;"USD"&amp;RIGHT(AB499,3),$AF:$AG,2,FALSE),VLOOKUP(E499&amp;"USD"&amp;RIGHT(AJ499,3),$AN:$AO,2,FALSE)))))</f>
        <v>3.6724999999999999</v>
      </c>
      <c r="AJ499" s="173" t="str">
        <f>IF(W499="via USD",IF(S499="EUR",S499&amp;"USD","USD"&amp;S499),IFERROR(VLOOKUP(K499&amp;S499,'FX RATES'!$H$2:$H$20,1,FALSE),S499&amp;K499))</f>
        <v>USDRUB</v>
      </c>
      <c r="AK499" s="175">
        <f>IF(LEFT(AJ499,3)=RIGHT(AJ499,3),0,IFERROR(INDEX(CLIENTS!$A$1:$O$649,MATCH(P499,CLIENTS!$A$1:$A$649,0),MATCH(AJ499,CLIENTS!$A$1:$O$1,0)),0))</f>
        <v>0</v>
      </c>
      <c r="AL499" s="176">
        <v>78</v>
      </c>
      <c r="AM499" s="177">
        <f>IF(W499="VENDOR","",IF(AL499="",AP499+AK499,AL499+AK499))</f>
        <v>78</v>
      </c>
      <c r="AN499" s="177" t="str">
        <f>E499&amp;AJ499</f>
        <v>46063USDRUB</v>
      </c>
      <c r="AO499" s="176">
        <v>77.2</v>
      </c>
      <c r="AP499" s="178">
        <f ca="1">IF(LEFT(AJ499,3)=RIGHT(AJ499,3),1,VLOOKUP(AJ499,'FX RATES'!$H$1:$I$20,2,FALSE))</f>
        <v>76.720500000000001</v>
      </c>
      <c r="AQ499" s="178">
        <f>IF(OR(AJ499="USDAED",LEFT(AJ499,3)=RIGHT(AJ499,3)),AP499,IF(LEFT(AJ499)="USD",AO499,IF(RIGHT(AJ499,3)="USD",1,IFERROR(VLOOKUP(E499&amp;"USD"&amp;RIGHT(AJ499,3),$AN:$AO,2,FALSE),VLOOKUP(E499&amp;"USD"&amp;RIGHT(AB499,3),$AF:$AG,2,FALSE)))))</f>
        <v>77.2</v>
      </c>
      <c r="AR499" s="179">
        <f>-Q499*(1-Z499)/(1+X499)*IF(W499="CLIENT",IF(S499=RIGHT(AJ499,3),1/AM499,AM499),IF(W499="VENDOR",IF(S499=RIGHT(AJ499,3),1/AE499,AE499),AE499^(VLOOKUP(AB499,'FX RATES'!$H$1:$J$26,3,FALSE))/AM499^(VLOOKUP(AJ499,'FX RATES'!$H$1:$J$26,3,FALSE))))</f>
        <v>0</v>
      </c>
      <c r="AS499" s="179">
        <f>-I499*(1+X499)/(1-Z499)*IF(W499="VENDOR",IF(K499=RIGHT(AB499,3),1/AE499,AE499),IF(W499="CLIENT",IF(K499=RIGHT(AB499,3),1/AM499,AM499),AM499^(VLOOKUP(AJ499,'FX RATES'!$H$1:$J$26,3,FALSE))/AE499^(VLOOKUP(AB499,'FX RATES'!$H$1:$J$26,3,FALSE))))</f>
        <v>23423561.011306658</v>
      </c>
      <c r="AT499" s="170">
        <f>IF(AB499&lt;&gt;AJ499,J499/IF(K499=RIGHT(AB499,3),AE499,1/AE499),IF(S499="USD",J499/IF(K499=RIGHT(AB499,3),IF(W499="CLIENT",AM499,AE499),1/IF(W499="CLIENT",AM499,AE499)),J499*VLOOKUP(K499,'FX RATES'!$E$1:$F$10,2,FALSE)))</f>
        <v>-295196.92915531335</v>
      </c>
      <c r="AU499" s="170">
        <f>IF(AB499&lt;&gt;AJ499,R499/IF(S499=RIGHT(AJ499,3),AM499,1/AM499),IF(K499="USD",R499/IF(S499=RIGHT(AJ499,3),IF(W499="CLIENT",AM499,AE499),1/IF(W499="CLIENT",AM499,AE499)),R499*VLOOKUP(S499,'FX RATES'!$E$1:$F$10,2,FALSE)))</f>
        <v>300302.06424752128</v>
      </c>
      <c r="AV499" s="170">
        <f>AT499+AU499</f>
        <v>5105.1350922079291</v>
      </c>
      <c r="AW499" s="169"/>
      <c r="AX499" s="170">
        <f>IF(AND(ISERROR(SEARCH("INVOICE",T499)),ISERROR(SEARCH("SWITCH",T499)),ISERROR(SEARCH("FOREX",T499)),ISERROR(SEARCH("REFUND",A499)),ISERROR(SEARCH("CANCELLED",A499))),IF(AW499="",-AT499*X499+AU499*Z499,AW499),0)</f>
        <v>5105.1350922078618</v>
      </c>
      <c r="AY499" s="170">
        <f>IF(AZ499="USD",AT499,IF(AZ499=K499,J499,-R499))</f>
        <v>-295196.92915531335</v>
      </c>
      <c r="AZ499" s="170" t="str">
        <f>LEFT(AB499,3)</f>
        <v>USD</v>
      </c>
      <c r="BA499" s="542">
        <f>IF(OR(A499="REFUND",A499="CANCELLED"),0,IFERROR((IF(OR(AB499="USDAED",LEFT(AB499,3)=RIGHT(AB499,3)),AI499,AG499)-AE499)*-AY499*VLOOKUP(AB499,'FX RATES'!$H$1:$J$26,3,FALSE),0))</f>
        <v>737.99232288826761</v>
      </c>
      <c r="BB499" s="170" t="str">
        <f>RIGHT(AB499,3)</f>
        <v>AED</v>
      </c>
      <c r="BC499" s="542">
        <f>IF(BA499=0,0,IFERROR(BA499/IF(BB499&lt;&gt;"USD",AI499,1),"???"))</f>
        <v>200.9509388395555</v>
      </c>
      <c r="BD499" s="170">
        <f>IFERROR(-AC499/(IF(OR(AB499="USDAED",LEFT(AB499,3)=RIGHT(AB499,3)),AH499,AG499)-AE499)*BC499,0)</f>
        <v>200.9509388395598</v>
      </c>
      <c r="BE499" s="542">
        <f>BC499-BD499</f>
        <v>-4.2916781239910051E-12</v>
      </c>
      <c r="BF499" s="170">
        <f>IF(BG499="USD",AU499,IF(BG499=S499,R499,-J499))</f>
        <v>300302.06424752128</v>
      </c>
      <c r="BG499" s="170" t="str">
        <f>LEFT(AJ499,3)</f>
        <v>USD</v>
      </c>
      <c r="BH499" s="542">
        <f>IF(OR(A499="REFUND",A499="CANCELLED"),0,IFERROR((IF(OR(AJ499="USDAED",LEFT(AJ499,3)=RIGHT(AJ499,3)),AQ499,AO499)-AM499)*-BF499*VLOOKUP(AJ499,'FX RATES'!$H$1:$J$26,3,FALSE),0))</f>
        <v>240241.65139801617</v>
      </c>
      <c r="BI499" s="170" t="str">
        <f>RIGHT(AJ499,3)</f>
        <v>RUB</v>
      </c>
      <c r="BJ499" s="542">
        <f>IF(BH499=0,0,IFERROR(BH499/IF(BI499&lt;&gt;"USD",AQ499,1),"???"))</f>
        <v>3111.9384896116085</v>
      </c>
      <c r="BK499" s="170">
        <f>IFERROR(-AK499/(IF(OR(AJ499="USDAED",LEFT(AJ499,3)=RIGHT(AJ499,3)),AP499,AO499)-AM499)*BJ499,0)</f>
        <v>0</v>
      </c>
      <c r="BL499" s="542">
        <f>BJ499-BK499</f>
        <v>3111.9384896116085</v>
      </c>
      <c r="BM499" s="170">
        <f>IF(AND(ISERROR(SEARCH("REFUND",A499)),ISERROR(SEARCH("CANCELLED",A499))),BD499+BK499,0)</f>
        <v>200.9509388395598</v>
      </c>
      <c r="BN499" s="542">
        <f>IF(AND(ISERROR(SEARCH("REFUND",A499)),ISERROR(SEARCH("CANCELLED",A499))),BE499+BL499,0)</f>
        <v>3111.9384896116044</v>
      </c>
    </row>
    <row r="500" spans="1:66" ht="19.5" customHeight="1">
      <c r="A500" s="167" t="s">
        <v>601</v>
      </c>
      <c r="B500" s="168" t="s">
        <v>39</v>
      </c>
      <c r="C500" s="168" t="s">
        <v>367</v>
      </c>
      <c r="D500" s="168" t="s">
        <v>368</v>
      </c>
      <c r="E500" s="171">
        <v>46063</v>
      </c>
      <c r="F500" s="171"/>
      <c r="G500" s="168" t="s">
        <v>39</v>
      </c>
      <c r="H500" s="168" t="s">
        <v>607</v>
      </c>
      <c r="I500" s="169"/>
      <c r="J500" s="170">
        <f>IF(I500="",AR500,I500)</f>
        <v>-404025.07656129671</v>
      </c>
      <c r="K500" s="168" t="s">
        <v>8</v>
      </c>
      <c r="L500" s="168" t="s">
        <v>15</v>
      </c>
      <c r="M500" s="168" t="s">
        <v>17</v>
      </c>
      <c r="N500" s="167" t="s">
        <v>553</v>
      </c>
      <c r="O500" s="168" t="s">
        <v>39</v>
      </c>
      <c r="P500" s="168" t="s">
        <v>608</v>
      </c>
      <c r="Q500" s="169">
        <v>8600000</v>
      </c>
      <c r="R500" s="202">
        <f>IF(Q500="",AS500,Q500)</f>
        <v>8600000</v>
      </c>
      <c r="S500" s="168" t="s">
        <v>9</v>
      </c>
      <c r="T500" s="171" t="s">
        <v>609</v>
      </c>
      <c r="U500" s="168" t="s">
        <v>374</v>
      </c>
      <c r="V500" s="167" t="s">
        <v>371</v>
      </c>
      <c r="W500" s="172" t="s">
        <v>375</v>
      </c>
      <c r="X500" s="173">
        <f>IF(Y500="",VLOOKUP(H500,CLIENTS!$A$1:$O$649,5,FALSE),Y500)</f>
        <v>0</v>
      </c>
      <c r="Y500" s="174">
        <v>0</v>
      </c>
      <c r="Z500" s="173">
        <f>IF(AA500="",VLOOKUP(P500,CLIENTS!$A$1:$O$649,5,FALSE),AA500)</f>
        <v>6.0000000000000001E-3</v>
      </c>
      <c r="AA500" s="174">
        <v>6.0000000000000001E-3</v>
      </c>
      <c r="AB500" s="173" t="str">
        <f>IF(W500="via USD",IF(K500="EUR",K500&amp;"USD","USD"&amp;K500),IFERROR(VLOOKUP(K500&amp;S500,'FX RATES'!$H$2:$H$20,1,FALSE),S500&amp;K500))</f>
        <v>USDAED</v>
      </c>
      <c r="AC500" s="175">
        <f>IF(LEFT(AB500,3)=RIGHT(AB500,3),0,IFERROR(INDEX(CLIENTS!$A$1:$O$649,MATCH(H500,CLIENTS!$A$1:$A$649,0),MATCH(AB500,CLIENTS!$A$1:$O$1,0)),0))</f>
        <v>0</v>
      </c>
      <c r="AD500" s="176">
        <v>3.67</v>
      </c>
      <c r="AE500" s="177">
        <f>IF(W500="CLIENT","",IF(AD500="",AH500+AC500,AD500+AC500))</f>
        <v>3.67</v>
      </c>
      <c r="AF500" s="177" t="str">
        <f>E500&amp;AB500</f>
        <v>46063USDAED</v>
      </c>
      <c r="AG500" s="176"/>
      <c r="AH500" s="178">
        <f>IF(LEFT(AB500,3)=RIGHT(AB500,3),1,VLOOKUP(AB500,'FX RATES'!$H$1:$I$20,2,FALSE))</f>
        <v>3.6724999999999999</v>
      </c>
      <c r="AI500" s="178">
        <f>IF(OR(AB500="USDAED",LEFT(AB500,3)=RIGHT(AB500,3)),AH500,IF(LEFT(AB500)="USD",AG500,IF(RIGHT(AB500,3)="USD",1,IFERROR(VLOOKUP(E500&amp;"USD"&amp;RIGHT(AB500,3),$AF:$AG,2,FALSE),VLOOKUP(E500&amp;"USD"&amp;RIGHT(AJ500,3),$AN:$AO,2,FALSE)))))</f>
        <v>3.6724999999999999</v>
      </c>
      <c r="AJ500" s="173" t="str">
        <f>IF(W500="via USD",IF(S500="EUR",S500&amp;"USD","USD"&amp;S500),IFERROR(VLOOKUP(K500&amp;S500,'FX RATES'!$H$2:$H$20,1,FALSE),S500&amp;K500))</f>
        <v>USDRUB</v>
      </c>
      <c r="AK500" s="175">
        <f>IF(LEFT(AJ500,3)=RIGHT(AJ500,3),0,IFERROR(INDEX(CLIENTS!$A$1:$O$649,MATCH(P500,CLIENTS!$A$1:$A$649,0),MATCH(AJ500,CLIENTS!$A$1:$O$1,0)),0))-0.15</f>
        <v>0</v>
      </c>
      <c r="AL500" s="176">
        <v>77.650199999999998</v>
      </c>
      <c r="AM500" s="177">
        <f>IF(W500="VENDOR","",IF(AL500="",AP500+AK500,AL500+AK500))</f>
        <v>77.650199999999998</v>
      </c>
      <c r="AN500" s="177" t="str">
        <f>E500&amp;AJ500</f>
        <v>46063USDRUB</v>
      </c>
      <c r="AO500" s="176">
        <v>77.2</v>
      </c>
      <c r="AP500" s="178">
        <f ca="1">IF(LEFT(AJ500,3)=RIGHT(AJ500,3),1,VLOOKUP(AJ500,'FX RATES'!$H$1:$I$20,2,FALSE))</f>
        <v>76.720500000000001</v>
      </c>
      <c r="AQ500" s="178">
        <f>IF(OR(AJ500="USDAED",LEFT(AJ500,3)=RIGHT(AJ500,3)),AP500,IF(LEFT(AJ500)="USD",AO500,IF(RIGHT(AJ500,3)="USD",1,IFERROR(VLOOKUP(E500&amp;"USD"&amp;RIGHT(AJ500,3),$AN:$AO,2,FALSE),VLOOKUP(E500&amp;"USD"&amp;RIGHT(AB500,3),$AF:$AG,2,FALSE)))))</f>
        <v>77.2</v>
      </c>
      <c r="AR500" s="179">
        <f>-Q500*(1-Z500)/(1+X500)*IF(W500="CLIENT",IF(S500=RIGHT(AJ500,3),1/AM500,AM500),IF(W500="VENDOR",IF(S500=RIGHT(AJ500,3),1/AE500,AE500),AE500^(VLOOKUP(AB500,'FX RATES'!$H$1:$J$26,3,FALSE))/AM500^(VLOOKUP(AJ500,'FX RATES'!$H$1:$J$26,3,FALSE))))</f>
        <v>-404025.07656129671</v>
      </c>
      <c r="AS500" s="179">
        <f>-I500*(1+X500)/(1-Z500)*IF(W500="VENDOR",IF(K500=RIGHT(AB500,3),1/AE500,AE500),IF(W500="CLIENT",IF(K500=RIGHT(AB500,3),1/AM500,AM500),AM500^(VLOOKUP(AJ500,'FX RATES'!$H$1:$J$26,3,FALSE))/AE500^(VLOOKUP(AB500,'FX RATES'!$H$1:$J$26,3,FALSE))))</f>
        <v>0</v>
      </c>
      <c r="AT500" s="170">
        <f>IF(AB500&lt;&gt;AJ500,J500/IF(K500=RIGHT(AB500,3),AE500,1/AE500),IF(S500="USD",J500/IF(K500=RIGHT(AB500,3),IF(W500="CLIENT",AM500,AE500),1/IF(W500="CLIENT",AM500,AE500)),J500*VLOOKUP(K500,'FX RATES'!$E$1:$F$10,2,FALSE)))</f>
        <v>-110088.57671969938</v>
      </c>
      <c r="AU500" s="170">
        <f>IF(AB500&lt;&gt;AJ500,R500/IF(S500=RIGHT(AJ500,3),AM500,1/AM500),IF(K500="USD",R500/IF(S500=RIGHT(AJ500,3),IF(W500="CLIENT",AM500,AE500),1/IF(W500="CLIENT",AM500,AE500)),R500*VLOOKUP(S500,'FX RATES'!$E$1:$F$10,2,FALSE)))</f>
        <v>110753.09529144806</v>
      </c>
      <c r="AV500" s="170">
        <f>AT500+AU500</f>
        <v>664.51857174867473</v>
      </c>
      <c r="AW500" s="169"/>
      <c r="AX500" s="170">
        <f>IF(AND(ISERROR(SEARCH("INVOICE",T500)),ISERROR(SEARCH("SWITCH",T500)),ISERROR(SEARCH("FOREX",T500)),ISERROR(SEARCH("REFUND",A500)),ISERROR(SEARCH("CANCELLED",A500))),IF(AW500="",-AT500*X500+AU500*Z500,AW500),0)</f>
        <v>664.51857174868837</v>
      </c>
      <c r="AY500" s="170">
        <f>IF(AZ500="USD",AT500,IF(AZ500=K500,J500,-R500))</f>
        <v>-110088.57671969938</v>
      </c>
      <c r="AZ500" s="170" t="str">
        <f>LEFT(AB500,3)</f>
        <v>USD</v>
      </c>
      <c r="BA500" s="542">
        <f>IF(OR(A500="REFUND",A500="CANCELLED"),0,IFERROR((IF(OR(AB500="USDAED",LEFT(AB500,3)=RIGHT(AB500,3)),AI500,AG500)-AE500)*-AY500*VLOOKUP(AB500,'FX RATES'!$H$1:$J$26,3,FALSE),0))</f>
        <v>275.2214417992426</v>
      </c>
      <c r="BB500" s="170" t="str">
        <f>RIGHT(AB500,3)</f>
        <v>AED</v>
      </c>
      <c r="BC500" s="542">
        <f>IF(BA500=0,0,IFERROR(BA500/IF(BB500&lt;&gt;"USD",AI500,1),"???"))</f>
        <v>74.941168631516021</v>
      </c>
      <c r="BD500" s="170">
        <f>IFERROR(-AC500/(IF(OR(AB500="USDAED",LEFT(AB500,3)=RIGHT(AB500,3)),AH500,AG500)-AE500)*BC500,0)</f>
        <v>0</v>
      </c>
      <c r="BE500" s="542">
        <f>BC500-BD500</f>
        <v>74.941168631516021</v>
      </c>
      <c r="BF500" s="170">
        <f>IF(BG500="USD",AU500,IF(BG500=S500,R500,-J500))</f>
        <v>110753.09529144806</v>
      </c>
      <c r="BG500" s="170" t="str">
        <f>LEFT(AJ500,3)</f>
        <v>USD</v>
      </c>
      <c r="BH500" s="542">
        <f>IF(OR(A500="REFUND",A500="CANCELLED"),0,IFERROR((IF(OR(AJ500="USDAED",LEFT(AJ500,3)=RIGHT(AJ500,3)),AQ500,AO500)-AM500)*-BF500*VLOOKUP(AJ500,'FX RATES'!$H$1:$J$26,3,FALSE),0))</f>
        <v>49861.043500209395</v>
      </c>
      <c r="BI500" s="170" t="str">
        <f>RIGHT(AJ500,3)</f>
        <v>RUB</v>
      </c>
      <c r="BJ500" s="542">
        <f>IF(BH500=0,0,IFERROR(BH500/IF(BI500&lt;&gt;"USD",AQ500,1),"???"))</f>
        <v>645.86843912188328</v>
      </c>
      <c r="BK500" s="170">
        <f>IFERROR(-AK500/(IF(OR(AJ500="USDAED",LEFT(AJ500,3)=RIGHT(AJ500,3)),AP500,AO500)-AM500)*BJ500,0)</f>
        <v>0</v>
      </c>
      <c r="BL500" s="542">
        <f>BJ500-BK500</f>
        <v>645.86843912188328</v>
      </c>
      <c r="BM500" s="170">
        <f>IF(AND(ISERROR(SEARCH("REFUND",A500)),ISERROR(SEARCH("CANCELLED",A500))),BD500+BK500,0)</f>
        <v>0</v>
      </c>
      <c r="BN500" s="542">
        <f>IF(AND(ISERROR(SEARCH("REFUND",A500)),ISERROR(SEARCH("CANCELLED",A500))),BE500+BL500,0)</f>
        <v>720.80960775339929</v>
      </c>
    </row>
    <row r="501" spans="1:66" ht="19.5" customHeight="1">
      <c r="A501" s="167" t="s">
        <v>601</v>
      </c>
      <c r="B501" s="168" t="s">
        <v>39</v>
      </c>
      <c r="C501" s="168" t="s">
        <v>383</v>
      </c>
      <c r="D501" s="168" t="s">
        <v>128</v>
      </c>
      <c r="E501" s="171">
        <v>46063</v>
      </c>
      <c r="F501" s="171"/>
      <c r="G501" s="168" t="s">
        <v>39</v>
      </c>
      <c r="H501" s="168" t="s">
        <v>384</v>
      </c>
      <c r="I501" s="169">
        <v>-32023000</v>
      </c>
      <c r="J501" s="170">
        <f>IF(I501="",AR501,I501)</f>
        <v>-32023000</v>
      </c>
      <c r="K501" s="168" t="s">
        <v>9</v>
      </c>
      <c r="L501" s="171" t="s">
        <v>374</v>
      </c>
      <c r="M501" s="168" t="s">
        <v>374</v>
      </c>
      <c r="N501" s="167" t="s">
        <v>553</v>
      </c>
      <c r="O501" s="168" t="s">
        <v>39</v>
      </c>
      <c r="P501" s="349" t="s">
        <v>384</v>
      </c>
      <c r="Q501" s="169"/>
      <c r="R501" s="170">
        <f>IF(Q501="",AS501,Q501)</f>
        <v>1516096.9605151026</v>
      </c>
      <c r="S501" s="168" t="s">
        <v>8</v>
      </c>
      <c r="T501" s="171" t="s">
        <v>385</v>
      </c>
      <c r="U501" s="168" t="s">
        <v>20</v>
      </c>
      <c r="V501" s="167" t="s">
        <v>371</v>
      </c>
      <c r="W501" s="172" t="s">
        <v>382</v>
      </c>
      <c r="X501" s="173">
        <f>IF(Y501="",VLOOKUP(H501,CLIENTS!$A$1:$O$649,5,FALSE),Y501)</f>
        <v>0</v>
      </c>
      <c r="Y501" s="174">
        <v>0</v>
      </c>
      <c r="Z501" s="173">
        <f>IF(AA501="",VLOOKUP(P501,CLIENTS!$A$1:$O$649,5,FALSE),AA501)</f>
        <v>0</v>
      </c>
      <c r="AA501" s="174">
        <v>0</v>
      </c>
      <c r="AB501" s="173" t="str">
        <f>IF(W501="via USD",IF(K501="EUR",K501&amp;"USD","USD"&amp;K501),IFERROR(VLOOKUP(K501&amp;S501,'FX RATES'!$H$2:$H$20,1,FALSE),S501&amp;K501))</f>
        <v>AEDRUB</v>
      </c>
      <c r="AC501" s="175">
        <f>IF(LEFT(AB501,3)=RIGHT(AB501,3),0,IFERROR(INDEX(CLIENTS!$A$1:$O$649,MATCH(H501,CLIENTS!$A$1:$A$649,0),MATCH(AB501,CLIENTS!$A$1:$O$1,0)),0))</f>
        <v>0</v>
      </c>
      <c r="AD501" s="176">
        <v>21.122</v>
      </c>
      <c r="AE501" s="177">
        <f>IF(W501="CLIENT","",IF(AD501="",AH501+AC501,AD501+AC501))</f>
        <v>21.122</v>
      </c>
      <c r="AF501" s="177" t="str">
        <f>E501&amp;AB501</f>
        <v>46063AEDRUB</v>
      </c>
      <c r="AG501" s="176">
        <v>21.021100000000001</v>
      </c>
      <c r="AH501" s="178">
        <f ca="1">IF(LEFT(AB501,3)=RIGHT(AB501,3),1,VLOOKUP(AB501,'FX RATES'!$H$1:$I$20,2,FALSE))</f>
        <v>20.8843</v>
      </c>
      <c r="AI501" s="178">
        <f>IF(OR(AB501="USDAED",LEFT(AB501,3)=RIGHT(AB501,3)),AH501,IF(LEFT(AB501)="USD",AG501,IF(RIGHT(AB501,3)="USD",1,IFERROR(VLOOKUP(E501&amp;"USD"&amp;RIGHT(AB501,3),$AF:$AG,2,FALSE),VLOOKUP(E501&amp;"USD"&amp;RIGHT(AJ501,3),$AN:$AO,2,FALSE)))))</f>
        <v>77.2</v>
      </c>
      <c r="AJ501" s="173" t="str">
        <f>IF(W501="via USD",IF(S501="EUR",S501&amp;"USD","USD"&amp;S501),IFERROR(VLOOKUP(K501&amp;S501,'FX RATES'!$H$2:$H$20,1,FALSE),S501&amp;K501))</f>
        <v>AEDRUB</v>
      </c>
      <c r="AK501" s="175">
        <f>IF(LEFT(AJ501,3)=RIGHT(AJ501,3),0,IFERROR(INDEX(CLIENTS!$A$1:$O$649,MATCH(P501,CLIENTS!$A$1:$A$649,0),MATCH(AJ501,CLIENTS!$A$1:$O$1,0)),0))</f>
        <v>0</v>
      </c>
      <c r="AL501" s="176"/>
      <c r="AM501" s="177" t="str">
        <f>IF(W501="VENDOR","",IF(AL501="",AP501+AK501,AL501+AK501))</f>
        <v/>
      </c>
      <c r="AN501" s="177" t="str">
        <f>E501&amp;AJ501</f>
        <v>46063AEDRUB</v>
      </c>
      <c r="AO501" s="176"/>
      <c r="AP501" s="178">
        <f ca="1">IF(LEFT(AJ501,3)=RIGHT(AJ501,3),1,VLOOKUP(AJ501,'FX RATES'!$H$1:$I$20,2,FALSE))</f>
        <v>20.8843</v>
      </c>
      <c r="AQ501" s="178">
        <f>IF(OR(AJ501="USDAED",LEFT(AJ501,3)=RIGHT(AJ501,3)),AP501,IF(LEFT(AJ501)="USD",AO501,IF(RIGHT(AJ501,3)="USD",1,IFERROR(VLOOKUP(E501&amp;"USD"&amp;RIGHT(AJ501,3),$AN:$AO,2,FALSE),VLOOKUP(E501&amp;"USD"&amp;RIGHT(AB501,3),$AF:$AG,2,FALSE)))))</f>
        <v>77.2</v>
      </c>
      <c r="AR501" s="179">
        <f>-Q501*(1-Z501)/(1+X501)*IF(W501="CLIENT",IF(S501=RIGHT(AJ501,3),1/AM501,AM501),IF(W501="VENDOR",IF(S501=RIGHT(AJ501,3),1/AE501,AE501),AE501^(VLOOKUP(AB501,'FX RATES'!$H$1:$J$26,3,FALSE))/AM501^(VLOOKUP(AJ501,'FX RATES'!$H$1:$J$26,3,FALSE))))</f>
        <v>0</v>
      </c>
      <c r="AS501" s="179">
        <f>-I501*(1+X501)/(1-Z501)*IF(W501="VENDOR",IF(K501=RIGHT(AB501,3),1/AE501,AE501),IF(W501="CLIENT",IF(K501=RIGHT(AB501,3),1/AM501,AM501),AM501^(VLOOKUP(AJ501,'FX RATES'!$H$1:$J$26,3,FALSE))/AE501^(VLOOKUP(AB501,'FX RATES'!$H$1:$J$26,3,FALSE))))</f>
        <v>1516096.9605151026</v>
      </c>
      <c r="AT501" s="170">
        <f ca="1">IF(AB501&lt;&gt;AJ501,J501/IF(K501=RIGHT(AB501,3),AE501,1/AE501),IF(S501="USD",J501/IF(K501=RIGHT(AB501,3),IF(W501="CLIENT",AM501,AE501),1/IF(W501="CLIENT",AM501,AE501)),J501*VLOOKUP(K501,'FX RATES'!$E$1:$F$10,2,FALSE)))</f>
        <v>-417398.21820764983</v>
      </c>
      <c r="AU501" s="170">
        <f ca="1">IF(AB501&lt;&gt;AJ501,R501/IF(S501=RIGHT(AJ501,3),AM501,1/AM501),IF(K501="USD",R501/IF(S501=RIGHT(AJ501,3),IF(W501="CLIENT",AM501,AE501),1/IF(W501="CLIENT",AM501,AE501)),R501*VLOOKUP(S501,'FX RATES'!$E$1:$F$10,2,FALSE)))</f>
        <v>412812.9827683664</v>
      </c>
      <c r="AV501" s="170">
        <f ca="1">AT501+AU501</f>
        <v>-4585.2354392834241</v>
      </c>
      <c r="AW501" s="169"/>
      <c r="AX501" s="170">
        <f ca="1">IF(AND(ISERROR(SEARCH("INVOICE",T501)),ISERROR(SEARCH("SWITCH",T501)),ISERROR(SEARCH("FOREX",T501)),ISERROR(SEARCH("REFUND",A501)),ISERROR(SEARCH("CANCELLED",A501))),IF(AW501="",-AT501*X501+AU501*Z501,AW501),0)</f>
        <v>0</v>
      </c>
      <c r="AY501" s="170">
        <f>IF(AZ501="USD",AT501,IF(AZ501=K501,J501,-R501))</f>
        <v>-1516096.9605151026</v>
      </c>
      <c r="AZ501" s="170" t="str">
        <f>LEFT(AB501,3)</f>
        <v>AED</v>
      </c>
      <c r="BA501" s="542">
        <f>IF(OR(A501="REFUND",A501="CANCELLED"),0,IFERROR((IF(OR(AB501="USDAED",LEFT(AB501,3)=RIGHT(AB501,3)),AI501,AG501)-AE501)*-AY501*VLOOKUP(AB501,'FX RATES'!$H$1:$J$26,3,FALSE),0))</f>
        <v>-152974.18331597283</v>
      </c>
      <c r="BB501" s="170" t="str">
        <f>RIGHT(AB501,3)</f>
        <v>RUB</v>
      </c>
      <c r="BC501" s="542">
        <f>IF(BA501=0,0,IFERROR(BA501/IF(BB501&lt;&gt;"USD",AI501,1),"???"))</f>
        <v>-1981.5308719685599</v>
      </c>
      <c r="BD501" s="170">
        <f>IFERROR(-AC501/(IF(OR(AB501="USDAED",LEFT(AB501,3)=RIGHT(AB501,3)),AH501,AG501)-AE501)*BC501,0)</f>
        <v>0</v>
      </c>
      <c r="BE501" s="542">
        <f>BC501-BD501</f>
        <v>-1981.5308719685599</v>
      </c>
      <c r="BF501" s="170">
        <f>IF(BG501="USD",AU501,IF(BG501=S501,R501,-J501))</f>
        <v>1516096.9605151026</v>
      </c>
      <c r="BG501" s="170" t="str">
        <f>LEFT(AJ501,3)</f>
        <v>AED</v>
      </c>
      <c r="BH501" s="542">
        <f>IF(OR(A501="REFUND",A501="CANCELLED"),0,IFERROR((IF(OR(AJ501="USDAED",LEFT(AJ501,3)=RIGHT(AJ501,3)),AQ501,AO501)-AM501)*-BF501*VLOOKUP(AJ501,'FX RATES'!$H$1:$J$26,3,FALSE),0))</f>
        <v>0</v>
      </c>
      <c r="BI501" s="170" t="str">
        <f>RIGHT(AJ501,3)</f>
        <v>RUB</v>
      </c>
      <c r="BJ501" s="542">
        <f>IF(BH501=0,0,IFERROR(BH501/IF(BI501&lt;&gt;"USD",AQ501,1),"???"))</f>
        <v>0</v>
      </c>
      <c r="BK501" s="170">
        <f>IFERROR(-AK501/(IF(OR(AJ501="USDAED",LEFT(AJ501,3)=RIGHT(AJ501,3)),AP501,AO501)-AM501)*BJ501,0)</f>
        <v>0</v>
      </c>
      <c r="BL501" s="542">
        <f>BJ501-BK501</f>
        <v>0</v>
      </c>
      <c r="BM501" s="170">
        <f>IF(AND(ISERROR(SEARCH("REFUND",A501)),ISERROR(SEARCH("CANCELLED",A501))),BD501+BK501,0)</f>
        <v>0</v>
      </c>
      <c r="BN501" s="542">
        <f>IF(AND(ISERROR(SEARCH("REFUND",A501)),ISERROR(SEARCH("CANCELLED",A501))),BE501+BL501,0)</f>
        <v>-1981.5308719685599</v>
      </c>
    </row>
    <row r="502" spans="1:66" ht="19.5" customHeight="1">
      <c r="A502" s="167"/>
      <c r="B502" s="182"/>
      <c r="C502" s="182"/>
      <c r="D502" s="182"/>
      <c r="E502" s="184"/>
      <c r="F502" s="184"/>
      <c r="G502" s="182"/>
      <c r="H502" s="182"/>
      <c r="I502" s="170"/>
      <c r="J502" s="170"/>
      <c r="K502" s="182"/>
      <c r="L502" s="184"/>
      <c r="M502" s="182"/>
      <c r="O502" s="182"/>
      <c r="P502" s="444"/>
      <c r="Q502" s="170"/>
      <c r="R502" s="170"/>
      <c r="S502" s="182"/>
      <c r="T502" s="184"/>
      <c r="U502" s="182"/>
      <c r="X502" s="173"/>
      <c r="Y502" s="173"/>
      <c r="Z502" s="173"/>
      <c r="AA502" s="173"/>
      <c r="AB502" s="173"/>
      <c r="AC502" s="175"/>
      <c r="AD502" s="177"/>
      <c r="AE502" s="177"/>
      <c r="AF502" s="177"/>
      <c r="AG502" s="177"/>
      <c r="AH502" s="178"/>
      <c r="AI502" s="178"/>
      <c r="AJ502" s="173"/>
      <c r="AK502" s="175"/>
      <c r="AL502" s="177"/>
      <c r="AM502" s="177"/>
      <c r="AN502" s="177"/>
      <c r="AO502" s="177"/>
      <c r="AP502" s="178"/>
      <c r="AQ502" s="178"/>
      <c r="AR502" s="185"/>
      <c r="AS502" s="185"/>
      <c r="AT502" s="170"/>
      <c r="AU502" s="170"/>
      <c r="AV502" s="170"/>
      <c r="AW502" s="170"/>
      <c r="AX502" s="170"/>
      <c r="AY502" s="170"/>
      <c r="AZ502" s="170"/>
      <c r="BA502" s="542"/>
      <c r="BB502" s="170"/>
      <c r="BC502" s="542"/>
      <c r="BD502" s="170"/>
      <c r="BE502" s="542"/>
      <c r="BF502" s="170"/>
      <c r="BG502" s="170"/>
      <c r="BH502" s="542"/>
      <c r="BI502" s="170"/>
      <c r="BJ502" s="542"/>
      <c r="BK502" s="170"/>
      <c r="BL502" s="542"/>
      <c r="BM502" s="170"/>
      <c r="BN502" s="542"/>
    </row>
    <row r="503" spans="1:66" ht="19.5" customHeight="1">
      <c r="A503" s="167" t="s">
        <v>601</v>
      </c>
      <c r="B503" s="168" t="s">
        <v>39</v>
      </c>
      <c r="C503" s="168" t="s">
        <v>367</v>
      </c>
      <c r="D503" s="168" t="s">
        <v>368</v>
      </c>
      <c r="E503" s="171">
        <v>46063</v>
      </c>
      <c r="F503" s="171"/>
      <c r="G503" s="168" t="s">
        <v>39</v>
      </c>
      <c r="H503" s="168" t="s">
        <v>405</v>
      </c>
      <c r="I503" s="169">
        <v>-654895</v>
      </c>
      <c r="J503" s="170">
        <f>IF(I503="",AR503,I503)</f>
        <v>-654895</v>
      </c>
      <c r="K503" s="168" t="s">
        <v>8</v>
      </c>
      <c r="L503" s="168" t="s">
        <v>16</v>
      </c>
      <c r="M503" s="168" t="s">
        <v>17</v>
      </c>
      <c r="N503" s="167" t="s">
        <v>553</v>
      </c>
      <c r="O503" s="168" t="s">
        <v>39</v>
      </c>
      <c r="P503" s="168" t="s">
        <v>406</v>
      </c>
      <c r="Q503" s="169">
        <v>13954009</v>
      </c>
      <c r="R503" s="170">
        <f>IF(Q503="",AS503,Q503)</f>
        <v>13954009</v>
      </c>
      <c r="S503" s="168" t="s">
        <v>9</v>
      </c>
      <c r="T503" s="171" t="s">
        <v>391</v>
      </c>
      <c r="U503" s="168" t="s">
        <v>374</v>
      </c>
      <c r="V503" s="167" t="s">
        <v>371</v>
      </c>
      <c r="W503" s="172" t="s">
        <v>375</v>
      </c>
      <c r="X503" s="173">
        <f>IF(Y503="",VLOOKUP(H503,CLIENTS!$A$1:$O$649,5,FALSE),Y503)</f>
        <v>0</v>
      </c>
      <c r="Y503" s="174">
        <v>0</v>
      </c>
      <c r="Z503" s="173">
        <f>IF(AA503="",VLOOKUP(P503,CLIENTS!$A$1:$O$649,5,FALSE),AA503)</f>
        <v>7.0000000000000001E-3</v>
      </c>
      <c r="AA503" s="174">
        <v>7.0000000000000001E-3</v>
      </c>
      <c r="AB503" s="173" t="str">
        <f>IF(W503="via USD",IF(K503="EUR",K503&amp;"USD","USD"&amp;K503),IFERROR(VLOOKUP(K503&amp;S503,'FX RATES'!$H$2:$H$20,1,FALSE),S503&amp;K503))</f>
        <v>USDAED</v>
      </c>
      <c r="AC503" s="175">
        <f>IF(LEFT(AB503,3)=RIGHT(AB503,3),0,IFERROR(INDEX(CLIENTS!$A$1:$O$649,MATCH(H503,CLIENTS!$A$1:$A$649,0),MATCH(AB503,CLIENTS!$A$1:$O$1,0)),0))+0.0075</f>
        <v>0</v>
      </c>
      <c r="AD503" s="176">
        <v>3.67</v>
      </c>
      <c r="AE503" s="177">
        <f>IF(W503="CLIENT","",IF(AD503="",AH503+AC503,AD503+AC503))</f>
        <v>3.67</v>
      </c>
      <c r="AF503" s="177" t="str">
        <f>E503&amp;AB503</f>
        <v>46063USDAED</v>
      </c>
      <c r="AG503" s="176"/>
      <c r="AH503" s="178">
        <f>IF(LEFT(AB503,3)=RIGHT(AB503,3),1,VLOOKUP(AB503,'FX RATES'!$H$1:$I$20,2,FALSE))</f>
        <v>3.6724999999999999</v>
      </c>
      <c r="AI503" s="178">
        <f>IF(OR(AB503="USDAED",LEFT(AB503,3)=RIGHT(AB503,3)),AH503,IF(LEFT(AB503)="USD",AG503,IF(RIGHT(AB503,3)="USD",1,IFERROR(VLOOKUP(E503&amp;"USD"&amp;RIGHT(AB503,3),$AF:$AG,2,FALSE),VLOOKUP(E503&amp;"USD"&amp;RIGHT(AJ503,3),$AN:$AO,2,FALSE)))))</f>
        <v>3.6724999999999999</v>
      </c>
      <c r="AJ503" s="173" t="str">
        <f>IF(W503="via USD",IF(S503="EUR",S503&amp;"USD","USD"&amp;S503),IFERROR(VLOOKUP(K503&amp;S503,'FX RATES'!$H$2:$H$20,1,FALSE),S503&amp;K503))</f>
        <v>USDRUB</v>
      </c>
      <c r="AK503" s="175">
        <f>IF(LEFT(AJ503,3)=RIGHT(AJ503,3),0,IFERROR(INDEX(CLIENTS!$A$1:$O$649,MATCH(P503,CLIENTS!$A$1:$A$649,0),MATCH(AJ503,CLIENTS!$A$1:$O$1,0)),0))-0.15</f>
        <v>0</v>
      </c>
      <c r="AL503" s="176">
        <v>77.650199999999998</v>
      </c>
      <c r="AM503" s="177">
        <f>IF(W503="VENDOR","",IF(AL503="",AP503+AK503,AL503+AK503))</f>
        <v>77.650199999999998</v>
      </c>
      <c r="AN503" s="177" t="str">
        <f>E503&amp;AJ503</f>
        <v>46063USDRUB</v>
      </c>
      <c r="AO503" s="176">
        <v>77.2</v>
      </c>
      <c r="AP503" s="178">
        <f ca="1">IF(LEFT(AJ503,3)=RIGHT(AJ503,3),1,VLOOKUP(AJ503,'FX RATES'!$H$1:$I$20,2,FALSE))</f>
        <v>76.720500000000001</v>
      </c>
      <c r="AQ503" s="178">
        <f>IF(OR(AJ503="USDAED",LEFT(AJ503,3)=RIGHT(AJ503,3)),AP503,IF(LEFT(AJ503)="USD",AO503,IF(RIGHT(AJ503,3)="USD",1,IFERROR(VLOOKUP(E503&amp;"USD"&amp;RIGHT(AJ503,3),$AN:$AO,2,FALSE),VLOOKUP(E503&amp;"USD"&amp;RIGHT(AB503,3),$AF:$AG,2,FALSE)))))</f>
        <v>77.2</v>
      </c>
      <c r="AR503" s="179">
        <f>-Q503*(1-Z503)/(1+X503)*IF(W503="CLIENT",IF(S503=RIGHT(AJ503,3),1/AM503,AM503),IF(W503="VENDOR",IF(S503=RIGHT(AJ503,3),1/AE503,AE503),AE503^(VLOOKUP(AB503,'FX RATES'!$H$1:$J$26,3,FALSE))/AM503^(VLOOKUP(AJ503,'FX RATES'!$H$1:$J$26,3,FALSE))))</f>
        <v>-654895.08769829315</v>
      </c>
      <c r="AS503" s="179">
        <f>-I503*(1+X503)/(1-Z503)*IF(W503="VENDOR",IF(K503=RIGHT(AB503,3),1/AE503,AE503),IF(W503="CLIENT",IF(K503=RIGHT(AB503,3),1/AM503,AM503),AM503^(VLOOKUP(AJ503,'FX RATES'!$H$1:$J$26,3,FALSE))/AE503^(VLOOKUP(AB503,'FX RATES'!$H$1:$J$26,3,FALSE))))</f>
        <v>13954007.131391129</v>
      </c>
      <c r="AT503" s="170">
        <f>IF(AB503&lt;&gt;AJ503,J503/IF(K503=RIGHT(AB503,3),AE503,1/AE503),IF(S503="USD",J503/IF(K503=RIGHT(AB503,3),IF(W503="CLIENT",AM503,AE503),1/IF(W503="CLIENT",AM503,AE503)),J503*VLOOKUP(K503,'FX RATES'!$E$1:$F$10,2,FALSE)))</f>
        <v>-178445.50408719346</v>
      </c>
      <c r="AU503" s="170">
        <f>IF(AB503&lt;&gt;AJ503,R503/IF(S503=RIGHT(AJ503,3),AM503,1/AM503),IF(K503="USD",R503/IF(S503=RIGHT(AJ503,3),IF(W503="CLIENT",AM503,AE503),1/IF(W503="CLIENT",AM503,AE503)),R503*VLOOKUP(S503,'FX RATES'!$E$1:$F$10,2,FALSE)))</f>
        <v>179703.4521482237</v>
      </c>
      <c r="AV503" s="170">
        <f>AT503+AU503</f>
        <v>1257.9480610302417</v>
      </c>
      <c r="AW503" s="169"/>
      <c r="AX503" s="170">
        <f>IF(AND(ISERROR(SEARCH("INVOICE",T503)),ISERROR(SEARCH("SWITCH",T503)),ISERROR(SEARCH("FOREX",T503)),ISERROR(SEARCH("REFUND",A503)),ISERROR(SEARCH("CANCELLED",A503))),IF(AW503="",-AT503*X503+AU503*Z503,AW503),0)</f>
        <v>1257.9241650375659</v>
      </c>
      <c r="AY503" s="170">
        <f>IF(AZ503="USD",AT503,IF(AZ503=K503,J503,-R503))</f>
        <v>-178445.50408719346</v>
      </c>
      <c r="AZ503" s="170" t="str">
        <f>LEFT(AB503,3)</f>
        <v>USD</v>
      </c>
      <c r="BA503" s="542">
        <f>IF(OR(A503="REFUND",A503="CANCELLED"),0,IFERROR((IF(OR(AB503="USDAED",LEFT(AB503,3)=RIGHT(AB503,3)),AI503,AG503)-AE503)*-AY503*VLOOKUP(AB503,'FX RATES'!$H$1:$J$26,3,FALSE),0))</f>
        <v>446.11376021797412</v>
      </c>
      <c r="BB503" s="170" t="str">
        <f>RIGHT(AB503,3)</f>
        <v>AED</v>
      </c>
      <c r="BC503" s="542">
        <f>IF(BA503=0,0,IFERROR(BA503/IF(BB503&lt;&gt;"USD",AI503,1),"???"))</f>
        <v>121.47413484492148</v>
      </c>
      <c r="BD503" s="170">
        <f>IFERROR(-AC503/(IF(OR(AB503="USDAED",LEFT(AB503,3)=RIGHT(AB503,3)),AH503,AG503)-AE503)*BC503,0)</f>
        <v>0</v>
      </c>
      <c r="BE503" s="542">
        <f>BC503-BD503</f>
        <v>121.47413484492148</v>
      </c>
      <c r="BF503" s="170">
        <f>IF(BG503="USD",AU503,IF(BG503=S503,R503,-J503))</f>
        <v>179703.4521482237</v>
      </c>
      <c r="BG503" s="170" t="str">
        <f>LEFT(AJ503,3)</f>
        <v>USD</v>
      </c>
      <c r="BH503" s="542">
        <f>IF(OR(A503="REFUND",A503="CANCELLED"),0,IFERROR((IF(OR(AJ503="USDAED",LEFT(AJ503,3)=RIGHT(AJ503,3)),AQ503,AO503)-AM503)*-BF503*VLOOKUP(AJ503,'FX RATES'!$H$1:$J$26,3,FALSE),0))</f>
        <v>80902.494157129462</v>
      </c>
      <c r="BI503" s="170" t="str">
        <f>RIGHT(AJ503,3)</f>
        <v>RUB</v>
      </c>
      <c r="BJ503" s="542">
        <f>IF(BH503=0,0,IFERROR(BH503/IF(BI503&lt;&gt;"USD",AQ503,1),"???"))</f>
        <v>1047.959768874734</v>
      </c>
      <c r="BK503" s="170">
        <f>IFERROR(-AK503/(IF(OR(AJ503="USDAED",LEFT(AJ503,3)=RIGHT(AJ503,3)),AP503,AO503)-AM503)*BJ503,0)</f>
        <v>0</v>
      </c>
      <c r="BL503" s="542">
        <f>BJ503-BK503</f>
        <v>1047.959768874734</v>
      </c>
      <c r="BM503" s="170">
        <f>IF(AND(ISERROR(SEARCH("REFUND",A503)),ISERROR(SEARCH("CANCELLED",A503))),BD503+BK503,0)</f>
        <v>0</v>
      </c>
      <c r="BN503" s="542">
        <f>IF(AND(ISERROR(SEARCH("REFUND",A503)),ISERROR(SEARCH("CANCELLED",A503))),BE503+BL503,0)</f>
        <v>1169.4339037196555</v>
      </c>
    </row>
    <row r="504" spans="1:66" ht="19.5" customHeight="1">
      <c r="A504" s="167" t="s">
        <v>601</v>
      </c>
      <c r="B504" s="168" t="s">
        <v>39</v>
      </c>
      <c r="C504" s="168" t="s">
        <v>383</v>
      </c>
      <c r="D504" s="168" t="s">
        <v>128</v>
      </c>
      <c r="E504" s="171">
        <v>46063</v>
      </c>
      <c r="F504" s="171"/>
      <c r="G504" s="168" t="s">
        <v>39</v>
      </c>
      <c r="H504" s="168" t="s">
        <v>384</v>
      </c>
      <c r="I504" s="169">
        <v>-13954000</v>
      </c>
      <c r="J504" s="170">
        <f>IF(I504="",AR504,I504)</f>
        <v>-13954000</v>
      </c>
      <c r="K504" s="168" t="s">
        <v>9</v>
      </c>
      <c r="L504" s="171" t="s">
        <v>374</v>
      </c>
      <c r="M504" s="168" t="s">
        <v>374</v>
      </c>
      <c r="N504" s="167" t="s">
        <v>553</v>
      </c>
      <c r="O504" s="168" t="s">
        <v>39</v>
      </c>
      <c r="P504" s="349" t="s">
        <v>384</v>
      </c>
      <c r="Q504" s="169"/>
      <c r="R504" s="170">
        <f>IF(Q504="",AS504,Q504)</f>
        <v>661013.73756513512</v>
      </c>
      <c r="S504" s="168" t="s">
        <v>8</v>
      </c>
      <c r="T504" s="171" t="s">
        <v>385</v>
      </c>
      <c r="U504" s="168" t="s">
        <v>20</v>
      </c>
      <c r="V504" s="167" t="s">
        <v>371</v>
      </c>
      <c r="W504" s="172" t="s">
        <v>382</v>
      </c>
      <c r="X504" s="173">
        <f>IF(Y504="",VLOOKUP(H504,CLIENTS!$A$1:$O$649,5,FALSE),Y504)</f>
        <v>0</v>
      </c>
      <c r="Y504" s="174">
        <v>0</v>
      </c>
      <c r="Z504" s="173">
        <f>IF(AA504="",VLOOKUP(P504,CLIENTS!$A$1:$O$649,5,FALSE),AA504)</f>
        <v>0</v>
      </c>
      <c r="AA504" s="174">
        <v>0</v>
      </c>
      <c r="AB504" s="173" t="str">
        <f>IF(W504="via USD",IF(K504="EUR",K504&amp;"USD","USD"&amp;K504),IFERROR(VLOOKUP(K504&amp;S504,'FX RATES'!$H$2:$H$20,1,FALSE),S504&amp;K504))</f>
        <v>AEDRUB</v>
      </c>
      <c r="AC504" s="175">
        <f>IF(LEFT(AB504,3)=RIGHT(AB504,3),0,IFERROR(INDEX(CLIENTS!$A$1:$O$649,MATCH(H504,CLIENTS!$A$1:$A$649,0),MATCH(AB504,CLIENTS!$A$1:$O$1,0)),0))</f>
        <v>0</v>
      </c>
      <c r="AD504" s="176">
        <v>21.11</v>
      </c>
      <c r="AE504" s="177">
        <f>IF(W504="CLIENT","",IF(AD504="",AH504+AC504,AD504+AC504))</f>
        <v>21.11</v>
      </c>
      <c r="AF504" s="177" t="str">
        <f>E504&amp;AB504</f>
        <v>46063AEDRUB</v>
      </c>
      <c r="AG504" s="176">
        <v>21.021100000000001</v>
      </c>
      <c r="AH504" s="178">
        <f ca="1">IF(LEFT(AB504,3)=RIGHT(AB504,3),1,VLOOKUP(AB504,'FX RATES'!$H$1:$I$20,2,FALSE))</f>
        <v>20.8843</v>
      </c>
      <c r="AI504" s="178">
        <f>IF(OR(AB504="USDAED",LEFT(AB504,3)=RIGHT(AB504,3)),AH504,IF(LEFT(AB504)="USD",AG504,IF(RIGHT(AB504,3)="USD",1,IFERROR(VLOOKUP(E504&amp;"USD"&amp;RIGHT(AB504,3),$AF:$AG,2,FALSE),VLOOKUP(E504&amp;"USD"&amp;RIGHT(AJ504,3),$AN:$AO,2,FALSE)))))</f>
        <v>77.2</v>
      </c>
      <c r="AJ504" s="173" t="str">
        <f>IF(W504="via USD",IF(S504="EUR",S504&amp;"USD","USD"&amp;S504),IFERROR(VLOOKUP(K504&amp;S504,'FX RATES'!$H$2:$H$20,1,FALSE),S504&amp;K504))</f>
        <v>AEDRUB</v>
      </c>
      <c r="AK504" s="175">
        <f>IF(LEFT(AJ504,3)=RIGHT(AJ504,3),0,IFERROR(INDEX(CLIENTS!$A$1:$O$649,MATCH(P504,CLIENTS!$A$1:$A$649,0),MATCH(AJ504,CLIENTS!$A$1:$O$1,0)),0))</f>
        <v>0</v>
      </c>
      <c r="AL504" s="176"/>
      <c r="AM504" s="177" t="str">
        <f>IF(W504="VENDOR","",IF(AL504="",AP504+AK504,AL504+AK504))</f>
        <v/>
      </c>
      <c r="AN504" s="177" t="str">
        <f>E504&amp;AJ504</f>
        <v>46063AEDRUB</v>
      </c>
      <c r="AO504" s="176"/>
      <c r="AP504" s="178">
        <f ca="1">IF(LEFT(AJ504,3)=RIGHT(AJ504,3),1,VLOOKUP(AJ504,'FX RATES'!$H$1:$I$20,2,FALSE))</f>
        <v>20.8843</v>
      </c>
      <c r="AQ504" s="178">
        <f>IF(OR(AJ504="USDAED",LEFT(AJ504,3)=RIGHT(AJ504,3)),AP504,IF(LEFT(AJ504)="USD",AO504,IF(RIGHT(AJ504,3)="USD",1,IFERROR(VLOOKUP(E504&amp;"USD"&amp;RIGHT(AJ504,3),$AN:$AO,2,FALSE),VLOOKUP(E504&amp;"USD"&amp;RIGHT(AB504,3),$AF:$AG,2,FALSE)))))</f>
        <v>77.2</v>
      </c>
      <c r="AR504" s="179">
        <f>-Q504*(1-Z504)/(1+X504)*IF(W504="CLIENT",IF(S504=RIGHT(AJ504,3),1/AM504,AM504),IF(W504="VENDOR",IF(S504=RIGHT(AJ504,3),1/AE504,AE504),AE504^(VLOOKUP(AB504,'FX RATES'!$H$1:$J$26,3,FALSE))/AM504^(VLOOKUP(AJ504,'FX RATES'!$H$1:$J$26,3,FALSE))))</f>
        <v>0</v>
      </c>
      <c r="AS504" s="179">
        <f>-I504*(1+X504)/(1-Z504)*IF(W504="VENDOR",IF(K504=RIGHT(AB504,3),1/AE504,AE504),IF(W504="CLIENT",IF(K504=RIGHT(AB504,3),1/AM504,AM504),AM504^(VLOOKUP(AJ504,'FX RATES'!$H$1:$J$26,3,FALSE))/AE504^(VLOOKUP(AB504,'FX RATES'!$H$1:$J$26,3,FALSE))))</f>
        <v>661013.73756513512</v>
      </c>
      <c r="AT504" s="170">
        <f ca="1">IF(AB504&lt;&gt;AJ504,J504/IF(K504=RIGHT(AB504,3),AE504,1/AE504),IF(S504="USD",J504/IF(K504=RIGHT(AB504,3),IF(W504="CLIENT",AM504,AE504),1/IF(W504="CLIENT",AM504,AE504)),J504*VLOOKUP(K504,'FX RATES'!$E$1:$F$10,2,FALSE)))</f>
        <v>-181880.9835702322</v>
      </c>
      <c r="AU504" s="170">
        <f ca="1">IF(AB504&lt;&gt;AJ504,R504/IF(S504=RIGHT(AJ504,3),AM504,1/AM504),IF(K504="USD",R504/IF(S504=RIGHT(AJ504,3),IF(W504="CLIENT",AM504,AE504),1/IF(W504="CLIENT",AM504,AE504)),R504*VLOOKUP(S504,'FX RATES'!$E$1:$F$10,2,FALSE)))</f>
        <v>179985.22506266271</v>
      </c>
      <c r="AV504" s="170">
        <f ca="1">AT504+AU504</f>
        <v>-1895.7585075694951</v>
      </c>
      <c r="AW504" s="169"/>
      <c r="AX504" s="170">
        <f ca="1">IF(AND(ISERROR(SEARCH("INVOICE",T504)),ISERROR(SEARCH("SWITCH",T504)),ISERROR(SEARCH("FOREX",T504)),ISERROR(SEARCH("REFUND",A504)),ISERROR(SEARCH("CANCELLED",A504))),IF(AW504="",-AT504*X504+AU504*Z504,AW504),0)</f>
        <v>0</v>
      </c>
      <c r="AY504" s="170">
        <f>IF(AZ504="USD",AT504,IF(AZ504=K504,J504,-R504))</f>
        <v>-661013.73756513512</v>
      </c>
      <c r="AZ504" s="170" t="str">
        <f>LEFT(AB504,3)</f>
        <v>AED</v>
      </c>
      <c r="BA504" s="542">
        <f>IF(OR(A504="REFUND",A504="CANCELLED"),0,IFERROR((IF(OR(AB504="USDAED",LEFT(AB504,3)=RIGHT(AB504,3)),AI504,AG504)-AE504)*-AY504*VLOOKUP(AB504,'FX RATES'!$H$1:$J$26,3,FALSE),0))</f>
        <v>-58764.121269539763</v>
      </c>
      <c r="BB504" s="170" t="str">
        <f>RIGHT(AB504,3)</f>
        <v>RUB</v>
      </c>
      <c r="BC504" s="542">
        <f>IF(BA504=0,0,IFERROR(BA504/IF(BB504&lt;&gt;"USD",AI504,1),"???"))</f>
        <v>-761.19328069352025</v>
      </c>
      <c r="BD504" s="170">
        <f>IFERROR(-AC504/(IF(OR(AB504="USDAED",LEFT(AB504,3)=RIGHT(AB504,3)),AH504,AG504)-AE504)*BC504,0)</f>
        <v>0</v>
      </c>
      <c r="BE504" s="542">
        <f>BC504-BD504</f>
        <v>-761.19328069352025</v>
      </c>
      <c r="BF504" s="170">
        <f>IF(BG504="USD",AU504,IF(BG504=S504,R504,-J504))</f>
        <v>661013.73756513512</v>
      </c>
      <c r="BG504" s="170" t="str">
        <f>LEFT(AJ504,3)</f>
        <v>AED</v>
      </c>
      <c r="BH504" s="542">
        <f>IF(OR(A504="REFUND",A504="CANCELLED"),0,IFERROR((IF(OR(AJ504="USDAED",LEFT(AJ504,3)=RIGHT(AJ504,3)),AQ504,AO504)-AM504)*-BF504*VLOOKUP(AJ504,'FX RATES'!$H$1:$J$26,3,FALSE),0))</f>
        <v>0</v>
      </c>
      <c r="BI504" s="170" t="str">
        <f>RIGHT(AJ504,3)</f>
        <v>RUB</v>
      </c>
      <c r="BJ504" s="542">
        <f>IF(BH504=0,0,IFERROR(BH504/IF(BI504&lt;&gt;"USD",AQ504,1),"???"))</f>
        <v>0</v>
      </c>
      <c r="BK504" s="170">
        <f>IFERROR(-AK504/(IF(OR(AJ504="USDAED",LEFT(AJ504,3)=RIGHT(AJ504,3)),AP504,AO504)-AM504)*BJ504,0)</f>
        <v>0</v>
      </c>
      <c r="BL504" s="542">
        <f>BJ504-BK504</f>
        <v>0</v>
      </c>
      <c r="BM504" s="170">
        <f>IF(AND(ISERROR(SEARCH("REFUND",A504)),ISERROR(SEARCH("CANCELLED",A504))),BD504+BK504,0)</f>
        <v>0</v>
      </c>
      <c r="BN504" s="542">
        <f>IF(AND(ISERROR(SEARCH("REFUND",A504)),ISERROR(SEARCH("CANCELLED",A504))),BE504+BL504,0)</f>
        <v>-761.19328069352025</v>
      </c>
    </row>
    <row r="505" spans="1:66" ht="19.5" customHeight="1">
      <c r="A505" s="167"/>
      <c r="B505" s="182"/>
      <c r="C505" s="182"/>
      <c r="D505" s="182"/>
      <c r="E505" s="184"/>
      <c r="F505" s="184"/>
      <c r="G505" s="182"/>
      <c r="H505" s="182"/>
      <c r="I505" s="170"/>
      <c r="J505" s="170"/>
      <c r="K505" s="182"/>
      <c r="L505" s="184"/>
      <c r="M505" s="182"/>
      <c r="O505" s="182"/>
      <c r="P505" s="444"/>
      <c r="Q505" s="170"/>
      <c r="R505" s="170"/>
      <c r="S505" s="182"/>
      <c r="T505" s="184"/>
      <c r="U505" s="182"/>
      <c r="X505" s="173"/>
      <c r="Y505" s="173"/>
      <c r="Z505" s="173"/>
      <c r="AA505" s="173"/>
      <c r="AB505" s="173"/>
      <c r="AC505" s="175"/>
      <c r="AD505" s="177"/>
      <c r="AE505" s="177"/>
      <c r="AF505" s="177"/>
      <c r="AG505" s="177"/>
      <c r="AH505" s="178"/>
      <c r="AI505" s="178"/>
      <c r="AJ505" s="173"/>
      <c r="AK505" s="175"/>
      <c r="AL505" s="177"/>
      <c r="AM505" s="177"/>
      <c r="AN505" s="177"/>
      <c r="AO505" s="177"/>
      <c r="AP505" s="178"/>
      <c r="AQ505" s="178"/>
      <c r="AR505" s="185"/>
      <c r="AS505" s="185"/>
      <c r="AT505" s="170"/>
      <c r="AU505" s="170"/>
      <c r="AV505" s="170"/>
      <c r="AW505" s="170"/>
      <c r="AX505" s="170"/>
      <c r="AY505" s="170"/>
      <c r="AZ505" s="170"/>
      <c r="BA505" s="542"/>
      <c r="BB505" s="170"/>
      <c r="BC505" s="542"/>
      <c r="BD505" s="170"/>
      <c r="BE505" s="542"/>
      <c r="BF505" s="170"/>
      <c r="BG505" s="170"/>
      <c r="BH505" s="542"/>
      <c r="BI505" s="170"/>
      <c r="BJ505" s="542"/>
      <c r="BK505" s="170"/>
      <c r="BL505" s="542"/>
      <c r="BM505" s="170"/>
      <c r="BN505" s="542"/>
    </row>
    <row r="506" spans="1:66" ht="19.5" customHeight="1">
      <c r="A506" s="167" t="s">
        <v>601</v>
      </c>
      <c r="B506" s="168" t="s">
        <v>52</v>
      </c>
      <c r="C506" s="168" t="s">
        <v>367</v>
      </c>
      <c r="D506" s="168" t="s">
        <v>368</v>
      </c>
      <c r="E506" s="171">
        <v>46063</v>
      </c>
      <c r="F506" s="171"/>
      <c r="G506" s="168" t="s">
        <v>52</v>
      </c>
      <c r="H506" s="169" t="s">
        <v>550</v>
      </c>
      <c r="I506" s="169">
        <v>-690000</v>
      </c>
      <c r="J506" s="170">
        <f>IF(I506="",AR506,I506)</f>
        <v>-690000</v>
      </c>
      <c r="K506" s="168" t="s">
        <v>53</v>
      </c>
      <c r="L506" s="168" t="s">
        <v>420</v>
      </c>
      <c r="M506" s="168" t="s">
        <v>54</v>
      </c>
      <c r="N506" s="167" t="s">
        <v>553</v>
      </c>
      <c r="O506" s="168" t="s">
        <v>52</v>
      </c>
      <c r="P506" s="169" t="s">
        <v>551</v>
      </c>
      <c r="Q506" s="169"/>
      <c r="R506" s="170">
        <f>IF(Q506="",AS506,Q506)</f>
        <v>53619899.999999993</v>
      </c>
      <c r="S506" s="168" t="s">
        <v>9</v>
      </c>
      <c r="T506" s="168" t="s">
        <v>502</v>
      </c>
      <c r="U506" s="168" t="s">
        <v>374</v>
      </c>
      <c r="V506" s="167" t="s">
        <v>371</v>
      </c>
      <c r="W506" s="172" t="s">
        <v>375</v>
      </c>
      <c r="X506" s="173">
        <f>IF(Y506="",VLOOKUP(H506,CLIENTS!$A$1:$O$649,5,FALSE),Y506)</f>
        <v>0</v>
      </c>
      <c r="Y506" s="174">
        <v>0</v>
      </c>
      <c r="Z506" s="173">
        <f>IF(AA506="",VLOOKUP(P506,CLIENTS!$A$1:$O$649,5,FALSE),AA506)</f>
        <v>0</v>
      </c>
      <c r="AA506" s="174">
        <v>0</v>
      </c>
      <c r="AB506" s="173" t="str">
        <f>IF(W506="via USD",IF(K506="EUR",K506&amp;"USD","USD"&amp;K506),IFERROR(VLOOKUP(K506&amp;S506,'FX RATES'!$H$2:$H$20,1,FALSE),S506&amp;K506))</f>
        <v>USDUSDT</v>
      </c>
      <c r="AC506" s="175">
        <f>IF(LEFT(AB506,3)=RIGHT(AB506,3),0,IFERROR(INDEX(CLIENTS!$A$1:$O$649,MATCH(H506,CLIENTS!$A$1:$A$649,0),MATCH(AB506,CLIENTS!$A$1:$O$1,0)),0))</f>
        <v>0</v>
      </c>
      <c r="AD506" s="176"/>
      <c r="AE506" s="177">
        <f>IF(W506="CLIENT","",IF(AD506="",AH506+AC506,AD506+AC506))</f>
        <v>1</v>
      </c>
      <c r="AF506" s="177" t="str">
        <f>E506&amp;AB506</f>
        <v>46063USDUSDT</v>
      </c>
      <c r="AG506" s="176"/>
      <c r="AH506" s="178">
        <f>IF(LEFT(AB506,3)=RIGHT(AB506,3),1,VLOOKUP(AB506,'FX RATES'!$H$1:$I$50,2,FALSE))</f>
        <v>1</v>
      </c>
      <c r="AI506" s="178">
        <f>IF(OR(AB506="USDAED",LEFT(AB506,3)=RIGHT(AB506,3),AB506="USDUSDT",AB506="USDTUSD"),AH506,IF(LEFT(AB506)="USD",AG506,IF(RIGHT(AB506,3)="USD",1,IFERROR(VLOOKUP(E506&amp;"USD"&amp;RIGHT(AB506,3),$AF:$AG,2,FALSE),VLOOKUP(E506&amp;"USD"&amp;RIGHT(AJ506,3),$AN:$AO,2,FALSE)))))</f>
        <v>1</v>
      </c>
      <c r="AJ506" s="173" t="str">
        <f>IF(W506="via USD",IF(S506="EUR",S506&amp;"USD","USD"&amp;S506),IFERROR(VLOOKUP(K506&amp;S506,'FX RATES'!$H$2:$H$20,1,FALSE),S506&amp;K506))</f>
        <v>USDRUB</v>
      </c>
      <c r="AK506" s="175">
        <f>IF(LEFT(AJ506,3)=RIGHT(AJ506,3),0,IFERROR(INDEX(CLIENTS!$A$1:$O$649,MATCH(P506,CLIENTS!$A$1:$A$649,0),MATCH(AJ506,CLIENTS!$A$1:$O$1,0)),0))</f>
        <v>0</v>
      </c>
      <c r="AL506" s="176">
        <v>77.709999999999994</v>
      </c>
      <c r="AM506" s="177">
        <f>IF(W506="VENDOR","",IF(AL506="",AP506+AK506,AL506+AK506))</f>
        <v>77.709999999999994</v>
      </c>
      <c r="AN506" s="177" t="str">
        <f>E506&amp;AJ506</f>
        <v>46063USDRUB</v>
      </c>
      <c r="AO506" s="176">
        <v>77.2</v>
      </c>
      <c r="AP506" s="178">
        <f ca="1">IF(LEFT(AJ506,3)=RIGHT(AJ506,3),1,VLOOKUP(AJ506,'FX RATES'!$H$1:$I$20,2,FALSE))</f>
        <v>76.720500000000001</v>
      </c>
      <c r="AQ506" s="178">
        <f>IF(OR(AJ506="USDAED",LEFT(AJ506,3)=RIGHT(AJ506,3)),AP506,IF(LEFT(AJ506)="USD",AO506,IF(RIGHT(AJ506,3)="USD",1,IFERROR(VLOOKUP(E506&amp;"USD"&amp;RIGHT(AJ506,3),$AN:$AO,2,FALSE),VLOOKUP(E506&amp;"USD"&amp;RIGHT(AB506,3),$AF:$AG,2,FALSE)))))</f>
        <v>77.2</v>
      </c>
      <c r="AR506" s="179">
        <f>-Q506*(1-Z506)/(1+X506)*IF(W506="CLIENT",IF(S506=RIGHT(AJ506,3),1/AM506,AM506),IF(W506="VENDOR",IF(S506=RIGHT(AJ506,3),1/AE506,AE506),AE506^(VLOOKUP(AB506,'FX RATES'!$H$1:$J$26,3,FALSE))/AM506^(VLOOKUP(AJ506,'FX RATES'!$H$1:$J$26,3,FALSE))))</f>
        <v>0</v>
      </c>
      <c r="AS506" s="179">
        <f>-I506*(1+X506)/(1-Z506)*IF(W506="VENDOR",IF(K506=RIGHT(AB506,3),1/AE506,AE506),IF(W506="CLIENT",IF(K506=RIGHT(AB506,3),1/AM506,AM506),AM506^(VLOOKUP(AJ506,'FX RATES'!$H$1:$J$26,3,FALSE))/AE506^(VLOOKUP(AB506,'FX RATES'!$H$1:$J$26,3,FALSE))))</f>
        <v>53619899.999999993</v>
      </c>
      <c r="AT506" s="170">
        <f>IF(AB506&lt;&gt;AJ506,J506/IF(K506=RIGHT(AB506,3),AE506,1/AE506),IF(S506="USD",J506/IF(K506=RIGHT(AB506,3),IF(W506="CLIENT",AM506,AE506),1/IF(W506="CLIENT",AM506,AE506)),J506*VLOOKUP(K506,'FX RATES'!$E$1:$F$10,2,FALSE)))</f>
        <v>-690000</v>
      </c>
      <c r="AU506" s="170">
        <f>IF(AB506&lt;&gt;AJ506,R506/IF(S506=RIGHT(AJ506,3),AM506,1/AM506),IF(K506="USD",R506/IF(S506=RIGHT(AJ506,3),IF(W506="CLIENT",AM506,AE506),1/IF(W506="CLIENT",AM506,AE506)),R506*VLOOKUP(S506,'FX RATES'!$E$1:$F$10,2,FALSE)))</f>
        <v>690000</v>
      </c>
      <c r="AV506" s="170">
        <f>AT506+AU506</f>
        <v>0</v>
      </c>
      <c r="AW506" s="169"/>
      <c r="AX506" s="170">
        <f>IF(AND(ISERROR(SEARCH("INVOICE",T506)),ISERROR(SEARCH("SWITCH",T506)),ISERROR(SEARCH("FOREX",T506)),ISERROR(SEARCH("REFUND",A506)),ISERROR(SEARCH("CANCELLED",A506))),IF(AW506="",-AT506*X506+AU506*Z506,AW506),0)</f>
        <v>0</v>
      </c>
      <c r="AY506" s="170">
        <f>IF(AZ506="USD",AT506,IF(AZ506=K506,J506,-R506))</f>
        <v>-690000</v>
      </c>
      <c r="AZ506" s="170" t="str">
        <f>LEFT(AB506,3)</f>
        <v>USD</v>
      </c>
      <c r="BA506" s="542">
        <f>IF(OR(A506="REFUND",A506="CANCELLED"),0,IFERROR((IF(OR(AB506="USDAED",LEFT(AB506,3)=RIGHT(AB506,3),AB506="USDUSDT",AB506="USDTUSD"),AI506,AG506)-AE506)*-AY506*VLOOKUP(AB506,'FX RATES'!$H$1:$J$26,3,FALSE),0))</f>
        <v>0</v>
      </c>
      <c r="BB506" s="170" t="str">
        <f>RIGHT(AB506,4)</f>
        <v>USDT</v>
      </c>
      <c r="BC506" s="542">
        <f>IF(BA506=0,0,IFERROR(BA506/IF(BB506&lt;&gt;"USD",AI506,1),"???"))</f>
        <v>0</v>
      </c>
      <c r="BD506" s="170">
        <f>IFERROR(-AC506/(IF(OR(AB506="USDAED",LEFT(AB506,3)=RIGHT(AB506,3)),AH506,AG506)-AE506)*BC506,0)</f>
        <v>0</v>
      </c>
      <c r="BE506" s="542">
        <f>BC506-BD506</f>
        <v>0</v>
      </c>
      <c r="BF506" s="170">
        <f>IF(BG506="USD",AU506,IF(BG506=S506,R506,-J506))</f>
        <v>690000</v>
      </c>
      <c r="BG506" s="170" t="str">
        <f>LEFT(AJ506,3)</f>
        <v>USD</v>
      </c>
      <c r="BH506" s="542">
        <f>IF(OR(A506="REFUND",A506="CANCELLED"),0,IFERROR((IF(OR(AJ506="USDAED",LEFT(AJ506,3)=RIGHT(AJ506,3)),AQ506,AO506)-AM506)*-BF506*VLOOKUP(AJ506,'FX RATES'!$H$1:$J$26,3,FALSE),0))</f>
        <v>351899.99999999371</v>
      </c>
      <c r="BI506" s="170" t="str">
        <f>RIGHT(AJ506,3)</f>
        <v>RUB</v>
      </c>
      <c r="BJ506" s="542">
        <f>IF(BH506=0,0,IFERROR(BH506/IF(BI506&lt;&gt;"USD",AQ506,1),"???"))</f>
        <v>4558.2901554403325</v>
      </c>
      <c r="BK506" s="170">
        <f>IFERROR(-AK506/(IF(OR(AJ506="USDAED",LEFT(AJ506,3)=RIGHT(AJ506,3)),AP506,AO506)-AM506)*BJ506,0)</f>
        <v>0</v>
      </c>
      <c r="BL506" s="542">
        <f>BJ506-BK506</f>
        <v>4558.2901554403325</v>
      </c>
      <c r="BM506" s="170">
        <f>IF(AND(ISERROR(SEARCH("REFUND",A506)),ISERROR(SEARCH("CANCELLED",A506))),BD506+BK506,0)</f>
        <v>0</v>
      </c>
      <c r="BN506" s="542">
        <f>IF(AND(ISERROR(SEARCH("REFUND",A506)),ISERROR(SEARCH("CANCELLED",A506))),BE506+BL506,0)</f>
        <v>4558.2901554403325</v>
      </c>
    </row>
    <row r="507" spans="1:66" ht="19.5" customHeight="1">
      <c r="A507" s="167" t="s">
        <v>601</v>
      </c>
      <c r="B507" s="168" t="s">
        <v>39</v>
      </c>
      <c r="C507" s="168" t="s">
        <v>383</v>
      </c>
      <c r="D507" s="168" t="s">
        <v>128</v>
      </c>
      <c r="E507" s="171">
        <v>46063</v>
      </c>
      <c r="F507" s="171"/>
      <c r="G507" s="168" t="s">
        <v>39</v>
      </c>
      <c r="H507" s="168" t="s">
        <v>384</v>
      </c>
      <c r="I507" s="169">
        <f>-R506</f>
        <v>-53619899.999999993</v>
      </c>
      <c r="J507" s="170">
        <f>IF(I507="",AR507,I507)</f>
        <v>-53619899.999999993</v>
      </c>
      <c r="K507" s="168" t="s">
        <v>9</v>
      </c>
      <c r="L507" s="171" t="s">
        <v>374</v>
      </c>
      <c r="M507" s="168" t="s">
        <v>374</v>
      </c>
      <c r="N507" s="167" t="s">
        <v>553</v>
      </c>
      <c r="O507" s="168" t="s">
        <v>39</v>
      </c>
      <c r="P507" s="349" t="s">
        <v>384</v>
      </c>
      <c r="Q507" s="169"/>
      <c r="R507" s="170">
        <f>IF(Q507="",AS507,Q507)</f>
        <v>2539662.7670155829</v>
      </c>
      <c r="S507" s="168" t="s">
        <v>8</v>
      </c>
      <c r="T507" s="171" t="s">
        <v>385</v>
      </c>
      <c r="U507" s="168" t="s">
        <v>20</v>
      </c>
      <c r="V507" s="167" t="s">
        <v>371</v>
      </c>
      <c r="W507" s="172" t="s">
        <v>382</v>
      </c>
      <c r="X507" s="173">
        <f>IF(Y507="",VLOOKUP(H507,CLIENTS!$A$1:$O$649,5,FALSE),Y507)</f>
        <v>0</v>
      </c>
      <c r="Y507" s="174">
        <v>0</v>
      </c>
      <c r="Z507" s="173">
        <f>IF(AA507="",VLOOKUP(P507,CLIENTS!$A$1:$O$649,5,FALSE),AA507)</f>
        <v>0</v>
      </c>
      <c r="AA507" s="174">
        <v>0</v>
      </c>
      <c r="AB507" s="173" t="str">
        <f>IF(W507="via USD",IF(K507="EUR",K507&amp;"USD","USD"&amp;K507),IFERROR(VLOOKUP(K507&amp;S507,'FX RATES'!$H$2:$H$20,1,FALSE),S507&amp;K507))</f>
        <v>AEDRUB</v>
      </c>
      <c r="AC507" s="175">
        <f>IF(LEFT(AB507,3)=RIGHT(AB507,3),0,IFERROR(INDEX(CLIENTS!$A$1:$O$649,MATCH(H507,CLIENTS!$A$1:$A$649,0),MATCH(AB507,CLIENTS!$A$1:$O$1,0)),0))</f>
        <v>0</v>
      </c>
      <c r="AD507" s="176">
        <v>21.113</v>
      </c>
      <c r="AE507" s="177">
        <f>IF(W507="CLIENT","",IF(AD507="",AH507+AC507,AD507+AC507))</f>
        <v>21.113</v>
      </c>
      <c r="AF507" s="177" t="str">
        <f>E507&amp;AB507</f>
        <v>46063AEDRUB</v>
      </c>
      <c r="AG507" s="176">
        <v>21.021100000000001</v>
      </c>
      <c r="AH507" s="178">
        <f ca="1">IF(LEFT(AB507,3)=RIGHT(AB507,3),1,VLOOKUP(AB507,'FX RATES'!$H$1:$I$20,2,FALSE))</f>
        <v>20.8843</v>
      </c>
      <c r="AI507" s="178">
        <f>IF(OR(AB507="USDAED",LEFT(AB507,3)=RIGHT(AB507,3)),AH507,IF(LEFT(AB507)="USD",AG507,IF(RIGHT(AB507,3)="USD",1,IFERROR(VLOOKUP(E507&amp;"USD"&amp;RIGHT(AB507,3),$AF:$AG,2,FALSE),VLOOKUP(E507&amp;"USD"&amp;RIGHT(AJ507,3),$AN:$AO,2,FALSE)))))</f>
        <v>77.2</v>
      </c>
      <c r="AJ507" s="173" t="str">
        <f>IF(W507="via USD",IF(S507="EUR",S507&amp;"USD","USD"&amp;S507),IFERROR(VLOOKUP(K507&amp;S507,'FX RATES'!$H$2:$H$20,1,FALSE),S507&amp;K507))</f>
        <v>AEDRUB</v>
      </c>
      <c r="AK507" s="175">
        <f>IF(LEFT(AJ507,3)=RIGHT(AJ507,3),0,IFERROR(INDEX(CLIENTS!$A$1:$O$649,MATCH(P507,CLIENTS!$A$1:$A$649,0),MATCH(AJ507,CLIENTS!$A$1:$O$1,0)),0))</f>
        <v>0</v>
      </c>
      <c r="AL507" s="176"/>
      <c r="AM507" s="177" t="str">
        <f>IF(W507="VENDOR","",IF(AL507="",AP507+AK507,AL507+AK507))</f>
        <v/>
      </c>
      <c r="AN507" s="177" t="str">
        <f>E507&amp;AJ507</f>
        <v>46063AEDRUB</v>
      </c>
      <c r="AO507" s="176"/>
      <c r="AP507" s="178">
        <f ca="1">IF(LEFT(AJ507,3)=RIGHT(AJ507,3),1,VLOOKUP(AJ507,'FX RATES'!$H$1:$I$20,2,FALSE))</f>
        <v>20.8843</v>
      </c>
      <c r="AQ507" s="178">
        <f>IF(OR(AJ507="USDAED",LEFT(AJ507,3)=RIGHT(AJ507,3)),AP507,IF(LEFT(AJ507)="USD",AO507,IF(RIGHT(AJ507,3)="USD",1,IFERROR(VLOOKUP(E507&amp;"USD"&amp;RIGHT(AJ507,3),$AN:$AO,2,FALSE),VLOOKUP(E507&amp;"USD"&amp;RIGHT(AB507,3),$AF:$AG,2,FALSE)))))</f>
        <v>77.2</v>
      </c>
      <c r="AR507" s="179">
        <f>-Q507*(1-Z507)/(1+X507)*IF(W507="CLIENT",IF(S507=RIGHT(AJ507,3),1/AM507,AM507),IF(W507="VENDOR",IF(S507=RIGHT(AJ507,3),1/AE507,AE507),AE507^(VLOOKUP(AB507,'FX RATES'!$H$1:$J$26,3,FALSE))/AM507^(VLOOKUP(AJ507,'FX RATES'!$H$1:$J$26,3,FALSE))))</f>
        <v>0</v>
      </c>
      <c r="AS507" s="179">
        <f>-I507*(1+X507)/(1-Z507)*IF(W507="VENDOR",IF(K507=RIGHT(AB507,3),1/AE507,AE507),IF(W507="CLIENT",IF(K507=RIGHT(AB507,3),1/AM507,AM507),AM507^(VLOOKUP(AJ507,'FX RATES'!$H$1:$J$26,3,FALSE))/AE507^(VLOOKUP(AB507,'FX RATES'!$H$1:$J$26,3,FALSE))))</f>
        <v>2539662.7670155829</v>
      </c>
      <c r="AT507" s="170">
        <f ca="1">IF(AB507&lt;&gt;AJ507,J507/IF(K507=RIGHT(AB507,3),AE507,1/AE507),IF(S507="USD",J507/IF(K507=RIGHT(AB507,3),IF(W507="CLIENT",AM507,AE507),1/IF(W507="CLIENT",AM507,AE507)),J507*VLOOKUP(K507,'FX RATES'!$E$1:$F$10,2,FALSE)))</f>
        <v>-698899.25117797707</v>
      </c>
      <c r="AU507" s="170">
        <f ca="1">IF(AB507&lt;&gt;AJ507,R507/IF(S507=RIGHT(AJ507,3),AM507,1/AM507),IF(K507="USD",R507/IF(S507=RIGHT(AJ507,3),IF(W507="CLIENT",AM507,AE507),1/IF(W507="CLIENT",AM507,AE507)),R507*VLOOKUP(S507,'FX RATES'!$E$1:$F$10,2,FALSE)))</f>
        <v>691516.30098992074</v>
      </c>
      <c r="AV507" s="170">
        <f ca="1">AT507+AU507</f>
        <v>-7382.950188056333</v>
      </c>
      <c r="AW507" s="169"/>
      <c r="AX507" s="170">
        <f ca="1">IF(AND(ISERROR(SEARCH("INVOICE",T507)),ISERROR(SEARCH("SWITCH",T507)),ISERROR(SEARCH("FOREX",T507)),ISERROR(SEARCH("REFUND",A507)),ISERROR(SEARCH("CANCELLED",A507))),IF(AW507="",-AT507*X507+AU507*Z507,AW507),0)</f>
        <v>0</v>
      </c>
      <c r="AY507" s="170">
        <f>IF(AZ507="USD",AT507,IF(AZ507=K507,J507,-R507))</f>
        <v>-2539662.7670155829</v>
      </c>
      <c r="AZ507" s="170" t="str">
        <f>LEFT(AB507,3)</f>
        <v>AED</v>
      </c>
      <c r="BA507" s="542">
        <f>IF(OR(A507="REFUND",A507="CANCELLED"),0,IFERROR((IF(OR(AB507="USDAED",LEFT(AB507,3)=RIGHT(AB507,3)),AI507,AG507)-AE507)*-AY507*VLOOKUP(AB507,'FX RATES'!$H$1:$J$26,3,FALSE),0))</f>
        <v>-233395.00828872947</v>
      </c>
      <c r="BB507" s="170" t="str">
        <f>RIGHT(AB507,3)</f>
        <v>RUB</v>
      </c>
      <c r="BC507" s="542">
        <f>IF(BA507=0,0,IFERROR(BA507/IF(BB507&lt;&gt;"USD",AI507,1),"???"))</f>
        <v>-3023.2514027037496</v>
      </c>
      <c r="BD507" s="170">
        <f>IFERROR(-AC507/(IF(OR(AB507="USDAED",LEFT(AB507,3)=RIGHT(AB507,3)),AH507,AG507)-AE507)*BC507,0)</f>
        <v>0</v>
      </c>
      <c r="BE507" s="542">
        <f>BC507-BD507</f>
        <v>-3023.2514027037496</v>
      </c>
      <c r="BF507" s="170">
        <f>IF(BG507="USD",AU507,IF(BG507=S507,R507,-J507))</f>
        <v>2539662.7670155829</v>
      </c>
      <c r="BG507" s="170" t="str">
        <f>LEFT(AJ507,3)</f>
        <v>AED</v>
      </c>
      <c r="BH507" s="542">
        <f>IF(OR(A507="REFUND",A507="CANCELLED"),0,IFERROR((IF(OR(AJ507="USDAED",LEFT(AJ507,3)=RIGHT(AJ507,3)),AQ507,AO507)-AM507)*-BF507*VLOOKUP(AJ507,'FX RATES'!$H$1:$J$26,3,FALSE),0))</f>
        <v>0</v>
      </c>
      <c r="BI507" s="170" t="str">
        <f>RIGHT(AJ507,3)</f>
        <v>RUB</v>
      </c>
      <c r="BJ507" s="542">
        <f>IF(BH507=0,0,IFERROR(BH507/IF(BI507&lt;&gt;"USD",AQ507,1),"???"))</f>
        <v>0</v>
      </c>
      <c r="BK507" s="170">
        <f>IFERROR(-AK507/(IF(OR(AJ507="USDAED",LEFT(AJ507,3)=RIGHT(AJ507,3)),AP507,AO507)-AM507)*BJ507,0)</f>
        <v>0</v>
      </c>
      <c r="BL507" s="542">
        <f>BJ507-BK507</f>
        <v>0</v>
      </c>
      <c r="BM507" s="170">
        <f>IF(AND(ISERROR(SEARCH("REFUND",A507)),ISERROR(SEARCH("CANCELLED",A507))),BD507+BK507,0)</f>
        <v>0</v>
      </c>
      <c r="BN507" s="542">
        <f>IF(AND(ISERROR(SEARCH("REFUND",A507)),ISERROR(SEARCH("CANCELLED",A507))),BE507+BL507,0)</f>
        <v>-3023.2514027037496</v>
      </c>
    </row>
    <row r="508" spans="1:66" ht="19.5" customHeight="1">
      <c r="A508" s="167"/>
      <c r="B508" s="182"/>
      <c r="C508" s="182"/>
      <c r="D508" s="182"/>
      <c r="E508" s="184"/>
      <c r="F508" s="184"/>
      <c r="G508" s="182"/>
      <c r="H508" s="182"/>
      <c r="I508" s="170"/>
      <c r="J508" s="170"/>
      <c r="K508" s="182"/>
      <c r="L508" s="184"/>
      <c r="M508" s="182"/>
      <c r="O508" s="182"/>
      <c r="P508" s="444"/>
      <c r="Q508" s="170"/>
      <c r="R508" s="170"/>
      <c r="S508" s="182"/>
      <c r="T508" s="184"/>
      <c r="U508" s="182"/>
      <c r="X508" s="173"/>
      <c r="Y508" s="173"/>
      <c r="Z508" s="173"/>
      <c r="AA508" s="173"/>
      <c r="AB508" s="173"/>
      <c r="AC508" s="175"/>
      <c r="AD508" s="177"/>
      <c r="AE508" s="177"/>
      <c r="AF508" s="177"/>
      <c r="AG508" s="177"/>
      <c r="AH508" s="178"/>
      <c r="AI508" s="178"/>
      <c r="AJ508" s="173"/>
      <c r="AK508" s="175"/>
      <c r="AL508" s="177"/>
      <c r="AM508" s="177"/>
      <c r="AN508" s="177"/>
      <c r="AO508" s="177"/>
      <c r="AP508" s="178"/>
      <c r="AQ508" s="178"/>
      <c r="AR508" s="185"/>
      <c r="AS508" s="185"/>
      <c r="AT508" s="170"/>
      <c r="AU508" s="170"/>
      <c r="AV508" s="170"/>
      <c r="AW508" s="170"/>
      <c r="AX508" s="170"/>
      <c r="AY508" s="170"/>
      <c r="AZ508" s="170"/>
      <c r="BA508" s="542"/>
      <c r="BB508" s="170"/>
      <c r="BC508" s="542"/>
      <c r="BD508" s="170"/>
      <c r="BE508" s="542"/>
      <c r="BF508" s="170"/>
      <c r="BG508" s="170"/>
      <c r="BH508" s="542"/>
      <c r="BI508" s="170"/>
      <c r="BJ508" s="542"/>
      <c r="BK508" s="170"/>
      <c r="BL508" s="542"/>
      <c r="BM508" s="170"/>
      <c r="BN508" s="542"/>
    </row>
    <row r="509" spans="1:66" ht="19.5" customHeight="1">
      <c r="A509" s="167" t="s">
        <v>601</v>
      </c>
      <c r="B509" s="168" t="s">
        <v>52</v>
      </c>
      <c r="C509" s="168" t="s">
        <v>367</v>
      </c>
      <c r="D509" s="168" t="s">
        <v>368</v>
      </c>
      <c r="E509" s="171">
        <v>46063</v>
      </c>
      <c r="F509" s="171"/>
      <c r="G509" s="168" t="s">
        <v>52</v>
      </c>
      <c r="H509" s="169" t="s">
        <v>550</v>
      </c>
      <c r="I509" s="169">
        <v>-140800</v>
      </c>
      <c r="J509" s="170">
        <f>IF(I509="",AR509,I509)</f>
        <v>-140800</v>
      </c>
      <c r="K509" s="168" t="s">
        <v>53</v>
      </c>
      <c r="L509" s="168" t="s">
        <v>420</v>
      </c>
      <c r="M509" s="168" t="s">
        <v>54</v>
      </c>
      <c r="N509" s="167" t="s">
        <v>553</v>
      </c>
      <c r="O509" s="168" t="s">
        <v>52</v>
      </c>
      <c r="P509" s="169" t="s">
        <v>551</v>
      </c>
      <c r="Q509" s="169"/>
      <c r="R509" s="170">
        <f>IF(Q509="",AS509,Q509)</f>
        <v>10941568</v>
      </c>
      <c r="S509" s="168" t="s">
        <v>9</v>
      </c>
      <c r="T509" s="168" t="s">
        <v>502</v>
      </c>
      <c r="U509" s="168" t="s">
        <v>374</v>
      </c>
      <c r="V509" s="167" t="s">
        <v>371</v>
      </c>
      <c r="W509" s="172" t="s">
        <v>375</v>
      </c>
      <c r="X509" s="173">
        <f>IF(Y509="",VLOOKUP(H509,CLIENTS!$A$1:$O$649,5,FALSE),Y509)</f>
        <v>0</v>
      </c>
      <c r="Y509" s="174">
        <v>0</v>
      </c>
      <c r="Z509" s="173">
        <f>IF(AA509="",VLOOKUP(P509,CLIENTS!$A$1:$O$649,5,FALSE),AA509)</f>
        <v>0</v>
      </c>
      <c r="AA509" s="174">
        <v>0</v>
      </c>
      <c r="AB509" s="173" t="str">
        <f>IF(W509="via USD",IF(K509="EUR",K509&amp;"USD","USD"&amp;K509),IFERROR(VLOOKUP(K509&amp;S509,'FX RATES'!$H$2:$H$20,1,FALSE),S509&amp;K509))</f>
        <v>USDUSDT</v>
      </c>
      <c r="AC509" s="175">
        <f>IF(LEFT(AB509,3)=RIGHT(AB509,3),0,IFERROR(INDEX(CLIENTS!$A$1:$O$649,MATCH(H509,CLIENTS!$A$1:$A$649,0),MATCH(AB509,CLIENTS!$A$1:$O$1,0)),0))</f>
        <v>0</v>
      </c>
      <c r="AD509" s="176"/>
      <c r="AE509" s="177">
        <f>IF(W509="CLIENT","",IF(AD509="",AH509+AC509,AD509+AC509))</f>
        <v>1</v>
      </c>
      <c r="AF509" s="177" t="str">
        <f>E509&amp;AB509</f>
        <v>46063USDUSDT</v>
      </c>
      <c r="AG509" s="176"/>
      <c r="AH509" s="178">
        <f>IF(LEFT(AB509,3)=RIGHT(AB509,3),1,VLOOKUP(AB509,'FX RATES'!$H$1:$I$50,2,FALSE))</f>
        <v>1</v>
      </c>
      <c r="AI509" s="178">
        <f>IF(OR(AB509="USDAED",LEFT(AB509,3)=RIGHT(AB509,3),AB509="USDUSDT",AB509="USDTUSD"),AH509,IF(LEFT(AB509)="USD",AG509,IF(RIGHT(AB509,3)="USD",1,IFERROR(VLOOKUP(E509&amp;"USD"&amp;RIGHT(AB509,3),$AF:$AG,2,FALSE),VLOOKUP(E509&amp;"USD"&amp;RIGHT(AJ509,3),$AN:$AO,2,FALSE)))))</f>
        <v>1</v>
      </c>
      <c r="AJ509" s="173" t="str">
        <f>IF(W509="via USD",IF(S509="EUR",S509&amp;"USD","USD"&amp;S509),IFERROR(VLOOKUP(K509&amp;S509,'FX RATES'!$H$2:$H$20,1,FALSE),S509&amp;K509))</f>
        <v>USDRUB</v>
      </c>
      <c r="AK509" s="175">
        <f>IF(LEFT(AJ509,3)=RIGHT(AJ509,3),0,IFERROR(INDEX(CLIENTS!$A$1:$O$649,MATCH(P509,CLIENTS!$A$1:$A$649,0),MATCH(AJ509,CLIENTS!$A$1:$O$1,0)),0))</f>
        <v>0</v>
      </c>
      <c r="AL509" s="176">
        <v>77.709999999999994</v>
      </c>
      <c r="AM509" s="177">
        <f>IF(W509="VENDOR","",IF(AL509="",AP509+AK509,AL509+AK509))</f>
        <v>77.709999999999994</v>
      </c>
      <c r="AN509" s="177" t="str">
        <f>E509&amp;AJ509</f>
        <v>46063USDRUB</v>
      </c>
      <c r="AO509" s="176">
        <v>77.2</v>
      </c>
      <c r="AP509" s="178">
        <f ca="1">IF(LEFT(AJ509,3)=RIGHT(AJ509,3),1,VLOOKUP(AJ509,'FX RATES'!$H$1:$I$20,2,FALSE))</f>
        <v>76.720500000000001</v>
      </c>
      <c r="AQ509" s="178">
        <f>IF(OR(AJ509="USDAED",LEFT(AJ509,3)=RIGHT(AJ509,3)),AP509,IF(LEFT(AJ509)="USD",AO509,IF(RIGHT(AJ509,3)="USD",1,IFERROR(VLOOKUP(E509&amp;"USD"&amp;RIGHT(AJ509,3),$AN:$AO,2,FALSE),VLOOKUP(E509&amp;"USD"&amp;RIGHT(AB509,3),$AF:$AG,2,FALSE)))))</f>
        <v>77.2</v>
      </c>
      <c r="AR509" s="179">
        <f>-Q509*(1-Z509)/(1+X509)*IF(W509="CLIENT",IF(S509=RIGHT(AJ509,3),1/AM509,AM509),IF(W509="VENDOR",IF(S509=RIGHT(AJ509,3),1/AE509,AE509),AE509^(VLOOKUP(AB509,'FX RATES'!$H$1:$J$26,3,FALSE))/AM509^(VLOOKUP(AJ509,'FX RATES'!$H$1:$J$26,3,FALSE))))</f>
        <v>0</v>
      </c>
      <c r="AS509" s="179">
        <f>-I509*(1+X509)/(1-Z509)*IF(W509="VENDOR",IF(K509=RIGHT(AB509,3),1/AE509,AE509),IF(W509="CLIENT",IF(K509=RIGHT(AB509,3),1/AM509,AM509),AM509^(VLOOKUP(AJ509,'FX RATES'!$H$1:$J$26,3,FALSE))/AE509^(VLOOKUP(AB509,'FX RATES'!$H$1:$J$26,3,FALSE))))</f>
        <v>10941568</v>
      </c>
      <c r="AT509" s="170">
        <f>IF(AB509&lt;&gt;AJ509,J509/IF(K509=RIGHT(AB509,3),AE509,1/AE509),IF(S509="USD",J509/IF(K509=RIGHT(AB509,3),IF(W509="CLIENT",AM509,AE509),1/IF(W509="CLIENT",AM509,AE509)),J509*VLOOKUP(K509,'FX RATES'!$E$1:$F$10,2,FALSE)))</f>
        <v>-140800</v>
      </c>
      <c r="AU509" s="170">
        <f>IF(AB509&lt;&gt;AJ509,R509/IF(S509=RIGHT(AJ509,3),AM509,1/AM509),IF(K509="USD",R509/IF(S509=RIGHT(AJ509,3),IF(W509="CLIENT",AM509,AE509),1/IF(W509="CLIENT",AM509,AE509)),R509*VLOOKUP(S509,'FX RATES'!$E$1:$F$10,2,FALSE)))</f>
        <v>140800</v>
      </c>
      <c r="AV509" s="170">
        <f>AT509+AU509</f>
        <v>0</v>
      </c>
      <c r="AW509" s="169"/>
      <c r="AX509" s="170">
        <f>IF(AND(ISERROR(SEARCH("INVOICE",T509)),ISERROR(SEARCH("SWITCH",T509)),ISERROR(SEARCH("FOREX",T509)),ISERROR(SEARCH("REFUND",A509)),ISERROR(SEARCH("CANCELLED",A509))),IF(AW509="",-AT509*X509+AU509*Z509,AW509),0)</f>
        <v>0</v>
      </c>
      <c r="AY509" s="170">
        <f>IF(AZ509="USD",AT509,IF(AZ509=K509,J509,-R509))</f>
        <v>-140800</v>
      </c>
      <c r="AZ509" s="170" t="str">
        <f>LEFT(AB509,3)</f>
        <v>USD</v>
      </c>
      <c r="BA509" s="542">
        <f>IF(OR(A509="REFUND",A509="CANCELLED"),0,IFERROR((IF(OR(AB509="USDAED",LEFT(AB509,3)=RIGHT(AB509,3),AB509="USDUSDT",AB509="USDTUSD"),AI509,AG509)-AE509)*-AY509*VLOOKUP(AB509,'FX RATES'!$H$1:$J$26,3,FALSE),0))</f>
        <v>0</v>
      </c>
      <c r="BB509" s="170" t="str">
        <f>RIGHT(AB509,4)</f>
        <v>USDT</v>
      </c>
      <c r="BC509" s="542">
        <f>IF(BA509=0,0,IFERROR(BA509/IF(BB509&lt;&gt;"USD",AI509,1),"???"))</f>
        <v>0</v>
      </c>
      <c r="BD509" s="170">
        <f>IFERROR(-AC509/(IF(OR(AB509="USDAED",LEFT(AB509,3)=RIGHT(AB509,3)),AH509,AG509)-AE509)*BC509,0)</f>
        <v>0</v>
      </c>
      <c r="BE509" s="542">
        <f>BC509-BD509</f>
        <v>0</v>
      </c>
      <c r="BF509" s="170">
        <f>IF(BG509="USD",AU509,IF(BG509=S509,R509,-J509))</f>
        <v>140800</v>
      </c>
      <c r="BG509" s="170" t="str">
        <f>LEFT(AJ509,3)</f>
        <v>USD</v>
      </c>
      <c r="BH509" s="542">
        <f>IF(OR(A509="REFUND",A509="CANCELLED"),0,IFERROR((IF(OR(AJ509="USDAED",LEFT(AJ509,3)=RIGHT(AJ509,3)),AQ509,AO509)-AM509)*-BF509*VLOOKUP(AJ509,'FX RATES'!$H$1:$J$26,3,FALSE),0))</f>
        <v>71807.999999998719</v>
      </c>
      <c r="BI509" s="170" t="str">
        <f>RIGHT(AJ509,3)</f>
        <v>RUB</v>
      </c>
      <c r="BJ509" s="542">
        <f>IF(BH509=0,0,IFERROR(BH509/IF(BI509&lt;&gt;"USD",AQ509,1),"???"))</f>
        <v>930.15544041449118</v>
      </c>
      <c r="BK509" s="170">
        <f>IFERROR(-AK509/(IF(OR(AJ509="USDAED",LEFT(AJ509,3)=RIGHT(AJ509,3)),AP509,AO509)-AM509)*BJ509,0)</f>
        <v>0</v>
      </c>
      <c r="BL509" s="542">
        <f>BJ509-BK509</f>
        <v>930.15544041449118</v>
      </c>
      <c r="BM509" s="170">
        <f>IF(AND(ISERROR(SEARCH("REFUND",A509)),ISERROR(SEARCH("CANCELLED",A509))),BD509+BK509,0)</f>
        <v>0</v>
      </c>
      <c r="BN509" s="542">
        <f>IF(AND(ISERROR(SEARCH("REFUND",A509)),ISERROR(SEARCH("CANCELLED",A509))),BE509+BL509,0)</f>
        <v>930.15544041449118</v>
      </c>
    </row>
    <row r="510" spans="1:66" ht="19.5" customHeight="1">
      <c r="A510" s="167" t="s">
        <v>601</v>
      </c>
      <c r="B510" s="168" t="s">
        <v>39</v>
      </c>
      <c r="C510" s="168" t="s">
        <v>383</v>
      </c>
      <c r="D510" s="168" t="s">
        <v>128</v>
      </c>
      <c r="E510" s="171">
        <v>46063</v>
      </c>
      <c r="F510" s="171"/>
      <c r="G510" s="168" t="s">
        <v>39</v>
      </c>
      <c r="H510" s="168" t="s">
        <v>384</v>
      </c>
      <c r="I510" s="169">
        <v>-10941500</v>
      </c>
      <c r="J510" s="170">
        <f>IF(I510="",AR510,I510)</f>
        <v>-10941500</v>
      </c>
      <c r="K510" s="168" t="s">
        <v>9</v>
      </c>
      <c r="L510" s="171" t="s">
        <v>374</v>
      </c>
      <c r="M510" s="168" t="s">
        <v>374</v>
      </c>
      <c r="N510" s="167" t="s">
        <v>553</v>
      </c>
      <c r="O510" s="168" t="s">
        <v>39</v>
      </c>
      <c r="P510" s="349" t="s">
        <v>384</v>
      </c>
      <c r="Q510" s="169"/>
      <c r="R510" s="170">
        <f>IF(Q510="",AS510,Q510)</f>
        <v>518235.21053379436</v>
      </c>
      <c r="S510" s="168" t="s">
        <v>8</v>
      </c>
      <c r="T510" s="171" t="s">
        <v>385</v>
      </c>
      <c r="U510" s="168" t="s">
        <v>20</v>
      </c>
      <c r="V510" s="167" t="s">
        <v>371</v>
      </c>
      <c r="W510" s="172" t="s">
        <v>382</v>
      </c>
      <c r="X510" s="173">
        <f>IF(Y510="",VLOOKUP(H510,CLIENTS!$A$1:$O$649,5,FALSE),Y510)</f>
        <v>0</v>
      </c>
      <c r="Y510" s="174">
        <v>0</v>
      </c>
      <c r="Z510" s="173">
        <f>IF(AA510="",VLOOKUP(P510,CLIENTS!$A$1:$O$649,5,FALSE),AA510)</f>
        <v>0</v>
      </c>
      <c r="AA510" s="174">
        <v>0</v>
      </c>
      <c r="AB510" s="173" t="str">
        <f>IF(W510="via USD",IF(K510="EUR",K510&amp;"USD","USD"&amp;K510),IFERROR(VLOOKUP(K510&amp;S510,'FX RATES'!$H$2:$H$20,1,FALSE),S510&amp;K510))</f>
        <v>AEDRUB</v>
      </c>
      <c r="AC510" s="175">
        <f>IF(LEFT(AB510,3)=RIGHT(AB510,3),0,IFERROR(INDEX(CLIENTS!$A$1:$O$649,MATCH(H510,CLIENTS!$A$1:$A$649,0),MATCH(AB510,CLIENTS!$A$1:$O$1,0)),0))</f>
        <v>0</v>
      </c>
      <c r="AD510" s="176">
        <v>21.113</v>
      </c>
      <c r="AE510" s="177">
        <f>IF(W510="CLIENT","",IF(AD510="",AH510+AC510,AD510+AC510))</f>
        <v>21.113</v>
      </c>
      <c r="AF510" s="177" t="str">
        <f>E510&amp;AB510</f>
        <v>46063AEDRUB</v>
      </c>
      <c r="AG510" s="176">
        <v>21.021100000000001</v>
      </c>
      <c r="AH510" s="178">
        <f ca="1">IF(LEFT(AB510,3)=RIGHT(AB510,3),1,VLOOKUP(AB510,'FX RATES'!$H$1:$I$20,2,FALSE))</f>
        <v>20.8843</v>
      </c>
      <c r="AI510" s="178">
        <f>IF(OR(AB510="USDAED",LEFT(AB510,3)=RIGHT(AB510,3)),AH510,IF(LEFT(AB510)="USD",AG510,IF(RIGHT(AB510,3)="USD",1,IFERROR(VLOOKUP(E510&amp;"USD"&amp;RIGHT(AB510,3),$AF:$AG,2,FALSE),VLOOKUP(E510&amp;"USD"&amp;RIGHT(AJ510,3),$AN:$AO,2,FALSE)))))</f>
        <v>77.2</v>
      </c>
      <c r="AJ510" s="173" t="str">
        <f>IF(W510="via USD",IF(S510="EUR",S510&amp;"USD","USD"&amp;S510),IFERROR(VLOOKUP(K510&amp;S510,'FX RATES'!$H$2:$H$20,1,FALSE),S510&amp;K510))</f>
        <v>AEDRUB</v>
      </c>
      <c r="AK510" s="175">
        <f>IF(LEFT(AJ510,3)=RIGHT(AJ510,3),0,IFERROR(INDEX(CLIENTS!$A$1:$O$649,MATCH(P510,CLIENTS!$A$1:$A$649,0),MATCH(AJ510,CLIENTS!$A$1:$O$1,0)),0))</f>
        <v>0</v>
      </c>
      <c r="AL510" s="176"/>
      <c r="AM510" s="177" t="str">
        <f>IF(W510="VENDOR","",IF(AL510="",AP510+AK510,AL510+AK510))</f>
        <v/>
      </c>
      <c r="AN510" s="177" t="str">
        <f>E510&amp;AJ510</f>
        <v>46063AEDRUB</v>
      </c>
      <c r="AO510" s="176"/>
      <c r="AP510" s="178">
        <f ca="1">IF(LEFT(AJ510,3)=RIGHT(AJ510,3),1,VLOOKUP(AJ510,'FX RATES'!$H$1:$I$20,2,FALSE))</f>
        <v>20.8843</v>
      </c>
      <c r="AQ510" s="178">
        <f>IF(OR(AJ510="USDAED",LEFT(AJ510,3)=RIGHT(AJ510,3)),AP510,IF(LEFT(AJ510)="USD",AO510,IF(RIGHT(AJ510,3)="USD",1,IFERROR(VLOOKUP(E510&amp;"USD"&amp;RIGHT(AJ510,3),$AN:$AO,2,FALSE),VLOOKUP(E510&amp;"USD"&amp;RIGHT(AB510,3),$AF:$AG,2,FALSE)))))</f>
        <v>77.2</v>
      </c>
      <c r="AR510" s="179">
        <f>-Q510*(1-Z510)/(1+X510)*IF(W510="CLIENT",IF(S510=RIGHT(AJ510,3),1/AM510,AM510),IF(W510="VENDOR",IF(S510=RIGHT(AJ510,3),1/AE510,AE510),AE510^(VLOOKUP(AB510,'FX RATES'!$H$1:$J$26,3,FALSE))/AM510^(VLOOKUP(AJ510,'FX RATES'!$H$1:$J$26,3,FALSE))))</f>
        <v>0</v>
      </c>
      <c r="AS510" s="179">
        <f>-I510*(1+X510)/(1-Z510)*IF(W510="VENDOR",IF(K510=RIGHT(AB510,3),1/AE510,AE510),IF(W510="CLIENT",IF(K510=RIGHT(AB510,3),1/AM510,AM510),AM510^(VLOOKUP(AJ510,'FX RATES'!$H$1:$J$26,3,FALSE))/AE510^(VLOOKUP(AB510,'FX RATES'!$H$1:$J$26,3,FALSE))))</f>
        <v>518235.21053379436</v>
      </c>
      <c r="AT510" s="170">
        <f ca="1">IF(AB510&lt;&gt;AJ510,J510/IF(K510=RIGHT(AB510,3),AE510,1/AE510),IF(S510="USD",J510/IF(K510=RIGHT(AB510,3),IF(W510="CLIENT",AM510,AE510),1/IF(W510="CLIENT",AM510,AE510)),J510*VLOOKUP(K510,'FX RATES'!$E$1:$F$10,2,FALSE)))</f>
        <v>-142615.07680476535</v>
      </c>
      <c r="AU510" s="170">
        <f ca="1">IF(AB510&lt;&gt;AJ510,R510/IF(S510=RIGHT(AJ510,3),AM510,1/AM510),IF(K510="USD",R510/IF(S510=RIGHT(AJ510,3),IF(W510="CLIENT",AM510,AE510),1/IF(W510="CLIENT",AM510,AE510)),R510*VLOOKUP(S510,'FX RATES'!$E$1:$F$10,2,FALSE)))</f>
        <v>141108.53633224266</v>
      </c>
      <c r="AV510" s="170">
        <f ca="1">AT510+AU510</f>
        <v>-1506.5404725226981</v>
      </c>
      <c r="AW510" s="169"/>
      <c r="AX510" s="170">
        <f ca="1">IF(AND(ISERROR(SEARCH("INVOICE",T510)),ISERROR(SEARCH("SWITCH",T510)),ISERROR(SEARCH("FOREX",T510)),ISERROR(SEARCH("REFUND",A510)),ISERROR(SEARCH("CANCELLED",A510))),IF(AW510="",-AT510*X510+AU510*Z510,AW510),0)</f>
        <v>0</v>
      </c>
      <c r="AY510" s="170">
        <f>IF(AZ510="USD",AT510,IF(AZ510=K510,J510,-R510))</f>
        <v>-518235.21053379436</v>
      </c>
      <c r="AZ510" s="170" t="str">
        <f>LEFT(AB510,3)</f>
        <v>AED</v>
      </c>
      <c r="BA510" s="542">
        <f>IF(OR(A510="REFUND",A510="CANCELLED"),0,IFERROR((IF(OR(AB510="USDAED",LEFT(AB510,3)=RIGHT(AB510,3)),AI510,AG510)-AE510)*-AY510*VLOOKUP(AB510,'FX RATES'!$H$1:$J$26,3,FALSE),0))</f>
        <v>-47625.815848055172</v>
      </c>
      <c r="BB510" s="170" t="str">
        <f>RIGHT(AB510,3)</f>
        <v>RUB</v>
      </c>
      <c r="BC510" s="542">
        <f>IF(BA510=0,0,IFERROR(BA510/IF(BB510&lt;&gt;"USD",AI510,1),"???"))</f>
        <v>-616.91471305770949</v>
      </c>
      <c r="BD510" s="170">
        <f>IFERROR(-AC510/(IF(OR(AB510="USDAED",LEFT(AB510,3)=RIGHT(AB510,3)),AH510,AG510)-AE510)*BC510,0)</f>
        <v>0</v>
      </c>
      <c r="BE510" s="542">
        <f>BC510-BD510</f>
        <v>-616.91471305770949</v>
      </c>
      <c r="BF510" s="170">
        <f>IF(BG510="USD",AU510,IF(BG510=S510,R510,-J510))</f>
        <v>518235.21053379436</v>
      </c>
      <c r="BG510" s="170" t="str">
        <f>LEFT(AJ510,3)</f>
        <v>AED</v>
      </c>
      <c r="BH510" s="542">
        <f>IF(OR(A510="REFUND",A510="CANCELLED"),0,IFERROR((IF(OR(AJ510="USDAED",LEFT(AJ510,3)=RIGHT(AJ510,3)),AQ510,AO510)-AM510)*-BF510*VLOOKUP(AJ510,'FX RATES'!$H$1:$J$26,3,FALSE),0))</f>
        <v>0</v>
      </c>
      <c r="BI510" s="170" t="str">
        <f>RIGHT(AJ510,3)</f>
        <v>RUB</v>
      </c>
      <c r="BJ510" s="542">
        <f>IF(BH510=0,0,IFERROR(BH510/IF(BI510&lt;&gt;"USD",AQ510,1),"???"))</f>
        <v>0</v>
      </c>
      <c r="BK510" s="170">
        <f>IFERROR(-AK510/(IF(OR(AJ510="USDAED",LEFT(AJ510,3)=RIGHT(AJ510,3)),AP510,AO510)-AM510)*BJ510,0)</f>
        <v>0</v>
      </c>
      <c r="BL510" s="542">
        <f>BJ510-BK510</f>
        <v>0</v>
      </c>
      <c r="BM510" s="170">
        <f>IF(AND(ISERROR(SEARCH("REFUND",A510)),ISERROR(SEARCH("CANCELLED",A510))),BD510+BK510,0)</f>
        <v>0</v>
      </c>
      <c r="BN510" s="542">
        <f>IF(AND(ISERROR(SEARCH("REFUND",A510)),ISERROR(SEARCH("CANCELLED",A510))),BE510+BL510,0)</f>
        <v>-616.91471305770949</v>
      </c>
    </row>
    <row r="511" spans="1:66" ht="19.5" customHeight="1">
      <c r="A511" s="167"/>
      <c r="B511" s="182"/>
      <c r="C511" s="182"/>
      <c r="D511" s="182"/>
      <c r="E511" s="184"/>
      <c r="F511" s="184"/>
      <c r="G511" s="182"/>
      <c r="H511" s="182"/>
      <c r="I511" s="170"/>
      <c r="J511" s="170"/>
      <c r="K511" s="182"/>
      <c r="L511" s="184"/>
      <c r="M511" s="182"/>
      <c r="O511" s="182"/>
      <c r="P511" s="444"/>
      <c r="Q511" s="170"/>
      <c r="R511" s="170"/>
      <c r="S511" s="182"/>
      <c r="T511" s="184"/>
      <c r="U511" s="182"/>
      <c r="X511" s="173"/>
      <c r="Y511" s="173"/>
      <c r="Z511" s="173"/>
      <c r="AA511" s="173"/>
      <c r="AB511" s="173"/>
      <c r="AC511" s="175"/>
      <c r="AD511" s="177"/>
      <c r="AE511" s="177"/>
      <c r="AF511" s="177"/>
      <c r="AG511" s="177"/>
      <c r="AH511" s="178"/>
      <c r="AI511" s="178"/>
      <c r="AJ511" s="173"/>
      <c r="AK511" s="175"/>
      <c r="AL511" s="177"/>
      <c r="AM511" s="177"/>
      <c r="AN511" s="177"/>
      <c r="AO511" s="177"/>
      <c r="AP511" s="178"/>
      <c r="AQ511" s="178"/>
      <c r="AR511" s="185"/>
      <c r="AS511" s="185"/>
      <c r="AT511" s="170"/>
      <c r="AU511" s="170"/>
      <c r="AV511" s="170"/>
      <c r="AW511" s="170"/>
      <c r="AX511" s="170"/>
      <c r="AY511" s="170"/>
      <c r="AZ511" s="170"/>
      <c r="BA511" s="542"/>
      <c r="BB511" s="170"/>
      <c r="BC511" s="542"/>
      <c r="BD511" s="170"/>
      <c r="BE511" s="542"/>
      <c r="BF511" s="170"/>
      <c r="BG511" s="170"/>
      <c r="BH511" s="542"/>
      <c r="BI511" s="170"/>
      <c r="BJ511" s="542"/>
      <c r="BK511" s="170"/>
      <c r="BL511" s="542"/>
      <c r="BM511" s="170"/>
      <c r="BN511" s="542"/>
    </row>
    <row r="512" spans="1:66" ht="19.5" customHeight="1">
      <c r="A512" s="167" t="s">
        <v>601</v>
      </c>
      <c r="B512" s="168" t="s">
        <v>45</v>
      </c>
      <c r="C512" s="168" t="s">
        <v>367</v>
      </c>
      <c r="D512" s="181" t="s">
        <v>368</v>
      </c>
      <c r="E512" s="171">
        <v>46063</v>
      </c>
      <c r="F512" s="171"/>
      <c r="G512" s="168" t="s">
        <v>45</v>
      </c>
      <c r="H512" s="181" t="s">
        <v>610</v>
      </c>
      <c r="I512" s="169">
        <v>-177514.2</v>
      </c>
      <c r="J512" s="170">
        <f>IF(I512="",AR512,I512)</f>
        <v>-177514.2</v>
      </c>
      <c r="K512" s="168" t="s">
        <v>5</v>
      </c>
      <c r="L512" s="168" t="s">
        <v>546</v>
      </c>
      <c r="M512" s="168" t="s">
        <v>49</v>
      </c>
      <c r="N512" s="167" t="s">
        <v>553</v>
      </c>
      <c r="O512" s="168" t="s">
        <v>39</v>
      </c>
      <c r="P512" s="349" t="s">
        <v>379</v>
      </c>
      <c r="Q512" s="169"/>
      <c r="R512" s="170">
        <f>IF(Q512="",AS512,Q512)</f>
        <v>13853279.530492462</v>
      </c>
      <c r="S512" s="168" t="s">
        <v>9</v>
      </c>
      <c r="T512" s="171" t="s">
        <v>380</v>
      </c>
      <c r="U512" s="171" t="s">
        <v>25</v>
      </c>
      <c r="V512" s="167" t="s">
        <v>371</v>
      </c>
      <c r="W512" s="172" t="s">
        <v>375</v>
      </c>
      <c r="X512" s="173">
        <f>IF(Y512="",VLOOKUP(H512,CLIENTS!$A$1:$O$649,5,FALSE),Y512)</f>
        <v>0</v>
      </c>
      <c r="Y512" s="174">
        <v>0</v>
      </c>
      <c r="Z512" s="173">
        <f>IF(AA512="",VLOOKUP(P512,CLIENTS!$A$1:$O$649,5,FALSE),AA512)</f>
        <v>5.0000000000000001E-3</v>
      </c>
      <c r="AA512" s="174">
        <v>5.0000000000000001E-3</v>
      </c>
      <c r="AB512" s="173" t="str">
        <f>IF(W512="via USD",IF(K512="EUR",K512&amp;"USD","USD"&amp;K512),IFERROR(VLOOKUP(K512&amp;S512,'FX RATES'!$H$2:$H$20,1,FALSE),S512&amp;K512))</f>
        <v>USDUSD</v>
      </c>
      <c r="AC512" s="175">
        <f>IF(LEFT(AB512,3)=RIGHT(AB512,3),0,IFERROR(INDEX(CLIENTS!$A$1:$O$649,MATCH(H512,CLIENTS!$A$1:$A$649,0),MATCH(AB512,CLIENTS!$A$1:$O$1,0)),0))</f>
        <v>0</v>
      </c>
      <c r="AD512" s="176"/>
      <c r="AE512" s="177">
        <f>IF(W512="CLIENT","",IF(AD512="",AH512+AC512,AD512+AC512))</f>
        <v>1</v>
      </c>
      <c r="AF512" s="177" t="str">
        <f>E512&amp;AB512</f>
        <v>46063USDUSD</v>
      </c>
      <c r="AG512" s="176"/>
      <c r="AH512" s="178">
        <f>IF(LEFT(AB512,3)=RIGHT(AB512,3),1,VLOOKUP(AB512,'FX RATES'!$H$1:$I$20,2,FALSE))</f>
        <v>1</v>
      </c>
      <c r="AI512" s="178">
        <f>IF(OR(AB512="USDAED",LEFT(AB512,3)=RIGHT(AB512,3)),AH512,IF(LEFT(AB512)="USD",AG512,IF(RIGHT(AB512,3)="USD",1,IFERROR(VLOOKUP(E512&amp;"USD"&amp;RIGHT(AB512,3),$AF:$AG,2,FALSE),VLOOKUP(E512&amp;"USD"&amp;RIGHT(AJ512,3),$AN:$AO,2,FALSE)))))</f>
        <v>1</v>
      </c>
      <c r="AJ512" s="173" t="str">
        <f>IF(W512="via USD",IF(S512="EUR",S512&amp;"USD","USD"&amp;S512),IFERROR(VLOOKUP(K512&amp;S512,'FX RATES'!$H$2:$H$20,1,FALSE),S512&amp;K512))</f>
        <v>USDRUB</v>
      </c>
      <c r="AK512" s="175">
        <f>IF(LEFT(AJ512,3)=RIGHT(AJ512,3),0,IFERROR(INDEX(CLIENTS!$A$1:$O$649,MATCH(P512,CLIENTS!$A$1:$A$649,0),MATCH(AJ512,CLIENTS!$A$1:$O$1,0)),0))</f>
        <v>0</v>
      </c>
      <c r="AL512" s="176">
        <v>77.650199999999998</v>
      </c>
      <c r="AM512" s="177">
        <f>IF(W512="VENDOR","",IF(AL512="",AP512+AK512,AL512+AK512))</f>
        <v>77.650199999999998</v>
      </c>
      <c r="AN512" s="177" t="str">
        <f>E512&amp;AJ512</f>
        <v>46063USDRUB</v>
      </c>
      <c r="AO512" s="176">
        <v>77.2</v>
      </c>
      <c r="AP512" s="178">
        <f ca="1">IF(LEFT(AJ512,3)=RIGHT(AJ512,3),1,VLOOKUP(AJ512,'FX RATES'!$H$1:$I$20,2,FALSE))</f>
        <v>76.720500000000001</v>
      </c>
      <c r="AQ512" s="178">
        <f>IF(OR(AJ512="USDAED",LEFT(AJ512,3)=RIGHT(AJ512,3)),AP512,IF(LEFT(AJ512)="USD",AO512,IF(RIGHT(AJ512,3)="USD",1,IFERROR(VLOOKUP(E512&amp;"USD"&amp;RIGHT(AJ512,3),$AN:$AO,2,FALSE),VLOOKUP(E512&amp;"USD"&amp;RIGHT(AB512,3),$AF:$AG,2,FALSE)))))</f>
        <v>77.2</v>
      </c>
      <c r="AR512" s="179">
        <f>-Q512*(1-Z512)/(1+X512)*IF(W512="CLIENT",IF(S512=RIGHT(AJ512,3),1/AM512,AM512),IF(W512="VENDOR",IF(S512=RIGHT(AJ512,3),1/AE512,AE512),AE512^(VLOOKUP(AB512,'FX RATES'!$H$1:$J$26,3,FALSE))/AM512^(VLOOKUP(AJ512,'FX RATES'!$H$1:$J$26,3,FALSE))))</f>
        <v>0</v>
      </c>
      <c r="AS512" s="179">
        <f>-I512*(1+X512)/(1-Z512)*IF(W512="VENDOR",IF(K512=RIGHT(AB512,3),1/AE512,AE512),IF(W512="CLIENT",IF(K512=RIGHT(AB512,3),1/AM512,AM512),AM512^(VLOOKUP(AJ512,'FX RATES'!$H$1:$J$26,3,FALSE))/AE512^(VLOOKUP(AB512,'FX RATES'!$H$1:$J$26,3,FALSE))))</f>
        <v>13853279.530492462</v>
      </c>
      <c r="AT512" s="170">
        <f>IF(AB512&lt;&gt;AJ512,J512/IF(K512=RIGHT(AB512,3),AE512,1/AE512),IF(S512="USD",J512/IF(K512=RIGHT(AB512,3),IF(W512="CLIENT",AM512,AE512),1/IF(W512="CLIENT",AM512,AE512)),J512*VLOOKUP(K512,'FX RATES'!$E$1:$F$10,2,FALSE)))</f>
        <v>-177514.2</v>
      </c>
      <c r="AU512" s="170">
        <f>IF(AB512&lt;&gt;AJ512,R512/IF(S512=RIGHT(AJ512,3),AM512,1/AM512),IF(K512="USD",R512/IF(S512=RIGHT(AJ512,3),IF(W512="CLIENT",AM512,AE512),1/IF(W512="CLIENT",AM512,AE512)),R512*VLOOKUP(S512,'FX RATES'!$E$1:$F$10,2,FALSE)))</f>
        <v>178406.23115577889</v>
      </c>
      <c r="AV512" s="170">
        <f>AT512+AU512</f>
        <v>892.03115577888093</v>
      </c>
      <c r="AW512" s="169"/>
      <c r="AX512" s="170">
        <f>IF(AND(ISERROR(SEARCH("INVOICE",T512)),ISERROR(SEARCH("SWITCH",T512)),ISERROR(SEARCH("FOREX",T512)),ISERROR(SEARCH("REFUND",A512)),ISERROR(SEARCH("CANCELLED",A512))),IF(AW512="",-AT512*X512+AU512*Z512,AW512),0)</f>
        <v>892.03115577889446</v>
      </c>
      <c r="AY512" s="170">
        <f>IF(AZ512="USD",AT512,IF(AZ512=K512,J512,-R512))</f>
        <v>-177514.2</v>
      </c>
      <c r="AZ512" s="170" t="str">
        <f>LEFT(AB512,3)</f>
        <v>USD</v>
      </c>
      <c r="BA512" s="542">
        <f>IF(OR(A512="REFUND",A512="CANCELLED"),0,IFERROR((IF(OR(AB512="USDAED",LEFT(AB512,3)=RIGHT(AB512,3)),AI512,AG512)-AE512)*-AY512*VLOOKUP(AB512,'FX RATES'!$H$1:$J$26,3,FALSE),0))</f>
        <v>0</v>
      </c>
      <c r="BB512" s="170" t="str">
        <f>RIGHT(AB512,3)</f>
        <v>USD</v>
      </c>
      <c r="BC512" s="542">
        <f>IF(BA512=0,0,IFERROR(BA512/IF(BB512&lt;&gt;"USD",AI512,1),"???"))</f>
        <v>0</v>
      </c>
      <c r="BD512" s="170">
        <f>IFERROR(-AC512/(IF(OR(AB512="USDAED",LEFT(AB512,3)=RIGHT(AB512,3)),AH512,AG512)-AE512)*BC512,0)</f>
        <v>0</v>
      </c>
      <c r="BE512" s="542">
        <f>BC512-BD512</f>
        <v>0</v>
      </c>
      <c r="BF512" s="170">
        <f>IF(BG512="USD",AU512,IF(BG512=S512,R512,-J512))</f>
        <v>178406.23115577889</v>
      </c>
      <c r="BG512" s="170" t="str">
        <f>LEFT(AJ512,3)</f>
        <v>USD</v>
      </c>
      <c r="BH512" s="542">
        <f>IF(OR(A512="REFUND",A512="CANCELLED"),0,IFERROR((IF(OR(AJ512="USDAED",LEFT(AJ512,3)=RIGHT(AJ512,3)),AQ512,AO512)-AM512)*-BF512*VLOOKUP(AJ512,'FX RATES'!$H$1:$J$26,3,FALSE),0))</f>
        <v>80318.485266330812</v>
      </c>
      <c r="BI512" s="170" t="str">
        <f>RIGHT(AJ512,3)</f>
        <v>RUB</v>
      </c>
      <c r="BJ512" s="542">
        <f>IF(BH512=0,0,IFERROR(BH512/IF(BI512&lt;&gt;"USD",AQ512,1),"???"))</f>
        <v>1040.39488686957</v>
      </c>
      <c r="BK512" s="170">
        <f>IFERROR(-AK512/(IF(OR(AJ512="USDAED",LEFT(AJ512,3)=RIGHT(AJ512,3)),AP512,AO512)-AM512)*BJ512,0)</f>
        <v>0</v>
      </c>
      <c r="BL512" s="542">
        <f>BJ512-BK512</f>
        <v>1040.39488686957</v>
      </c>
      <c r="BM512" s="170">
        <f>IF(AND(ISERROR(SEARCH("REFUND",A512)),ISERROR(SEARCH("CANCELLED",A512))),BD512+BK512,0)</f>
        <v>0</v>
      </c>
      <c r="BN512" s="542">
        <f>IF(AND(ISERROR(SEARCH("REFUND",A512)),ISERROR(SEARCH("CANCELLED",A512))),BE512+BL512,0)</f>
        <v>1040.39488686957</v>
      </c>
    </row>
    <row r="513" spans="1:66" ht="19.5" customHeight="1">
      <c r="A513" s="167" t="s">
        <v>601</v>
      </c>
      <c r="B513" s="168" t="s">
        <v>31</v>
      </c>
      <c r="C513" s="168" t="s">
        <v>367</v>
      </c>
      <c r="D513" s="181" t="s">
        <v>368</v>
      </c>
      <c r="E513" s="171">
        <v>46063</v>
      </c>
      <c r="F513" s="171"/>
      <c r="G513" s="168" t="s">
        <v>31</v>
      </c>
      <c r="H513" s="181" t="s">
        <v>424</v>
      </c>
      <c r="I513" s="169">
        <v>-218013.6</v>
      </c>
      <c r="J513" s="170">
        <f>IF(I513="",AR513,I513)</f>
        <v>-218013.6</v>
      </c>
      <c r="K513" s="168" t="s">
        <v>5</v>
      </c>
      <c r="L513" s="168" t="s">
        <v>611</v>
      </c>
      <c r="M513" s="168" t="s">
        <v>14</v>
      </c>
      <c r="N513" s="167" t="s">
        <v>553</v>
      </c>
      <c r="O513" s="168" t="s">
        <v>39</v>
      </c>
      <c r="P513" s="349" t="s">
        <v>379</v>
      </c>
      <c r="Q513" s="169"/>
      <c r="R513" s="170">
        <f>IF(Q513="",AS513,Q513)</f>
        <v>17013868.987658292</v>
      </c>
      <c r="S513" s="168" t="s">
        <v>9</v>
      </c>
      <c r="T513" s="171" t="s">
        <v>380</v>
      </c>
      <c r="U513" s="171" t="s">
        <v>25</v>
      </c>
      <c r="V513" s="167" t="s">
        <v>371</v>
      </c>
      <c r="W513" s="172" t="s">
        <v>375</v>
      </c>
      <c r="X513" s="173">
        <f>IF(Y513="",VLOOKUP(H513,CLIENTS!$A$1:$O$649,5,FALSE),Y513)</f>
        <v>0</v>
      </c>
      <c r="Y513" s="174">
        <v>0</v>
      </c>
      <c r="Z513" s="173">
        <f>IF(AA513="",VLOOKUP(P513,CLIENTS!$A$1:$O$649,5,FALSE),AA513)</f>
        <v>5.0000000000000001E-3</v>
      </c>
      <c r="AA513" s="174">
        <v>5.0000000000000001E-3</v>
      </c>
      <c r="AB513" s="173" t="str">
        <f>IF(W513="via USD",IF(K513="EUR",K513&amp;"USD","USD"&amp;K513),IFERROR(VLOOKUP(K513&amp;S513,'FX RATES'!$H$2:$H$20,1,FALSE),S513&amp;K513))</f>
        <v>USDUSD</v>
      </c>
      <c r="AC513" s="175">
        <f>IF(LEFT(AB513,3)=RIGHT(AB513,3),0,IFERROR(INDEX(CLIENTS!$A$1:$O$649,MATCH(H513,CLIENTS!$A$1:$A$649,0),MATCH(AB513,CLIENTS!$A$1:$O$1,0)),0))</f>
        <v>0</v>
      </c>
      <c r="AD513" s="176"/>
      <c r="AE513" s="177">
        <f>IF(W513="CLIENT","",IF(AD513="",AH513+AC513,AD513+AC513))</f>
        <v>1</v>
      </c>
      <c r="AF513" s="177" t="str">
        <f>E513&amp;AB513</f>
        <v>46063USDUSD</v>
      </c>
      <c r="AG513" s="176"/>
      <c r="AH513" s="178">
        <f>IF(LEFT(AB513,3)=RIGHT(AB513,3),1,VLOOKUP(AB513,'FX RATES'!$H$1:$I$20,2,FALSE))</f>
        <v>1</v>
      </c>
      <c r="AI513" s="178">
        <f>IF(OR(AB513="USDAED",LEFT(AB513,3)=RIGHT(AB513,3)),AH513,IF(LEFT(AB513)="USD",AG513,IF(RIGHT(AB513,3)="USD",1,IFERROR(VLOOKUP(E513&amp;"USD"&amp;RIGHT(AB513,3),$AF:$AG,2,FALSE),VLOOKUP(E513&amp;"USD"&amp;RIGHT(AJ513,3),$AN:$AO,2,FALSE)))))</f>
        <v>1</v>
      </c>
      <c r="AJ513" s="173" t="str">
        <f>IF(W513="via USD",IF(S513="EUR",S513&amp;"USD","USD"&amp;S513),IFERROR(VLOOKUP(K513&amp;S513,'FX RATES'!$H$2:$H$20,1,FALSE),S513&amp;K513))</f>
        <v>USDRUB</v>
      </c>
      <c r="AK513" s="175">
        <f>IF(LEFT(AJ513,3)=RIGHT(AJ513,3),0,IFERROR(INDEX(CLIENTS!$A$1:$O$649,MATCH(P513,CLIENTS!$A$1:$A$649,0),MATCH(AJ513,CLIENTS!$A$1:$O$1,0)),0))</f>
        <v>0</v>
      </c>
      <c r="AL513" s="176">
        <v>77.650199999999998</v>
      </c>
      <c r="AM513" s="177">
        <f>IF(W513="VENDOR","",IF(AL513="",AP513+AK513,AL513+AK513))</f>
        <v>77.650199999999998</v>
      </c>
      <c r="AN513" s="177" t="str">
        <f>E513&amp;AJ513</f>
        <v>46063USDRUB</v>
      </c>
      <c r="AO513" s="176">
        <v>77.2</v>
      </c>
      <c r="AP513" s="178">
        <f ca="1">IF(LEFT(AJ513,3)=RIGHT(AJ513,3),1,VLOOKUP(AJ513,'FX RATES'!$H$1:$I$20,2,FALSE))</f>
        <v>76.720500000000001</v>
      </c>
      <c r="AQ513" s="178">
        <f>IF(OR(AJ513="USDAED",LEFT(AJ513,3)=RIGHT(AJ513,3)),AP513,IF(LEFT(AJ513)="USD",AO513,IF(RIGHT(AJ513,3)="USD",1,IFERROR(VLOOKUP(E513&amp;"USD"&amp;RIGHT(AJ513,3),$AN:$AO,2,FALSE),VLOOKUP(E513&amp;"USD"&amp;RIGHT(AB513,3),$AF:$AG,2,FALSE)))))</f>
        <v>77.2</v>
      </c>
      <c r="AR513" s="179">
        <f>-Q513*(1-Z513)/(1+X513)*IF(W513="CLIENT",IF(S513=RIGHT(AJ513,3),1/AM513,AM513),IF(W513="VENDOR",IF(S513=RIGHT(AJ513,3),1/AE513,AE513),AE513^(VLOOKUP(AB513,'FX RATES'!$H$1:$J$26,3,FALSE))/AM513^(VLOOKUP(AJ513,'FX RATES'!$H$1:$J$26,3,FALSE))))</f>
        <v>0</v>
      </c>
      <c r="AS513" s="179">
        <f>-I513*(1+X513)/(1-Z513)*IF(W513="VENDOR",IF(K513=RIGHT(AB513,3),1/AE513,AE513),IF(W513="CLIENT",IF(K513=RIGHT(AB513,3),1/AM513,AM513),AM513^(VLOOKUP(AJ513,'FX RATES'!$H$1:$J$26,3,FALSE))/AE513^(VLOOKUP(AB513,'FX RATES'!$H$1:$J$26,3,FALSE))))</f>
        <v>17013868.987658292</v>
      </c>
      <c r="AT513" s="170">
        <f>IF(AB513&lt;&gt;AJ513,J513/IF(K513=RIGHT(AB513,3),AE513,1/AE513),IF(S513="USD",J513/IF(K513=RIGHT(AB513,3),IF(W513="CLIENT",AM513,AE513),1/IF(W513="CLIENT",AM513,AE513)),J513*VLOOKUP(K513,'FX RATES'!$E$1:$F$10,2,FALSE)))</f>
        <v>-218013.6</v>
      </c>
      <c r="AU513" s="170">
        <f>IF(AB513&lt;&gt;AJ513,R513/IF(S513=RIGHT(AJ513,3),AM513,1/AM513),IF(K513="USD",R513/IF(S513=RIGHT(AJ513,3),IF(W513="CLIENT",AM513,AE513),1/IF(W513="CLIENT",AM513,AE513)),R513*VLOOKUP(S513,'FX RATES'!$E$1:$F$10,2,FALSE)))</f>
        <v>219109.14572864323</v>
      </c>
      <c r="AV513" s="170">
        <f>AT513+AU513</f>
        <v>1095.5457286432211</v>
      </c>
      <c r="AW513" s="169"/>
      <c r="AX513" s="170">
        <f>IF(AND(ISERROR(SEARCH("INVOICE",T513)),ISERROR(SEARCH("SWITCH",T513)),ISERROR(SEARCH("FOREX",T513)),ISERROR(SEARCH("REFUND",A513)),ISERROR(SEARCH("CANCELLED",A513))),IF(AW513="",-AT513*X513+AU513*Z513,AW513),0)</f>
        <v>1095.5457286432161</v>
      </c>
      <c r="AY513" s="170">
        <f>IF(AZ513="USD",AT513,IF(AZ513=K513,J513,-R513))</f>
        <v>-218013.6</v>
      </c>
      <c r="AZ513" s="170" t="str">
        <f>LEFT(AB513,3)</f>
        <v>USD</v>
      </c>
      <c r="BA513" s="542">
        <f>IF(OR(A513="REFUND",A513="CANCELLED"),0,IFERROR((IF(OR(AB513="USDAED",LEFT(AB513,3)=RIGHT(AB513,3)),AI513,AG513)-AE513)*-AY513*VLOOKUP(AB513,'FX RATES'!$H$1:$J$26,3,FALSE),0))</f>
        <v>0</v>
      </c>
      <c r="BB513" s="170" t="str">
        <f>RIGHT(AB513,3)</f>
        <v>USD</v>
      </c>
      <c r="BC513" s="542">
        <f>IF(BA513=0,0,IFERROR(BA513/IF(BB513&lt;&gt;"USD",AI513,1),"???"))</f>
        <v>0</v>
      </c>
      <c r="BD513" s="170">
        <f>IFERROR(-AC513/(IF(OR(AB513="USDAED",LEFT(AB513,3)=RIGHT(AB513,3)),AH513,AG513)-AE513)*BC513,0)</f>
        <v>0</v>
      </c>
      <c r="BE513" s="542">
        <f>BC513-BD513</f>
        <v>0</v>
      </c>
      <c r="BF513" s="170">
        <f>IF(BG513="USD",AU513,IF(BG513=S513,R513,-J513))</f>
        <v>219109.14572864323</v>
      </c>
      <c r="BG513" s="170" t="str">
        <f>LEFT(AJ513,3)</f>
        <v>USD</v>
      </c>
      <c r="BH513" s="542">
        <f>IF(OR(A513="REFUND",A513="CANCELLED"),0,IFERROR((IF(OR(AJ513="USDAED",LEFT(AJ513,3)=RIGHT(AJ513,3)),AQ513,AO513)-AM513)*-BF513*VLOOKUP(AJ513,'FX RATES'!$H$1:$J$26,3,FALSE),0))</f>
        <v>98642.937407034144</v>
      </c>
      <c r="BI513" s="170" t="str">
        <f>RIGHT(AJ513,3)</f>
        <v>RUB</v>
      </c>
      <c r="BJ513" s="542">
        <f>IF(BH513=0,0,IFERROR(BH513/IF(BI513&lt;&gt;"USD",AQ513,1),"???"))</f>
        <v>1277.7582565677997</v>
      </c>
      <c r="BK513" s="170">
        <f>IFERROR(-AK513/(IF(OR(AJ513="USDAED",LEFT(AJ513,3)=RIGHT(AJ513,3)),AP513,AO513)-AM513)*BJ513,0)</f>
        <v>0</v>
      </c>
      <c r="BL513" s="542">
        <f>BJ513-BK513</f>
        <v>1277.7582565677997</v>
      </c>
      <c r="BM513" s="170">
        <f>IF(AND(ISERROR(SEARCH("REFUND",A513)),ISERROR(SEARCH("CANCELLED",A513))),BD513+BK513,0)</f>
        <v>0</v>
      </c>
      <c r="BN513" s="542">
        <f>IF(AND(ISERROR(SEARCH("REFUND",A513)),ISERROR(SEARCH("CANCELLED",A513))),BE513+BL513,0)</f>
        <v>1277.7582565677997</v>
      </c>
    </row>
    <row r="514" spans="1:66" ht="19.5" customHeight="1">
      <c r="A514" s="167" t="s">
        <v>488</v>
      </c>
      <c r="B514" s="168" t="s">
        <v>39</v>
      </c>
      <c r="C514" s="168" t="s">
        <v>489</v>
      </c>
      <c r="D514" s="168" t="s">
        <v>128</v>
      </c>
      <c r="E514" s="171">
        <v>46063</v>
      </c>
      <c r="F514" s="171"/>
      <c r="G514" s="168" t="s">
        <v>39</v>
      </c>
      <c r="H514" s="168" t="s">
        <v>39</v>
      </c>
      <c r="I514" s="169">
        <f>-(R512+R513+J515)</f>
        <v>-3689578.5181507543</v>
      </c>
      <c r="J514" s="170">
        <f>IF(I514="",AR514,I514)</f>
        <v>-3689578.5181507543</v>
      </c>
      <c r="K514" s="168" t="s">
        <v>9</v>
      </c>
      <c r="L514" s="171"/>
      <c r="M514" s="168"/>
      <c r="N514" s="167" t="s">
        <v>371</v>
      </c>
      <c r="O514" s="168" t="s">
        <v>39</v>
      </c>
      <c r="P514" s="168" t="s">
        <v>39</v>
      </c>
      <c r="Q514" s="169"/>
      <c r="R514" s="170">
        <f>IF(Q514="",AS514,Q514)</f>
        <v>47792.467851693706</v>
      </c>
      <c r="S514" s="168" t="s">
        <v>5</v>
      </c>
      <c r="T514" s="171"/>
      <c r="U514" s="168"/>
      <c r="V514" s="167" t="s">
        <v>371</v>
      </c>
      <c r="W514" s="172" t="s">
        <v>382</v>
      </c>
      <c r="X514" s="173">
        <f>IF(Y514="",VLOOKUP(H514,CLIENTS!$A$1:$O$649,5,FALSE),Y514)</f>
        <v>0</v>
      </c>
      <c r="Y514" s="174"/>
      <c r="Z514" s="173">
        <f>IF(AA514="",VLOOKUP(P514,CLIENTS!$A$1:$O$649,5,FALSE),AA514)</f>
        <v>0</v>
      </c>
      <c r="AA514" s="174"/>
      <c r="AB514" s="173" t="str">
        <f>IF(W514="via USD",IF(K514="EUR",K514&amp;"USD","USD"&amp;K514),IFERROR(VLOOKUP(K514&amp;S514,'FX RATES'!$H$2:$H$20,1,FALSE),S514&amp;K514))</f>
        <v>USDRUB</v>
      </c>
      <c r="AC514" s="175">
        <f>IF(LEFT(AB514,3)=RIGHT(AB514,3),0,IFERROR(INDEX(CLIENTS!$A$1:$O$649,MATCH(H514,CLIENTS!$A$1:$A$649,0),MATCH(AB514,CLIENTS!$A$1:$O$1,0)),0))</f>
        <v>0</v>
      </c>
      <c r="AD514" s="176">
        <v>77.2</v>
      </c>
      <c r="AE514" s="177">
        <f>IF(W514="CLIENT","",IF(AD514="",AH514+AC514,AD514+AC514))</f>
        <v>77.2</v>
      </c>
      <c r="AF514" s="177" t="str">
        <f>E514&amp;AB514</f>
        <v>46063USDRUB</v>
      </c>
      <c r="AG514" s="176">
        <v>77.2</v>
      </c>
      <c r="AH514" s="178">
        <f ca="1">IF(LEFT(AB514,3)=RIGHT(AB514,3),1,VLOOKUP(AB514,'FX RATES'!$H$1:$I$20,2,FALSE))</f>
        <v>76.720500000000001</v>
      </c>
      <c r="AI514" s="178">
        <f>IF(OR(AB514="USDAED",LEFT(AB514,3)=RIGHT(AB514,3),AB514="USDUSDT",AB514="USDTUSD"),AH514,IF(LEFT(AB514)="USD",AG514,IF(RIGHT(AB514,3)="USD",1,IFERROR(VLOOKUP(E514&amp;"USD"&amp;RIGHT(AB514,3),$AF:$AG,2,FALSE),VLOOKUP(E514&amp;"USD"&amp;RIGHT(AJ514,3),$AN:$AO,2,FALSE)))))</f>
        <v>77.2</v>
      </c>
      <c r="AJ514" s="173" t="str">
        <f>IF(W514="via USD",IF(S514="EUR",S514&amp;"USD","USD"&amp;S514),IFERROR(VLOOKUP(K514&amp;S514,'FX RATES'!$H$2:$H$20,1,FALSE),S514&amp;K514))</f>
        <v>USDRUB</v>
      </c>
      <c r="AK514" s="175">
        <f>IF(LEFT(AJ514,3)=RIGHT(AJ514,3),0,IFERROR(INDEX(CLIENTS!$A$1:$O$649,MATCH(P514,CLIENTS!$A$1:$A$649,0),MATCH(AJ514,CLIENTS!$A$1:$O$1,0)),0))</f>
        <v>0</v>
      </c>
      <c r="AL514" s="176"/>
      <c r="AM514" s="177" t="str">
        <f>IF(W514="VENDOR","",IF(AL514="",AP514+AK514,AL514+AK514))</f>
        <v/>
      </c>
      <c r="AN514" s="177" t="str">
        <f>E514&amp;AJ514</f>
        <v>46063USDRUB</v>
      </c>
      <c r="AO514" s="176">
        <v>77.2</v>
      </c>
      <c r="AP514" s="178">
        <f ca="1">IF(LEFT(AJ514,3)=RIGHT(AJ514,3),1,VLOOKUP(AJ514,'FX RATES'!$H$1:$I$20,2,FALSE))</f>
        <v>76.720500000000001</v>
      </c>
      <c r="AQ514" s="178">
        <f>IF(OR(AJ514="USDAED",LEFT(AJ514,3)=RIGHT(AJ514,3)),AP514,IF(LEFT(AJ514)="USD",AO514,IF(RIGHT(AJ514,3)="USD",1,IFERROR(VLOOKUP(E514&amp;"USD"&amp;RIGHT(AJ514,3),$AN:$AO,2,FALSE),VLOOKUP(E514&amp;"USD"&amp;RIGHT(AB514,3),$AF:$AG,2,FALSE)))))</f>
        <v>77.2</v>
      </c>
      <c r="AR514" s="179">
        <f>-Q514*(1-Z514)/(1+X514)*IF(W514="CLIENT",IF(S514=RIGHT(AJ514,3),1/AM514,AM514),IF(W514="VENDOR",IF(S514=RIGHT(AJ514,3),1/AE514,AE514),AE514^(VLOOKUP(AB514,'FX RATES'!$H$1:$J$26,3,FALSE))/AM514^(VLOOKUP(AJ514,'FX RATES'!$H$1:$J$26,3,FALSE))))</f>
        <v>0</v>
      </c>
      <c r="AS514" s="179">
        <f>-I514*(1+X514)/(1-Z514)*IF(W514="VENDOR",IF(K514=RIGHT(AB514,3),1/AE514,AE514),IF(W514="CLIENT",IF(K514=RIGHT(AB514,3),1/AM514,AM514),AM514^(VLOOKUP(AJ514,'FX RATES'!$H$1:$J$26,3,FALSE))/AE514^(VLOOKUP(AB514,'FX RATES'!$H$1:$J$26,3,FALSE))))</f>
        <v>47792.467851693706</v>
      </c>
      <c r="AT514" s="170">
        <f>IF(AB514&lt;&gt;AJ514,J514/IF(K514=RIGHT(AB514,3),AE514,1/AE514),IF(S514="USD",J514/IF(K514=RIGHT(AB514,3),IF(W514="CLIENT",AM514,AE514),1/IF(W514="CLIENT",AM514,AE514)),J514*VLOOKUP(K514,'FX RATES'!$E$1:$F$10,2,FALSE)))</f>
        <v>-47792.467851693706</v>
      </c>
      <c r="AU514" s="170">
        <f>IF(AB514&lt;&gt;AJ514,R514/IF(S514=RIGHT(AJ514,3),AM514,1/AM514),IF(K514="USD",R514/IF(S514=RIGHT(AJ514,3),IF(W514="CLIENT",AM514,AE514),1/IF(W514="CLIENT",AM514,AE514)),R514*VLOOKUP(S514,'FX RATES'!$E$1:$F$10,2,FALSE)))</f>
        <v>47792.467851693706</v>
      </c>
      <c r="AV514" s="170">
        <f>AT514+AU514</f>
        <v>0</v>
      </c>
      <c r="AW514" s="169"/>
      <c r="AX514" s="170">
        <f>IF(AND(ISERROR(SEARCH("INVOICE",T514)),ISERROR(SEARCH("SWITCH",T514)),ISERROR(SEARCH("FOREX",T514)),ISERROR(SEARCH("REFUND",A514)),ISERROR(SEARCH("CANCELLED",A514))),IF(AW514="",-AT514*X514+AU514*Z514,AW514),0)</f>
        <v>0</v>
      </c>
      <c r="AY514" s="170">
        <f>IF(AZ514="USD",AT514,IF(AZ514=K514,J514,-R514))</f>
        <v>-47792.467851693706</v>
      </c>
      <c r="AZ514" s="170" t="str">
        <f>LEFT(AB514,3)</f>
        <v>USD</v>
      </c>
      <c r="BA514" s="542">
        <f>IF(OR(A514="REFUND",A514="CANCELLED"),0,IFERROR((IF(OR(AB514="USDAED",LEFT(AB514,3)=RIGHT(AB514,3)),AI514,AG514)-AE514)*-AY514*VLOOKUP(AB514,'FX RATES'!$H$1:$J$26,3,FALSE),0))</f>
        <v>0</v>
      </c>
      <c r="BB514" s="170" t="str">
        <f>RIGHT(AB514,3)</f>
        <v>RUB</v>
      </c>
      <c r="BC514" s="542">
        <f>IF(BA514=0,0,IFERROR(BA514/IF(BB514&lt;&gt;"USD",AI514,1),"???"))</f>
        <v>0</v>
      </c>
      <c r="BD514" s="170">
        <f>IFERROR(-AC514/(IF(OR(AB514="USDAED",LEFT(AB514,3)=RIGHT(AB514,3)),AH514,AG514)-AE514)*BC514,0)</f>
        <v>0</v>
      </c>
      <c r="BE514" s="542">
        <f>BC514-BD514</f>
        <v>0</v>
      </c>
      <c r="BF514" s="170">
        <f>IF(BG514="USD",AU514,IF(BG514=S514,R514,-J514))</f>
        <v>47792.467851693706</v>
      </c>
      <c r="BG514" s="170" t="str">
        <f>LEFT(AJ514,3)</f>
        <v>USD</v>
      </c>
      <c r="BH514" s="542">
        <f>IF(OR(A514="REFUND",A514="CANCELLED"),0,IFERROR((IF(OR(AJ514="USDAED",LEFT(AJ514,3)=RIGHT(AJ514,3)),AQ514,AO514)-AM514)*-BF514*VLOOKUP(AJ514,'FX RATES'!$H$1:$J$26,3,FALSE),0))</f>
        <v>0</v>
      </c>
      <c r="BI514" s="170" t="str">
        <f>RIGHT(AJ514,3)</f>
        <v>RUB</v>
      </c>
      <c r="BJ514" s="542">
        <f>IF(BH514=0,0,IFERROR(BH514/IF(BI514&lt;&gt;"USD",AQ514,1),"???"))</f>
        <v>0</v>
      </c>
      <c r="BK514" s="170">
        <f>IFERROR(-AK514/(IF(OR(AJ514="USDAED",LEFT(AJ514,3)=RIGHT(AJ514,3)),AP514,AO514)-AM514)*BJ514,0)</f>
        <v>0</v>
      </c>
      <c r="BL514" s="542">
        <f>BJ514-BK514</f>
        <v>0</v>
      </c>
      <c r="BM514" s="170">
        <f>IF(AND(ISERROR(SEARCH("REFUND",A514)),ISERROR(SEARCH("CANCELLED",A514))),BD514+BK514,0)</f>
        <v>0</v>
      </c>
      <c r="BN514" s="542">
        <f>IF(AND(ISERROR(SEARCH("REFUND",A514)),ISERROR(SEARCH("CANCELLED",A514))),BE514+BL514,0)</f>
        <v>0</v>
      </c>
    </row>
    <row r="515" spans="1:66" ht="19.5" customHeight="1">
      <c r="A515" s="167" t="s">
        <v>601</v>
      </c>
      <c r="B515" s="168" t="s">
        <v>39</v>
      </c>
      <c r="C515" s="168" t="s">
        <v>383</v>
      </c>
      <c r="D515" s="168" t="s">
        <v>121</v>
      </c>
      <c r="E515" s="171">
        <v>46063</v>
      </c>
      <c r="F515" s="171"/>
      <c r="G515" s="168" t="s">
        <v>39</v>
      </c>
      <c r="H515" s="181" t="s">
        <v>190</v>
      </c>
      <c r="I515" s="169"/>
      <c r="J515" s="170">
        <f>IF(I515="",AR515,I515)</f>
        <v>-27177570</v>
      </c>
      <c r="K515" s="168" t="s">
        <v>9</v>
      </c>
      <c r="L515" s="168" t="s">
        <v>16</v>
      </c>
      <c r="M515" s="168" t="s">
        <v>14</v>
      </c>
      <c r="N515" s="167" t="s">
        <v>553</v>
      </c>
      <c r="O515" s="168" t="s">
        <v>39</v>
      </c>
      <c r="P515" s="168" t="s">
        <v>190</v>
      </c>
      <c r="Q515" s="169">
        <v>350000</v>
      </c>
      <c r="R515" s="170">
        <f>IF(Q515="",AS515,Q515)</f>
        <v>350000</v>
      </c>
      <c r="S515" s="168" t="s">
        <v>5</v>
      </c>
      <c r="T515" s="171"/>
      <c r="U515" s="168" t="s">
        <v>25</v>
      </c>
      <c r="V515" s="167" t="s">
        <v>371</v>
      </c>
      <c r="W515" s="172" t="s">
        <v>375</v>
      </c>
      <c r="X515" s="173">
        <f>IF(Y515="",VLOOKUP(H515,CLIENTS!$A$1:$O$649,5,FALSE),Y515)</f>
        <v>0</v>
      </c>
      <c r="Y515" s="174">
        <v>0</v>
      </c>
      <c r="Z515" s="173">
        <f>IF(AA515="",VLOOKUP(P515,CLIENTS!$A$1:$O$649,5,FALSE),AA515)</f>
        <v>0</v>
      </c>
      <c r="AA515" s="174">
        <v>0</v>
      </c>
      <c r="AB515" s="173" t="str">
        <f>IF(W515="via USD",IF(K515="EUR",K515&amp;"USD","USD"&amp;K515),IFERROR(VLOOKUP(K515&amp;S515,'FX RATES'!$H$2:$H$20,1,FALSE),S515&amp;K515))</f>
        <v>USDRUB</v>
      </c>
      <c r="AC515" s="175">
        <f>IF(LEFT(AB515,3)=RIGHT(AB515,3),0,IFERROR(INDEX(CLIENTS!$A$1:$O$649,MATCH(H515,CLIENTS!$A$1:$A$649,0),MATCH(AB515,CLIENTS!$A$1:$O$1,0)),0))</f>
        <v>0</v>
      </c>
      <c r="AD515" s="176">
        <v>77.650199999999998</v>
      </c>
      <c r="AE515" s="177">
        <f>IF(W515="CLIENT","",IF(AD515="",AH515+AC515,AD515+AC515))</f>
        <v>77.650199999999998</v>
      </c>
      <c r="AF515" s="177" t="str">
        <f>E515&amp;AB515</f>
        <v>46063USDRUB</v>
      </c>
      <c r="AG515" s="176">
        <v>77.2</v>
      </c>
      <c r="AH515" s="178">
        <f ca="1">IF(LEFT(AB515,3)=RIGHT(AB515,3),1,VLOOKUP(AB515,'FX RATES'!$H$1:$I$20,2,FALSE))</f>
        <v>76.720500000000001</v>
      </c>
      <c r="AI515" s="178">
        <f>IF(OR(AB515="USDAED",LEFT(AB515,3)=RIGHT(AB515,3)),AH515,IF(LEFT(AB515)="USD",AG515,IF(RIGHT(AB515,3)="USD",1,IFERROR(VLOOKUP(E515&amp;"USD"&amp;RIGHT(AB515,3),$AF:$AG,2,FALSE),VLOOKUP(E515&amp;"USD"&amp;RIGHT(AJ515,3),$AN:$AO,2,FALSE)))))</f>
        <v>77.2</v>
      </c>
      <c r="AJ515" s="173" t="str">
        <f>IF(W515="via USD",IF(S515="EUR",S515&amp;"USD","USD"&amp;S515),IFERROR(VLOOKUP(K515&amp;S515,'FX RATES'!$H$2:$H$20,1,FALSE),S515&amp;K515))</f>
        <v>USDUSD</v>
      </c>
      <c r="AK515" s="175">
        <f>IF(LEFT(AJ515,3)=RIGHT(AJ515,3),0,IFERROR(INDEX(CLIENTS!$A$1:$O$649,MATCH(P515,CLIENTS!$A$1:$A$649,0),MATCH(AJ515,CLIENTS!$A$1:$O$1,0)),0))</f>
        <v>0</v>
      </c>
      <c r="AL515" s="176"/>
      <c r="AM515" s="177">
        <f>IF(W515="VENDOR","",IF(AL515="",AP515+AK515,AL515+AK515))</f>
        <v>1</v>
      </c>
      <c r="AN515" s="177" t="str">
        <f>E515&amp;AJ515</f>
        <v>46063USDUSD</v>
      </c>
      <c r="AO515" s="176"/>
      <c r="AP515" s="178">
        <f>IF(LEFT(AJ515,3)=RIGHT(AJ515,3),1,VLOOKUP(AJ515,'FX RATES'!$H$1:$I$20,2,FALSE))</f>
        <v>1</v>
      </c>
      <c r="AQ515" s="178">
        <f>IF(OR(AJ515="USDAED",LEFT(AJ515,3)=RIGHT(AJ515,3)),AP515,IF(LEFT(AJ515)="USD",AO515,IF(RIGHT(AJ515,3)="USD",1,IFERROR(VLOOKUP(E515&amp;"USD"&amp;RIGHT(AJ515,3),$AN:$AO,2,FALSE),VLOOKUP(E515&amp;"USD"&amp;RIGHT(AB515,3),$AF:$AG,2,FALSE)))))</f>
        <v>1</v>
      </c>
      <c r="AR515" s="179">
        <f>-Q515*(1-Z515)/(1+X515)*IF(W515="CLIENT",IF(S515=RIGHT(AJ515,3),1/AM515,AM515),IF(W515="VENDOR",IF(S515=RIGHT(AJ515,3),1/AE515,AE515),AE515^(VLOOKUP(AB515,'FX RATES'!$H$1:$J$26,3,FALSE))/AM515^(VLOOKUP(AJ515,'FX RATES'!$H$1:$J$26,3,FALSE))))</f>
        <v>-27177570</v>
      </c>
      <c r="AS515" s="179">
        <f>-I515*(1+X515)/(1-Z515)*IF(W515="VENDOR",IF(K515=RIGHT(AB515,3),1/AE515,AE515),IF(W515="CLIENT",IF(K515=RIGHT(AB515,3),1/AM515,AM515),AM515^(VLOOKUP(AJ515,'FX RATES'!$H$1:$J$26,3,FALSE))/AE515^(VLOOKUP(AB515,'FX RATES'!$H$1:$J$26,3,FALSE))))</f>
        <v>0</v>
      </c>
      <c r="AT515" s="170">
        <f>IF(AB515&lt;&gt;AJ515,J515/IF(K515=RIGHT(AB515,3),AE515,1/AE515),IF(S515="USD",J515/IF(K515=RIGHT(AB515,3),IF(W515="CLIENT",AM515,AE515),1/IF(W515="CLIENT",AM515,AE515)),J515*VLOOKUP(K515,'FX RATES'!$E$1:$F$10,2,FALSE)))</f>
        <v>-350000</v>
      </c>
      <c r="AU515" s="170">
        <f>IF(AB515&lt;&gt;AJ515,R515/IF(S515=RIGHT(AJ515,3),AM515,1/AM515),IF(K515="USD",R515/IF(S515=RIGHT(AJ515,3),IF(W515="CLIENT",AM515,AE515),1/IF(W515="CLIENT",AM515,AE515)),R515*VLOOKUP(S515,'FX RATES'!$E$1:$F$10,2,FALSE)))</f>
        <v>350000</v>
      </c>
      <c r="AV515" s="170">
        <f>AT515+AU515</f>
        <v>0</v>
      </c>
      <c r="AW515" s="169"/>
      <c r="AX515" s="170">
        <f>IF(AND(ISERROR(SEARCH("INVOICE",T515)),ISERROR(SEARCH("SWITCH",T515)),ISERROR(SEARCH("FOREX",T515)),ISERROR(SEARCH("REFUND",A515)),ISERROR(SEARCH("CANCELLED",A515))),IF(AW515="",-AT515*X515+AU515*Z515,AW515),0)</f>
        <v>0</v>
      </c>
      <c r="AY515" s="170">
        <f>IF(AZ515="USD",AT515,IF(AZ515=K515,J515,-R515))</f>
        <v>-350000</v>
      </c>
      <c r="AZ515" s="170" t="str">
        <f>LEFT(AB515,3)</f>
        <v>USD</v>
      </c>
      <c r="BA515" s="542">
        <f>IF(OR(A515="REFUND",A515="CANCELLED"),0,IFERROR((IF(OR(AB515="USDAED",LEFT(AB515,3)=RIGHT(AB515,3)),AI515,AG515)-AE515)*-AY515*VLOOKUP(AB515,'FX RATES'!$H$1:$J$26,3,FALSE),0))</f>
        <v>-157569.99999999834</v>
      </c>
      <c r="BB515" s="170" t="str">
        <f>RIGHT(AB515,3)</f>
        <v>RUB</v>
      </c>
      <c r="BC515" s="542">
        <f>IF(BA515=0,0,IFERROR(BA515/IF(BB515&lt;&gt;"USD",AI515,1),"???"))</f>
        <v>-2041.0621761657815</v>
      </c>
      <c r="BD515" s="170">
        <f>IFERROR(-AC515/(IF(OR(AB515="USDAED",LEFT(AB515,3)=RIGHT(AB515,3)),AH515,AG515)-AE515)*BC515,0)</f>
        <v>0</v>
      </c>
      <c r="BE515" s="542">
        <f>BC515-BD515</f>
        <v>-2041.0621761657815</v>
      </c>
      <c r="BF515" s="170">
        <f>IF(BG515="USD",AU515,IF(BG515=S515,R515,-J515))</f>
        <v>350000</v>
      </c>
      <c r="BG515" s="170" t="str">
        <f>LEFT(AJ515,3)</f>
        <v>USD</v>
      </c>
      <c r="BH515" s="542">
        <f>IF(OR(A515="REFUND",A515="CANCELLED"),0,IFERROR((IF(OR(AJ515="USDAED",LEFT(AJ515,3)=RIGHT(AJ515,3)),AQ515,AO515)-AM515)*-BF515*VLOOKUP(AJ515,'FX RATES'!$H$1:$J$26,3,FALSE),0))</f>
        <v>0</v>
      </c>
      <c r="BI515" s="170" t="str">
        <f>RIGHT(AJ515,3)</f>
        <v>USD</v>
      </c>
      <c r="BJ515" s="542">
        <f>IF(BH515=0,0,IFERROR(BH515/IF(BI515&lt;&gt;"USD",AQ515,1),"???"))</f>
        <v>0</v>
      </c>
      <c r="BK515" s="170">
        <f>IFERROR(-AK515/(IF(OR(AJ515="USDAED",LEFT(AJ515,3)=RIGHT(AJ515,3)),AP515,AO515)-AM515)*BJ515,0)</f>
        <v>0</v>
      </c>
      <c r="BL515" s="542">
        <f>BJ515-BK515</f>
        <v>0</v>
      </c>
      <c r="BM515" s="170">
        <f>IF(AND(ISERROR(SEARCH("REFUND",A515)),ISERROR(SEARCH("CANCELLED",A515))),BD515+BK515,0)</f>
        <v>0</v>
      </c>
      <c r="BN515" s="542">
        <f>IF(AND(ISERROR(SEARCH("REFUND",A515)),ISERROR(SEARCH("CANCELLED",A515))),BE515+BL515,0)</f>
        <v>-2041.0621761657815</v>
      </c>
    </row>
    <row r="516" spans="1:66" ht="19.5" customHeight="1">
      <c r="A516" s="167"/>
      <c r="B516" s="182"/>
      <c r="C516" s="182"/>
      <c r="D516" s="182"/>
      <c r="E516" s="184"/>
      <c r="F516" s="184"/>
      <c r="G516" s="182"/>
      <c r="H516" s="182"/>
      <c r="I516" s="170"/>
      <c r="J516" s="170"/>
      <c r="K516" s="182"/>
      <c r="L516" s="184"/>
      <c r="M516" s="182"/>
      <c r="O516" s="182"/>
      <c r="P516" s="444"/>
      <c r="Q516" s="170"/>
      <c r="R516" s="170"/>
      <c r="S516" s="182"/>
      <c r="T516" s="184"/>
      <c r="U516" s="182"/>
      <c r="X516" s="173"/>
      <c r="Y516" s="173"/>
      <c r="Z516" s="173"/>
      <c r="AA516" s="173"/>
      <c r="AB516" s="173"/>
      <c r="AC516" s="175"/>
      <c r="AD516" s="177"/>
      <c r="AE516" s="177"/>
      <c r="AF516" s="177"/>
      <c r="AG516" s="177"/>
      <c r="AH516" s="178"/>
      <c r="AI516" s="178"/>
      <c r="AJ516" s="173"/>
      <c r="AK516" s="175"/>
      <c r="AL516" s="177"/>
      <c r="AM516" s="177"/>
      <c r="AN516" s="177"/>
      <c r="AO516" s="177"/>
      <c r="AP516" s="178"/>
      <c r="AQ516" s="178"/>
      <c r="AR516" s="185"/>
      <c r="AS516" s="185"/>
      <c r="AT516" s="170"/>
      <c r="AU516" s="170"/>
      <c r="AV516" s="170"/>
      <c r="AW516" s="170"/>
      <c r="AX516" s="170"/>
      <c r="AY516" s="170"/>
      <c r="AZ516" s="170"/>
      <c r="BA516" s="542"/>
      <c r="BB516" s="170"/>
      <c r="BC516" s="542"/>
      <c r="BD516" s="170"/>
      <c r="BE516" s="542"/>
      <c r="BF516" s="170"/>
      <c r="BG516" s="170"/>
      <c r="BH516" s="542"/>
      <c r="BI516" s="170"/>
      <c r="BJ516" s="542"/>
      <c r="BK516" s="170"/>
      <c r="BL516" s="542"/>
      <c r="BM516" s="170"/>
      <c r="BN516" s="542"/>
    </row>
    <row r="517" spans="1:66" ht="19.5" customHeight="1">
      <c r="A517" s="167" t="s">
        <v>601</v>
      </c>
      <c r="B517" s="168" t="s">
        <v>39</v>
      </c>
      <c r="C517" s="168" t="s">
        <v>367</v>
      </c>
      <c r="D517" s="168" t="s">
        <v>128</v>
      </c>
      <c r="E517" s="171">
        <v>46063</v>
      </c>
      <c r="F517" s="171"/>
      <c r="G517" s="168" t="s">
        <v>39</v>
      </c>
      <c r="H517" s="168" t="s">
        <v>612</v>
      </c>
      <c r="I517" s="169"/>
      <c r="J517" s="170">
        <f>IF(I517="",AR517,I517)</f>
        <v>-412188.61200000002</v>
      </c>
      <c r="K517" s="168" t="s">
        <v>8</v>
      </c>
      <c r="L517" s="168" t="s">
        <v>500</v>
      </c>
      <c r="M517" s="168" t="s">
        <v>500</v>
      </c>
      <c r="O517" s="168" t="s">
        <v>34</v>
      </c>
      <c r="P517" s="168" t="s">
        <v>613</v>
      </c>
      <c r="Q517" s="169">
        <v>415932</v>
      </c>
      <c r="R517" s="170">
        <f>IF(Q517="",AS517,Q517)</f>
        <v>415932</v>
      </c>
      <c r="S517" s="168" t="s">
        <v>8</v>
      </c>
      <c r="T517" s="168" t="s">
        <v>13</v>
      </c>
      <c r="U517" s="168" t="s">
        <v>13</v>
      </c>
      <c r="V517" s="167" t="s">
        <v>371</v>
      </c>
      <c r="W517" s="172" t="s">
        <v>375</v>
      </c>
      <c r="X517" s="173">
        <f>IF(Y517="",VLOOKUP(H517,CLIENTS!$A$1:$O$649,5,FALSE),Y517)</f>
        <v>0</v>
      </c>
      <c r="Y517" s="174">
        <v>0</v>
      </c>
      <c r="Z517" s="173">
        <f>IF(AA517="",VLOOKUP(P517,CLIENTS!$A$1:$O$649,5,FALSE),AA517)</f>
        <v>8.9999999999999993E-3</v>
      </c>
      <c r="AA517" s="174">
        <v>8.9999999999999993E-3</v>
      </c>
      <c r="AB517" s="173" t="str">
        <f>IF(W517="via USD",IF(K517="EUR",K517&amp;"USD","USD"&amp;K517),IFERROR(VLOOKUP(K517&amp;S517,'FX RATES'!$H$2:$H$20,1,FALSE),S517&amp;K517))</f>
        <v>USDAED</v>
      </c>
      <c r="AC517" s="175">
        <f>IF(LEFT(AB517,3)=RIGHT(AB517,3),0,IFERROR(INDEX(CLIENTS!$A$1:$O$649,MATCH(H517,CLIENTS!$A$1:$A$649,0),MATCH(AB517,CLIENTS!$A$1:$O$1,0)),0))+0.0025</f>
        <v>0</v>
      </c>
      <c r="AD517" s="176"/>
      <c r="AE517" s="177">
        <f>IF(W517="CLIENT","",IF(AD517="",AH517+AC517,AD517+AC517))</f>
        <v>3.6724999999999999</v>
      </c>
      <c r="AF517" s="177" t="str">
        <f>E517&amp;AB517</f>
        <v>46063USDAED</v>
      </c>
      <c r="AG517" s="176"/>
      <c r="AH517" s="178">
        <f>IF(LEFT(AB517,3)=RIGHT(AB517,3),1,VLOOKUP(AB517,'FX RATES'!$H$1:$I$20,2,FALSE))</f>
        <v>3.6724999999999999</v>
      </c>
      <c r="AI517" s="178">
        <f>IF(OR(AB517="USDAED",LEFT(AB517,3)=RIGHT(AB517,3)),AH517,IF(LEFT(AB517)="USD",AG517,IF(RIGHT(AB517,3)="USD",1,IFERROR(VLOOKUP(E517&amp;"USD"&amp;RIGHT(AB517,3),$AF:$AG,2,FALSE),VLOOKUP(E517&amp;"USD"&amp;RIGHT(AJ517,3),$AN:$AO,2,FALSE)))))</f>
        <v>3.6724999999999999</v>
      </c>
      <c r="AJ517" s="173" t="str">
        <f>IF(W517="via USD",IF(S517="EUR",S517&amp;"USD","USD"&amp;S517),IFERROR(VLOOKUP(K517&amp;S517,'FX RATES'!$H$2:$H$20,1,FALSE),S517&amp;K517))</f>
        <v>USDAED</v>
      </c>
      <c r="AK517" s="175">
        <f>IF(LEFT(AJ517,3)=RIGHT(AJ517,3),0,IFERROR(INDEX(CLIENTS!$A$1:$O$649,MATCH(P517,CLIENTS!$A$1:$A$649,0),MATCH(AJ517,CLIENTS!$A$1:$O$1,0)),0))+0.0025</f>
        <v>0</v>
      </c>
      <c r="AL517" s="176"/>
      <c r="AM517" s="177">
        <f>IF(W517="VENDOR","",IF(AL517="",AP517+AK517,AL517+AK517))</f>
        <v>3.6724999999999999</v>
      </c>
      <c r="AN517" s="177" t="str">
        <f>E517&amp;AJ517</f>
        <v>46063USDAED</v>
      </c>
      <c r="AO517" s="176"/>
      <c r="AP517" s="178">
        <f>IF(LEFT(AJ517,3)=RIGHT(AJ517,3),1,VLOOKUP(AJ517,'FX RATES'!$H$1:$I$20,2,FALSE))</f>
        <v>3.6724999999999999</v>
      </c>
      <c r="AQ517" s="178">
        <f>IF(OR(AJ517="USDAED",LEFT(AJ517,3)=RIGHT(AJ517,3)),AP517,IF(LEFT(AJ517)="USD",AO517,IF(RIGHT(AJ517,3)="USD",1,IFERROR(VLOOKUP(E517&amp;"USD"&amp;RIGHT(AJ517,3),$AN:$AO,2,FALSE),VLOOKUP(E517&amp;"USD"&amp;RIGHT(AB517,3),$AF:$AG,2,FALSE)))))</f>
        <v>3.6724999999999999</v>
      </c>
      <c r="AR517" s="179">
        <f>-Q517*(1-Z517)/(1+X517)*IF(W517="CLIENT",IF(S517=RIGHT(AJ517,3),1/AM517,AM517),IF(W517="VENDOR",IF(S517=RIGHT(AJ517,3),1/AE517,AE517),AE517^(VLOOKUP(AB517,'FX RATES'!$H$1:$J$26,3,FALSE))/AM517^(VLOOKUP(AJ517,'FX RATES'!$H$1:$J$26,3,FALSE))))</f>
        <v>-412188.61200000002</v>
      </c>
      <c r="AS517" s="179">
        <f>-I517*(1+X517)/(1-Z517)*IF(W517="VENDOR",IF(K517=RIGHT(AB517,3),1/AE517,AE517),IF(W517="CLIENT",IF(K517=RIGHT(AB517,3),1/AM517,AM517),AM517^(VLOOKUP(AJ517,'FX RATES'!$H$1:$J$26,3,FALSE))/AE517^(VLOOKUP(AB517,'FX RATES'!$H$1:$J$26,3,FALSE))))</f>
        <v>0</v>
      </c>
      <c r="AT517" s="170">
        <f ca="1">IF(AB517&lt;&gt;AJ517,J517/IF(K517=RIGHT(AB517,3),AE517,1/AE517),IF(S517="USD",J517/IF(K517=RIGHT(AB517,3),IF(W517="CLIENT",AM517,AE517),1/IF(W517="CLIENT",AM517,AE517)),J517*VLOOKUP(K517,'FX RATES'!$E$1:$F$10,2,FALSE)))</f>
        <v>-112233.46185263846</v>
      </c>
      <c r="AU517" s="170">
        <f ca="1">IF(AB517&lt;&gt;AJ517,R517/IF(S517=RIGHT(AJ517,3),AM517,1/AM517),IF(K517="USD",R517/IF(S517=RIGHT(AJ517,3),IF(W517="CLIENT",AM517,AE517),1/IF(W517="CLIENT",AM517,AE517)),R517*VLOOKUP(S517,'FX RATES'!$E$1:$F$10,2,FALSE)))</f>
        <v>113252.73648096716</v>
      </c>
      <c r="AV517" s="170">
        <f ca="1">AT517+AU517</f>
        <v>1019.2746283286979</v>
      </c>
      <c r="AW517" s="169"/>
      <c r="AX517" s="170">
        <f ca="1">IF(AND(ISERROR(SEARCH("INVOICE",T517)),ISERROR(SEARCH("SWITCH",T517)),ISERROR(SEARCH("FOREX",T517)),ISERROR(SEARCH("REFUND",A517)),ISERROR(SEARCH("CANCELLED",A517))),IF(AW517="",-AT517*X517+AU517*Z517,AW517),0)</f>
        <v>1019.2746283287044</v>
      </c>
      <c r="AY517" s="170">
        <f ca="1">IF(AZ517="USD",AT517,IF(AZ517=K517,J517,-R517))</f>
        <v>-112233.46185263846</v>
      </c>
      <c r="AZ517" s="170" t="str">
        <f>LEFT(AB517,3)</f>
        <v>USD</v>
      </c>
      <c r="BA517" s="542">
        <f ca="1">IF(OR(A517="REFUND",A517="CANCELLED"),0,IFERROR((IF(OR(AB517="USDAED",LEFT(AB517,3)=RIGHT(AB517,3)),AI517,AG517)-AE517)*-AY517*VLOOKUP(AB517,'FX RATES'!$H$1:$J$26,3,FALSE),0))</f>
        <v>0</v>
      </c>
      <c r="BB517" s="170" t="str">
        <f>RIGHT(AB517,3)</f>
        <v>AED</v>
      </c>
      <c r="BC517" s="542">
        <f ca="1">IF(BA517=0,0,IFERROR(BA517/IF(BB517&lt;&gt;"USD",AI517,1),"???"))</f>
        <v>0</v>
      </c>
      <c r="BD517" s="170">
        <f ca="1">IFERROR(-AC517/(IF(OR(AB517="USDAED",LEFT(AB517,3)=RIGHT(AB517,3)),AH517,AG517)-AE517)*BC517,0)</f>
        <v>0</v>
      </c>
      <c r="BE517" s="542">
        <f ca="1">BC517-BD517</f>
        <v>0</v>
      </c>
      <c r="BF517" s="170">
        <f ca="1">IF(BG517="USD",AU517,IF(BG517=S517,R517,-J517))</f>
        <v>113252.73648096716</v>
      </c>
      <c r="BG517" s="170" t="str">
        <f>LEFT(AJ517,3)</f>
        <v>USD</v>
      </c>
      <c r="BH517" s="542">
        <f ca="1">IF(OR(A517="REFUND",A517="CANCELLED"),0,IFERROR((IF(OR(AJ517="USDAED",LEFT(AJ517,3)=RIGHT(AJ517,3)),AQ517,AO517)-AM517)*-BF517*VLOOKUP(AJ517,'FX RATES'!$H$1:$J$26,3,FALSE),0))</f>
        <v>0</v>
      </c>
      <c r="BI517" s="170" t="str">
        <f>RIGHT(AJ517,3)</f>
        <v>AED</v>
      </c>
      <c r="BJ517" s="542">
        <f ca="1">IF(BH517=0,0,IFERROR(BH517/IF(BI517&lt;&gt;"USD",AQ517,1),"???"))</f>
        <v>0</v>
      </c>
      <c r="BK517" s="170">
        <f ca="1">IFERROR(-AK517/(IF(OR(AJ517="USDAED",LEFT(AJ517,3)=RIGHT(AJ517,3)),AP517,AO517)-AM517)*BJ517,0)</f>
        <v>0</v>
      </c>
      <c r="BL517" s="542">
        <f ca="1">BJ517-BK517</f>
        <v>0</v>
      </c>
      <c r="BM517" s="170">
        <f ca="1">IF(AND(ISERROR(SEARCH("REFUND",A517)),ISERROR(SEARCH("CANCELLED",A517))),BD517+BK517,0)</f>
        <v>0</v>
      </c>
      <c r="BN517" s="542">
        <f ca="1">IF(AND(ISERROR(SEARCH("REFUND",A517)),ISERROR(SEARCH("CANCELLED",A517))),BE517+BL517,0)</f>
        <v>0</v>
      </c>
    </row>
    <row r="518" spans="1:66" ht="19.5" customHeight="1">
      <c r="A518" s="167"/>
      <c r="B518" s="182"/>
      <c r="C518" s="182"/>
      <c r="D518" s="182"/>
      <c r="E518" s="184"/>
      <c r="F518" s="184"/>
      <c r="G518" s="182"/>
      <c r="H518" s="182"/>
      <c r="I518" s="170"/>
      <c r="J518" s="170"/>
      <c r="K518" s="182"/>
      <c r="L518" s="184"/>
      <c r="M518" s="182"/>
      <c r="O518" s="182"/>
      <c r="P518" s="444"/>
      <c r="Q518" s="170"/>
      <c r="R518" s="170"/>
      <c r="S518" s="182"/>
      <c r="T518" s="184"/>
      <c r="U518" s="182"/>
      <c r="X518" s="173"/>
      <c r="Y518" s="173"/>
      <c r="Z518" s="173"/>
      <c r="AA518" s="173"/>
      <c r="AB518" s="173"/>
      <c r="AC518" s="175"/>
      <c r="AD518" s="177"/>
      <c r="AE518" s="177"/>
      <c r="AF518" s="177"/>
      <c r="AG518" s="177"/>
      <c r="AH518" s="178"/>
      <c r="AI518" s="178"/>
      <c r="AJ518" s="173"/>
      <c r="AK518" s="175"/>
      <c r="AL518" s="177"/>
      <c r="AM518" s="177"/>
      <c r="AN518" s="177"/>
      <c r="AO518" s="177"/>
      <c r="AP518" s="178"/>
      <c r="AQ518" s="178"/>
      <c r="AR518" s="185"/>
      <c r="AS518" s="185"/>
      <c r="AT518" s="170"/>
      <c r="AU518" s="170"/>
      <c r="AV518" s="170"/>
      <c r="AW518" s="170"/>
      <c r="AX518" s="170"/>
      <c r="AY518" s="170"/>
      <c r="AZ518" s="170"/>
      <c r="BA518" s="542"/>
      <c r="BB518" s="170"/>
      <c r="BC518" s="542"/>
      <c r="BD518" s="170"/>
      <c r="BE518" s="542"/>
      <c r="BF518" s="170"/>
      <c r="BG518" s="170"/>
      <c r="BH518" s="542"/>
      <c r="BI518" s="170"/>
      <c r="BJ518" s="542"/>
      <c r="BK518" s="170"/>
      <c r="BL518" s="542"/>
      <c r="BM518" s="170"/>
      <c r="BN518" s="542"/>
    </row>
    <row r="519" spans="1:66" ht="19.5" customHeight="1">
      <c r="A519" s="167" t="s">
        <v>601</v>
      </c>
      <c r="B519" s="168" t="s">
        <v>39</v>
      </c>
      <c r="C519" s="168" t="s">
        <v>367</v>
      </c>
      <c r="D519" s="168" t="s">
        <v>368</v>
      </c>
      <c r="E519" s="171">
        <v>46063</v>
      </c>
      <c r="F519" s="171"/>
      <c r="G519" s="168" t="s">
        <v>39</v>
      </c>
      <c r="H519" s="168" t="s">
        <v>614</v>
      </c>
      <c r="I519" s="169">
        <v>-296045.93</v>
      </c>
      <c r="J519" s="170">
        <f>IF(I519="",AR519,I519)</f>
        <v>-296045.93</v>
      </c>
      <c r="K519" s="168" t="s">
        <v>5</v>
      </c>
      <c r="L519" s="168" t="s">
        <v>28</v>
      </c>
      <c r="M519" s="168" t="s">
        <v>20</v>
      </c>
      <c r="N519" s="167" t="s">
        <v>553</v>
      </c>
      <c r="O519" s="168" t="s">
        <v>39</v>
      </c>
      <c r="P519" s="168" t="s">
        <v>615</v>
      </c>
      <c r="Q519" s="169"/>
      <c r="R519" s="170">
        <f>IF(Q519="",AS519,Q519)</f>
        <v>1093791.4264839033</v>
      </c>
      <c r="S519" s="168" t="s">
        <v>8</v>
      </c>
      <c r="T519" s="171" t="s">
        <v>450</v>
      </c>
      <c r="U519" s="168" t="s">
        <v>17</v>
      </c>
      <c r="V519" s="167" t="s">
        <v>371</v>
      </c>
      <c r="W519" s="172" t="s">
        <v>375</v>
      </c>
      <c r="X519" s="173">
        <v>0</v>
      </c>
      <c r="Y519" s="174">
        <v>0</v>
      </c>
      <c r="Z519" s="173">
        <f>IF(AA519="",VLOOKUP(P519,CLIENTS!$A$1:$O$649,5,FALSE),AA519)</f>
        <v>6.0000000000000001E-3</v>
      </c>
      <c r="AA519" s="174">
        <v>6.0000000000000001E-3</v>
      </c>
      <c r="AB519" s="173" t="str">
        <f>IF(W519="via USD",IF(K519="EUR",K519&amp;"USD","USD"&amp;K519),IFERROR(VLOOKUP(K519&amp;S519,'FX RATES'!$H$2:$H$20,1,FALSE),S519&amp;K519))</f>
        <v>USDUSD</v>
      </c>
      <c r="AC519" s="175">
        <f>IF(LEFT(AB519,3)=RIGHT(AB519,3),0,IFERROR(INDEX(CLIENTS!$A$1:$O$649,MATCH(H519,CLIENTS!$A$1:$A$649,0),MATCH(AB519,CLIENTS!$A$1:$O$1,0)),0))</f>
        <v>0</v>
      </c>
      <c r="AD519" s="176"/>
      <c r="AE519" s="177">
        <f>IF(W519="CLIENT","",IF(AD519="",AH519+AC519,AD519+AC519))</f>
        <v>1</v>
      </c>
      <c r="AF519" s="177" t="str">
        <f>E519&amp;AB519</f>
        <v>46063USDUSD</v>
      </c>
      <c r="AG519" s="176"/>
      <c r="AH519" s="178">
        <f>IF(LEFT(AB519,3)=RIGHT(AB519,3),1,VLOOKUP(AB519,'FX RATES'!$H$1:$I$20,2,FALSE))</f>
        <v>1</v>
      </c>
      <c r="AI519" s="178">
        <f>IF(OR(AB519="USDAED",LEFT(AB519,3)=RIGHT(AB519,3)),AH519,IF(LEFT(AB519)="USD",AG519,IF(RIGHT(AB519,3)="USD",1,IFERROR(VLOOKUP(E519&amp;"USD"&amp;RIGHT(AB519,3),$AF:$AG,2,FALSE),VLOOKUP(E519&amp;"USD"&amp;RIGHT(AJ519,3),$AN:$AO,2,FALSE)))))</f>
        <v>1</v>
      </c>
      <c r="AJ519" s="173" t="str">
        <f>IF(W519="via USD",IF(S519="EUR",S519&amp;"USD","USD"&amp;S519),IFERROR(VLOOKUP(K519&amp;S519,'FX RATES'!$H$2:$H$20,1,FALSE),S519&amp;K519))</f>
        <v>USDAED</v>
      </c>
      <c r="AK519" s="175">
        <f>IF(LEFT(AJ519,3)=RIGHT(AJ519,3),0,IFERROR(INDEX(CLIENTS!$A$1:$O$649,MATCH(P519,CLIENTS!$A$1:$A$649,0),MATCH(AJ519,CLIENTS!$A$1:$O$1,0)),0))+0.0025</f>
        <v>0</v>
      </c>
      <c r="AL519" s="176">
        <v>3.6724999999999999</v>
      </c>
      <c r="AM519" s="177">
        <f>IF(W519="VENDOR","",IF(AL519="",AP519+AK519,AL519+AK519))</f>
        <v>3.6724999999999999</v>
      </c>
      <c r="AN519" s="177" t="str">
        <f>E519&amp;AJ519</f>
        <v>46063USDAED</v>
      </c>
      <c r="AO519" s="176"/>
      <c r="AP519" s="178">
        <f>IF(LEFT(AJ519,3)=RIGHT(AJ519,3),1,VLOOKUP(AJ519,'FX RATES'!$H$1:$I$20,2,FALSE))</f>
        <v>3.6724999999999999</v>
      </c>
      <c r="AQ519" s="178">
        <f>IF(OR(AJ519="USDAED",LEFT(AJ519,3)=RIGHT(AJ519,3)),AP519,IF(LEFT(AJ519)="USD",AO519,IF(RIGHT(AJ519,3)="USD",1,IFERROR(VLOOKUP(E519&amp;"USD"&amp;RIGHT(AJ519,3),$AN:$AO,2,FALSE),VLOOKUP(E519&amp;"USD"&amp;RIGHT(AB519,3),$AF:$AG,2,FALSE)))))</f>
        <v>3.6724999999999999</v>
      </c>
      <c r="AR519" s="179">
        <f>-Q519*(1-Z519)/(1+X519)*IF(W519="CLIENT",IF(S519=RIGHT(AJ519,3),1/AM519,AM519),IF(W519="VENDOR",IF(S519=RIGHT(AJ519,3),1/AE519,AE519),AE519^(VLOOKUP(AB519,'FX RATES'!$H$1:$J$26,3,FALSE))/AM519^(VLOOKUP(AJ519,'FX RATES'!$H$1:$J$26,3,FALSE))))</f>
        <v>0</v>
      </c>
      <c r="AS519" s="179">
        <f>-I519*(1+X519)/(1-Z519)*IF(W519="VENDOR",IF(K519=RIGHT(AB519,3),1/AE519,AE519),IF(W519="CLIENT",IF(K519=RIGHT(AB519,3),1/AM519,AM519),AM519^(VLOOKUP(AJ519,'FX RATES'!$H$1:$J$26,3,FALSE))/AE519^(VLOOKUP(AB519,'FX RATES'!$H$1:$J$26,3,FALSE))))</f>
        <v>1093791.4264839033</v>
      </c>
      <c r="AT519" s="170">
        <f>IF(AB519&lt;&gt;AJ519,J519/IF(K519=RIGHT(AB519,3),AE519,1/AE519),IF(S519="USD",J519/IF(K519=RIGHT(AB519,3),IF(W519="CLIENT",AM519,AE519),1/IF(W519="CLIENT",AM519,AE519)),J519*VLOOKUP(K519,'FX RATES'!$E$1:$F$10,2,FALSE)))</f>
        <v>-296045.93</v>
      </c>
      <c r="AU519" s="170">
        <f>IF(AB519&lt;&gt;AJ519,R519/IF(S519=RIGHT(AJ519,3),AM519,1/AM519),IF(K519="USD",R519/IF(S519=RIGHT(AJ519,3),IF(W519="CLIENT",AM519,AE519),1/IF(W519="CLIENT",AM519,AE519)),R519*VLOOKUP(S519,'FX RATES'!$E$1:$F$10,2,FALSE)))</f>
        <v>297832.92756539234</v>
      </c>
      <c r="AV519" s="170">
        <f>AT519+AU519</f>
        <v>1786.9975653923466</v>
      </c>
      <c r="AW519" s="169"/>
      <c r="AX519" s="170">
        <f>IF(AND(ISERROR(SEARCH("INVOICE",T519)),ISERROR(SEARCH("SWITCH",T519)),ISERROR(SEARCH("FOREX",T519)),ISERROR(SEARCH("REFUND",A519)),ISERROR(SEARCH("CANCELLED",A519))),IF(AW519="",-AT519*X519+AU519*Z519,AW519),0)</f>
        <v>1786.9975653923541</v>
      </c>
      <c r="AY519" s="170">
        <f>IF(AZ519="USD",AT519,IF(AZ519=K519,J519,-R519))</f>
        <v>-296045.93</v>
      </c>
      <c r="AZ519" s="170" t="str">
        <f>LEFT(AB519,3)</f>
        <v>USD</v>
      </c>
      <c r="BA519" s="542">
        <f>IF(OR(A519="REFUND",A519="CANCELLED"),0,IFERROR((IF(OR(AB519="USDAED",LEFT(AB519,3)=RIGHT(AB519,3)),AI519,AG519)-AE519)*-AY519*VLOOKUP(AB519,'FX RATES'!$H$1:$J$26,3,FALSE),0))</f>
        <v>0</v>
      </c>
      <c r="BB519" s="170" t="str">
        <f>RIGHT(AB519,3)</f>
        <v>USD</v>
      </c>
      <c r="BC519" s="542">
        <f>IF(BA519=0,0,IFERROR(BA519/IF(BB519&lt;&gt;"USD",AI519,1),"???"))</f>
        <v>0</v>
      </c>
      <c r="BD519" s="170">
        <f>IFERROR(-AC519/(IF(OR(AB519="USDAED",LEFT(AB519,3)=RIGHT(AB519,3)),AH519,AG519)-AE519)*BC519,0)</f>
        <v>0</v>
      </c>
      <c r="BE519" s="542">
        <f>BC519-BD519</f>
        <v>0</v>
      </c>
      <c r="BF519" s="170">
        <f>IF(BG519="USD",AU519,IF(BG519=S519,R519,-J519))</f>
        <v>297832.92756539234</v>
      </c>
      <c r="BG519" s="170" t="str">
        <f>LEFT(AJ519,3)</f>
        <v>USD</v>
      </c>
      <c r="BH519" s="542">
        <f>IF(OR(A519="REFUND",A519="CANCELLED"),0,IFERROR((IF(OR(AJ519="USDAED",LEFT(AJ519,3)=RIGHT(AJ519,3)),AQ519,AO519)-AM519)*-BF519*VLOOKUP(AJ519,'FX RATES'!$H$1:$J$26,3,FALSE),0))</f>
        <v>0</v>
      </c>
      <c r="BI519" s="170" t="str">
        <f>RIGHT(AJ519,3)</f>
        <v>AED</v>
      </c>
      <c r="BJ519" s="542">
        <f>IF(BH519=0,0,IFERROR(BH519/IF(BI519&lt;&gt;"USD",AQ519,1),"???"))</f>
        <v>0</v>
      </c>
      <c r="BK519" s="170">
        <f>IFERROR(-AK519/(IF(OR(AJ519="USDAED",LEFT(AJ519,3)=RIGHT(AJ519,3)),AP519,AO519)-AM519)*BJ519,0)</f>
        <v>0</v>
      </c>
      <c r="BL519" s="542">
        <f>BJ519-BK519</f>
        <v>0</v>
      </c>
      <c r="BM519" s="170">
        <f>IF(AND(ISERROR(SEARCH("REFUND",A519)),ISERROR(SEARCH("CANCELLED",A519))),BD519+BK519,0)</f>
        <v>0</v>
      </c>
      <c r="BN519" s="542">
        <f>IF(AND(ISERROR(SEARCH("REFUND",A519)),ISERROR(SEARCH("CANCELLED",A519))),BE519+BL519,0)</f>
        <v>0</v>
      </c>
    </row>
    <row r="520" spans="1:66" ht="19.5" customHeight="1">
      <c r="A520" s="167"/>
      <c r="B520" s="182"/>
      <c r="C520" s="182"/>
      <c r="D520" s="182"/>
      <c r="E520" s="184"/>
      <c r="F520" s="184"/>
      <c r="G520" s="182"/>
      <c r="H520" s="182"/>
      <c r="I520" s="170"/>
      <c r="J520" s="170"/>
      <c r="K520" s="182"/>
      <c r="L520" s="184"/>
      <c r="M520" s="182"/>
      <c r="O520" s="182"/>
      <c r="P520" s="444"/>
      <c r="Q520" s="170"/>
      <c r="R520" s="170"/>
      <c r="S520" s="182"/>
      <c r="T520" s="184"/>
      <c r="U520" s="182"/>
      <c r="X520" s="173"/>
      <c r="Y520" s="173"/>
      <c r="Z520" s="173"/>
      <c r="AA520" s="173"/>
      <c r="AB520" s="173"/>
      <c r="AC520" s="175"/>
      <c r="AD520" s="177"/>
      <c r="AE520" s="177"/>
      <c r="AF520" s="177"/>
      <c r="AG520" s="177"/>
      <c r="AH520" s="178"/>
      <c r="AI520" s="178"/>
      <c r="AJ520" s="173"/>
      <c r="AK520" s="175"/>
      <c r="AL520" s="177"/>
      <c r="AM520" s="177"/>
      <c r="AN520" s="177"/>
      <c r="AO520" s="177"/>
      <c r="AP520" s="178"/>
      <c r="AQ520" s="178"/>
      <c r="AR520" s="185"/>
      <c r="AS520" s="185"/>
      <c r="AT520" s="170"/>
      <c r="AU520" s="170"/>
      <c r="AV520" s="170"/>
      <c r="AW520" s="170"/>
      <c r="AX520" s="170"/>
      <c r="AY520" s="170"/>
      <c r="AZ520" s="170"/>
      <c r="BA520" s="542"/>
      <c r="BB520" s="170"/>
      <c r="BC520" s="542"/>
      <c r="BD520" s="170"/>
      <c r="BE520" s="542"/>
      <c r="BF520" s="170"/>
      <c r="BG520" s="170"/>
      <c r="BH520" s="542"/>
      <c r="BI520" s="170"/>
      <c r="BJ520" s="542"/>
      <c r="BK520" s="170"/>
      <c r="BL520" s="542"/>
      <c r="BM520" s="170"/>
      <c r="BN520" s="542"/>
    </row>
    <row r="521" spans="1:66" ht="19.5" customHeight="1">
      <c r="A521" s="167" t="s">
        <v>366</v>
      </c>
      <c r="B521" s="168" t="s">
        <v>39</v>
      </c>
      <c r="C521" s="168" t="s">
        <v>367</v>
      </c>
      <c r="D521" s="168" t="s">
        <v>368</v>
      </c>
      <c r="E521" s="171">
        <v>46063</v>
      </c>
      <c r="F521" s="171"/>
      <c r="G521" s="168" t="s">
        <v>39</v>
      </c>
      <c r="H521" s="168" t="s">
        <v>417</v>
      </c>
      <c r="I521" s="169"/>
      <c r="J521" s="170">
        <f t="shared" ref="J521" si="541">IF(I521="",AR521,I521)</f>
        <v>-1506171.81</v>
      </c>
      <c r="K521" s="168" t="s">
        <v>8</v>
      </c>
      <c r="L521" s="171" t="s">
        <v>16</v>
      </c>
      <c r="M521" s="168" t="s">
        <v>17</v>
      </c>
      <c r="N521" s="167" t="s">
        <v>553</v>
      </c>
      <c r="O521" s="168" t="s">
        <v>39</v>
      </c>
      <c r="P521" s="168" t="s">
        <v>413</v>
      </c>
      <c r="Q521" s="169">
        <v>32048910</v>
      </c>
      <c r="R521" s="170">
        <f t="shared" ref="R521" si="542">IF(Q521="",AS521,Q521)</f>
        <v>32048910</v>
      </c>
      <c r="S521" s="168" t="s">
        <v>9</v>
      </c>
      <c r="T521" s="171" t="s">
        <v>414</v>
      </c>
      <c r="U521" s="168" t="s">
        <v>374</v>
      </c>
      <c r="V521" s="167" t="s">
        <v>371</v>
      </c>
      <c r="W521" s="172" t="s">
        <v>375</v>
      </c>
      <c r="X521" s="173">
        <f>IF(Y521="",VLOOKUP(H521,CLIENTS!$A$1:$O$649,5,FALSE),Y521)</f>
        <v>0</v>
      </c>
      <c r="Y521" s="174">
        <v>0</v>
      </c>
      <c r="Z521" s="173">
        <f>IF(AA521="",VLOOKUP(P521,CLIENTS!$A$1:$O$649,5,FALSE),AA521)</f>
        <v>5.6534624006566725E-3</v>
      </c>
      <c r="AA521" s="174">
        <v>5.6534624006566725E-3</v>
      </c>
      <c r="AB521" s="173" t="str">
        <f>IF(W521="via USD",IF(K521="EUR",K521&amp;"USD","USD"&amp;K521),IFERROR(VLOOKUP(K521&amp;S521,'FX RATES'!$H$2:$H$20,1,FALSE),S521&amp;K521))</f>
        <v>USDAED</v>
      </c>
      <c r="AC521" s="175">
        <f>IF(LEFT(AB521,3)=RIGHT(AB521,3),0,IFERROR(INDEX(CLIENTS!$A$1:$O$649,MATCH(H521,CLIENTS!$A$1:$A$649,0),MATCH(AB521,CLIENTS!$A$1:$O$1,0)),0))</f>
        <v>0</v>
      </c>
      <c r="AD521" s="176">
        <v>3.67</v>
      </c>
      <c r="AE521" s="177">
        <f t="shared" ref="AE521" si="543">IF(W521="CLIENT","",IF(AD521="",AH521+AC521,AD521+AC521))</f>
        <v>3.67</v>
      </c>
      <c r="AF521" s="177" t="str">
        <f t="shared" ref="AF521" si="544">E521&amp;AB521</f>
        <v>46063USDAED</v>
      </c>
      <c r="AG521" s="176"/>
      <c r="AH521" s="178">
        <f>IF(LEFT(AB521,3)=RIGHT(AB521,3),1,VLOOKUP(AB521,'FX RATES'!$H$1:$I$20,2,FALSE))</f>
        <v>3.6724999999999999</v>
      </c>
      <c r="AI521" s="178">
        <f>IF(OR(AB521="USDAED",LEFT(AB521,3)=RIGHT(AB521,3)),AH521,IF(LEFT(AB521)="USD",AG521,IF(RIGHT(AB521,3)="USD",1,IFERROR(VLOOKUP(E521&amp;"USD"&amp;RIGHT(AB521,3),$AF:$AG,2,FALSE),VLOOKUP(E521&amp;"USD"&amp;RIGHT(AJ521,3),$AN:$AO,2,FALSE)))))</f>
        <v>3.6724999999999999</v>
      </c>
      <c r="AJ521" s="173" t="str">
        <f>IF(W521="via USD",IF(S521="EUR",S521&amp;"USD","USD"&amp;S521),IFERROR(VLOOKUP(K521&amp;S521,'FX RATES'!$H$2:$H$20,1,FALSE),S521&amp;K521))</f>
        <v>USDRUB</v>
      </c>
      <c r="AK521" s="175">
        <f>IF(LEFT(AJ521,3)=RIGHT(AJ521,3),0,IFERROR(INDEX(CLIENTS!$A$1:$O$649,MATCH(P521,CLIENTS!$A$1:$A$649,0),MATCH(AJ521,CLIENTS!$A$1:$O$1,0)),0))</f>
        <v>0</v>
      </c>
      <c r="AL521" s="176">
        <v>77.650199999999998</v>
      </c>
      <c r="AM521" s="177">
        <f t="shared" ref="AM521" si="545">IF(W521="VENDOR","",IF(AL521="",AP521+AK521,AL521+AK521))</f>
        <v>77.650199999999998</v>
      </c>
      <c r="AN521" s="177" t="str">
        <f t="shared" ref="AN521" si="546">E521&amp;AJ521</f>
        <v>46063USDRUB</v>
      </c>
      <c r="AO521" s="176">
        <v>77.2</v>
      </c>
      <c r="AP521" s="178">
        <f ca="1">IF(LEFT(AJ521,3)=RIGHT(AJ521,3),1,VLOOKUP(AJ521,'FX RATES'!$H$1:$I$20,2,FALSE))</f>
        <v>76.720500000000001</v>
      </c>
      <c r="AQ521" s="178">
        <f>IF(OR(AJ521="USDAED",LEFT(AJ521,3)=RIGHT(AJ521,3)),AP521,IF(LEFT(AJ521)="USD",AO521,IF(RIGHT(AJ521,3)="USD",1,IFERROR(VLOOKUP(E521&amp;"USD"&amp;RIGHT(AJ521,3),$AN:$AO,2,FALSE),VLOOKUP(E521&amp;"USD"&amp;RIGHT(AB521,3),$AF:$AG,2,FALSE)))))</f>
        <v>77.2</v>
      </c>
      <c r="AR521" s="179">
        <f>-Q521*(1-Z521)/(1+X521)*IF(W521="CLIENT",IF(S521=RIGHT(AJ521,3),1/AM521,AM521),IF(W521="VENDOR",IF(S521=RIGHT(AJ521,3),1/AE521,AE521),AE521^(VLOOKUP(AB521,'FX RATES'!$H$1:$J$26,3,FALSE))/AM521^(VLOOKUP(AJ521,'FX RATES'!$H$1:$J$26,3,FALSE))))</f>
        <v>-1506171.81</v>
      </c>
      <c r="AS521" s="179">
        <f>-I521*(1+X521)/(1-Z521)*IF(W521="VENDOR",IF(K521=RIGHT(AB521,3),1/AE521,AE521),IF(W521="CLIENT",IF(K521=RIGHT(AB521,3),1/AM521,AM521),AM521^(VLOOKUP(AJ521,'FX RATES'!$H$1:$J$26,3,FALSE))/AE521^(VLOOKUP(AB521,'FX RATES'!$H$1:$J$26,3,FALSE))))</f>
        <v>0</v>
      </c>
      <c r="AT521" s="170">
        <f>IF(AB521&lt;&gt;AJ521,J521/IF(K521=RIGHT(AB521,3),AE521,1/AE521),IF(S521="USD",J521/IF(K521=RIGHT(AB521,3),IF(W521="CLIENT",AM521,AE521),1/IF(W521="CLIENT",AM521,AE521)),J521*VLOOKUP(K521,'FX RATES'!$E$1:$F$10,2,FALSE)))</f>
        <v>-410401.03814713901</v>
      </c>
      <c r="AU521" s="170">
        <f>IF(AB521&lt;&gt;AJ521,R521/IF(S521=RIGHT(AJ521,3),AM521,1/AM521),IF(K521="USD",R521/IF(S521=RIGHT(AJ521,3),IF(W521="CLIENT",AM521,AE521),1/IF(W521="CLIENT",AM521,AE521)),R521*VLOOKUP(S521,'FX RATES'!$E$1:$F$10,2,FALSE)))</f>
        <v>412734.41665314452</v>
      </c>
      <c r="AV521" s="170">
        <f t="shared" ref="AV521" si="547">AT521+AU521</f>
        <v>2333.3785060055088</v>
      </c>
      <c r="AW521" s="169"/>
      <c r="AX521" s="170">
        <f t="shared" ref="AX521" si="548">IF(AND(ISERROR(SEARCH("INVOICE",T521)),ISERROR(SEARCH("SWITCH",T521)),ISERROR(SEARCH("FOREX",T521)),ISERROR(SEARCH("REFUND",A521)),ISERROR(SEARCH("CANCELLED",A521))),IF(AW521="",-AT521*X521+AU521*Z521,AW521),0)</f>
        <v>2333.3785060055179</v>
      </c>
      <c r="AY521" s="170">
        <f t="shared" ref="AY521" si="549">IF(AZ521="USD",AT521,IF(AZ521=K521,J521,-R521))</f>
        <v>-410401.03814713901</v>
      </c>
      <c r="AZ521" s="170" t="str">
        <f t="shared" ref="AZ521" si="550">LEFT(AB521,3)</f>
        <v>USD</v>
      </c>
      <c r="BA521" s="542">
        <f>IF(OR(A521="REFUND",A521="CANCELLED"),0,IFERROR((IF(OR(AB521="USDAED",LEFT(AB521,3)=RIGHT(AB521,3)),AI521,AG521)-AE521)*-AY521*VLOOKUP(AB521,'FX RATES'!$H$1:$J$26,3,FALSE),0))</f>
        <v>1026.0025953678257</v>
      </c>
      <c r="BB521" s="170" t="str">
        <f t="shared" ref="BB521" si="551">RIGHT(AB521,3)</f>
        <v>AED</v>
      </c>
      <c r="BC521" s="542">
        <f t="shared" ref="BC521" si="552">IF(BA521=0,0,IFERROR(BA521/IF(BB521&lt;&gt;"USD",AI521,1),"???"))</f>
        <v>279.37443032479939</v>
      </c>
      <c r="BD521" s="170">
        <f t="shared" ref="BD521" si="553">IFERROR(-AC521/(IF(OR(AB521="USDAED",LEFT(AB521,3)=RIGHT(AB521,3)),AH521,AG521)-AE521)*BC521,0)</f>
        <v>0</v>
      </c>
      <c r="BE521" s="542">
        <f t="shared" ref="BE521" si="554">BC521-BD521</f>
        <v>279.37443032479939</v>
      </c>
      <c r="BF521" s="170">
        <f t="shared" ref="BF521" si="555">IF(BG521="USD",AU521,IF(BG521=S521,R521,-J521))</f>
        <v>412734.41665314452</v>
      </c>
      <c r="BG521" s="170" t="str">
        <f t="shared" ref="BG521" si="556">LEFT(AJ521,3)</f>
        <v>USD</v>
      </c>
      <c r="BH521" s="542">
        <f>IF(OR(A521="REFUND",A521="CANCELLED"),0,IFERROR((IF(OR(AJ521="USDAED",LEFT(AJ521,3)=RIGHT(AJ521,3)),AQ521,AO521)-AM521)*-BF521*VLOOKUP(AJ521,'FX RATES'!$H$1:$J$26,3,FALSE),0))</f>
        <v>185813.03437724372</v>
      </c>
      <c r="BI521" s="170" t="str">
        <f t="shared" ref="BI521" si="557">RIGHT(AJ521,3)</f>
        <v>RUB</v>
      </c>
      <c r="BJ521" s="542">
        <f t="shared" ref="BJ521" si="558">IF(BH521=0,0,IFERROR(BH521/IF(BI521&lt;&gt;"USD",AQ521,1),"???"))</f>
        <v>2406.9045903788046</v>
      </c>
      <c r="BK521" s="170">
        <f t="shared" ref="BK521" si="559">IFERROR(-AK521/(IF(OR(AJ521="USDAED",LEFT(AJ521,3)=RIGHT(AJ521,3)),AP521,AO521)-AM521)*BJ521,0)</f>
        <v>0</v>
      </c>
      <c r="BL521" s="542">
        <f t="shared" ref="BL521" si="560">BJ521-BK521</f>
        <v>2406.9045903788046</v>
      </c>
      <c r="BM521" s="170">
        <f t="shared" ref="BM521" si="561">IF(AND(ISERROR(SEARCH("REFUND",A521)),ISERROR(SEARCH("CANCELLED",A521))),BD521+BK521,0)</f>
        <v>0</v>
      </c>
      <c r="BN521" s="542">
        <f t="shared" ref="BN521" si="562">IF(AND(ISERROR(SEARCH("REFUND",A521)),ISERROR(SEARCH("CANCELLED",A521))),BE521+BL521,0)</f>
        <v>2686.2790207036041</v>
      </c>
    </row>
    <row r="522" spans="1:66" ht="19.5" customHeight="1">
      <c r="A522" s="167" t="s">
        <v>492</v>
      </c>
      <c r="B522" s="168" t="s">
        <v>39</v>
      </c>
      <c r="C522" s="168" t="s">
        <v>489</v>
      </c>
      <c r="D522" s="168" t="s">
        <v>128</v>
      </c>
      <c r="E522" s="171">
        <v>46063</v>
      </c>
      <c r="F522" s="171"/>
      <c r="G522" s="168" t="s">
        <v>39</v>
      </c>
      <c r="H522" s="168" t="s">
        <v>39</v>
      </c>
      <c r="I522" s="169"/>
      <c r="J522" s="170">
        <f>IF(I522="",AR522,I522)</f>
        <v>-47792.467851693706</v>
      </c>
      <c r="K522" s="168" t="s">
        <v>5</v>
      </c>
      <c r="L522" s="171"/>
      <c r="M522" s="168"/>
      <c r="N522" s="167" t="s">
        <v>371</v>
      </c>
      <c r="O522" s="168" t="s">
        <v>39</v>
      </c>
      <c r="P522" s="168" t="s">
        <v>39</v>
      </c>
      <c r="Q522" s="169">
        <f>-J514</f>
        <v>3689578.5181507543</v>
      </c>
      <c r="R522" s="170">
        <f>IF(Q522="",AS522,Q522)</f>
        <v>3689578.5181507543</v>
      </c>
      <c r="S522" s="168" t="s">
        <v>9</v>
      </c>
      <c r="T522" s="171"/>
      <c r="U522" s="168"/>
      <c r="V522" s="167" t="s">
        <v>371</v>
      </c>
      <c r="W522" s="172" t="s">
        <v>389</v>
      </c>
      <c r="X522" s="173">
        <f>IF(Y522="",VLOOKUP(H522,CLIENTS!$A$1:$O$649,5,FALSE),Y522)</f>
        <v>0</v>
      </c>
      <c r="Y522" s="174"/>
      <c r="Z522" s="173">
        <f>IF(AA522="",VLOOKUP(P522,CLIENTS!$A$1:$O$649,5,FALSE),AA522)</f>
        <v>0</v>
      </c>
      <c r="AA522" s="174"/>
      <c r="AB522" s="173" t="str">
        <f>IF(W522="via USD",IF(K522="EUR",K522&amp;"USD","USD"&amp;K522),IFERROR(VLOOKUP(K522&amp;S522,'FX RATES'!$H$2:$H$20,1,FALSE),S522&amp;K522))</f>
        <v>USDRUB</v>
      </c>
      <c r="AC522" s="175">
        <f>IF(LEFT(AB522,3)=RIGHT(AB522,3),0,IFERROR(INDEX(CLIENTS!$A$1:$O$649,MATCH(H522,CLIENTS!$A$1:$A$649,0),MATCH(AB522,CLIENTS!$A$1:$O$1,0)),0))</f>
        <v>0</v>
      </c>
      <c r="AD522" s="176"/>
      <c r="AE522" s="177" t="str">
        <f>IF(W522="CLIENT","",IF(AD522="",AH522+AC522,AD522+AC522))</f>
        <v/>
      </c>
      <c r="AF522" s="177" t="str">
        <f>E522&amp;AB522</f>
        <v>46063USDRUB</v>
      </c>
      <c r="AG522" s="176">
        <v>77.2</v>
      </c>
      <c r="AH522" s="178">
        <f ca="1">IF(LEFT(AB522,3)=RIGHT(AB522,3),1,VLOOKUP(AB522,'FX RATES'!$H$1:$I$20,2,FALSE))</f>
        <v>76.720500000000001</v>
      </c>
      <c r="AI522" s="178">
        <f>IF(OR(AB522="USDAED",LEFT(AB522,3)=RIGHT(AB522,3),AB522="USDUSDT",AB522="USDTUSD"),AH522,IF(LEFT(AB522)="USD",AG522,IF(RIGHT(AB522,3)="USD",1,IFERROR(VLOOKUP(E522&amp;"USD"&amp;RIGHT(AB522,3),$AF:$AG,2,FALSE),VLOOKUP(E522&amp;"USD"&amp;RIGHT(AJ522,3),$AN:$AO,2,FALSE)))))</f>
        <v>77.2</v>
      </c>
      <c r="AJ522" s="173" t="str">
        <f>IF(W522="via USD",IF(S522="EUR",S522&amp;"USD","USD"&amp;S522),IFERROR(VLOOKUP(K522&amp;S522,'FX RATES'!$H$2:$H$20,1,FALSE),S522&amp;K522))</f>
        <v>USDRUB</v>
      </c>
      <c r="AK522" s="175">
        <f>IF(LEFT(AJ522,3)=RIGHT(AJ522,3),0,IFERROR(INDEX(CLIENTS!$A$1:$O$649,MATCH(P522,CLIENTS!$A$1:$A$649,0),MATCH(AJ522,CLIENTS!$A$1:$O$1,0)),0))</f>
        <v>0</v>
      </c>
      <c r="AL522" s="176">
        <v>77.2</v>
      </c>
      <c r="AM522" s="177">
        <f>IF(W522="VENDOR","",IF(AL522="",AP522+AK522,AL522+AK522))</f>
        <v>77.2</v>
      </c>
      <c r="AN522" s="177" t="str">
        <f>E522&amp;AJ522</f>
        <v>46063USDRUB</v>
      </c>
      <c r="AO522" s="176">
        <v>77.2</v>
      </c>
      <c r="AP522" s="178">
        <f ca="1">IF(LEFT(AJ522,3)=RIGHT(AJ522,3),1,VLOOKUP(AJ522,'FX RATES'!$H$1:$I$20,2,FALSE))</f>
        <v>76.720500000000001</v>
      </c>
      <c r="AQ522" s="178">
        <f>IF(OR(AJ522="USDAED",LEFT(AJ522,3)=RIGHT(AJ522,3)),AP522,IF(LEFT(AJ522)="USD",AO522,IF(RIGHT(AJ522,3)="USD",1,IFERROR(VLOOKUP(E522&amp;"USD"&amp;RIGHT(AJ522,3),$AN:$AO,2,FALSE),VLOOKUP(E522&amp;"USD"&amp;RIGHT(AB522,3),$AF:$AG,2,FALSE)))))</f>
        <v>77.2</v>
      </c>
      <c r="AR522" s="179">
        <f>-Q522*(1-Z522)/(1+X522)*IF(W522="CLIENT",IF(S522=RIGHT(AJ522,3),1/AM522,AM522),IF(W522="VENDOR",IF(S522=RIGHT(AJ522,3),1/AE522,AE522),AE522^(VLOOKUP(AB522,'FX RATES'!$H$1:$J$26,3,FALSE))/AM522^(VLOOKUP(AJ522,'FX RATES'!$H$1:$J$26,3,FALSE))))</f>
        <v>-47792.467851693706</v>
      </c>
      <c r="AS522" s="179">
        <f>-I522*(1+X522)/(1-Z522)*IF(W522="VENDOR",IF(K522=RIGHT(AB522,3),1/AE522,AE522),IF(W522="CLIENT",IF(K522=RIGHT(AB522,3),1/AM522,AM522),AM522^(VLOOKUP(AJ522,'FX RATES'!$H$1:$J$26,3,FALSE))/AE522^(VLOOKUP(AB522,'FX RATES'!$H$1:$J$26,3,FALSE))))</f>
        <v>0</v>
      </c>
      <c r="AT522" s="170">
        <f>IF(AB522&lt;&gt;AJ522,J522/IF(K522=RIGHT(AB522,3),AE522,1/AE522),IF(S522="USD",J522/IF(K522=RIGHT(AB522,3),IF(W522="CLIENT",AM522,AE522),1/IF(W522="CLIENT",AM522,AE522)),J522*VLOOKUP(K522,'FX RATES'!$E$1:$F$10,2,FALSE)))</f>
        <v>-47792.467851693706</v>
      </c>
      <c r="AU522" s="170">
        <f>IF(AB522&lt;&gt;AJ522,R522/IF(S522=RIGHT(AJ522,3),AM522,1/AM522),IF(K522="USD",R522/IF(S522=RIGHT(AJ522,3),IF(W522="CLIENT",AM522,AE522),1/IF(W522="CLIENT",AM522,AE522)),R522*VLOOKUP(S522,'FX RATES'!$E$1:$F$10,2,FALSE)))</f>
        <v>47792.467851693706</v>
      </c>
      <c r="AV522" s="170">
        <f>AT522+AU522</f>
        <v>0</v>
      </c>
      <c r="AW522" s="169"/>
      <c r="AX522" s="170">
        <f>IF(AND(ISERROR(SEARCH("INVOICE",T522)),ISERROR(SEARCH("SWITCH",T522)),ISERROR(SEARCH("FOREX",T522)),ISERROR(SEARCH("REFUND",A522)),ISERROR(SEARCH("CANCELLED",A522))),IF(AW522="",-AT522*X522+AU522*Z522,AW522),0)</f>
        <v>0</v>
      </c>
      <c r="AY522" s="170">
        <f>IF(AZ522="USD",AT522,IF(AZ522=K522,J522,-R522))</f>
        <v>-47792.467851693706</v>
      </c>
      <c r="AZ522" s="170" t="str">
        <f>LEFT(AB522,3)</f>
        <v>USD</v>
      </c>
      <c r="BA522" s="542">
        <f>IF(OR(A522="REFUND",A522="CANCELLED"),0,IFERROR((IF(OR(AB522="USDAED",LEFT(AB522,3)=RIGHT(AB522,3)),AI522,AG522)-AE522)*-AY522*VLOOKUP(AB522,'FX RATES'!$H$1:$J$26,3,FALSE),0))</f>
        <v>0</v>
      </c>
      <c r="BB522" s="170" t="str">
        <f>RIGHT(AB522,3)</f>
        <v>RUB</v>
      </c>
      <c r="BC522" s="542">
        <f>IF(BA522=0,0,IFERROR(BA522/IF(BB522&lt;&gt;"USD",AI522,1),"???"))</f>
        <v>0</v>
      </c>
      <c r="BD522" s="170">
        <f>IFERROR(-AC522/(IF(OR(AB522="USDAED",LEFT(AB522,3)=RIGHT(AB522,3)),AH522,AG522)-AE522)*BC522,0)</f>
        <v>0</v>
      </c>
      <c r="BE522" s="542">
        <f>BC522-BD522</f>
        <v>0</v>
      </c>
      <c r="BF522" s="170">
        <f>IF(BG522="USD",AU522,IF(BG522=S522,R522,-J522))</f>
        <v>47792.467851693706</v>
      </c>
      <c r="BG522" s="170" t="str">
        <f>LEFT(AJ522,3)</f>
        <v>USD</v>
      </c>
      <c r="BH522" s="542">
        <f>IF(OR(A522="REFUND",A522="CANCELLED"),0,IFERROR((IF(OR(AJ522="USDAED",LEFT(AJ522,3)=RIGHT(AJ522,3)),AQ522,AO522)-AM522)*-BF522*VLOOKUP(AJ522,'FX RATES'!$H$1:$J$26,3,FALSE),0))</f>
        <v>0</v>
      </c>
      <c r="BI522" s="170" t="str">
        <f>RIGHT(AJ522,3)</f>
        <v>RUB</v>
      </c>
      <c r="BJ522" s="542">
        <f>IF(BH522=0,0,IFERROR(BH522/IF(BI522&lt;&gt;"USD",AQ522,1),"???"))</f>
        <v>0</v>
      </c>
      <c r="BK522" s="170">
        <f>IFERROR(-AK522/(IF(OR(AJ522="USDAED",LEFT(AJ522,3)=RIGHT(AJ522,3)),AP522,AO522)-AM522)*BJ522,0)</f>
        <v>0</v>
      </c>
      <c r="BL522" s="542">
        <f>BJ522-BK522</f>
        <v>0</v>
      </c>
      <c r="BM522" s="170">
        <f>IF(AND(ISERROR(SEARCH("REFUND",A522)),ISERROR(SEARCH("CANCELLED",A522))),BD522+BK522,0)</f>
        <v>0</v>
      </c>
      <c r="BN522" s="542">
        <f>IF(AND(ISERROR(SEARCH("REFUND",A522)),ISERROR(SEARCH("CANCELLED",A522))),BE522+BL522,0)</f>
        <v>0</v>
      </c>
    </row>
    <row r="523" spans="1:66" ht="19.5" customHeight="1">
      <c r="A523" s="167" t="s">
        <v>601</v>
      </c>
      <c r="B523" s="168" t="s">
        <v>39</v>
      </c>
      <c r="C523" s="168" t="s">
        <v>383</v>
      </c>
      <c r="D523" s="168" t="s">
        <v>128</v>
      </c>
      <c r="E523" s="171">
        <v>46063</v>
      </c>
      <c r="F523" s="171"/>
      <c r="G523" s="168" t="s">
        <v>39</v>
      </c>
      <c r="H523" s="168" t="s">
        <v>384</v>
      </c>
      <c r="I523" s="169">
        <v>-35738000</v>
      </c>
      <c r="J523" s="170">
        <f>IF(I523="",AR523,I523)</f>
        <v>-35738000</v>
      </c>
      <c r="K523" s="168" t="s">
        <v>9</v>
      </c>
      <c r="L523" s="171" t="s">
        <v>374</v>
      </c>
      <c r="M523" s="168" t="s">
        <v>374</v>
      </c>
      <c r="N523" s="167" t="s">
        <v>553</v>
      </c>
      <c r="O523" s="168" t="s">
        <v>39</v>
      </c>
      <c r="P523" s="349" t="s">
        <v>384</v>
      </c>
      <c r="Q523" s="169"/>
      <c r="R523" s="170">
        <f>IF(Q523="",AS523,Q523)</f>
        <v>1696155.6715709539</v>
      </c>
      <c r="S523" s="168" t="s">
        <v>8</v>
      </c>
      <c r="T523" s="171" t="s">
        <v>385</v>
      </c>
      <c r="U523" s="168" t="s">
        <v>20</v>
      </c>
      <c r="V523" s="167" t="s">
        <v>371</v>
      </c>
      <c r="W523" s="172" t="s">
        <v>382</v>
      </c>
      <c r="X523" s="173">
        <f>IF(Y523="",VLOOKUP(H523,CLIENTS!$A$1:$O$649,5,FALSE),Y523)</f>
        <v>0</v>
      </c>
      <c r="Y523" s="174">
        <v>0</v>
      </c>
      <c r="Z523" s="173">
        <f>IF(AA523="",VLOOKUP(P523,CLIENTS!$A$1:$O$649,5,FALSE),AA523)</f>
        <v>0</v>
      </c>
      <c r="AA523" s="174">
        <v>0</v>
      </c>
      <c r="AB523" s="173" t="str">
        <f>IF(W523="via USD",IF(K523="EUR",K523&amp;"USD","USD"&amp;K523),IFERROR(VLOOKUP(K523&amp;S523,'FX RATES'!$H$2:$H$20,1,FALSE),S523&amp;K523))</f>
        <v>AEDRUB</v>
      </c>
      <c r="AC523" s="175">
        <f>IF(LEFT(AB523,3)=RIGHT(AB523,3),0,IFERROR(INDEX(CLIENTS!$A$1:$O$649,MATCH(H523,CLIENTS!$A$1:$A$649,0),MATCH(AB523,CLIENTS!$A$1:$O$1,0)),0))</f>
        <v>0</v>
      </c>
      <c r="AD523" s="176">
        <v>21.07</v>
      </c>
      <c r="AE523" s="177">
        <f>IF(W523="CLIENT","",IF(AD523="",AH523+AC523,AD523+AC523))</f>
        <v>21.07</v>
      </c>
      <c r="AF523" s="177" t="str">
        <f>E523&amp;AB523</f>
        <v>46063AEDRUB</v>
      </c>
      <c r="AG523" s="176">
        <v>21.021100000000001</v>
      </c>
      <c r="AH523" s="178">
        <f ca="1">IF(LEFT(AB523,3)=RIGHT(AB523,3),1,VLOOKUP(AB523,'FX RATES'!$H$1:$I$20,2,FALSE))</f>
        <v>20.8843</v>
      </c>
      <c r="AI523" s="178">
        <f>IF(OR(AB523="USDAED",LEFT(AB523,3)=RIGHT(AB523,3)),AH523,IF(LEFT(AB523)="USD",AG523,IF(RIGHT(AB523,3)="USD",1,IFERROR(VLOOKUP(E523&amp;"USD"&amp;RIGHT(AB523,3),$AF:$AG,2,FALSE),VLOOKUP(E523&amp;"USD"&amp;RIGHT(AJ523,3),$AN:$AO,2,FALSE)))))</f>
        <v>77.2</v>
      </c>
      <c r="AJ523" s="173" t="str">
        <f>IF(W523="via USD",IF(S523="EUR",S523&amp;"USD","USD"&amp;S523),IFERROR(VLOOKUP(K523&amp;S523,'FX RATES'!$H$2:$H$20,1,FALSE),S523&amp;K523))</f>
        <v>AEDRUB</v>
      </c>
      <c r="AK523" s="175">
        <f>IF(LEFT(AJ523,3)=RIGHT(AJ523,3),0,IFERROR(INDEX(CLIENTS!$A$1:$O$649,MATCH(P523,CLIENTS!$A$1:$A$649,0),MATCH(AJ523,CLIENTS!$A$1:$O$1,0)),0))</f>
        <v>0</v>
      </c>
      <c r="AL523" s="176"/>
      <c r="AM523" s="177" t="str">
        <f>IF(W523="VENDOR","",IF(AL523="",AP523+AK523,AL523+AK523))</f>
        <v/>
      </c>
      <c r="AN523" s="177" t="str">
        <f>E523&amp;AJ523</f>
        <v>46063AEDRUB</v>
      </c>
      <c r="AO523" s="176"/>
      <c r="AP523" s="178">
        <f ca="1">IF(LEFT(AJ523,3)=RIGHT(AJ523,3),1,VLOOKUP(AJ523,'FX RATES'!$H$1:$I$20,2,FALSE))</f>
        <v>20.8843</v>
      </c>
      <c r="AQ523" s="178">
        <f>IF(OR(AJ523="USDAED",LEFT(AJ523,3)=RIGHT(AJ523,3)),AP523,IF(LEFT(AJ523)="USD",AO523,IF(RIGHT(AJ523,3)="USD",1,IFERROR(VLOOKUP(E523&amp;"USD"&amp;RIGHT(AJ523,3),$AN:$AO,2,FALSE),VLOOKUP(E523&amp;"USD"&amp;RIGHT(AB523,3),$AF:$AG,2,FALSE)))))</f>
        <v>77.2</v>
      </c>
      <c r="AR523" s="179">
        <f>-Q523*(1-Z523)/(1+X523)*IF(W523="CLIENT",IF(S523=RIGHT(AJ523,3),1/AM523,AM523),IF(W523="VENDOR",IF(S523=RIGHT(AJ523,3),1/AE523,AE523),AE523^(VLOOKUP(AB523,'FX RATES'!$H$1:$J$26,3,FALSE))/AM523^(VLOOKUP(AJ523,'FX RATES'!$H$1:$J$26,3,FALSE))))</f>
        <v>0</v>
      </c>
      <c r="AS523" s="179">
        <f>-I523*(1+X523)/(1-Z523)*IF(W523="VENDOR",IF(K523=RIGHT(AB523,3),1/AE523,AE523),IF(W523="CLIENT",IF(K523=RIGHT(AB523,3),1/AM523,AM523),AM523^(VLOOKUP(AJ523,'FX RATES'!$H$1:$J$26,3,FALSE))/AE523^(VLOOKUP(AB523,'FX RATES'!$H$1:$J$26,3,FALSE))))</f>
        <v>1696155.6715709539</v>
      </c>
      <c r="AT523" s="170">
        <f ca="1">IF(AB523&lt;&gt;AJ523,J523/IF(K523=RIGHT(AB523,3),AE523,1/AE523),IF(S523="USD",J523/IF(K523=RIGHT(AB523,3),IF(W523="CLIENT",AM523,AE523),1/IF(W523="CLIENT",AM523,AE523)),J523*VLOOKUP(K523,'FX RATES'!$E$1:$F$10,2,FALSE)))</f>
        <v>-465820.7389159351</v>
      </c>
      <c r="AU523" s="170">
        <f ca="1">IF(AB523&lt;&gt;AJ523,R523/IF(S523=RIGHT(AJ523,3),AM523,1/AM523),IF(K523="USD",R523/IF(S523=RIGHT(AJ523,3),IF(W523="CLIENT",AM523,AE523),1/IF(W523="CLIENT",AM523,AE523)),R523*VLOOKUP(S523,'FX RATES'!$E$1:$F$10,2,FALSE)))</f>
        <v>461840.56841772964</v>
      </c>
      <c r="AV523" s="170">
        <f ca="1">AT523+AU523</f>
        <v>-3980.1704982054653</v>
      </c>
      <c r="AW523" s="169"/>
      <c r="AX523" s="170">
        <f ca="1">IF(AND(ISERROR(SEARCH("INVOICE",T523)),ISERROR(SEARCH("SWITCH",T523)),ISERROR(SEARCH("FOREX",T523)),ISERROR(SEARCH("REFUND",A523)),ISERROR(SEARCH("CANCELLED",A523))),IF(AW523="",-AT523*X523+AU523*Z523,AW523),0)</f>
        <v>0</v>
      </c>
      <c r="AY523" s="170">
        <f>IF(AZ523="USD",AT523,IF(AZ523=K523,J523,-R523))</f>
        <v>-1696155.6715709539</v>
      </c>
      <c r="AZ523" s="170" t="str">
        <f>LEFT(AB523,3)</f>
        <v>AED</v>
      </c>
      <c r="BA523" s="542">
        <f>IF(OR(A523="REFUND",A523="CANCELLED"),0,IFERROR((IF(OR(AB523="USDAED",LEFT(AB523,3)=RIGHT(AB523,3)),AI523,AG523)-AE523)*-AY523*VLOOKUP(AB523,'FX RATES'!$H$1:$J$26,3,FALSE),0))</f>
        <v>-82942.012339819179</v>
      </c>
      <c r="BB523" s="170" t="str">
        <f>RIGHT(AB523,3)</f>
        <v>RUB</v>
      </c>
      <c r="BC523" s="542">
        <f>IF(BA523=0,0,IFERROR(BA523/IF(BB523&lt;&gt;"USD",AI523,1),"???"))</f>
        <v>-1074.3783981841862</v>
      </c>
      <c r="BD523" s="170">
        <f>IFERROR(-AC523/(IF(OR(AB523="USDAED",LEFT(AB523,3)=RIGHT(AB523,3)),AH523,AG523)-AE523)*BC523,0)</f>
        <v>0</v>
      </c>
      <c r="BE523" s="542">
        <f>BC523-BD523</f>
        <v>-1074.3783981841862</v>
      </c>
      <c r="BF523" s="170">
        <f>IF(BG523="USD",AU523,IF(BG523=S523,R523,-J523))</f>
        <v>1696155.6715709539</v>
      </c>
      <c r="BG523" s="170" t="str">
        <f>LEFT(AJ523,3)</f>
        <v>AED</v>
      </c>
      <c r="BH523" s="542">
        <f>IF(OR(A523="REFUND",A523="CANCELLED"),0,IFERROR((IF(OR(AJ523="USDAED",LEFT(AJ523,3)=RIGHT(AJ523,3)),AQ523,AO523)-AM523)*-BF523*VLOOKUP(AJ523,'FX RATES'!$H$1:$J$26,3,FALSE),0))</f>
        <v>0</v>
      </c>
      <c r="BI523" s="170" t="str">
        <f>RIGHT(AJ523,3)</f>
        <v>RUB</v>
      </c>
      <c r="BJ523" s="542">
        <f>IF(BH523=0,0,IFERROR(BH523/IF(BI523&lt;&gt;"USD",AQ523,1),"???"))</f>
        <v>0</v>
      </c>
      <c r="BK523" s="170">
        <f>IFERROR(-AK523/(IF(OR(AJ523="USDAED",LEFT(AJ523,3)=RIGHT(AJ523,3)),AP523,AO523)-AM523)*BJ523,0)</f>
        <v>0</v>
      </c>
      <c r="BL523" s="542">
        <f>BJ523-BK523</f>
        <v>0</v>
      </c>
      <c r="BM523" s="170">
        <f>IF(AND(ISERROR(SEARCH("REFUND",A523)),ISERROR(SEARCH("CANCELLED",A523))),BD523+BK523,0)</f>
        <v>0</v>
      </c>
      <c r="BN523" s="542">
        <f>IF(AND(ISERROR(SEARCH("REFUND",A523)),ISERROR(SEARCH("CANCELLED",A523))),BE523+BL523,0)</f>
        <v>-1074.3783981841862</v>
      </c>
    </row>
    <row r="524" spans="1:66" ht="19.5" customHeight="1">
      <c r="A524" s="167"/>
      <c r="B524" s="182"/>
      <c r="C524" s="182"/>
      <c r="D524" s="182"/>
      <c r="E524" s="184"/>
      <c r="F524" s="184"/>
      <c r="G524" s="182"/>
      <c r="H524" s="182"/>
      <c r="I524" s="170"/>
      <c r="J524" s="170"/>
      <c r="K524" s="182"/>
      <c r="L524" s="184"/>
      <c r="M524" s="182"/>
      <c r="O524" s="182"/>
      <c r="P524" s="444"/>
      <c r="Q524" s="170"/>
      <c r="R524" s="170"/>
      <c r="S524" s="182"/>
      <c r="T524" s="184"/>
      <c r="U524" s="182"/>
      <c r="X524" s="173"/>
      <c r="Y524" s="173"/>
      <c r="Z524" s="173"/>
      <c r="AA524" s="173"/>
      <c r="AB524" s="173"/>
      <c r="AC524" s="175"/>
      <c r="AD524" s="177"/>
      <c r="AE524" s="177"/>
      <c r="AF524" s="177"/>
      <c r="AG524" s="177"/>
      <c r="AH524" s="178"/>
      <c r="AI524" s="178"/>
      <c r="AJ524" s="173"/>
      <c r="AK524" s="175"/>
      <c r="AL524" s="177"/>
      <c r="AM524" s="177"/>
      <c r="AN524" s="177"/>
      <c r="AO524" s="177"/>
      <c r="AP524" s="178"/>
      <c r="AQ524" s="178"/>
      <c r="AR524" s="185"/>
      <c r="AS524" s="185"/>
      <c r="AT524" s="170"/>
      <c r="AU524" s="170"/>
      <c r="AV524" s="170"/>
      <c r="AW524" s="170"/>
      <c r="AX524" s="170"/>
      <c r="AY524" s="170"/>
      <c r="AZ524" s="170"/>
      <c r="BA524" s="542"/>
      <c r="BB524" s="170"/>
      <c r="BC524" s="542"/>
      <c r="BD524" s="170"/>
      <c r="BE524" s="542"/>
      <c r="BF524" s="170"/>
      <c r="BG524" s="170"/>
      <c r="BH524" s="542"/>
      <c r="BI524" s="170"/>
      <c r="BJ524" s="542"/>
      <c r="BK524" s="170"/>
      <c r="BL524" s="542"/>
      <c r="BM524" s="170"/>
      <c r="BN524" s="542"/>
    </row>
    <row r="525" spans="1:66" ht="19.5" customHeight="1">
      <c r="A525" s="167" t="s">
        <v>601</v>
      </c>
      <c r="B525" s="168" t="s">
        <v>52</v>
      </c>
      <c r="C525" s="168" t="s">
        <v>367</v>
      </c>
      <c r="D525" s="168" t="s">
        <v>368</v>
      </c>
      <c r="E525" s="171">
        <v>46063</v>
      </c>
      <c r="F525" s="171"/>
      <c r="G525" s="168" t="s">
        <v>52</v>
      </c>
      <c r="H525" s="169" t="s">
        <v>550</v>
      </c>
      <c r="I525" s="169">
        <v>-350000</v>
      </c>
      <c r="J525" s="170">
        <f>IF(I525="",AR525,I525)</f>
        <v>-350000</v>
      </c>
      <c r="K525" s="168" t="s">
        <v>53</v>
      </c>
      <c r="L525" s="168" t="s">
        <v>420</v>
      </c>
      <c r="M525" s="168" t="s">
        <v>54</v>
      </c>
      <c r="N525" s="167" t="s">
        <v>553</v>
      </c>
      <c r="O525" s="168" t="s">
        <v>52</v>
      </c>
      <c r="P525" s="169" t="s">
        <v>551</v>
      </c>
      <c r="Q525" s="169"/>
      <c r="R525" s="170">
        <f>IF(Q525="",AS525,Q525)</f>
        <v>27159999.999999996</v>
      </c>
      <c r="S525" s="168" t="s">
        <v>9</v>
      </c>
      <c r="T525" s="168" t="s">
        <v>502</v>
      </c>
      <c r="U525" s="168" t="s">
        <v>374</v>
      </c>
      <c r="V525" s="167" t="s">
        <v>371</v>
      </c>
      <c r="W525" s="172" t="s">
        <v>375</v>
      </c>
      <c r="X525" s="173">
        <f>IF(Y525="",VLOOKUP(H525,CLIENTS!$A$1:$O$649,5,FALSE),Y525)</f>
        <v>0</v>
      </c>
      <c r="Y525" s="174">
        <v>0</v>
      </c>
      <c r="Z525" s="173">
        <f>IF(AA525="",VLOOKUP(P525,CLIENTS!$A$1:$O$649,5,FALSE),AA525)</f>
        <v>0</v>
      </c>
      <c r="AA525" s="174">
        <v>0</v>
      </c>
      <c r="AB525" s="173" t="str">
        <f>IF(W525="via USD",IF(K525="EUR",K525&amp;"USD","USD"&amp;K525),IFERROR(VLOOKUP(K525&amp;S525,'FX RATES'!$H$2:$H$20,1,FALSE),S525&amp;K525))</f>
        <v>USDUSDT</v>
      </c>
      <c r="AC525" s="175">
        <f>IF(LEFT(AB525,3)=RIGHT(AB525,3),0,IFERROR(INDEX(CLIENTS!$A$1:$O$649,MATCH(H525,CLIENTS!$A$1:$A$649,0),MATCH(AB525,CLIENTS!$A$1:$O$1,0)),0))</f>
        <v>0</v>
      </c>
      <c r="AD525" s="176"/>
      <c r="AE525" s="177">
        <f>IF(W525="CLIENT","",IF(AD525="",AH525+AC525,AD525+AC525))</f>
        <v>1</v>
      </c>
      <c r="AF525" s="177" t="str">
        <f>E525&amp;AB525</f>
        <v>46063USDUSDT</v>
      </c>
      <c r="AG525" s="176"/>
      <c r="AH525" s="178">
        <f>IF(LEFT(AB525,3)=RIGHT(AB525,3),1,VLOOKUP(AB525,'FX RATES'!$H$1:$I$50,2,FALSE))</f>
        <v>1</v>
      </c>
      <c r="AI525" s="178">
        <f>IF(OR(AB525="USDAED",LEFT(AB525,3)=RIGHT(AB525,3),AB525="USDUSDT",AB525="USDTUSD"),AH525,IF(LEFT(AB525)="USD",AG525,IF(RIGHT(AB525,3)="USD",1,IFERROR(VLOOKUP(E525&amp;"USD"&amp;RIGHT(AB525,3),$AF:$AG,2,FALSE),VLOOKUP(E525&amp;"USD"&amp;RIGHT(AJ525,3),$AN:$AO,2,FALSE)))))</f>
        <v>1</v>
      </c>
      <c r="AJ525" s="173" t="str">
        <f>IF(W525="via USD",IF(S525="EUR",S525&amp;"USD","USD"&amp;S525),IFERROR(VLOOKUP(K525&amp;S525,'FX RATES'!$H$2:$H$20,1,FALSE),S525&amp;K525))</f>
        <v>USDRUB</v>
      </c>
      <c r="AK525" s="175">
        <f>IF(LEFT(AJ525,3)=RIGHT(AJ525,3),0,IFERROR(INDEX(CLIENTS!$A$1:$O$649,MATCH(P525,CLIENTS!$A$1:$A$649,0),MATCH(AJ525,CLIENTS!$A$1:$O$1,0)),0))</f>
        <v>0</v>
      </c>
      <c r="AL525" s="176">
        <v>77.599999999999994</v>
      </c>
      <c r="AM525" s="177">
        <f>IF(W525="VENDOR","",IF(AL525="",AP525+AK525,AL525+AK525))</f>
        <v>77.599999999999994</v>
      </c>
      <c r="AN525" s="177" t="str">
        <f>E525&amp;AJ525</f>
        <v>46063USDRUB</v>
      </c>
      <c r="AO525" s="176">
        <v>77.2</v>
      </c>
      <c r="AP525" s="178">
        <f ca="1">IF(LEFT(AJ525,3)=RIGHT(AJ525,3),1,VLOOKUP(AJ525,'FX RATES'!$H$1:$I$20,2,FALSE))</f>
        <v>76.720500000000001</v>
      </c>
      <c r="AQ525" s="178">
        <f>IF(OR(AJ525="USDAED",LEFT(AJ525,3)=RIGHT(AJ525,3)),AP525,IF(LEFT(AJ525)="USD",AO525,IF(RIGHT(AJ525,3)="USD",1,IFERROR(VLOOKUP(E525&amp;"USD"&amp;RIGHT(AJ525,3),$AN:$AO,2,FALSE),VLOOKUP(E525&amp;"USD"&amp;RIGHT(AB525,3),$AF:$AG,2,FALSE)))))</f>
        <v>77.2</v>
      </c>
      <c r="AR525" s="179">
        <f>-Q525*(1-Z525)/(1+X525)*IF(W525="CLIENT",IF(S525=RIGHT(AJ525,3),1/AM525,AM525),IF(W525="VENDOR",IF(S525=RIGHT(AJ525,3),1/AE525,AE525),AE525^(VLOOKUP(AB525,'FX RATES'!$H$1:$J$26,3,FALSE))/AM525^(VLOOKUP(AJ525,'FX RATES'!$H$1:$J$26,3,FALSE))))</f>
        <v>0</v>
      </c>
      <c r="AS525" s="179">
        <f>-I525*(1+X525)/(1-Z525)*IF(W525="VENDOR",IF(K525=RIGHT(AB525,3),1/AE525,AE525),IF(W525="CLIENT",IF(K525=RIGHT(AB525,3),1/AM525,AM525),AM525^(VLOOKUP(AJ525,'FX RATES'!$H$1:$J$26,3,FALSE))/AE525^(VLOOKUP(AB525,'FX RATES'!$H$1:$J$26,3,FALSE))))</f>
        <v>27159999.999999996</v>
      </c>
      <c r="AT525" s="170">
        <f>IF(AB525&lt;&gt;AJ525,J525/IF(K525=RIGHT(AB525,3),AE525,1/AE525),IF(S525="USD",J525/IF(K525=RIGHT(AB525,3),IF(W525="CLIENT",AM525,AE525),1/IF(W525="CLIENT",AM525,AE525)),J525*VLOOKUP(K525,'FX RATES'!$E$1:$F$10,2,FALSE)))</f>
        <v>-350000</v>
      </c>
      <c r="AU525" s="170">
        <f>IF(AB525&lt;&gt;AJ525,R525/IF(S525=RIGHT(AJ525,3),AM525,1/AM525),IF(K525="USD",R525/IF(S525=RIGHT(AJ525,3),IF(W525="CLIENT",AM525,AE525),1/IF(W525="CLIENT",AM525,AE525)),R525*VLOOKUP(S525,'FX RATES'!$E$1:$F$10,2,FALSE)))</f>
        <v>350000</v>
      </c>
      <c r="AV525" s="170">
        <f>AT525+AU525</f>
        <v>0</v>
      </c>
      <c r="AW525" s="169"/>
      <c r="AX525" s="170">
        <f>IF(AND(ISERROR(SEARCH("INVOICE",T525)),ISERROR(SEARCH("SWITCH",T525)),ISERROR(SEARCH("FOREX",T525)),ISERROR(SEARCH("REFUND",A525)),ISERROR(SEARCH("CANCELLED",A525))),IF(AW525="",-AT525*X525+AU525*Z525,AW525),0)</f>
        <v>0</v>
      </c>
      <c r="AY525" s="170">
        <f>IF(AZ525="USD",AT525,IF(AZ525=K525,J525,-R525))</f>
        <v>-350000</v>
      </c>
      <c r="AZ525" s="170" t="str">
        <f>LEFT(AB525,3)</f>
        <v>USD</v>
      </c>
      <c r="BA525" s="542">
        <f>IF(OR(A525="REFUND",A525="CANCELLED"),0,IFERROR((IF(OR(AB525="USDAED",LEFT(AB525,3)=RIGHT(AB525,3),AB525="USDUSDT",AB525="USDTUSD"),AI525,AG525)-AE525)*-AY525*VLOOKUP(AB525,'FX RATES'!$H$1:$J$26,3,FALSE),0))</f>
        <v>0</v>
      </c>
      <c r="BB525" s="170" t="str">
        <f>RIGHT(AB525,4)</f>
        <v>USDT</v>
      </c>
      <c r="BC525" s="542">
        <f>IF(BA525=0,0,IFERROR(BA525/IF(BB525&lt;&gt;"USD",AI525,1),"???"))</f>
        <v>0</v>
      </c>
      <c r="BD525" s="170">
        <f>IFERROR(-AC525/(IF(OR(AB525="USDAED",LEFT(AB525,3)=RIGHT(AB525,3)),AH525,AG525)-AE525)*BC525,0)</f>
        <v>0</v>
      </c>
      <c r="BE525" s="542">
        <f>BC525-BD525</f>
        <v>0</v>
      </c>
      <c r="BF525" s="170">
        <f>IF(BG525="USD",AU525,IF(BG525=S525,R525,-J525))</f>
        <v>350000</v>
      </c>
      <c r="BG525" s="170" t="str">
        <f>LEFT(AJ525,3)</f>
        <v>USD</v>
      </c>
      <c r="BH525" s="542">
        <f>IF(OR(A525="REFUND",A525="CANCELLED"),0,IFERROR((IF(OR(AJ525="USDAED",LEFT(AJ525,3)=RIGHT(AJ525,3)),AQ525,AO525)-AM525)*-BF525*VLOOKUP(AJ525,'FX RATES'!$H$1:$J$26,3,FALSE),0))</f>
        <v>139999.999999997</v>
      </c>
      <c r="BI525" s="170" t="str">
        <f>RIGHT(AJ525,3)</f>
        <v>RUB</v>
      </c>
      <c r="BJ525" s="542">
        <f>IF(BH525=0,0,IFERROR(BH525/IF(BI525&lt;&gt;"USD",AQ525,1),"???"))</f>
        <v>1813.4715025906346</v>
      </c>
      <c r="BK525" s="170">
        <f>IFERROR(-AK525/(IF(OR(AJ525="USDAED",LEFT(AJ525,3)=RIGHT(AJ525,3)),AP525,AO525)-AM525)*BJ525,0)</f>
        <v>0</v>
      </c>
      <c r="BL525" s="542">
        <f>BJ525-BK525</f>
        <v>1813.4715025906346</v>
      </c>
      <c r="BM525" s="170">
        <f>IF(AND(ISERROR(SEARCH("REFUND",A525)),ISERROR(SEARCH("CANCELLED",A525))),BD525+BK525,0)</f>
        <v>0</v>
      </c>
      <c r="BN525" s="542">
        <f>IF(AND(ISERROR(SEARCH("REFUND",A525)),ISERROR(SEARCH("CANCELLED",A525))),BE525+BL525,0)</f>
        <v>1813.4715025906346</v>
      </c>
    </row>
    <row r="526" spans="1:66" ht="19.5" customHeight="1">
      <c r="A526" s="167" t="s">
        <v>601</v>
      </c>
      <c r="B526" s="168" t="s">
        <v>39</v>
      </c>
      <c r="C526" s="168" t="s">
        <v>383</v>
      </c>
      <c r="D526" s="168" t="s">
        <v>128</v>
      </c>
      <c r="E526" s="171">
        <v>46063</v>
      </c>
      <c r="F526" s="171"/>
      <c r="G526" s="168" t="s">
        <v>39</v>
      </c>
      <c r="H526" s="168" t="s">
        <v>384</v>
      </c>
      <c r="I526" s="169">
        <f>-R525</f>
        <v>-27159999.999999996</v>
      </c>
      <c r="J526" s="170">
        <f>IF(I526="",AR526,I526)</f>
        <v>-27159999.999999996</v>
      </c>
      <c r="K526" s="168" t="s">
        <v>9</v>
      </c>
      <c r="L526" s="171" t="s">
        <v>374</v>
      </c>
      <c r="M526" s="168" t="s">
        <v>374</v>
      </c>
      <c r="N526" s="167" t="s">
        <v>553</v>
      </c>
      <c r="O526" s="168" t="s">
        <v>39</v>
      </c>
      <c r="P526" s="349" t="s">
        <v>384</v>
      </c>
      <c r="Q526" s="169"/>
      <c r="R526" s="170">
        <f>IF(Q526="",AS526,Q526)</f>
        <v>1289220.1072767833</v>
      </c>
      <c r="S526" s="168" t="s">
        <v>8</v>
      </c>
      <c r="T526" s="171" t="s">
        <v>385</v>
      </c>
      <c r="U526" s="168" t="s">
        <v>20</v>
      </c>
      <c r="V526" s="167" t="s">
        <v>371</v>
      </c>
      <c r="W526" s="172" t="s">
        <v>382</v>
      </c>
      <c r="X526" s="173">
        <f>IF(Y526="",VLOOKUP(H526,CLIENTS!$A$1:$O$649,5,FALSE),Y526)</f>
        <v>0</v>
      </c>
      <c r="Y526" s="174">
        <v>0</v>
      </c>
      <c r="Z526" s="173">
        <f>IF(AA526="",VLOOKUP(P526,CLIENTS!$A$1:$O$649,5,FALSE),AA526)</f>
        <v>0</v>
      </c>
      <c r="AA526" s="174">
        <v>0</v>
      </c>
      <c r="AB526" s="173" t="str">
        <f>IF(W526="via USD",IF(K526="EUR",K526&amp;"USD","USD"&amp;K526),IFERROR(VLOOKUP(K526&amp;S526,'FX RATES'!$H$2:$H$20,1,FALSE),S526&amp;K526))</f>
        <v>AEDRUB</v>
      </c>
      <c r="AC526" s="175">
        <f>IF(LEFT(AB526,3)=RIGHT(AB526,3),0,IFERROR(INDEX(CLIENTS!$A$1:$O$649,MATCH(H526,CLIENTS!$A$1:$A$649,0),MATCH(AB526,CLIENTS!$A$1:$O$1,0)),0))</f>
        <v>0</v>
      </c>
      <c r="AD526" s="176">
        <v>21.067</v>
      </c>
      <c r="AE526" s="177">
        <f>IF(W526="CLIENT","",IF(AD526="",AH526+AC526,AD526+AC526))</f>
        <v>21.067</v>
      </c>
      <c r="AF526" s="177" t="str">
        <f>E526&amp;AB526</f>
        <v>46063AEDRUB</v>
      </c>
      <c r="AG526" s="176">
        <v>21.021100000000001</v>
      </c>
      <c r="AH526" s="178">
        <f ca="1">IF(LEFT(AB526,3)=RIGHT(AB526,3),1,VLOOKUP(AB526,'FX RATES'!$H$1:$I$20,2,FALSE))</f>
        <v>20.8843</v>
      </c>
      <c r="AI526" s="178">
        <f>IF(OR(AB526="USDAED",LEFT(AB526,3)=RIGHT(AB526,3)),AH526,IF(LEFT(AB526)="USD",AG526,IF(RIGHT(AB526,3)="USD",1,IFERROR(VLOOKUP(E526&amp;"USD"&amp;RIGHT(AB526,3),$AF:$AG,2,FALSE),VLOOKUP(E526&amp;"USD"&amp;RIGHT(AJ526,3),$AN:$AO,2,FALSE)))))</f>
        <v>77.2</v>
      </c>
      <c r="AJ526" s="173" t="str">
        <f>IF(W526="via USD",IF(S526="EUR",S526&amp;"USD","USD"&amp;S526),IFERROR(VLOOKUP(K526&amp;S526,'FX RATES'!$H$2:$H$20,1,FALSE),S526&amp;K526))</f>
        <v>AEDRUB</v>
      </c>
      <c r="AK526" s="175">
        <f>IF(LEFT(AJ526,3)=RIGHT(AJ526,3),0,IFERROR(INDEX(CLIENTS!$A$1:$O$649,MATCH(P526,CLIENTS!$A$1:$A$649,0),MATCH(AJ526,CLIENTS!$A$1:$O$1,0)),0))</f>
        <v>0</v>
      </c>
      <c r="AL526" s="176"/>
      <c r="AM526" s="177" t="str">
        <f>IF(W526="VENDOR","",IF(AL526="",AP526+AK526,AL526+AK526))</f>
        <v/>
      </c>
      <c r="AN526" s="177" t="str">
        <f>E526&amp;AJ526</f>
        <v>46063AEDRUB</v>
      </c>
      <c r="AO526" s="176"/>
      <c r="AP526" s="178">
        <f ca="1">IF(LEFT(AJ526,3)=RIGHT(AJ526,3),1,VLOOKUP(AJ526,'FX RATES'!$H$1:$I$20,2,FALSE))</f>
        <v>20.8843</v>
      </c>
      <c r="AQ526" s="178">
        <f>IF(OR(AJ526="USDAED",LEFT(AJ526,3)=RIGHT(AJ526,3)),AP526,IF(LEFT(AJ526)="USD",AO526,IF(RIGHT(AJ526,3)="USD",1,IFERROR(VLOOKUP(E526&amp;"USD"&amp;RIGHT(AJ526,3),$AN:$AO,2,FALSE),VLOOKUP(E526&amp;"USD"&amp;RIGHT(AB526,3),$AF:$AG,2,FALSE)))))</f>
        <v>77.2</v>
      </c>
      <c r="AR526" s="179">
        <f>-Q526*(1-Z526)/(1+X526)*IF(W526="CLIENT",IF(S526=RIGHT(AJ526,3),1/AM526,AM526),IF(W526="VENDOR",IF(S526=RIGHT(AJ526,3),1/AE526,AE526),AE526^(VLOOKUP(AB526,'FX RATES'!$H$1:$J$26,3,FALSE))/AM526^(VLOOKUP(AJ526,'FX RATES'!$H$1:$J$26,3,FALSE))))</f>
        <v>0</v>
      </c>
      <c r="AS526" s="179">
        <f>-I526*(1+X526)/(1-Z526)*IF(W526="VENDOR",IF(K526=RIGHT(AB526,3),1/AE526,AE526),IF(W526="CLIENT",IF(K526=RIGHT(AB526,3),1/AM526,AM526),AM526^(VLOOKUP(AJ526,'FX RATES'!$H$1:$J$26,3,FALSE))/AE526^(VLOOKUP(AB526,'FX RATES'!$H$1:$J$26,3,FALSE))))</f>
        <v>1289220.1072767833</v>
      </c>
      <c r="AT526" s="170">
        <f ca="1">IF(AB526&lt;&gt;AJ526,J526/IF(K526=RIGHT(AB526,3),AE526,1/AE526),IF(S526="USD",J526/IF(K526=RIGHT(AB526,3),IF(W526="CLIENT",AM526,AE526),1/IF(W526="CLIENT",AM526,AE526)),J526*VLOOKUP(K526,'FX RATES'!$E$1:$F$10,2,FALSE)))</f>
        <v>-354012.29136932106</v>
      </c>
      <c r="AU526" s="170">
        <f ca="1">IF(AB526&lt;&gt;AJ526,R526/IF(S526=RIGHT(AJ526,3),AM526,1/AM526),IF(K526="USD",R526/IF(S526=RIGHT(AJ526,3),IF(W526="CLIENT",AM526,AE526),1/IF(W526="CLIENT",AM526,AE526)),R526*VLOOKUP(S526,'FX RATES'!$E$1:$F$10,2,FALSE)))</f>
        <v>351037.44139758841</v>
      </c>
      <c r="AV526" s="170">
        <f ca="1">AT526+AU526</f>
        <v>-2974.8499717326486</v>
      </c>
      <c r="AW526" s="169"/>
      <c r="AX526" s="170">
        <f ca="1">IF(AND(ISERROR(SEARCH("INVOICE",T526)),ISERROR(SEARCH("SWITCH",T526)),ISERROR(SEARCH("FOREX",T526)),ISERROR(SEARCH("REFUND",A526)),ISERROR(SEARCH("CANCELLED",A526))),IF(AW526="",-AT526*X526+AU526*Z526,AW526),0)</f>
        <v>0</v>
      </c>
      <c r="AY526" s="170">
        <f>IF(AZ526="USD",AT526,IF(AZ526=K526,J526,-R526))</f>
        <v>-1289220.1072767833</v>
      </c>
      <c r="AZ526" s="170" t="str">
        <f>LEFT(AB526,3)</f>
        <v>AED</v>
      </c>
      <c r="BA526" s="542">
        <f>IF(OR(A526="REFUND",A526="CANCELLED"),0,IFERROR((IF(OR(AB526="USDAED",LEFT(AB526,3)=RIGHT(AB526,3)),AI526,AG526)-AE526)*-AY526*VLOOKUP(AB526,'FX RATES'!$H$1:$J$26,3,FALSE),0))</f>
        <v>-59175.202924003846</v>
      </c>
      <c r="BB526" s="170" t="str">
        <f>RIGHT(AB526,3)</f>
        <v>RUB</v>
      </c>
      <c r="BC526" s="542">
        <f>IF(BA526=0,0,IFERROR(BA526/IF(BB526&lt;&gt;"USD",AI526,1),"???"))</f>
        <v>-766.51817259072334</v>
      </c>
      <c r="BD526" s="170">
        <f>IFERROR(-AC526/(IF(OR(AB526="USDAED",LEFT(AB526,3)=RIGHT(AB526,3)),AH526,AG526)-AE526)*BC526,0)</f>
        <v>0</v>
      </c>
      <c r="BE526" s="542">
        <f>BC526-BD526</f>
        <v>-766.51817259072334</v>
      </c>
      <c r="BF526" s="170">
        <f>IF(BG526="USD",AU526,IF(BG526=S526,R526,-J526))</f>
        <v>1289220.1072767833</v>
      </c>
      <c r="BG526" s="170" t="str">
        <f>LEFT(AJ526,3)</f>
        <v>AED</v>
      </c>
      <c r="BH526" s="542">
        <f>IF(OR(A526="REFUND",A526="CANCELLED"),0,IFERROR((IF(OR(AJ526="USDAED",LEFT(AJ526,3)=RIGHT(AJ526,3)),AQ526,AO526)-AM526)*-BF526*VLOOKUP(AJ526,'FX RATES'!$H$1:$J$26,3,FALSE),0))</f>
        <v>0</v>
      </c>
      <c r="BI526" s="170" t="str">
        <f>RIGHT(AJ526,3)</f>
        <v>RUB</v>
      </c>
      <c r="BJ526" s="542">
        <f>IF(BH526=0,0,IFERROR(BH526/IF(BI526&lt;&gt;"USD",AQ526,1),"???"))</f>
        <v>0</v>
      </c>
      <c r="BK526" s="170">
        <f>IFERROR(-AK526/(IF(OR(AJ526="USDAED",LEFT(AJ526,3)=RIGHT(AJ526,3)),AP526,AO526)-AM526)*BJ526,0)</f>
        <v>0</v>
      </c>
      <c r="BL526" s="542">
        <f>BJ526-BK526</f>
        <v>0</v>
      </c>
      <c r="BM526" s="170">
        <f>IF(AND(ISERROR(SEARCH("REFUND",A526)),ISERROR(SEARCH("CANCELLED",A526))),BD526+BK526,0)</f>
        <v>0</v>
      </c>
      <c r="BN526" s="542">
        <f>IF(AND(ISERROR(SEARCH("REFUND",A526)),ISERROR(SEARCH("CANCELLED",A526))),BE526+BL526,0)</f>
        <v>-766.51817259072334</v>
      </c>
    </row>
    <row r="527" spans="1:66" ht="19.5" customHeight="1">
      <c r="A527" s="167"/>
      <c r="B527" s="182"/>
      <c r="C527" s="182"/>
      <c r="D527" s="182"/>
      <c r="E527" s="184"/>
      <c r="F527" s="184"/>
      <c r="G527" s="182"/>
      <c r="H527" s="182"/>
      <c r="I527" s="170"/>
      <c r="J527" s="170"/>
      <c r="K527" s="182"/>
      <c r="L527" s="184"/>
      <c r="M527" s="182"/>
      <c r="O527" s="182"/>
      <c r="P527" s="444"/>
      <c r="Q527" s="170"/>
      <c r="R527" s="170"/>
      <c r="S527" s="182"/>
      <c r="T527" s="184"/>
      <c r="U527" s="182"/>
      <c r="X527" s="173"/>
      <c r="Y527" s="173"/>
      <c r="Z527" s="173"/>
      <c r="AA527" s="173"/>
      <c r="AB527" s="173"/>
      <c r="AC527" s="175"/>
      <c r="AD527" s="177"/>
      <c r="AE527" s="177"/>
      <c r="AF527" s="177"/>
      <c r="AG527" s="177"/>
      <c r="AH527" s="178"/>
      <c r="AI527" s="178"/>
      <c r="AJ527" s="173"/>
      <c r="AK527" s="175"/>
      <c r="AL527" s="177"/>
      <c r="AM527" s="177"/>
      <c r="AN527" s="177"/>
      <c r="AO527" s="177"/>
      <c r="AP527" s="178"/>
      <c r="AQ527" s="178"/>
      <c r="AR527" s="185"/>
      <c r="AS527" s="185"/>
      <c r="AT527" s="170"/>
      <c r="AU527" s="170"/>
      <c r="AV527" s="170"/>
      <c r="AW527" s="170"/>
      <c r="AX527" s="170"/>
      <c r="AY527" s="170"/>
      <c r="AZ527" s="170"/>
      <c r="BA527" s="542"/>
      <c r="BB527" s="170"/>
      <c r="BC527" s="542"/>
      <c r="BD527" s="170"/>
      <c r="BE527" s="542"/>
      <c r="BF527" s="170"/>
      <c r="BG527" s="170"/>
      <c r="BH527" s="542"/>
      <c r="BI527" s="170"/>
      <c r="BJ527" s="542"/>
      <c r="BK527" s="170"/>
      <c r="BL527" s="542"/>
      <c r="BM527" s="170"/>
      <c r="BN527" s="542"/>
    </row>
    <row r="528" spans="1:66" ht="19.5" customHeight="1">
      <c r="A528" s="167" t="s">
        <v>601</v>
      </c>
      <c r="B528" s="168" t="s">
        <v>39</v>
      </c>
      <c r="C528" s="168" t="s">
        <v>367</v>
      </c>
      <c r="D528" s="168" t="s">
        <v>368</v>
      </c>
      <c r="E528" s="171">
        <v>46063</v>
      </c>
      <c r="F528" s="171"/>
      <c r="G528" s="168" t="s">
        <v>39</v>
      </c>
      <c r="H528" s="181" t="s">
        <v>599</v>
      </c>
      <c r="I528" s="169">
        <v>-363419.36</v>
      </c>
      <c r="J528" s="170">
        <f t="shared" ref="J528" si="563">IF(I528="",AR528,I528)</f>
        <v>-363419.36</v>
      </c>
      <c r="K528" s="168" t="s">
        <v>8</v>
      </c>
      <c r="L528" s="168" t="s">
        <v>548</v>
      </c>
      <c r="M528" s="168" t="s">
        <v>17</v>
      </c>
      <c r="N528" s="167" t="s">
        <v>553</v>
      </c>
      <c r="O528" s="168" t="s">
        <v>39</v>
      </c>
      <c r="P528" s="168" t="s">
        <v>379</v>
      </c>
      <c r="Q528" s="169"/>
      <c r="R528" s="170">
        <f t="shared" ref="R528" si="564">IF(Q528="",AS528,Q528)</f>
        <v>7727899.9870940531</v>
      </c>
      <c r="S528" s="168" t="s">
        <v>9</v>
      </c>
      <c r="T528" s="171" t="s">
        <v>380</v>
      </c>
      <c r="U528" s="168" t="s">
        <v>374</v>
      </c>
      <c r="V528" s="167" t="s">
        <v>371</v>
      </c>
      <c r="W528" s="172" t="s">
        <v>375</v>
      </c>
      <c r="X528" s="173">
        <f>IF(Y528="",VLOOKUP(H528,CLIENTS!$A$1:$O$649,5,FALSE),Y528)</f>
        <v>0</v>
      </c>
      <c r="Y528" s="174">
        <v>0</v>
      </c>
      <c r="Z528" s="173">
        <f>IF(AA528="",VLOOKUP(P528,CLIENTS!$A$1:$O$649,5,FALSE),AA528)</f>
        <v>5.0000000000000001E-3</v>
      </c>
      <c r="AA528" s="174">
        <v>5.0000000000000001E-3</v>
      </c>
      <c r="AB528" s="173" t="str">
        <f>IF(W528="via USD",IF(K528="EUR",K528&amp;"USD","USD"&amp;K528),IFERROR(VLOOKUP(K528&amp;S528,'FX RATES'!$H$2:$H$20,1,FALSE),S528&amp;K528))</f>
        <v>USDAED</v>
      </c>
      <c r="AC528" s="175">
        <f>IF(LEFT(AB528,3)=RIGHT(AB528,3),0,IFERROR(INDEX(CLIENTS!$A$1:$O$649,MATCH(H528,CLIENTS!$A$1:$A$649,0),MATCH(AB528,CLIENTS!$A$1:$O$1,0)),0))</f>
        <v>0</v>
      </c>
      <c r="AD528" s="176">
        <v>3.67</v>
      </c>
      <c r="AE528" s="177">
        <f t="shared" ref="AE528" si="565">IF(W528="CLIENT","",IF(AD528="",AH528+AC528,AD528+AC528))</f>
        <v>3.67</v>
      </c>
      <c r="AF528" s="177" t="str">
        <f t="shared" ref="AF528" si="566">E528&amp;AB528</f>
        <v>46063USDAED</v>
      </c>
      <c r="AG528" s="176"/>
      <c r="AH528" s="178">
        <f>IF(LEFT(AB528,3)=RIGHT(AB528,3),1,VLOOKUP(AB528,'FX RATES'!$H$1:$I$20,2,FALSE))</f>
        <v>3.6724999999999999</v>
      </c>
      <c r="AI528" s="178">
        <f>IF(OR(AB528="USDAED",LEFT(AB528,3)=RIGHT(AB528,3)),AH528,IF(LEFT(AB528)="USD",AG528,IF(RIGHT(AB528,3)="USD",1,IFERROR(VLOOKUP(E528&amp;"USD"&amp;RIGHT(AB528,3),$AF:$AG,2,FALSE),VLOOKUP(E528&amp;"USD"&amp;RIGHT(AJ528,3),$AN:$AO,2,FALSE)))))</f>
        <v>3.6724999999999999</v>
      </c>
      <c r="AJ528" s="173" t="str">
        <f>IF(W528="via USD",IF(S528="EUR",S528&amp;"USD","USD"&amp;S528),IFERROR(VLOOKUP(K528&amp;S528,'FX RATES'!$H$2:$H$20,1,FALSE),S528&amp;K528))</f>
        <v>USDRUB</v>
      </c>
      <c r="AK528" s="175">
        <f>IF(LEFT(AJ528,3)=RIGHT(AJ528,3),0,IFERROR(INDEX(CLIENTS!$A$1:$O$649,MATCH(P528,CLIENTS!$A$1:$A$649,0),MATCH(AJ528,CLIENTS!$A$1:$O$1,0)),0))</f>
        <v>0</v>
      </c>
      <c r="AL528" s="176">
        <v>77.650199999999998</v>
      </c>
      <c r="AM528" s="177">
        <f t="shared" ref="AM528" si="567">IF(W528="VENDOR","",IF(AL528="",AP528+AK528,AL528+AK528))</f>
        <v>77.650199999999998</v>
      </c>
      <c r="AN528" s="177" t="str">
        <f t="shared" ref="AN528" si="568">E528&amp;AJ528</f>
        <v>46063USDRUB</v>
      </c>
      <c r="AO528" s="176">
        <v>77.2</v>
      </c>
      <c r="AP528" s="178">
        <f ca="1">IF(LEFT(AJ528,3)=RIGHT(AJ528,3),1,VLOOKUP(AJ528,'FX RATES'!$H$1:$I$20,2,FALSE))</f>
        <v>76.720500000000001</v>
      </c>
      <c r="AQ528" s="178">
        <f>IF(OR(AJ528="USDAED",LEFT(AJ528,3)=RIGHT(AJ528,3)),AP528,IF(LEFT(AJ528)="USD",AO528,IF(RIGHT(AJ528,3)="USD",1,IFERROR(VLOOKUP(E528&amp;"USD"&amp;RIGHT(AJ528,3),$AN:$AO,2,FALSE),VLOOKUP(E528&amp;"USD"&amp;RIGHT(AB528,3),$AF:$AG,2,FALSE)))))</f>
        <v>77.2</v>
      </c>
      <c r="AR528" s="179">
        <f>-Q528*(1-Z528)/(1+X528)*IF(W528="CLIENT",IF(S528=RIGHT(AJ528,3),1/AM528,AM528),IF(W528="VENDOR",IF(S528=RIGHT(AJ528,3),1/AE528,AE528),AE528^(VLOOKUP(AB528,'FX RATES'!$H$1:$J$26,3,FALSE))/AM528^(VLOOKUP(AJ528,'FX RATES'!$H$1:$J$26,3,FALSE))))</f>
        <v>0</v>
      </c>
      <c r="AS528" s="179">
        <f>-I528*(1+X528)/(1-Z528)*IF(W528="VENDOR",IF(K528=RIGHT(AB528,3),1/AE528,AE528),IF(W528="CLIENT",IF(K528=RIGHT(AB528,3),1/AM528,AM528),AM528^(VLOOKUP(AJ528,'FX RATES'!$H$1:$J$26,3,FALSE))/AE528^(VLOOKUP(AB528,'FX RATES'!$H$1:$J$26,3,FALSE))))</f>
        <v>7727899.9870940531</v>
      </c>
      <c r="AT528" s="170">
        <f>IF(AB528&lt;&gt;AJ528,J528/IF(K528=RIGHT(AB528,3),AE528,1/AE528),IF(S528="USD",J528/IF(K528=RIGHT(AB528,3),IF(W528="CLIENT",AM528,AE528),1/IF(W528="CLIENT",AM528,AE528)),J528*VLOOKUP(K528,'FX RATES'!$E$1:$F$10,2,FALSE)))</f>
        <v>-99024.348773841964</v>
      </c>
      <c r="AU528" s="170">
        <f>IF(AB528&lt;&gt;AJ528,R528/IF(S528=RIGHT(AJ528,3),AM528,1/AM528),IF(K528="USD",R528/IF(S528=RIGHT(AJ528,3),IF(W528="CLIENT",AM528,AE528),1/IF(W528="CLIENT",AM528,AE528)),R528*VLOOKUP(S528,'FX RATES'!$E$1:$F$10,2,FALSE)))</f>
        <v>99521.958566675341</v>
      </c>
      <c r="AV528" s="170">
        <f t="shared" ref="AV528" si="569">AT528+AU528</f>
        <v>497.60979283337656</v>
      </c>
      <c r="AW528" s="169"/>
      <c r="AX528" s="170">
        <f t="shared" ref="AX528" si="570">IF(AND(ISERROR(SEARCH("INVOICE",T528)),ISERROR(SEARCH("SWITCH",T528)),ISERROR(SEARCH("FOREX",T528)),ISERROR(SEARCH("REFUND",A528)),ISERROR(SEARCH("CANCELLED",A528))),IF(AW528="",-AT528*X528+AU528*Z528,AW528),0)</f>
        <v>497.60979283337673</v>
      </c>
      <c r="AY528" s="170">
        <f t="shared" ref="AY528" si="571">IF(AZ528="USD",AT528,IF(AZ528=K528,J528,-R528))</f>
        <v>-99024.348773841964</v>
      </c>
      <c r="AZ528" s="170" t="str">
        <f t="shared" ref="AZ528" si="572">LEFT(AB528,3)</f>
        <v>USD</v>
      </c>
      <c r="BA528" s="542">
        <f>IF(OR(A528="REFUND",A528="CANCELLED"),0,IFERROR((IF(OR(AB528="USDAED",LEFT(AB528,3)=RIGHT(AB528,3)),AI528,AG528)-AE528)*-AY528*VLOOKUP(AB528,'FX RATES'!$H$1:$J$26,3,FALSE),0))</f>
        <v>247.56087193459965</v>
      </c>
      <c r="BB528" s="170" t="str">
        <f t="shared" ref="BB528" si="573">RIGHT(AB528,3)</f>
        <v>AED</v>
      </c>
      <c r="BC528" s="542">
        <f t="shared" ref="BC528" si="574">IF(BA528=0,0,IFERROR(BA528/IF(BB528&lt;&gt;"USD",AI528,1),"???"))</f>
        <v>67.40935927422727</v>
      </c>
      <c r="BD528" s="170">
        <f t="shared" ref="BD528" si="575">IFERROR(-AC528/(IF(OR(AB528="USDAED",LEFT(AB528,3)=RIGHT(AB528,3)),AH528,AG528)-AE528)*BC528,0)</f>
        <v>0</v>
      </c>
      <c r="BE528" s="542">
        <f t="shared" ref="BE528" si="576">BC528-BD528</f>
        <v>67.40935927422727</v>
      </c>
      <c r="BF528" s="170">
        <f t="shared" ref="BF528" si="577">IF(BG528="USD",AU528,IF(BG528=S528,R528,-J528))</f>
        <v>99521.958566675341</v>
      </c>
      <c r="BG528" s="170" t="str">
        <f t="shared" ref="BG528" si="578">LEFT(AJ528,3)</f>
        <v>USD</v>
      </c>
      <c r="BH528" s="542">
        <f>IF(OR(A528="REFUND",A528="CANCELLED"),0,IFERROR((IF(OR(AJ528="USDAED",LEFT(AJ528,3)=RIGHT(AJ528,3)),AQ528,AO528)-AM528)*-BF528*VLOOKUP(AJ528,'FX RATES'!$H$1:$J$26,3,FALSE),0))</f>
        <v>44804.785746716771</v>
      </c>
      <c r="BI528" s="170" t="str">
        <f t="shared" ref="BI528" si="579">RIGHT(AJ528,3)</f>
        <v>RUB</v>
      </c>
      <c r="BJ528" s="542">
        <f t="shared" ref="BJ528" si="580">IF(BH528=0,0,IFERROR(BH528/IF(BI528&lt;&gt;"USD",AQ528,1),"???"))</f>
        <v>580.37287236679754</v>
      </c>
      <c r="BK528" s="170">
        <f t="shared" ref="BK528" si="581">IFERROR(-AK528/(IF(OR(AJ528="USDAED",LEFT(AJ528,3)=RIGHT(AJ528,3)),AP528,AO528)-AM528)*BJ528,0)</f>
        <v>0</v>
      </c>
      <c r="BL528" s="542">
        <f t="shared" ref="BL528" si="582">BJ528-BK528</f>
        <v>580.37287236679754</v>
      </c>
      <c r="BM528" s="170">
        <f t="shared" ref="BM528" si="583">IF(AND(ISERROR(SEARCH("REFUND",A528)),ISERROR(SEARCH("CANCELLED",A528))),BD528+BK528,0)</f>
        <v>0</v>
      </c>
      <c r="BN528" s="542">
        <f t="shared" ref="BN528" si="584">IF(AND(ISERROR(SEARCH("REFUND",A528)),ISERROR(SEARCH("CANCELLED",A528))),BE528+BL528,0)</f>
        <v>647.78223164102485</v>
      </c>
    </row>
    <row r="529" spans="1:66" ht="19.5" customHeight="1">
      <c r="A529" s="167" t="s">
        <v>601</v>
      </c>
      <c r="B529" s="168" t="s">
        <v>39</v>
      </c>
      <c r="C529" s="168" t="s">
        <v>383</v>
      </c>
      <c r="D529" s="168" t="s">
        <v>128</v>
      </c>
      <c r="E529" s="171">
        <v>46063</v>
      </c>
      <c r="F529" s="171"/>
      <c r="G529" s="168" t="s">
        <v>39</v>
      </c>
      <c r="H529" s="168" t="s">
        <v>384</v>
      </c>
      <c r="I529" s="169">
        <v>-7727000</v>
      </c>
      <c r="J529" s="170">
        <f>IF(I529="",AR529,I529)</f>
        <v>-7727000</v>
      </c>
      <c r="K529" s="168" t="s">
        <v>9</v>
      </c>
      <c r="L529" s="171" t="s">
        <v>374</v>
      </c>
      <c r="M529" s="168" t="s">
        <v>374</v>
      </c>
      <c r="N529" s="167" t="s">
        <v>553</v>
      </c>
      <c r="O529" s="168" t="s">
        <v>39</v>
      </c>
      <c r="P529" s="349" t="s">
        <v>384</v>
      </c>
      <c r="Q529" s="169"/>
      <c r="R529" s="170">
        <f>IF(Q529="",AS529,Q529)</f>
        <v>365723.21090496023</v>
      </c>
      <c r="S529" s="168" t="s">
        <v>8</v>
      </c>
      <c r="T529" s="171" t="s">
        <v>385</v>
      </c>
      <c r="U529" s="168" t="s">
        <v>20</v>
      </c>
      <c r="V529" s="167" t="s">
        <v>371</v>
      </c>
      <c r="W529" s="172" t="s">
        <v>382</v>
      </c>
      <c r="X529" s="173">
        <f>IF(Y529="",VLOOKUP(H529,CLIENTS!$A$1:$O$649,5,FALSE),Y529)</f>
        <v>0</v>
      </c>
      <c r="Y529" s="174">
        <v>0</v>
      </c>
      <c r="Z529" s="173">
        <f>IF(AA529="",VLOOKUP(P529,CLIENTS!$A$1:$O$649,5,FALSE),AA529)</f>
        <v>0</v>
      </c>
      <c r="AA529" s="174">
        <v>0</v>
      </c>
      <c r="AB529" s="173" t="str">
        <f>IF(W529="via USD",IF(K529="EUR",K529&amp;"USD","USD"&amp;K529),IFERROR(VLOOKUP(K529&amp;S529,'FX RATES'!$H$2:$H$20,1,FALSE),S529&amp;K529))</f>
        <v>AEDRUB</v>
      </c>
      <c r="AC529" s="175">
        <f>IF(LEFT(AB529,3)=RIGHT(AB529,3),0,IFERROR(INDEX(CLIENTS!$A$1:$O$649,MATCH(H529,CLIENTS!$A$1:$A$649,0),MATCH(AB529,CLIENTS!$A$1:$O$1,0)),0))</f>
        <v>0</v>
      </c>
      <c r="AD529" s="176">
        <v>21.128</v>
      </c>
      <c r="AE529" s="177">
        <f>IF(W529="CLIENT","",IF(AD529="",AH529+AC529,AD529+AC529))</f>
        <v>21.128</v>
      </c>
      <c r="AF529" s="177" t="str">
        <f>E529&amp;AB529</f>
        <v>46063AEDRUB</v>
      </c>
      <c r="AG529" s="176">
        <v>21.021100000000001</v>
      </c>
      <c r="AH529" s="178">
        <f ca="1">IF(LEFT(AB529,3)=RIGHT(AB529,3),1,VLOOKUP(AB529,'FX RATES'!$H$1:$I$20,2,FALSE))</f>
        <v>20.8843</v>
      </c>
      <c r="AI529" s="178">
        <f>IF(OR(AB529="USDAED",LEFT(AB529,3)=RIGHT(AB529,3)),AH529,IF(LEFT(AB529)="USD",AG529,IF(RIGHT(AB529,3)="USD",1,IFERROR(VLOOKUP(E529&amp;"USD"&amp;RIGHT(AB529,3),$AF:$AG,2,FALSE),VLOOKUP(E529&amp;"USD"&amp;RIGHT(AJ529,3),$AN:$AO,2,FALSE)))))</f>
        <v>77.2</v>
      </c>
      <c r="AJ529" s="173" t="str">
        <f>IF(W529="via USD",IF(S529="EUR",S529&amp;"USD","USD"&amp;S529),IFERROR(VLOOKUP(K529&amp;S529,'FX RATES'!$H$2:$H$20,1,FALSE),S529&amp;K529))</f>
        <v>AEDRUB</v>
      </c>
      <c r="AK529" s="175">
        <f>IF(LEFT(AJ529,3)=RIGHT(AJ529,3),0,IFERROR(INDEX(CLIENTS!$A$1:$O$649,MATCH(P529,CLIENTS!$A$1:$A$649,0),MATCH(AJ529,CLIENTS!$A$1:$O$1,0)),0))</f>
        <v>0</v>
      </c>
      <c r="AL529" s="176"/>
      <c r="AM529" s="177" t="str">
        <f>IF(W529="VENDOR","",IF(AL529="",AP529+AK529,AL529+AK529))</f>
        <v/>
      </c>
      <c r="AN529" s="177" t="str">
        <f>E529&amp;AJ529</f>
        <v>46063AEDRUB</v>
      </c>
      <c r="AO529" s="176"/>
      <c r="AP529" s="178">
        <f ca="1">IF(LEFT(AJ529,3)=RIGHT(AJ529,3),1,VLOOKUP(AJ529,'FX RATES'!$H$1:$I$20,2,FALSE))</f>
        <v>20.8843</v>
      </c>
      <c r="AQ529" s="178">
        <f>IF(OR(AJ529="USDAED",LEFT(AJ529,3)=RIGHT(AJ529,3)),AP529,IF(LEFT(AJ529)="USD",AO529,IF(RIGHT(AJ529,3)="USD",1,IFERROR(VLOOKUP(E529&amp;"USD"&amp;RIGHT(AJ529,3),$AN:$AO,2,FALSE),VLOOKUP(E529&amp;"USD"&amp;RIGHT(AB529,3),$AF:$AG,2,FALSE)))))</f>
        <v>77.2</v>
      </c>
      <c r="AR529" s="179">
        <f>-Q529*(1-Z529)/(1+X529)*IF(W529="CLIENT",IF(S529=RIGHT(AJ529,3),1/AM529,AM529),IF(W529="VENDOR",IF(S529=RIGHT(AJ529,3),1/AE529,AE529),AE529^(VLOOKUP(AB529,'FX RATES'!$H$1:$J$26,3,FALSE))/AM529^(VLOOKUP(AJ529,'FX RATES'!$H$1:$J$26,3,FALSE))))</f>
        <v>0</v>
      </c>
      <c r="AS529" s="179">
        <f>-I529*(1+X529)/(1-Z529)*IF(W529="VENDOR",IF(K529=RIGHT(AB529,3),1/AE529,AE529),IF(W529="CLIENT",IF(K529=RIGHT(AB529,3),1/AM529,AM529),AM529^(VLOOKUP(AJ529,'FX RATES'!$H$1:$J$26,3,FALSE))/AE529^(VLOOKUP(AB529,'FX RATES'!$H$1:$J$26,3,FALSE))))</f>
        <v>365723.21090496023</v>
      </c>
      <c r="AT529" s="170">
        <f ca="1">IF(AB529&lt;&gt;AJ529,J529/IF(K529=RIGHT(AB529,3),AE529,1/AE529),IF(S529="USD",J529/IF(K529=RIGHT(AB529,3),IF(W529="CLIENT",AM529,AE529),1/IF(W529="CLIENT",AM529,AE529)),J529*VLOOKUP(K529,'FX RATES'!$E$1:$F$10,2,FALSE)))</f>
        <v>-100716.2362080539</v>
      </c>
      <c r="AU529" s="170">
        <f ca="1">IF(AB529&lt;&gt;AJ529,R529/IF(S529=RIGHT(AJ529,3),AM529,1/AM529),IF(K529="USD",R529/IF(S529=RIGHT(AJ529,3),IF(W529="CLIENT",AM529,AE529),1/IF(W529="CLIENT",AM529,AE529)),R529*VLOOKUP(S529,'FX RATES'!$E$1:$F$10,2,FALSE)))</f>
        <v>99581.552824963292</v>
      </c>
      <c r="AV529" s="170">
        <f ca="1">AT529+AU529</f>
        <v>-1134.6833830906107</v>
      </c>
      <c r="AW529" s="169"/>
      <c r="AX529" s="170">
        <f ca="1">IF(AND(ISERROR(SEARCH("INVOICE",T529)),ISERROR(SEARCH("SWITCH",T529)),ISERROR(SEARCH("FOREX",T529)),ISERROR(SEARCH("REFUND",A529)),ISERROR(SEARCH("CANCELLED",A529))),IF(AW529="",-AT529*X529+AU529*Z529,AW529),0)</f>
        <v>0</v>
      </c>
      <c r="AY529" s="170">
        <f>IF(AZ529="USD",AT529,IF(AZ529=K529,J529,-R529))</f>
        <v>-365723.21090496023</v>
      </c>
      <c r="AZ529" s="170" t="str">
        <f>LEFT(AB529,3)</f>
        <v>AED</v>
      </c>
      <c r="BA529" s="542">
        <f>IF(OR(A529="REFUND",A529="CANCELLED"),0,IFERROR((IF(OR(AB529="USDAED",LEFT(AB529,3)=RIGHT(AB529,3)),AI529,AG529)-AE529)*-AY529*VLOOKUP(AB529,'FX RATES'!$H$1:$J$26,3,FALSE),0))</f>
        <v>-39095.811245740086</v>
      </c>
      <c r="BB529" s="170" t="str">
        <f>RIGHT(AB529,3)</f>
        <v>RUB</v>
      </c>
      <c r="BC529" s="542">
        <f>IF(BA529=0,0,IFERROR(BA529/IF(BB529&lt;&gt;"USD",AI529,1),"???"))</f>
        <v>-506.42242546295444</v>
      </c>
      <c r="BD529" s="170">
        <f>IFERROR(-AC529/(IF(OR(AB529="USDAED",LEFT(AB529,3)=RIGHT(AB529,3)),AH529,AG529)-AE529)*BC529,0)</f>
        <v>0</v>
      </c>
      <c r="BE529" s="542">
        <f>BC529-BD529</f>
        <v>-506.42242546295444</v>
      </c>
      <c r="BF529" s="170">
        <f>IF(BG529="USD",AU529,IF(BG529=S529,R529,-J529))</f>
        <v>365723.21090496023</v>
      </c>
      <c r="BG529" s="170" t="str">
        <f>LEFT(AJ529,3)</f>
        <v>AED</v>
      </c>
      <c r="BH529" s="542">
        <f>IF(OR(A529="REFUND",A529="CANCELLED"),0,IFERROR((IF(OR(AJ529="USDAED",LEFT(AJ529,3)=RIGHT(AJ529,3)),AQ529,AO529)-AM529)*-BF529*VLOOKUP(AJ529,'FX RATES'!$H$1:$J$26,3,FALSE),0))</f>
        <v>0</v>
      </c>
      <c r="BI529" s="170" t="str">
        <f>RIGHT(AJ529,3)</f>
        <v>RUB</v>
      </c>
      <c r="BJ529" s="542">
        <f>IF(BH529=0,0,IFERROR(BH529/IF(BI529&lt;&gt;"USD",AQ529,1),"???"))</f>
        <v>0</v>
      </c>
      <c r="BK529" s="170">
        <f>IFERROR(-AK529/(IF(OR(AJ529="USDAED",LEFT(AJ529,3)=RIGHT(AJ529,3)),AP529,AO529)-AM529)*BJ529,0)</f>
        <v>0</v>
      </c>
      <c r="BL529" s="542">
        <f>BJ529-BK529</f>
        <v>0</v>
      </c>
      <c r="BM529" s="170">
        <f>IF(AND(ISERROR(SEARCH("REFUND",A529)),ISERROR(SEARCH("CANCELLED",A529))),BD529+BK529,0)</f>
        <v>0</v>
      </c>
      <c r="BN529" s="542">
        <f>IF(AND(ISERROR(SEARCH("REFUND",A529)),ISERROR(SEARCH("CANCELLED",A529))),BE529+BL529,0)</f>
        <v>-506.42242546295444</v>
      </c>
    </row>
    <row r="530" spans="1:66" ht="19.5" customHeight="1">
      <c r="A530" s="167"/>
      <c r="B530" s="182"/>
      <c r="C530" s="182"/>
      <c r="D530" s="182"/>
      <c r="E530" s="184"/>
      <c r="F530" s="184"/>
      <c r="G530" s="182"/>
      <c r="H530" s="182"/>
      <c r="I530" s="170"/>
      <c r="J530" s="170"/>
      <c r="K530" s="182"/>
      <c r="L530" s="184"/>
      <c r="M530" s="182"/>
      <c r="O530" s="182"/>
      <c r="P530" s="444"/>
      <c r="Q530" s="170"/>
      <c r="R530" s="170"/>
      <c r="S530" s="182"/>
      <c r="T530" s="184"/>
      <c r="U530" s="182"/>
      <c r="X530" s="173"/>
      <c r="Y530" s="173"/>
      <c r="Z530" s="173"/>
      <c r="AA530" s="173"/>
      <c r="AB530" s="173"/>
      <c r="AC530" s="175"/>
      <c r="AD530" s="177"/>
      <c r="AE530" s="177"/>
      <c r="AF530" s="177"/>
      <c r="AG530" s="177"/>
      <c r="AH530" s="178"/>
      <c r="AI530" s="178"/>
      <c r="AJ530" s="173"/>
      <c r="AK530" s="175"/>
      <c r="AL530" s="177"/>
      <c r="AM530" s="177"/>
      <c r="AN530" s="177"/>
      <c r="AO530" s="177"/>
      <c r="AP530" s="178"/>
      <c r="AQ530" s="178"/>
      <c r="AR530" s="185"/>
      <c r="AS530" s="185"/>
      <c r="AT530" s="170"/>
      <c r="AU530" s="170"/>
      <c r="AV530" s="170"/>
      <c r="AW530" s="170"/>
      <c r="AX530" s="170"/>
      <c r="AY530" s="170"/>
      <c r="AZ530" s="170"/>
      <c r="BA530" s="542"/>
      <c r="BB530" s="170"/>
      <c r="BC530" s="542"/>
      <c r="BD530" s="170"/>
      <c r="BE530" s="542"/>
      <c r="BF530" s="170"/>
      <c r="BG530" s="170"/>
      <c r="BH530" s="542"/>
      <c r="BI530" s="170"/>
      <c r="BJ530" s="542"/>
      <c r="BK530" s="170"/>
      <c r="BL530" s="542"/>
      <c r="BM530" s="170"/>
      <c r="BN530" s="542"/>
    </row>
    <row r="531" spans="1:66" ht="19.5" customHeight="1">
      <c r="A531" s="167" t="s">
        <v>601</v>
      </c>
      <c r="B531" s="168" t="s">
        <v>45</v>
      </c>
      <c r="C531" s="168" t="s">
        <v>367</v>
      </c>
      <c r="D531" s="168" t="s">
        <v>368</v>
      </c>
      <c r="E531" s="171">
        <v>46063</v>
      </c>
      <c r="F531" s="171"/>
      <c r="G531" s="168" t="s">
        <v>45</v>
      </c>
      <c r="H531" s="181" t="s">
        <v>377</v>
      </c>
      <c r="I531" s="169"/>
      <c r="J531" s="170">
        <f>IF(I531="",AR531,I531)</f>
        <v>-73336.767680000004</v>
      </c>
      <c r="K531" s="168" t="s">
        <v>6</v>
      </c>
      <c r="L531" s="168" t="s">
        <v>581</v>
      </c>
      <c r="M531" s="168" t="s">
        <v>49</v>
      </c>
      <c r="N531" s="167" t="s">
        <v>553</v>
      </c>
      <c r="O531" s="168" t="s">
        <v>39</v>
      </c>
      <c r="P531" s="168" t="s">
        <v>582</v>
      </c>
      <c r="Q531" s="169">
        <v>73557.440000000002</v>
      </c>
      <c r="R531" s="202">
        <f>IF(Q531="",AS531,Q531)</f>
        <v>73557.440000000002</v>
      </c>
      <c r="S531" s="168" t="s">
        <v>6</v>
      </c>
      <c r="T531" s="171" t="s">
        <v>380</v>
      </c>
      <c r="U531" s="168" t="s">
        <v>14</v>
      </c>
      <c r="V531" s="167" t="s">
        <v>371</v>
      </c>
      <c r="W531" s="172" t="s">
        <v>382</v>
      </c>
      <c r="X531" s="173">
        <f>IF(Y531="",VLOOKUP(H531,CLIENTS!$A$1:$O$649,5,FALSE),Y531)</f>
        <v>0</v>
      </c>
      <c r="Y531" s="174">
        <v>0</v>
      </c>
      <c r="Z531" s="173">
        <f>IF(AA531="",VLOOKUP(P531,CLIENTS!$A$1:$O$649,5,FALSE),AA531)</f>
        <v>3.0000000000000001E-3</v>
      </c>
      <c r="AA531" s="174">
        <v>3.0000000000000001E-3</v>
      </c>
      <c r="AB531" s="173" t="str">
        <f>IF(W531="via USD",IF(K531="EUR",K531&amp;"USD","USD"&amp;K531),IFERROR(VLOOKUP(K531&amp;S531,'FX RATES'!$H$2:$H$20,1,FALSE),S531&amp;K531))</f>
        <v>EUREUR</v>
      </c>
      <c r="AC531" s="175">
        <f>IF(LEFT(AB531,3)=RIGHT(AB531,3),0,IFERROR(INDEX(CLIENTS!$A$1:$O$649,MATCH(H531,CLIENTS!$A$1:$A$649,0),MATCH(AB531,CLIENTS!$A$1:$O$1,0)),0))</f>
        <v>0</v>
      </c>
      <c r="AD531" s="176"/>
      <c r="AE531" s="177">
        <f>IF(W531="CLIENT","",IF(AD531="",AH531+AC531,AD531+AC531))</f>
        <v>1</v>
      </c>
      <c r="AF531" s="177" t="str">
        <f>E531&amp;AB531</f>
        <v>46063EUREUR</v>
      </c>
      <c r="AG531" s="176"/>
      <c r="AH531" s="178">
        <f>IF(LEFT(AB531,3)=RIGHT(AB531,3),1,VLOOKUP(AB531,'FX RATES'!$H$1:$I$20,2,FALSE))</f>
        <v>1</v>
      </c>
      <c r="AI531" s="178">
        <f>IF(OR(AB531="USDAED",LEFT(AB531,3)=RIGHT(AB531,3)),AH531,IF(LEFT(AB531)="USD",AG531,IF(RIGHT(AB531,3)="USD",1,IFERROR(VLOOKUP(E531&amp;"USD"&amp;RIGHT(AB531,3),$AF:$AG,2,FALSE),VLOOKUP(E531&amp;"USD"&amp;RIGHT(AJ531,3),$AN:$AO,2,FALSE)))))</f>
        <v>1</v>
      </c>
      <c r="AJ531" s="173" t="str">
        <f>IF(W531="via USD",IF(S531="EUR",S531&amp;"USD","USD"&amp;S531),IFERROR(VLOOKUP(K531&amp;S531,'FX RATES'!$H$2:$H$20,1,FALSE),S531&amp;K531))</f>
        <v>EUREUR</v>
      </c>
      <c r="AK531" s="175">
        <f>IF(LEFT(AJ531,3)=RIGHT(AJ531,3),0,IFERROR(INDEX(CLIENTS!$A$1:$O$649,MATCH(P531,CLIENTS!$A$1:$A$649,0),MATCH(AJ531,CLIENTS!$A$1:$O$1,0)),0))</f>
        <v>0</v>
      </c>
      <c r="AL531" s="176"/>
      <c r="AM531" s="177" t="str">
        <f>IF(W531="VENDOR","",IF(AL531="",AP531+AK531,AL531+AK531))</f>
        <v/>
      </c>
      <c r="AN531" s="177" t="str">
        <f>E531&amp;AJ531</f>
        <v>46063EUREUR</v>
      </c>
      <c r="AO531" s="176"/>
      <c r="AP531" s="178">
        <f>IF(LEFT(AJ531,3)=RIGHT(AJ531,3),1,VLOOKUP(AJ531,'FX RATES'!$H$1:$I$20,2,FALSE))</f>
        <v>1</v>
      </c>
      <c r="AQ531" s="178">
        <f>IF(OR(AJ531="USDAED",LEFT(AJ531,3)=RIGHT(AJ531,3)),AP531,IF(LEFT(AJ531)="USD",AO531,IF(RIGHT(AJ531,3)="USD",1,IFERROR(VLOOKUP(E531&amp;"USD"&amp;RIGHT(AJ531,3),$AN:$AO,2,FALSE),VLOOKUP(E531&amp;"USD"&amp;RIGHT(AB531,3),$AF:$AG,2,FALSE)))))</f>
        <v>1</v>
      </c>
      <c r="AR531" s="179">
        <f>-Q531*(1-Z531)/(1+X531)*IF(W531="CLIENT",IF(S531=RIGHT(AJ531,3),1/AM531,AM531),IF(W531="VENDOR",IF(S531=RIGHT(AJ531,3),1/AE531,AE531),AE531^(VLOOKUP(AB531,'FX RATES'!$H$1:$J$26,3,FALSE))/AM531^(VLOOKUP(AJ531,'FX RATES'!$H$1:$J$26,3,FALSE))))</f>
        <v>-73336.767680000004</v>
      </c>
      <c r="AS531" s="179">
        <f>-I531*(1+X531)/(1-Z531)*IF(W531="VENDOR",IF(K531=RIGHT(AB531,3),1/AE531,AE531),IF(W531="CLIENT",IF(K531=RIGHT(AB531,3),1/AM531,AM531),AM531^(VLOOKUP(AJ531,'FX RATES'!$H$1:$J$26,3,FALSE))/AE531^(VLOOKUP(AB531,'FX RATES'!$H$1:$J$26,3,FALSE))))</f>
        <v>0</v>
      </c>
      <c r="AT531" s="170">
        <f ca="1">IF(AB531&lt;&gt;AJ531,J531/IF(K531=RIGHT(AB531,3),AE531,1/AE531),IF(S531="USD",J531/IF(K531=RIGHT(AB531,3),IF(W531="CLIENT",AM531,AE531),1/IF(W531="CLIENT",AM531,AE531)),J531*VLOOKUP(K531,'FX RATES'!$E$1:$F$10,2,FALSE)))</f>
        <v>-86390.712327040004</v>
      </c>
      <c r="AU531" s="170">
        <f ca="1">IF(AB531&lt;&gt;AJ531,R531/IF(S531=RIGHT(AJ531,3),AM531,1/AM531),IF(K531="USD",R531/IF(S531=RIGHT(AJ531,3),IF(W531="CLIENT",AM531,AE531),1/IF(W531="CLIENT",AM531,AE531)),R531*VLOOKUP(S531,'FX RATES'!$E$1:$F$10,2,FALSE)))</f>
        <v>86650.664319999996</v>
      </c>
      <c r="AV531" s="170">
        <f ca="1">AT531+AU531</f>
        <v>259.95199295999191</v>
      </c>
      <c r="AW531" s="169"/>
      <c r="AX531" s="170">
        <f ca="1">IF(AND(ISERROR(SEARCH("INVOICE",T531)),ISERROR(SEARCH("SWITCH",T531)),ISERROR(SEARCH("FOREX",T531)),ISERROR(SEARCH("REFUND",A531)),ISERROR(SEARCH("CANCELLED",A531))),IF(AW531="",-AT531*X531+AU531*Z531,AW531),0)</f>
        <v>259.95199295999998</v>
      </c>
      <c r="AY531" s="170">
        <f>IF(AZ531="USD",AT531,IF(AZ531=K531,J531,-R531))</f>
        <v>-73336.767680000004</v>
      </c>
      <c r="AZ531" s="170" t="str">
        <f>LEFT(AB531,3)</f>
        <v>EUR</v>
      </c>
      <c r="BA531" s="542">
        <f>IF(OR(A531="REFUND",A531="CANCELLED"),0,IFERROR((IF(OR(AB531="USDAED",LEFT(AB531,3)=RIGHT(AB531,3)),AI531,AG531)-AE531)*-AY531*VLOOKUP(AB531,'FX RATES'!$H$1:$J$26,3,FALSE),0))</f>
        <v>0</v>
      </c>
      <c r="BB531" s="170" t="str">
        <f>RIGHT(AB531,3)</f>
        <v>EUR</v>
      </c>
      <c r="BC531" s="542">
        <f>IF(BA531=0,0,IFERROR(BA531/IF(BB531&lt;&gt;"USD",AI531,1),"???"))</f>
        <v>0</v>
      </c>
      <c r="BD531" s="170">
        <f>IFERROR(-AC531/(IF(OR(AB531="USDAED",LEFT(AB531,3)=RIGHT(AB531,3)),AH531,AG531)-AE531)*BC531,0)</f>
        <v>0</v>
      </c>
      <c r="BE531" s="542">
        <f>BC531-BD531</f>
        <v>0</v>
      </c>
      <c r="BF531" s="170">
        <f>IF(BG531="USD",AU531,IF(BG531=S531,R531,-J531))</f>
        <v>73557.440000000002</v>
      </c>
      <c r="BG531" s="170" t="str">
        <f>LEFT(AJ531,3)</f>
        <v>EUR</v>
      </c>
      <c r="BH531" s="542">
        <f>IF(OR(A531="REFUND",A531="CANCELLED"),0,IFERROR((IF(OR(AJ531="USDAED",LEFT(AJ531,3)=RIGHT(AJ531,3)),AQ531,AO531)-AM531)*-BF531*VLOOKUP(AJ531,'FX RATES'!$H$1:$J$26,3,FALSE),0))</f>
        <v>0</v>
      </c>
      <c r="BI531" s="170" t="str">
        <f>RIGHT(AJ531,3)</f>
        <v>EUR</v>
      </c>
      <c r="BJ531" s="542">
        <f>IF(BH531=0,0,IFERROR(BH531/IF(BI531&lt;&gt;"USD",AQ531,1),"???"))</f>
        <v>0</v>
      </c>
      <c r="BK531" s="170">
        <f>IFERROR(-AK531/(IF(OR(AJ531="USDAED",LEFT(AJ531,3)=RIGHT(AJ531,3)),AP531,AO531)-AM531)*BJ531,0)</f>
        <v>0</v>
      </c>
      <c r="BL531" s="542">
        <f>BJ531-BK531</f>
        <v>0</v>
      </c>
      <c r="BM531" s="170">
        <f>IF(AND(ISERROR(SEARCH("REFUND",A531)),ISERROR(SEARCH("CANCELLED",A531))),BD531+BK531,0)</f>
        <v>0</v>
      </c>
      <c r="BN531" s="542">
        <f>IF(AND(ISERROR(SEARCH("REFUND",A531)),ISERROR(SEARCH("CANCELLED",A531))),BE531+BL531,0)</f>
        <v>0</v>
      </c>
    </row>
    <row r="532" spans="1:66" ht="19.5" customHeight="1">
      <c r="A532" s="167"/>
      <c r="B532" s="182"/>
      <c r="C532" s="182"/>
      <c r="D532" s="182"/>
      <c r="E532" s="184"/>
      <c r="F532" s="184"/>
      <c r="G532" s="182"/>
      <c r="H532" s="182"/>
      <c r="I532" s="170"/>
      <c r="J532" s="170"/>
      <c r="K532" s="182"/>
      <c r="L532" s="184"/>
      <c r="M532" s="182"/>
      <c r="O532" s="182"/>
      <c r="P532" s="444"/>
      <c r="Q532" s="170"/>
      <c r="R532" s="170"/>
      <c r="S532" s="182"/>
      <c r="T532" s="184"/>
      <c r="U532" s="182"/>
      <c r="X532" s="173"/>
      <c r="Y532" s="173"/>
      <c r="Z532" s="173"/>
      <c r="AA532" s="173"/>
      <c r="AB532" s="173"/>
      <c r="AC532" s="175"/>
      <c r="AD532" s="177"/>
      <c r="AE532" s="177"/>
      <c r="AF532" s="177"/>
      <c r="AG532" s="177"/>
      <c r="AH532" s="178"/>
      <c r="AI532" s="178"/>
      <c r="AJ532" s="173"/>
      <c r="AK532" s="175"/>
      <c r="AL532" s="177"/>
      <c r="AM532" s="177"/>
      <c r="AN532" s="177"/>
      <c r="AO532" s="177"/>
      <c r="AP532" s="178"/>
      <c r="AQ532" s="178"/>
      <c r="AR532" s="185"/>
      <c r="AS532" s="185"/>
      <c r="AT532" s="170"/>
      <c r="AU532" s="170"/>
      <c r="AV532" s="170"/>
      <c r="AW532" s="170"/>
      <c r="AX532" s="170"/>
      <c r="AY532" s="170"/>
      <c r="AZ532" s="170"/>
      <c r="BA532" s="542"/>
      <c r="BB532" s="170"/>
      <c r="BC532" s="542"/>
      <c r="BD532" s="170"/>
      <c r="BE532" s="542"/>
      <c r="BF532" s="170"/>
      <c r="BG532" s="170"/>
      <c r="BH532" s="542"/>
      <c r="BI532" s="170"/>
      <c r="BJ532" s="542"/>
      <c r="BK532" s="170"/>
      <c r="BL532" s="542"/>
      <c r="BM532" s="170"/>
      <c r="BN532" s="542"/>
    </row>
    <row r="533" spans="1:66" ht="19.5" customHeight="1">
      <c r="A533" s="167" t="s">
        <v>601</v>
      </c>
      <c r="B533" s="168" t="s">
        <v>39</v>
      </c>
      <c r="C533" s="168" t="s">
        <v>367</v>
      </c>
      <c r="D533" s="181" t="s">
        <v>368</v>
      </c>
      <c r="E533" s="171">
        <v>46063</v>
      </c>
      <c r="F533" s="171"/>
      <c r="G533" s="168" t="s">
        <v>39</v>
      </c>
      <c r="H533" s="181" t="s">
        <v>424</v>
      </c>
      <c r="I533" s="169">
        <v>-396390</v>
      </c>
      <c r="J533" s="170">
        <f t="shared" ref="J533:J538" si="585">IF(I533="",AR533,I533)</f>
        <v>-396390</v>
      </c>
      <c r="K533" s="168" t="s">
        <v>5</v>
      </c>
      <c r="L533" s="168" t="s">
        <v>402</v>
      </c>
      <c r="M533" s="168" t="s">
        <v>20</v>
      </c>
      <c r="N533" s="167" t="s">
        <v>553</v>
      </c>
      <c r="O533" s="168" t="s">
        <v>52</v>
      </c>
      <c r="P533" s="349" t="s">
        <v>379</v>
      </c>
      <c r="Q533" s="169"/>
      <c r="R533" s="170">
        <f t="shared" ref="R533:R538" si="586">IF(Q533="",AS533,Q533)</f>
        <v>30758708.692462314</v>
      </c>
      <c r="S533" s="168" t="s">
        <v>9</v>
      </c>
      <c r="T533" s="171" t="s">
        <v>380</v>
      </c>
      <c r="U533" s="168" t="s">
        <v>25</v>
      </c>
      <c r="V533" s="167" t="s">
        <v>371</v>
      </c>
      <c r="W533" s="172" t="s">
        <v>375</v>
      </c>
      <c r="X533" s="173">
        <f>IF(Y533="",VLOOKUP(H533,CLIENTS!$A$1:$O$649,5,FALSE),Y533)</f>
        <v>0</v>
      </c>
      <c r="Y533" s="174">
        <v>0</v>
      </c>
      <c r="Z533" s="173">
        <f>IF(AA533="",VLOOKUP(P533,CLIENTS!$A$1:$O$649,5,FALSE),AA533)</f>
        <v>5.0000000000000001E-3</v>
      </c>
      <c r="AA533" s="174">
        <v>5.0000000000000001E-3</v>
      </c>
      <c r="AB533" s="173" t="str">
        <f>IF(W533="via USD",IF(K533="EUR",K533&amp;"USD","USD"&amp;K533),IFERROR(VLOOKUP(K533&amp;S533,'FX RATES'!$H$2:$H$20,1,FALSE),S533&amp;K533))</f>
        <v>USDUSD</v>
      </c>
      <c r="AC533" s="175">
        <f>IF(LEFT(AB533,3)=RIGHT(AB533,3),0,IFERROR(INDEX(CLIENTS!$A$1:$O$649,MATCH(H533,CLIENTS!$A$1:$A$649,0),MATCH(AB533,CLIENTS!$A$1:$O$1,0)),0))</f>
        <v>0</v>
      </c>
      <c r="AD533" s="176"/>
      <c r="AE533" s="177">
        <f t="shared" ref="AE533:AE538" si="587">IF(W533="CLIENT","",IF(AD533="",AH533+AC533,AD533+AC533))</f>
        <v>1</v>
      </c>
      <c r="AF533" s="177" t="str">
        <f t="shared" ref="AF533:AF538" si="588">E533&amp;AB533</f>
        <v>46063USDUSD</v>
      </c>
      <c r="AG533" s="176"/>
      <c r="AH533" s="178">
        <f>IF(LEFT(AB533,3)=RIGHT(AB533,3),1,VLOOKUP(AB533,'FX RATES'!$H$1:$I$20,2,FALSE))</f>
        <v>1</v>
      </c>
      <c r="AI533" s="178">
        <f t="shared" ref="AI533:AI538" si="589">IF(OR(AB533="USDAED",LEFT(AB533,3)=RIGHT(AB533,3)),AH533,IF(LEFT(AB533)="USD",AG533,IF(RIGHT(AB533,3)="USD",1,IFERROR(VLOOKUP(E533&amp;"USD"&amp;RIGHT(AB533,3),$AF:$AG,2,FALSE),VLOOKUP(E533&amp;"USD"&amp;RIGHT(AJ533,3),$AN:$AO,2,FALSE)))))</f>
        <v>1</v>
      </c>
      <c r="AJ533" s="173" t="str">
        <f>IF(W533="via USD",IF(S533="EUR",S533&amp;"USD","USD"&amp;S533),IFERROR(VLOOKUP(K533&amp;S533,'FX RATES'!$H$2:$H$20,1,FALSE),S533&amp;K533))</f>
        <v>USDRUB</v>
      </c>
      <c r="AK533" s="175">
        <f>IF(LEFT(AJ533,3)=RIGHT(AJ533,3),0,IFERROR(INDEX(CLIENTS!$A$1:$O$649,MATCH(P533,CLIENTS!$A$1:$A$649,0),MATCH(AJ533,CLIENTS!$A$1:$O$1,0)),0))</f>
        <v>0</v>
      </c>
      <c r="AL533" s="176">
        <v>77.209100000000007</v>
      </c>
      <c r="AM533" s="177">
        <f t="shared" ref="AM533:AM538" si="590">IF(W533="VENDOR","",IF(AL533="",AP533+AK533,AL533+AK533))</f>
        <v>77.209100000000007</v>
      </c>
      <c r="AN533" s="177" t="str">
        <f t="shared" ref="AN533:AN538" si="591">E533&amp;AJ533</f>
        <v>46063USDRUB</v>
      </c>
      <c r="AO533" s="176">
        <v>77.2</v>
      </c>
      <c r="AP533" s="178">
        <f ca="1">IF(LEFT(AJ533,3)=RIGHT(AJ533,3),1,VLOOKUP(AJ533,'FX RATES'!$H$1:$I$20,2,FALSE))</f>
        <v>76.720500000000001</v>
      </c>
      <c r="AQ533" s="178">
        <f t="shared" ref="AQ533:AQ538" si="592">IF(OR(AJ533="USDAED",LEFT(AJ533,3)=RIGHT(AJ533,3)),AP533,IF(LEFT(AJ533)="USD",AO533,IF(RIGHT(AJ533,3)="USD",1,IFERROR(VLOOKUP(E533&amp;"USD"&amp;RIGHT(AJ533,3),$AN:$AO,2,FALSE),VLOOKUP(E533&amp;"USD"&amp;RIGHT(AB533,3),$AF:$AG,2,FALSE)))))</f>
        <v>77.2</v>
      </c>
      <c r="AR533" s="179">
        <f>-Q533*(1-Z533)/(1+X533)*IF(W533="CLIENT",IF(S533=RIGHT(AJ533,3),1/AM533,AM533),IF(W533="VENDOR",IF(S533=RIGHT(AJ533,3),1/AE533,AE533),AE533^(VLOOKUP(AB533,'FX RATES'!$H$1:$J$26,3,FALSE))/AM533^(VLOOKUP(AJ533,'FX RATES'!$H$1:$J$26,3,FALSE))))</f>
        <v>0</v>
      </c>
      <c r="AS533" s="179">
        <f>-I533*(1+X533)/(1-Z533)*IF(W533="VENDOR",IF(K533=RIGHT(AB533,3),1/AE533,AE533),IF(W533="CLIENT",IF(K533=RIGHT(AB533,3),1/AM533,AM533),AM533^(VLOOKUP(AJ533,'FX RATES'!$H$1:$J$26,3,FALSE))/AE533^(VLOOKUP(AB533,'FX RATES'!$H$1:$J$26,3,FALSE))))</f>
        <v>30758708.692462314</v>
      </c>
      <c r="AT533" s="170">
        <f>IF(AB533&lt;&gt;AJ533,J533/IF(K533=RIGHT(AB533,3),AE533,1/AE533),IF(S533="USD",J533/IF(K533=RIGHT(AB533,3),IF(W533="CLIENT",AM533,AE533),1/IF(W533="CLIENT",AM533,AE533)),J533*VLOOKUP(K533,'FX RATES'!$E$1:$F$10,2,FALSE)))</f>
        <v>-396390</v>
      </c>
      <c r="AU533" s="170">
        <f>IF(AB533&lt;&gt;AJ533,R533/IF(S533=RIGHT(AJ533,3),AM533,1/AM533),IF(K533="USD",R533/IF(S533=RIGHT(AJ533,3),IF(W533="CLIENT",AM533,AE533),1/IF(W533="CLIENT",AM533,AE533)),R533*VLOOKUP(S533,'FX RATES'!$E$1:$F$10,2,FALSE)))</f>
        <v>398381.90954773867</v>
      </c>
      <c r="AV533" s="170">
        <f t="shared" ref="AV533:AV538" si="593">AT533+AU533</f>
        <v>1991.9095477386727</v>
      </c>
      <c r="AW533" s="169"/>
      <c r="AX533" s="170">
        <f t="shared" ref="AX533:AX538" si="594">IF(AND(ISERROR(SEARCH("INVOICE",T533)),ISERROR(SEARCH("SWITCH",T533)),ISERROR(SEARCH("FOREX",T533)),ISERROR(SEARCH("REFUND",A533)),ISERROR(SEARCH("CANCELLED",A533))),IF(AW533="",-AT533*X533+AU533*Z533,AW533),0)</f>
        <v>1991.9095477386934</v>
      </c>
      <c r="AY533" s="170">
        <f t="shared" ref="AY533:AY538" si="595">IF(AZ533="USD",AT533,IF(AZ533=K533,J533,-R533))</f>
        <v>-396390</v>
      </c>
      <c r="AZ533" s="170" t="str">
        <f t="shared" ref="AZ533:AZ538" si="596">LEFT(AB533,3)</f>
        <v>USD</v>
      </c>
      <c r="BA533" s="542">
        <f>IF(OR(A533="REFUND",A533="CANCELLED"),0,IFERROR((IF(OR(AB533="USDAED",LEFT(AB533,3)=RIGHT(AB533,3)),AI533,AG533)-AE533)*-AY533*VLOOKUP(AB533,'FX RATES'!$H$1:$J$26,3,FALSE),0))</f>
        <v>0</v>
      </c>
      <c r="BB533" s="170" t="str">
        <f t="shared" ref="BB533:BB538" si="597">RIGHT(AB533,3)</f>
        <v>USD</v>
      </c>
      <c r="BC533" s="542">
        <f t="shared" ref="BC533:BC538" si="598">IF(BA533=0,0,IFERROR(BA533/IF(BB533&lt;&gt;"USD",AI533,1),"???"))</f>
        <v>0</v>
      </c>
      <c r="BD533" s="170">
        <f t="shared" ref="BD533:BD538" si="599">IFERROR(-AC533/(IF(OR(AB533="USDAED",LEFT(AB533,3)=RIGHT(AB533,3)),AH533,AG533)-AE533)*BC533,0)</f>
        <v>0</v>
      </c>
      <c r="BE533" s="542">
        <f t="shared" ref="BE533:BE538" si="600">BC533-BD533</f>
        <v>0</v>
      </c>
      <c r="BF533" s="170">
        <f t="shared" ref="BF533:BF538" si="601">IF(BG533="USD",AU533,IF(BG533=S533,R533,-J533))</f>
        <v>398381.90954773867</v>
      </c>
      <c r="BG533" s="170" t="str">
        <f t="shared" ref="BG533:BG538" si="602">LEFT(AJ533,3)</f>
        <v>USD</v>
      </c>
      <c r="BH533" s="542">
        <f>IF(OR(A533="REFUND",A533="CANCELLED"),0,IFERROR((IF(OR(AJ533="USDAED",LEFT(AJ533,3)=RIGHT(AJ533,3)),AQ533,AO533)-AM533)*-BF533*VLOOKUP(AJ533,'FX RATES'!$H$1:$J$26,3,FALSE),0))</f>
        <v>3625.2753768858802</v>
      </c>
      <c r="BI533" s="170" t="str">
        <f t="shared" ref="BI533:BI538" si="603">RIGHT(AJ533,3)</f>
        <v>RUB</v>
      </c>
      <c r="BJ533" s="542">
        <f t="shared" ref="BJ533:BJ538" si="604">IF(BH533=0,0,IFERROR(BH533/IF(BI533&lt;&gt;"USD",AQ533,1),"???"))</f>
        <v>46.95952560733005</v>
      </c>
      <c r="BK533" s="170">
        <f t="shared" ref="BK533:BK538" si="605">IFERROR(-AK533/(IF(OR(AJ533="USDAED",LEFT(AJ533,3)=RIGHT(AJ533,3)),AP533,AO533)-AM533)*BJ533,0)</f>
        <v>0</v>
      </c>
      <c r="BL533" s="542">
        <f t="shared" ref="BL533:BL538" si="606">BJ533-BK533</f>
        <v>46.95952560733005</v>
      </c>
      <c r="BM533" s="170">
        <f t="shared" ref="BM533:BM538" si="607">IF(AND(ISERROR(SEARCH("REFUND",A533)),ISERROR(SEARCH("CANCELLED",A533))),BD533+BK533,0)</f>
        <v>0</v>
      </c>
      <c r="BN533" s="542">
        <f t="shared" ref="BN533:BN538" si="608">IF(AND(ISERROR(SEARCH("REFUND",A533)),ISERROR(SEARCH("CANCELLED",A533))),BE533+BL533,0)</f>
        <v>46.95952560733005</v>
      </c>
    </row>
    <row r="534" spans="1:66" ht="19.5" customHeight="1">
      <c r="A534" s="167" t="s">
        <v>601</v>
      </c>
      <c r="B534" s="168" t="s">
        <v>39</v>
      </c>
      <c r="C534" s="168" t="s">
        <v>367</v>
      </c>
      <c r="D534" s="181" t="s">
        <v>368</v>
      </c>
      <c r="E534" s="171">
        <v>46063</v>
      </c>
      <c r="F534" s="171"/>
      <c r="G534" s="168" t="s">
        <v>39</v>
      </c>
      <c r="H534" s="181" t="s">
        <v>397</v>
      </c>
      <c r="I534" s="169">
        <v>-213675</v>
      </c>
      <c r="J534" s="170">
        <f t="shared" si="585"/>
        <v>-213675</v>
      </c>
      <c r="K534" s="168" t="s">
        <v>5</v>
      </c>
      <c r="L534" s="168" t="s">
        <v>398</v>
      </c>
      <c r="M534" s="168" t="s">
        <v>20</v>
      </c>
      <c r="N534" s="167" t="s">
        <v>553</v>
      </c>
      <c r="O534" s="168" t="s">
        <v>52</v>
      </c>
      <c r="P534" s="349" t="s">
        <v>379</v>
      </c>
      <c r="Q534" s="169"/>
      <c r="R534" s="170">
        <f t="shared" si="586"/>
        <v>16580557.228643218</v>
      </c>
      <c r="S534" s="168" t="s">
        <v>9</v>
      </c>
      <c r="T534" s="171" t="s">
        <v>380</v>
      </c>
      <c r="U534" s="168" t="s">
        <v>25</v>
      </c>
      <c r="V534" s="167" t="s">
        <v>371</v>
      </c>
      <c r="W534" s="172" t="s">
        <v>375</v>
      </c>
      <c r="X534" s="173">
        <f>IF(Y534="",VLOOKUP(H534,CLIENTS!$A$1:$O$649,5,FALSE),Y534)</f>
        <v>0</v>
      </c>
      <c r="Y534" s="174">
        <v>0</v>
      </c>
      <c r="Z534" s="173">
        <f>IF(AA534="",VLOOKUP(P534,CLIENTS!$A$1:$O$649,5,FALSE),AA534)</f>
        <v>5.0000000000000001E-3</v>
      </c>
      <c r="AA534" s="174">
        <v>5.0000000000000001E-3</v>
      </c>
      <c r="AB534" s="173" t="str">
        <f>IF(W534="via USD",IF(K534="EUR",K534&amp;"USD","USD"&amp;K534),IFERROR(VLOOKUP(K534&amp;S534,'FX RATES'!$H$2:$H$20,1,FALSE),S534&amp;K534))</f>
        <v>USDUSD</v>
      </c>
      <c r="AC534" s="175">
        <f>IF(LEFT(AB534,3)=RIGHT(AB534,3),0,IFERROR(INDEX(CLIENTS!$A$1:$O$649,MATCH(H534,CLIENTS!$A$1:$A$649,0),MATCH(AB534,CLIENTS!$A$1:$O$1,0)),0))</f>
        <v>0</v>
      </c>
      <c r="AD534" s="176"/>
      <c r="AE534" s="177">
        <f t="shared" si="587"/>
        <v>1</v>
      </c>
      <c r="AF534" s="177" t="str">
        <f t="shared" si="588"/>
        <v>46063USDUSD</v>
      </c>
      <c r="AG534" s="176"/>
      <c r="AH534" s="178">
        <f>IF(LEFT(AB534,3)=RIGHT(AB534,3),1,VLOOKUP(AB534,'FX RATES'!$H$1:$I$20,2,FALSE))</f>
        <v>1</v>
      </c>
      <c r="AI534" s="178">
        <f t="shared" si="589"/>
        <v>1</v>
      </c>
      <c r="AJ534" s="173" t="str">
        <f>IF(W534="via USD",IF(S534="EUR",S534&amp;"USD","USD"&amp;S534),IFERROR(VLOOKUP(K534&amp;S534,'FX RATES'!$H$2:$H$20,1,FALSE),S534&amp;K534))</f>
        <v>USDRUB</v>
      </c>
      <c r="AK534" s="175">
        <f>IF(LEFT(AJ534,3)=RIGHT(AJ534,3),0,IFERROR(INDEX(CLIENTS!$A$1:$O$649,MATCH(P534,CLIENTS!$A$1:$A$649,0),MATCH(AJ534,CLIENTS!$A$1:$O$1,0)),0))</f>
        <v>0</v>
      </c>
      <c r="AL534" s="176">
        <v>77.209100000000007</v>
      </c>
      <c r="AM534" s="177">
        <f t="shared" si="590"/>
        <v>77.209100000000007</v>
      </c>
      <c r="AN534" s="177" t="str">
        <f t="shared" si="591"/>
        <v>46063USDRUB</v>
      </c>
      <c r="AO534" s="176">
        <v>77.2</v>
      </c>
      <c r="AP534" s="178">
        <f ca="1">IF(LEFT(AJ534,3)=RIGHT(AJ534,3),1,VLOOKUP(AJ534,'FX RATES'!$H$1:$I$20,2,FALSE))</f>
        <v>76.720500000000001</v>
      </c>
      <c r="AQ534" s="178">
        <f t="shared" si="592"/>
        <v>77.2</v>
      </c>
      <c r="AR534" s="179">
        <f>-Q534*(1-Z534)/(1+X534)*IF(W534="CLIENT",IF(S534=RIGHT(AJ534,3),1/AM534,AM534),IF(W534="VENDOR",IF(S534=RIGHT(AJ534,3),1/AE534,AE534),AE534^(VLOOKUP(AB534,'FX RATES'!$H$1:$J$26,3,FALSE))/AM534^(VLOOKUP(AJ534,'FX RATES'!$H$1:$J$26,3,FALSE))))</f>
        <v>0</v>
      </c>
      <c r="AS534" s="179">
        <f>-I534*(1+X534)/(1-Z534)*IF(W534="VENDOR",IF(K534=RIGHT(AB534,3),1/AE534,AE534),IF(W534="CLIENT",IF(K534=RIGHT(AB534,3),1/AM534,AM534),AM534^(VLOOKUP(AJ534,'FX RATES'!$H$1:$J$26,3,FALSE))/AE534^(VLOOKUP(AB534,'FX RATES'!$H$1:$J$26,3,FALSE))))</f>
        <v>16580557.228643218</v>
      </c>
      <c r="AT534" s="170">
        <f>IF(AB534&lt;&gt;AJ534,J534/IF(K534=RIGHT(AB534,3),AE534,1/AE534),IF(S534="USD",J534/IF(K534=RIGHT(AB534,3),IF(W534="CLIENT",AM534,AE534),1/IF(W534="CLIENT",AM534,AE534)),J534*VLOOKUP(K534,'FX RATES'!$E$1:$F$10,2,FALSE)))</f>
        <v>-213675</v>
      </c>
      <c r="AU534" s="170">
        <f>IF(AB534&lt;&gt;AJ534,R534/IF(S534=RIGHT(AJ534,3),AM534,1/AM534),IF(K534="USD",R534/IF(S534=RIGHT(AJ534,3),IF(W534="CLIENT",AM534,AE534),1/IF(W534="CLIENT",AM534,AE534)),R534*VLOOKUP(S534,'FX RATES'!$E$1:$F$10,2,FALSE)))</f>
        <v>214748.74371859297</v>
      </c>
      <c r="AV534" s="170">
        <f t="shared" si="593"/>
        <v>1073.7437185929739</v>
      </c>
      <c r="AW534" s="169"/>
      <c r="AX534" s="170">
        <f t="shared" si="594"/>
        <v>1073.7437185929648</v>
      </c>
      <c r="AY534" s="170">
        <f t="shared" si="595"/>
        <v>-213675</v>
      </c>
      <c r="AZ534" s="170" t="str">
        <f t="shared" si="596"/>
        <v>USD</v>
      </c>
      <c r="BA534" s="542">
        <f>IF(OR(A534="REFUND",A534="CANCELLED"),0,IFERROR((IF(OR(AB534="USDAED",LEFT(AB534,3)=RIGHT(AB534,3)),AI534,AG534)-AE534)*-AY534*VLOOKUP(AB534,'FX RATES'!$H$1:$J$26,3,FALSE),0))</f>
        <v>0</v>
      </c>
      <c r="BB534" s="170" t="str">
        <f t="shared" si="597"/>
        <v>USD</v>
      </c>
      <c r="BC534" s="542">
        <f t="shared" si="598"/>
        <v>0</v>
      </c>
      <c r="BD534" s="170">
        <f t="shared" si="599"/>
        <v>0</v>
      </c>
      <c r="BE534" s="542">
        <f t="shared" si="600"/>
        <v>0</v>
      </c>
      <c r="BF534" s="170">
        <f t="shared" si="601"/>
        <v>214748.74371859297</v>
      </c>
      <c r="BG534" s="170" t="str">
        <f t="shared" si="602"/>
        <v>USD</v>
      </c>
      <c r="BH534" s="542">
        <f>IF(OR(A534="REFUND",A534="CANCELLED"),0,IFERROR((IF(OR(AJ534="USDAED",LEFT(AJ534,3)=RIGHT(AJ534,3)),AQ534,AO534)-AM534)*-BF534*VLOOKUP(AJ534,'FX RATES'!$H$1:$J$26,3,FALSE),0))</f>
        <v>1954.2135678399823</v>
      </c>
      <c r="BI534" s="170" t="str">
        <f t="shared" si="603"/>
        <v>RUB</v>
      </c>
      <c r="BJ534" s="542">
        <f t="shared" si="604"/>
        <v>25.31364725181324</v>
      </c>
      <c r="BK534" s="170">
        <f t="shared" si="605"/>
        <v>0</v>
      </c>
      <c r="BL534" s="542">
        <f t="shared" si="606"/>
        <v>25.31364725181324</v>
      </c>
      <c r="BM534" s="170">
        <f t="shared" si="607"/>
        <v>0</v>
      </c>
      <c r="BN534" s="542">
        <f t="shared" si="608"/>
        <v>25.31364725181324</v>
      </c>
    </row>
    <row r="535" spans="1:66" ht="19.5" customHeight="1">
      <c r="A535" s="167" t="s">
        <v>601</v>
      </c>
      <c r="B535" s="168" t="s">
        <v>31</v>
      </c>
      <c r="C535" s="168" t="s">
        <v>367</v>
      </c>
      <c r="D535" s="181" t="s">
        <v>368</v>
      </c>
      <c r="E535" s="171">
        <v>46063</v>
      </c>
      <c r="F535" s="171"/>
      <c r="G535" s="168" t="s">
        <v>31</v>
      </c>
      <c r="H535" s="181" t="s">
        <v>377</v>
      </c>
      <c r="I535" s="169">
        <v>-95231</v>
      </c>
      <c r="J535" s="170">
        <f t="shared" si="585"/>
        <v>-95231</v>
      </c>
      <c r="K535" s="168" t="s">
        <v>5</v>
      </c>
      <c r="L535" s="168" t="s">
        <v>378</v>
      </c>
      <c r="M535" s="168" t="s">
        <v>14</v>
      </c>
      <c r="N535" s="167" t="s">
        <v>553</v>
      </c>
      <c r="O535" s="168" t="s">
        <v>52</v>
      </c>
      <c r="P535" s="349" t="s">
        <v>379</v>
      </c>
      <c r="Q535" s="169"/>
      <c r="R535" s="170">
        <f t="shared" si="586"/>
        <v>7389648.0423115585</v>
      </c>
      <c r="S535" s="168" t="s">
        <v>9</v>
      </c>
      <c r="T535" s="171" t="s">
        <v>380</v>
      </c>
      <c r="U535" s="168" t="s">
        <v>25</v>
      </c>
      <c r="V535" s="167" t="s">
        <v>371</v>
      </c>
      <c r="W535" s="172" t="s">
        <v>375</v>
      </c>
      <c r="X535" s="173">
        <f>IF(Y535="",VLOOKUP(H535,CLIENTS!$A$1:$O$649,5,FALSE),Y535)</f>
        <v>0</v>
      </c>
      <c r="Y535" s="174">
        <v>0</v>
      </c>
      <c r="Z535" s="173">
        <f>IF(AA535="",VLOOKUP(P535,CLIENTS!$A$1:$O$649,5,FALSE),AA535)</f>
        <v>5.0000000000000001E-3</v>
      </c>
      <c r="AA535" s="174">
        <v>5.0000000000000001E-3</v>
      </c>
      <c r="AB535" s="173" t="str">
        <f>IF(W535="via USD",IF(K535="EUR",K535&amp;"USD","USD"&amp;K535),IFERROR(VLOOKUP(K535&amp;S535,'FX RATES'!$H$2:$H$20,1,FALSE),S535&amp;K535))</f>
        <v>USDUSD</v>
      </c>
      <c r="AC535" s="175">
        <f>IF(LEFT(AB535,3)=RIGHT(AB535,3),0,IFERROR(INDEX(CLIENTS!$A$1:$O$649,MATCH(H535,CLIENTS!$A$1:$A$649,0),MATCH(AB535,CLIENTS!$A$1:$O$1,0)),0))</f>
        <v>0</v>
      </c>
      <c r="AD535" s="176"/>
      <c r="AE535" s="177">
        <f t="shared" si="587"/>
        <v>1</v>
      </c>
      <c r="AF535" s="177" t="str">
        <f t="shared" si="588"/>
        <v>46063USDUSD</v>
      </c>
      <c r="AG535" s="176"/>
      <c r="AH535" s="178">
        <f>IF(LEFT(AB535,3)=RIGHT(AB535,3),1,VLOOKUP(AB535,'FX RATES'!$H$1:$I$20,2,FALSE))</f>
        <v>1</v>
      </c>
      <c r="AI535" s="178">
        <f t="shared" si="589"/>
        <v>1</v>
      </c>
      <c r="AJ535" s="173" t="str">
        <f>IF(W535="via USD",IF(S535="EUR",S535&amp;"USD","USD"&amp;S535),IFERROR(VLOOKUP(K535&amp;S535,'FX RATES'!$H$2:$H$20,1,FALSE),S535&amp;K535))</f>
        <v>USDRUB</v>
      </c>
      <c r="AK535" s="175">
        <f>IF(LEFT(AJ535,3)=RIGHT(AJ535,3),0,IFERROR(INDEX(CLIENTS!$A$1:$O$649,MATCH(P535,CLIENTS!$A$1:$A$649,0),MATCH(AJ535,CLIENTS!$A$1:$O$1,0)),0))</f>
        <v>0</v>
      </c>
      <c r="AL535" s="176">
        <v>77.209100000000007</v>
      </c>
      <c r="AM535" s="177">
        <f t="shared" si="590"/>
        <v>77.209100000000007</v>
      </c>
      <c r="AN535" s="177" t="str">
        <f t="shared" si="591"/>
        <v>46063USDRUB</v>
      </c>
      <c r="AO535" s="176">
        <v>77.2</v>
      </c>
      <c r="AP535" s="178">
        <f ca="1">IF(LEFT(AJ535,3)=RIGHT(AJ535,3),1,VLOOKUP(AJ535,'FX RATES'!$H$1:$I$20,2,FALSE))</f>
        <v>76.720500000000001</v>
      </c>
      <c r="AQ535" s="178">
        <f t="shared" si="592"/>
        <v>77.2</v>
      </c>
      <c r="AR535" s="179">
        <f>-Q535*(1-Z535)/(1+X535)*IF(W535="CLIENT",IF(S535=RIGHT(AJ535,3),1/AM535,AM535),IF(W535="VENDOR",IF(S535=RIGHT(AJ535,3),1/AE535,AE535),AE535^(VLOOKUP(AB535,'FX RATES'!$H$1:$J$26,3,FALSE))/AM535^(VLOOKUP(AJ535,'FX RATES'!$H$1:$J$26,3,FALSE))))</f>
        <v>0</v>
      </c>
      <c r="AS535" s="179">
        <f>-I535*(1+X535)/(1-Z535)*IF(W535="VENDOR",IF(K535=RIGHT(AB535,3),1/AE535,AE535),IF(W535="CLIENT",IF(K535=RIGHT(AB535,3),1/AM535,AM535),AM535^(VLOOKUP(AJ535,'FX RATES'!$H$1:$J$26,3,FALSE))/AE535^(VLOOKUP(AB535,'FX RATES'!$H$1:$J$26,3,FALSE))))</f>
        <v>7389648.0423115585</v>
      </c>
      <c r="AT535" s="170">
        <f>IF(AB535&lt;&gt;AJ535,J535/IF(K535=RIGHT(AB535,3),AE535,1/AE535),IF(S535="USD",J535/IF(K535=RIGHT(AB535,3),IF(W535="CLIENT",AM535,AE535),1/IF(W535="CLIENT",AM535,AE535)),J535*VLOOKUP(K535,'FX RATES'!$E$1:$F$10,2,FALSE)))</f>
        <v>-95231</v>
      </c>
      <c r="AU535" s="170">
        <f>IF(AB535&lt;&gt;AJ535,R535/IF(S535=RIGHT(AJ535,3),AM535,1/AM535),IF(K535="USD",R535/IF(S535=RIGHT(AJ535,3),IF(W535="CLIENT",AM535,AE535),1/IF(W535="CLIENT",AM535,AE535)),R535*VLOOKUP(S535,'FX RATES'!$E$1:$F$10,2,FALSE)))</f>
        <v>95709.547738693465</v>
      </c>
      <c r="AV535" s="170">
        <f t="shared" si="593"/>
        <v>478.54773869346536</v>
      </c>
      <c r="AW535" s="169"/>
      <c r="AX535" s="170">
        <f t="shared" si="594"/>
        <v>478.54773869346735</v>
      </c>
      <c r="AY535" s="170">
        <f t="shared" si="595"/>
        <v>-95231</v>
      </c>
      <c r="AZ535" s="170" t="str">
        <f t="shared" si="596"/>
        <v>USD</v>
      </c>
      <c r="BA535" s="542">
        <f>IF(OR(A535="REFUND",A535="CANCELLED"),0,IFERROR((IF(OR(AB535="USDAED",LEFT(AB535,3)=RIGHT(AB535,3)),AI535,AG535)-AE535)*-AY535*VLOOKUP(AB535,'FX RATES'!$H$1:$J$26,3,FALSE),0))</f>
        <v>0</v>
      </c>
      <c r="BB535" s="170" t="str">
        <f t="shared" si="597"/>
        <v>USD</v>
      </c>
      <c r="BC535" s="542">
        <f t="shared" si="598"/>
        <v>0</v>
      </c>
      <c r="BD535" s="170">
        <f t="shared" si="599"/>
        <v>0</v>
      </c>
      <c r="BE535" s="542">
        <f t="shared" si="600"/>
        <v>0</v>
      </c>
      <c r="BF535" s="170">
        <f t="shared" si="601"/>
        <v>95709.547738693465</v>
      </c>
      <c r="BG535" s="170" t="str">
        <f t="shared" si="602"/>
        <v>USD</v>
      </c>
      <c r="BH535" s="542">
        <f>IF(OR(A535="REFUND",A535="CANCELLED"),0,IFERROR((IF(OR(AJ535="USDAED",LEFT(AJ535,3)=RIGHT(AJ535,3)),AQ535,AO535)-AM535)*-BF535*VLOOKUP(AJ535,'FX RATES'!$H$1:$J$26,3,FALSE),0))</f>
        <v>870.95688442246092</v>
      </c>
      <c r="BI535" s="170" t="str">
        <f t="shared" si="603"/>
        <v>RUB</v>
      </c>
      <c r="BJ535" s="542">
        <f t="shared" si="604"/>
        <v>11.281824927752083</v>
      </c>
      <c r="BK535" s="170">
        <f t="shared" si="605"/>
        <v>0</v>
      </c>
      <c r="BL535" s="542">
        <f t="shared" si="606"/>
        <v>11.281824927752083</v>
      </c>
      <c r="BM535" s="170">
        <f t="shared" si="607"/>
        <v>0</v>
      </c>
      <c r="BN535" s="542">
        <f t="shared" si="608"/>
        <v>11.281824927752083</v>
      </c>
    </row>
    <row r="536" spans="1:66" ht="19.5" customHeight="1">
      <c r="A536" s="167" t="s">
        <v>601</v>
      </c>
      <c r="B536" s="168" t="s">
        <v>39</v>
      </c>
      <c r="C536" s="168" t="s">
        <v>367</v>
      </c>
      <c r="D536" s="168" t="s">
        <v>368</v>
      </c>
      <c r="E536" s="171">
        <v>46063</v>
      </c>
      <c r="F536" s="171"/>
      <c r="G536" s="168" t="s">
        <v>39</v>
      </c>
      <c r="H536" s="181" t="s">
        <v>369</v>
      </c>
      <c r="I536" s="169">
        <v>-91457.05</v>
      </c>
      <c r="J536" s="170">
        <f t="shared" si="585"/>
        <v>-91457.05</v>
      </c>
      <c r="K536" s="168" t="s">
        <v>5</v>
      </c>
      <c r="L536" s="168" t="s">
        <v>569</v>
      </c>
      <c r="M536" s="168" t="s">
        <v>20</v>
      </c>
      <c r="N536" s="167" t="s">
        <v>553</v>
      </c>
      <c r="O536" s="168" t="s">
        <v>52</v>
      </c>
      <c r="P536" s="168" t="s">
        <v>372</v>
      </c>
      <c r="Q536" s="169"/>
      <c r="R536" s="170">
        <f t="shared" si="586"/>
        <v>7125445.5289152386</v>
      </c>
      <c r="S536" s="168" t="s">
        <v>9</v>
      </c>
      <c r="T536" s="171" t="s">
        <v>373</v>
      </c>
      <c r="U536" s="168" t="s">
        <v>25</v>
      </c>
      <c r="V536" s="167" t="s">
        <v>371</v>
      </c>
      <c r="W536" s="172" t="s">
        <v>375</v>
      </c>
      <c r="X536" s="173">
        <f>IF(Y536="",VLOOKUP(H536,CLIENTS!$A$1:$O$649,5,FALSE),Y536)</f>
        <v>0</v>
      </c>
      <c r="Y536" s="174">
        <v>0</v>
      </c>
      <c r="Z536" s="173">
        <f>IF(AA536="",VLOOKUP(P536,CLIENTS!$A$1:$O$649,5,FALSE),AA536)</f>
        <v>8.9999999999999993E-3</v>
      </c>
      <c r="AA536" s="174">
        <v>8.9999999999999993E-3</v>
      </c>
      <c r="AB536" s="173" t="str">
        <f>IF(W536="via USD",IF(K536="EUR",K536&amp;"USD","USD"&amp;K536),IFERROR(VLOOKUP(K536&amp;S536,'FX RATES'!$H$2:$H$20,1,FALSE),S536&amp;K536))</f>
        <v>USDUSD</v>
      </c>
      <c r="AC536" s="175">
        <f>IF(LEFT(AB536,3)=RIGHT(AB536,3),0,IFERROR(INDEX(CLIENTS!$A$1:$O$649,MATCH(H536,CLIENTS!$A$1:$A$649,0),MATCH(AB536,CLIENTS!$A$1:$O$1,0)),0))</f>
        <v>0</v>
      </c>
      <c r="AD536" s="176"/>
      <c r="AE536" s="177">
        <f t="shared" si="587"/>
        <v>1</v>
      </c>
      <c r="AF536" s="177" t="str">
        <f t="shared" si="588"/>
        <v>46063USDUSD</v>
      </c>
      <c r="AG536" s="176"/>
      <c r="AH536" s="178">
        <f>IF(LEFT(AB536,3)=RIGHT(AB536,3),1,VLOOKUP(AB536,'FX RATES'!$H$1:$I$20,2,FALSE))</f>
        <v>1</v>
      </c>
      <c r="AI536" s="178">
        <f t="shared" si="589"/>
        <v>1</v>
      </c>
      <c r="AJ536" s="173" t="str">
        <f>IF(W536="via USD",IF(S536="EUR",S536&amp;"USD","USD"&amp;S536),IFERROR(VLOOKUP(K536&amp;S536,'FX RATES'!$H$2:$H$20,1,FALSE),S536&amp;K536))</f>
        <v>USDRUB</v>
      </c>
      <c r="AK536" s="175">
        <f>IF(LEFT(AJ536,3)=RIGHT(AJ536,3),0,IFERROR(INDEX(CLIENTS!$A$1:$O$649,MATCH(P536,CLIENTS!$A$1:$A$649,0),MATCH(AJ536,CLIENTS!$A$1:$O$1,0)),0))</f>
        <v>0</v>
      </c>
      <c r="AL536" s="176">
        <v>77.209100000000007</v>
      </c>
      <c r="AM536" s="177">
        <f t="shared" si="590"/>
        <v>77.209100000000007</v>
      </c>
      <c r="AN536" s="177" t="str">
        <f t="shared" si="591"/>
        <v>46063USDRUB</v>
      </c>
      <c r="AO536" s="176">
        <v>77.2</v>
      </c>
      <c r="AP536" s="178">
        <f ca="1">IF(LEFT(AJ536,3)=RIGHT(AJ536,3),1,VLOOKUP(AJ536,'FX RATES'!$H$1:$I$20,2,FALSE))</f>
        <v>76.720500000000001</v>
      </c>
      <c r="AQ536" s="178">
        <f t="shared" si="592"/>
        <v>77.2</v>
      </c>
      <c r="AR536" s="179">
        <f>-Q536*(1-Z536)/(1+X536)*IF(W536="CLIENT",IF(S536=RIGHT(AJ536,3),1/AM536,AM536),IF(W536="VENDOR",IF(S536=RIGHT(AJ536,3),1/AE536,AE536),AE536^(VLOOKUP(AB536,'FX RATES'!$H$1:$J$26,3,FALSE))/AM536^(VLOOKUP(AJ536,'FX RATES'!$H$1:$J$26,3,FALSE))))</f>
        <v>0</v>
      </c>
      <c r="AS536" s="179">
        <f>-I536*(1+X536)/(1-Z536)*IF(W536="VENDOR",IF(K536=RIGHT(AB536,3),1/AE536,AE536),IF(W536="CLIENT",IF(K536=RIGHT(AB536,3),1/AM536,AM536),AM536^(VLOOKUP(AJ536,'FX RATES'!$H$1:$J$26,3,FALSE))/AE536^(VLOOKUP(AB536,'FX RATES'!$H$1:$J$26,3,FALSE))))</f>
        <v>7125445.5289152386</v>
      </c>
      <c r="AT536" s="170">
        <f>IF(AB536&lt;&gt;AJ536,J536/IF(K536=RIGHT(AB536,3),AE536,1/AE536),IF(S536="USD",J536/IF(K536=RIGHT(AB536,3),IF(W536="CLIENT",AM536,AE536),1/IF(W536="CLIENT",AM536,AE536)),J536*VLOOKUP(K536,'FX RATES'!$E$1:$F$10,2,FALSE)))</f>
        <v>-91457.05</v>
      </c>
      <c r="AU536" s="170">
        <f>IF(AB536&lt;&gt;AJ536,R536/IF(S536=RIGHT(AJ536,3),AM536,1/AM536),IF(K536="USD",R536/IF(S536=RIGHT(AJ536,3),IF(W536="CLIENT",AM536,AE536),1/IF(W536="CLIENT",AM536,AE536)),R536*VLOOKUP(S536,'FX RATES'!$E$1:$F$10,2,FALSE)))</f>
        <v>92287.638748738653</v>
      </c>
      <c r="AV536" s="170">
        <f t="shared" si="593"/>
        <v>830.58874873864988</v>
      </c>
      <c r="AW536" s="169"/>
      <c r="AX536" s="170">
        <f t="shared" si="594"/>
        <v>830.58874873864784</v>
      </c>
      <c r="AY536" s="170">
        <f t="shared" si="595"/>
        <v>-91457.05</v>
      </c>
      <c r="AZ536" s="170" t="str">
        <f t="shared" si="596"/>
        <v>USD</v>
      </c>
      <c r="BA536" s="542">
        <f>IF(OR(A536="REFUND",A536="CANCELLED"),0,IFERROR((IF(OR(AB536="USDAED",LEFT(AB536,3)=RIGHT(AB536,3)),AI536,AG536)-AE536)*-AY536*VLOOKUP(AB536,'FX RATES'!$H$1:$J$26,3,FALSE),0))</f>
        <v>0</v>
      </c>
      <c r="BB536" s="170" t="str">
        <f t="shared" si="597"/>
        <v>USD</v>
      </c>
      <c r="BC536" s="542">
        <f t="shared" si="598"/>
        <v>0</v>
      </c>
      <c r="BD536" s="170">
        <f t="shared" si="599"/>
        <v>0</v>
      </c>
      <c r="BE536" s="542">
        <f t="shared" si="600"/>
        <v>0</v>
      </c>
      <c r="BF536" s="170">
        <f t="shared" si="601"/>
        <v>92287.638748738653</v>
      </c>
      <c r="BG536" s="170" t="str">
        <f t="shared" si="602"/>
        <v>USD</v>
      </c>
      <c r="BH536" s="542">
        <f>IF(OR(A536="REFUND",A536="CANCELLED"),0,IFERROR((IF(OR(AJ536="USDAED",LEFT(AJ536,3)=RIGHT(AJ536,3)),AQ536,AO536)-AM536)*-BF536*VLOOKUP(AJ536,'FX RATES'!$H$1:$J$26,3,FALSE),0))</f>
        <v>839.81751261385955</v>
      </c>
      <c r="BI536" s="170" t="str">
        <f t="shared" si="603"/>
        <v>RUB</v>
      </c>
      <c r="BJ536" s="542">
        <f t="shared" si="604"/>
        <v>10.878465189298698</v>
      </c>
      <c r="BK536" s="170">
        <f t="shared" si="605"/>
        <v>0</v>
      </c>
      <c r="BL536" s="542">
        <f t="shared" si="606"/>
        <v>10.878465189298698</v>
      </c>
      <c r="BM536" s="170">
        <f t="shared" si="607"/>
        <v>0</v>
      </c>
      <c r="BN536" s="542">
        <f t="shared" si="608"/>
        <v>10.878465189298698</v>
      </c>
    </row>
    <row r="537" spans="1:66" ht="19.5" customHeight="1">
      <c r="A537" s="167" t="s">
        <v>601</v>
      </c>
      <c r="B537" s="168" t="s">
        <v>52</v>
      </c>
      <c r="C537" s="168" t="s">
        <v>381</v>
      </c>
      <c r="D537" s="168" t="s">
        <v>128</v>
      </c>
      <c r="E537" s="171">
        <v>46063</v>
      </c>
      <c r="F537" s="171"/>
      <c r="G537" s="168" t="s">
        <v>52</v>
      </c>
      <c r="H537" s="168" t="s">
        <v>52</v>
      </c>
      <c r="I537" s="169"/>
      <c r="J537" s="170">
        <f t="shared" si="585"/>
        <v>-32101232.685494184</v>
      </c>
      <c r="K537" s="168" t="s">
        <v>9</v>
      </c>
      <c r="L537" s="168" t="s">
        <v>25</v>
      </c>
      <c r="M537" s="168" t="s">
        <v>25</v>
      </c>
      <c r="N537" s="167" t="s">
        <v>371</v>
      </c>
      <c r="O537" s="168" t="s">
        <v>52</v>
      </c>
      <c r="P537" s="168" t="s">
        <v>52</v>
      </c>
      <c r="Q537" s="169">
        <f>-(R534+R535+R536+J538)</f>
        <v>32101232.685494184</v>
      </c>
      <c r="R537" s="170">
        <f t="shared" si="586"/>
        <v>32101232.685494184</v>
      </c>
      <c r="S537" s="168" t="s">
        <v>9</v>
      </c>
      <c r="T537" s="168" t="s">
        <v>25</v>
      </c>
      <c r="U537" s="168" t="s">
        <v>25</v>
      </c>
      <c r="V537" s="167" t="s">
        <v>371</v>
      </c>
      <c r="W537" s="172" t="s">
        <v>382</v>
      </c>
      <c r="X537" s="173">
        <f>IF(Y537="",VLOOKUP(H537,CLIENTS!$A$1:$O$649,5,FALSE),Y537)</f>
        <v>0</v>
      </c>
      <c r="Y537" s="174"/>
      <c r="Z537" s="173">
        <f>IF(AA537="",VLOOKUP(P537,CLIENTS!$A$1:$O$649,5,FALSE),AA537)</f>
        <v>0</v>
      </c>
      <c r="AA537" s="174"/>
      <c r="AB537" s="173" t="str">
        <f>IF(W537="via USD",IF(K537="EUR",K537&amp;"USD","USD"&amp;K537),IFERROR(VLOOKUP(K537&amp;S537,'FX RATES'!$H$2:$H$20,1,FALSE),S537&amp;K537))</f>
        <v>RUBRUB</v>
      </c>
      <c r="AC537" s="175">
        <f>IF(LEFT(AB537,3)=RIGHT(AB537,3),0,IFERROR(INDEX(CLIENTS!$A$1:$O$649,MATCH(H537,CLIENTS!$A$1:$A$649,0),MATCH(AB537,CLIENTS!$A$1:$O$1,0)),0))</f>
        <v>0</v>
      </c>
      <c r="AD537" s="176"/>
      <c r="AE537" s="177">
        <f t="shared" si="587"/>
        <v>1</v>
      </c>
      <c r="AF537" s="177" t="str">
        <f t="shared" si="588"/>
        <v>46063RUBRUB</v>
      </c>
      <c r="AG537" s="176"/>
      <c r="AH537" s="178">
        <f>IF(LEFT(AB537,3)=RIGHT(AB537,3),1,VLOOKUP(AB537,'FX RATES'!$H$1:$I$20,2,FALSE))</f>
        <v>1</v>
      </c>
      <c r="AI537" s="178">
        <f t="shared" si="589"/>
        <v>1</v>
      </c>
      <c r="AJ537" s="173" t="str">
        <f>IF(W537="via USD",IF(S537="EUR",S537&amp;"USD","USD"&amp;S537),IFERROR(VLOOKUP(K537&amp;S537,'FX RATES'!$H$2:$H$20,1,FALSE),S537&amp;K537))</f>
        <v>RUBRUB</v>
      </c>
      <c r="AK537" s="175">
        <f>IF(LEFT(AJ537,3)=RIGHT(AJ537,3),0,IFERROR(INDEX(CLIENTS!$A$1:$O$649,MATCH(P537,CLIENTS!$A$1:$A$649,0),MATCH(AJ537,CLIENTS!$A$1:$O$1,0)),0))</f>
        <v>0</v>
      </c>
      <c r="AL537" s="176"/>
      <c r="AM537" s="177" t="str">
        <f t="shared" si="590"/>
        <v/>
      </c>
      <c r="AN537" s="177" t="str">
        <f t="shared" si="591"/>
        <v>46063RUBRUB</v>
      </c>
      <c r="AO537" s="176"/>
      <c r="AP537" s="178">
        <f>IF(LEFT(AJ537,3)=RIGHT(AJ537,3),1,VLOOKUP(AJ537,'FX RATES'!$H$1:$I$20,2,FALSE))</f>
        <v>1</v>
      </c>
      <c r="AQ537" s="178">
        <f t="shared" si="592"/>
        <v>1</v>
      </c>
      <c r="AR537" s="179">
        <f>-Q537*(1-Z537)/(1+X537)*IF(W537="CLIENT",IF(S537=RIGHT(AJ537,3),1/AM537,AM537),IF(W537="VENDOR",IF(S537=RIGHT(AJ537,3),1/AE537,AE537),AE537^(VLOOKUP(AB537,'FX RATES'!$H$1:$J$26,3,FALSE))/AM537^(VLOOKUP(AJ537,'FX RATES'!$H$1:$J$26,3,FALSE))))</f>
        <v>-32101232.685494184</v>
      </c>
      <c r="AS537" s="179">
        <f>-I537*(1+X537)/(1-Z537)*IF(W537="VENDOR",IF(K537=RIGHT(AB537,3),1/AE537,AE537),IF(W537="CLIENT",IF(K537=RIGHT(AB537,3),1/AM537,AM537),AM537^(VLOOKUP(AJ537,'FX RATES'!$H$1:$J$26,3,FALSE))/AE537^(VLOOKUP(AB537,'FX RATES'!$H$1:$J$26,3,FALSE))))</f>
        <v>0</v>
      </c>
      <c r="AT537" s="170">
        <f ca="1">IF(AB537&lt;&gt;AJ537,J537/IF(K537=RIGHT(AB537,3),AE537,1/AE537),IF(S537="USD",J537/IF(K537=RIGHT(AB537,3),IF(W537="CLIENT",AM537,AE537),1/IF(W537="CLIENT",AM537,AE537)),J537*VLOOKUP(K537,'FX RATES'!$E$1:$F$10,2,FALSE)))</f>
        <v>-418417.92852619814</v>
      </c>
      <c r="AU537" s="170">
        <f ca="1">IF(AB537&lt;&gt;AJ537,R537/IF(S537=RIGHT(AJ537,3),AM537,1/AM537),IF(K537="USD",R537/IF(S537=RIGHT(AJ537,3),IF(W537="CLIENT",AM537,AE537),1/IF(W537="CLIENT",AM537,AE537)),R537*VLOOKUP(S537,'FX RATES'!$E$1:$F$10,2,FALSE)))</f>
        <v>418417.92852619814</v>
      </c>
      <c r="AV537" s="170">
        <f t="shared" ca="1" si="593"/>
        <v>0</v>
      </c>
      <c r="AW537" s="169"/>
      <c r="AX537" s="170">
        <f t="shared" ca="1" si="594"/>
        <v>0</v>
      </c>
      <c r="AY537" s="170">
        <f t="shared" si="595"/>
        <v>-32101232.685494184</v>
      </c>
      <c r="AZ537" s="170" t="str">
        <f t="shared" si="596"/>
        <v>RUB</v>
      </c>
      <c r="BA537" s="542">
        <f>IF(OR(A537="REFUND",A537="CANCELLED"),0,IFERROR((IF(OR(AB537="USDAED",LEFT(AB537,3)=RIGHT(AB537,3)),AI537,AG537)-AE537)*-AY537*VLOOKUP(AB537,'FX RATES'!$H$1:$J$26,3,FALSE),0))</f>
        <v>0</v>
      </c>
      <c r="BB537" s="170" t="str">
        <f t="shared" si="597"/>
        <v>RUB</v>
      </c>
      <c r="BC537" s="542">
        <f t="shared" si="598"/>
        <v>0</v>
      </c>
      <c r="BD537" s="170">
        <f t="shared" si="599"/>
        <v>0</v>
      </c>
      <c r="BE537" s="542">
        <f t="shared" si="600"/>
        <v>0</v>
      </c>
      <c r="BF537" s="170">
        <f t="shared" si="601"/>
        <v>32101232.685494184</v>
      </c>
      <c r="BG537" s="170" t="str">
        <f t="shared" si="602"/>
        <v>RUB</v>
      </c>
      <c r="BH537" s="542">
        <f>IF(OR(A537="REFUND",A537="CANCELLED"),0,IFERROR((IF(OR(AJ537="USDAED",LEFT(AJ537,3)=RIGHT(AJ537,3)),AQ537,AO537)-AM537)*-BF537*VLOOKUP(AJ537,'FX RATES'!$H$1:$J$26,3,FALSE),0))</f>
        <v>0</v>
      </c>
      <c r="BI537" s="170" t="str">
        <f t="shared" si="603"/>
        <v>RUB</v>
      </c>
      <c r="BJ537" s="542">
        <f t="shared" si="604"/>
        <v>0</v>
      </c>
      <c r="BK537" s="170">
        <f t="shared" si="605"/>
        <v>0</v>
      </c>
      <c r="BL537" s="542">
        <f t="shared" si="606"/>
        <v>0</v>
      </c>
      <c r="BM537" s="170">
        <f t="shared" si="607"/>
        <v>0</v>
      </c>
      <c r="BN537" s="542">
        <f t="shared" si="608"/>
        <v>0</v>
      </c>
    </row>
    <row r="538" spans="1:66" ht="19.5" customHeight="1">
      <c r="A538" s="167" t="s">
        <v>601</v>
      </c>
      <c r="B538" s="168" t="s">
        <v>52</v>
      </c>
      <c r="C538" s="168" t="s">
        <v>383</v>
      </c>
      <c r="D538" s="168" t="s">
        <v>465</v>
      </c>
      <c r="E538" s="171">
        <v>46063</v>
      </c>
      <c r="F538" s="171"/>
      <c r="G538" s="168" t="s">
        <v>52</v>
      </c>
      <c r="H538" s="168" t="s">
        <v>524</v>
      </c>
      <c r="I538" s="169"/>
      <c r="J538" s="170">
        <f t="shared" si="585"/>
        <v>-63196883.485364199</v>
      </c>
      <c r="K538" s="168" t="s">
        <v>9</v>
      </c>
      <c r="L538" s="171" t="s">
        <v>525</v>
      </c>
      <c r="M538" s="168" t="s">
        <v>25</v>
      </c>
      <c r="N538" s="167" t="s">
        <v>553</v>
      </c>
      <c r="O538" s="168" t="s">
        <v>34</v>
      </c>
      <c r="P538" s="349" t="s">
        <v>526</v>
      </c>
      <c r="Q538" s="169">
        <v>3000000</v>
      </c>
      <c r="R538" s="170">
        <f t="shared" si="586"/>
        <v>3000000</v>
      </c>
      <c r="S538" s="168" t="s">
        <v>8</v>
      </c>
      <c r="T538" s="171" t="s">
        <v>15</v>
      </c>
      <c r="U538" s="168" t="s">
        <v>15</v>
      </c>
      <c r="V538" s="167" t="s">
        <v>371</v>
      </c>
      <c r="W538" s="172" t="s">
        <v>375</v>
      </c>
      <c r="X538" s="173">
        <f>IF(Y538="",VLOOKUP(H538,CLIENTS!$A$1:$O$649,5,FALSE),Y538)</f>
        <v>0</v>
      </c>
      <c r="Y538" s="174">
        <v>0</v>
      </c>
      <c r="Z538" s="173">
        <f>IF(AA538="",VLOOKUP(P538,CLIENTS!$A$1:$O$649,5,FALSE),AA538)</f>
        <v>-2E-3</v>
      </c>
      <c r="AA538" s="174">
        <v>-2E-3</v>
      </c>
      <c r="AB538" s="173" t="str">
        <f>IF(W538="via USD",IF(K538="EUR",K538&amp;"USD","USD"&amp;K538),IFERROR(VLOOKUP(K538&amp;S538,'FX RATES'!$H$2:$H$20,1,FALSE),S538&amp;K538))</f>
        <v>USDRUB</v>
      </c>
      <c r="AC538" s="175">
        <f>IF(LEFT(AB538,3)=RIGHT(AB538,3),0,IFERROR(INDEX(CLIENTS!$A$1:$O$649,MATCH(H538,CLIENTS!$A$1:$A$649,0),MATCH(AB538,CLIENTS!$A$1:$O$1,0)),0))</f>
        <v>0</v>
      </c>
      <c r="AD538" s="176">
        <v>77.209100000000007</v>
      </c>
      <c r="AE538" s="177">
        <f t="shared" si="587"/>
        <v>77.209100000000007</v>
      </c>
      <c r="AF538" s="177" t="str">
        <f t="shared" si="588"/>
        <v>46063USDRUB</v>
      </c>
      <c r="AG538" s="176">
        <v>77.2</v>
      </c>
      <c r="AH538" s="178">
        <f ca="1">IF(LEFT(AB538,3)=RIGHT(AB538,3),1,VLOOKUP(AB538,'FX RATES'!$H$1:$I$20,2,FALSE))</f>
        <v>76.720500000000001</v>
      </c>
      <c r="AI538" s="178">
        <f t="shared" si="589"/>
        <v>77.2</v>
      </c>
      <c r="AJ538" s="173" t="str">
        <f>IF(W538="via USD",IF(S538="EUR",S538&amp;"USD","USD"&amp;S538),IFERROR(VLOOKUP(K538&amp;S538,'FX RATES'!$H$2:$H$20,1,FALSE),S538&amp;K538))</f>
        <v>USDAED</v>
      </c>
      <c r="AK538" s="175">
        <f>IF(LEFT(AJ538,3)=RIGHT(AJ538,3),0,IFERROR(INDEX(CLIENTS!$A$1:$O$649,MATCH(P538,CLIENTS!$A$1:$A$649,0),MATCH(AJ538,CLIENTS!$A$1:$O$1,0)),0))</f>
        <v>0</v>
      </c>
      <c r="AL538" s="176">
        <v>3.6724999999999999</v>
      </c>
      <c r="AM538" s="177">
        <f t="shared" si="590"/>
        <v>3.6724999999999999</v>
      </c>
      <c r="AN538" s="177" t="str">
        <f t="shared" si="591"/>
        <v>46063USDAED</v>
      </c>
      <c r="AO538" s="176">
        <v>3.6724999999999999</v>
      </c>
      <c r="AP538" s="178">
        <f>IF(LEFT(AJ538,3)=RIGHT(AJ538,3),1,VLOOKUP(AJ538,'FX RATES'!$H$1:$I$20,2,FALSE))</f>
        <v>3.6724999999999999</v>
      </c>
      <c r="AQ538" s="178">
        <f t="shared" si="592"/>
        <v>3.6724999999999999</v>
      </c>
      <c r="AR538" s="179">
        <f>-Q538*(1-Z538)/(1+X538)*IF(W538="CLIENT",IF(S538=RIGHT(AJ538,3),1/AM538,AM538),IF(W538="VENDOR",IF(S538=RIGHT(AJ538,3),1/AE538,AE538),AE538^(VLOOKUP(AB538,'FX RATES'!$H$1:$J$26,3,FALSE))/AM538^(VLOOKUP(AJ538,'FX RATES'!$H$1:$J$26,3,FALSE))))</f>
        <v>-63196883.485364199</v>
      </c>
      <c r="AS538" s="179">
        <f>-I538*(1+X538)/(1-Z538)*IF(W538="VENDOR",IF(K538=RIGHT(AB538,3),1/AE538,AE538),IF(W538="CLIENT",IF(K538=RIGHT(AB538,3),1/AM538,AM538),AM538^(VLOOKUP(AJ538,'FX RATES'!$H$1:$J$26,3,FALSE))/AE538^(VLOOKUP(AB538,'FX RATES'!$H$1:$J$26,3,FALSE))))</f>
        <v>0</v>
      </c>
      <c r="AT538" s="170">
        <f>IF(AB538&lt;&gt;AJ538,J538/IF(K538=RIGHT(AB538,3),AE538,1/AE538),IF(S538="USD",J538/IF(K538=RIGHT(AB538,3),IF(W538="CLIENT",AM538,AE538),1/IF(W538="CLIENT",AM538,AE538)),J538*VLOOKUP(K538,'FX RATES'!$E$1:$F$10,2,FALSE)))</f>
        <v>-818515.99727705924</v>
      </c>
      <c r="AU538" s="170">
        <f>IF(AB538&lt;&gt;AJ538,R538/IF(S538=RIGHT(AJ538,3),AM538,1/AM538),IF(K538="USD",R538/IF(S538=RIGHT(AJ538,3),IF(W538="CLIENT",AM538,AE538),1/IF(W538="CLIENT",AM538,AE538)),R538*VLOOKUP(S538,'FX RATES'!$E$1:$F$10,2,FALSE)))</f>
        <v>816882.23281143641</v>
      </c>
      <c r="AV538" s="170">
        <f t="shared" si="593"/>
        <v>-1633.7644656228367</v>
      </c>
      <c r="AW538" s="169"/>
      <c r="AX538" s="170">
        <f t="shared" si="594"/>
        <v>-1633.7644656228729</v>
      </c>
      <c r="AY538" s="170">
        <f t="shared" si="595"/>
        <v>-818515.99727705924</v>
      </c>
      <c r="AZ538" s="170" t="str">
        <f t="shared" si="596"/>
        <v>USD</v>
      </c>
      <c r="BA538" s="542">
        <f>IF(OR(A538="REFUND",A538="CANCELLED"),0,IFERROR((IF(OR(AB538="USDAED",LEFT(AB538,3)=RIGHT(AB538,3)),AI538,AG538)-AE538)*-AY538*VLOOKUP(AB538,'FX RATES'!$H$1:$J$26,3,FALSE),0))</f>
        <v>-7448.4955752242358</v>
      </c>
      <c r="BB538" s="170" t="str">
        <f t="shared" si="597"/>
        <v>RUB</v>
      </c>
      <c r="BC538" s="542">
        <f t="shared" si="598"/>
        <v>-96.483103306013419</v>
      </c>
      <c r="BD538" s="170">
        <f t="shared" si="599"/>
        <v>0</v>
      </c>
      <c r="BE538" s="542">
        <f t="shared" si="600"/>
        <v>-96.483103306013419</v>
      </c>
      <c r="BF538" s="170">
        <f t="shared" si="601"/>
        <v>816882.23281143641</v>
      </c>
      <c r="BG538" s="170" t="str">
        <f t="shared" si="602"/>
        <v>USD</v>
      </c>
      <c r="BH538" s="542">
        <f>IF(OR(A538="REFUND",A538="CANCELLED"),0,IFERROR((IF(OR(AJ538="USDAED",LEFT(AJ538,3)=RIGHT(AJ538,3)),AQ538,AO538)-AM538)*-BF538*VLOOKUP(AJ538,'FX RATES'!$H$1:$J$26,3,FALSE),0))</f>
        <v>0</v>
      </c>
      <c r="BI538" s="170" t="str">
        <f t="shared" si="603"/>
        <v>AED</v>
      </c>
      <c r="BJ538" s="542">
        <f t="shared" si="604"/>
        <v>0</v>
      </c>
      <c r="BK538" s="170">
        <f t="shared" si="605"/>
        <v>0</v>
      </c>
      <c r="BL538" s="542">
        <f t="shared" si="606"/>
        <v>0</v>
      </c>
      <c r="BM538" s="170">
        <f t="shared" si="607"/>
        <v>0</v>
      </c>
      <c r="BN538" s="542">
        <f t="shared" si="608"/>
        <v>-96.483103306013419</v>
      </c>
    </row>
    <row r="539" spans="1:66" ht="19.5" customHeight="1">
      <c r="A539" s="167"/>
      <c r="B539" s="182"/>
      <c r="C539" s="182"/>
      <c r="D539" s="182"/>
      <c r="E539" s="184"/>
      <c r="F539" s="184"/>
      <c r="G539" s="182"/>
      <c r="H539" s="182"/>
      <c r="I539" s="170"/>
      <c r="J539" s="170"/>
      <c r="K539" s="182"/>
      <c r="L539" s="184"/>
      <c r="M539" s="182"/>
      <c r="O539" s="182"/>
      <c r="P539" s="444"/>
      <c r="Q539" s="170"/>
      <c r="R539" s="170"/>
      <c r="S539" s="182"/>
      <c r="T539" s="184"/>
      <c r="U539" s="182"/>
      <c r="X539" s="173"/>
      <c r="Y539" s="173"/>
      <c r="Z539" s="173"/>
      <c r="AA539" s="173"/>
      <c r="AB539" s="173"/>
      <c r="AC539" s="175"/>
      <c r="AD539" s="177"/>
      <c r="AE539" s="177"/>
      <c r="AF539" s="177"/>
      <c r="AG539" s="177"/>
      <c r="AH539" s="178"/>
      <c r="AI539" s="178"/>
      <c r="AJ539" s="173"/>
      <c r="AK539" s="175"/>
      <c r="AL539" s="177"/>
      <c r="AM539" s="177"/>
      <c r="AN539" s="177"/>
      <c r="AO539" s="177"/>
      <c r="AP539" s="178"/>
      <c r="AQ539" s="178"/>
      <c r="AR539" s="185"/>
      <c r="AS539" s="185"/>
      <c r="AT539" s="170"/>
      <c r="AU539" s="170"/>
      <c r="AV539" s="170"/>
      <c r="AW539" s="170"/>
      <c r="AX539" s="170"/>
      <c r="AY539" s="170"/>
      <c r="AZ539" s="170"/>
      <c r="BA539" s="542"/>
      <c r="BB539" s="170"/>
      <c r="BC539" s="542"/>
      <c r="BD539" s="170"/>
      <c r="BE539" s="542"/>
      <c r="BF539" s="170"/>
      <c r="BG539" s="170"/>
      <c r="BH539" s="542"/>
      <c r="BI539" s="170"/>
      <c r="BJ539" s="542"/>
      <c r="BK539" s="170"/>
      <c r="BL539" s="542"/>
      <c r="BM539" s="170"/>
      <c r="BN539" s="542"/>
    </row>
    <row r="540" spans="1:66" ht="19.5" customHeight="1">
      <c r="A540" s="167" t="s">
        <v>601</v>
      </c>
      <c r="B540" s="168" t="s">
        <v>31</v>
      </c>
      <c r="C540" s="168" t="s">
        <v>367</v>
      </c>
      <c r="D540" s="168" t="s">
        <v>583</v>
      </c>
      <c r="E540" s="171">
        <v>46064</v>
      </c>
      <c r="F540" s="171"/>
      <c r="G540" s="168" t="s">
        <v>31</v>
      </c>
      <c r="H540" s="181" t="s">
        <v>616</v>
      </c>
      <c r="I540" s="169">
        <v>-3900000</v>
      </c>
      <c r="J540" s="170">
        <f>IF(I540="",AR540,I540)</f>
        <v>-3900000</v>
      </c>
      <c r="K540" s="168" t="s">
        <v>8</v>
      </c>
      <c r="L540" s="171" t="s">
        <v>17</v>
      </c>
      <c r="M540" s="168" t="s">
        <v>14</v>
      </c>
      <c r="N540" s="167" t="s">
        <v>553</v>
      </c>
      <c r="O540" s="168" t="s">
        <v>52</v>
      </c>
      <c r="P540" s="168" t="s">
        <v>588</v>
      </c>
      <c r="Q540" s="169"/>
      <c r="R540" s="170">
        <f>IF(Q540="",AS540,Q540)</f>
        <v>82377326.745674804</v>
      </c>
      <c r="S540" s="168" t="s">
        <v>9</v>
      </c>
      <c r="T540" s="171" t="s">
        <v>502</v>
      </c>
      <c r="U540" s="168" t="s">
        <v>25</v>
      </c>
      <c r="V540" s="167" t="s">
        <v>371</v>
      </c>
      <c r="W540" s="172" t="s">
        <v>375</v>
      </c>
      <c r="X540" s="173">
        <f>IF(Y540="",VLOOKUP(H540,CLIENTS!$A$1:$O$649,5,FALSE),Y540)</f>
        <v>0</v>
      </c>
      <c r="Y540" s="174">
        <v>0</v>
      </c>
      <c r="Z540" s="173">
        <f>IF(AA540="",VLOOKUP(P540,CLIENTS!$A$1:$O$649,5,FALSE),AA540)</f>
        <v>4.0000000000000001E-3</v>
      </c>
      <c r="AA540" s="174">
        <v>4.0000000000000001E-3</v>
      </c>
      <c r="AB540" s="173" t="str">
        <f>IF(W540="via USD",IF(K540="EUR",K540&amp;"USD","USD"&amp;K540),IFERROR(VLOOKUP(K540&amp;S540,'FX RATES'!$H$2:$H$20,1,FALSE),S540&amp;K540))</f>
        <v>USDAED</v>
      </c>
      <c r="AC540" s="175">
        <f>IF(LEFT(AB540,3)=RIGHT(AB540,3),0,IFERROR(INDEX(CLIENTS!$A$1:$O$649,MATCH(H540,CLIENTS!$A$1:$A$649,0),MATCH(AB540,CLIENTS!$A$1:$O$1,0)),0))</f>
        <v>-2.5000000000000001E-3</v>
      </c>
      <c r="AD540" s="176"/>
      <c r="AE540" s="177">
        <f>IF(W540="CLIENT","",IF(AD540="",AH540+AC540,AD540+AC540))</f>
        <v>3.67</v>
      </c>
      <c r="AF540" s="177" t="str">
        <f>E540&amp;AB540</f>
        <v>46064USDAED</v>
      </c>
      <c r="AG540" s="176"/>
      <c r="AH540" s="178">
        <f>IF(LEFT(AB540,3)=RIGHT(AB540,3),1,VLOOKUP(AB540,'FX RATES'!$H$1:$I$20,2,FALSE))</f>
        <v>3.6724999999999999</v>
      </c>
      <c r="AI540" s="178">
        <f>IF(OR(AB540="USDAED",LEFT(AB540,3)=RIGHT(AB540,3)),AH540,IF(LEFT(AB540)="USD",AG540,IF(RIGHT(AB540,3)="USD",1,IFERROR(VLOOKUP(E540&amp;"USD"&amp;RIGHT(AB540,3),$AF:$AG,2,FALSE),VLOOKUP(E540&amp;"USD"&amp;RIGHT(AJ540,3),$AN:$AO,2,FALSE)))))</f>
        <v>3.6724999999999999</v>
      </c>
      <c r="AJ540" s="173" t="str">
        <f>IF(W540="via USD",IF(S540="EUR",S540&amp;"USD","USD"&amp;S540),IFERROR(VLOOKUP(K540&amp;S540,'FX RATES'!$H$2:$H$20,1,FALSE),S540&amp;K540))</f>
        <v>USDRUB</v>
      </c>
      <c r="AK540" s="175">
        <f>IF(LEFT(AJ540,3)=RIGHT(AJ540,3),0,IFERROR(INDEX(CLIENTS!$A$1:$O$649,MATCH(P540,CLIENTS!$A$1:$A$649,0),MATCH(AJ540,CLIENTS!$A$1:$O$1,0)),0))</f>
        <v>0</v>
      </c>
      <c r="AL540" s="176">
        <v>77.209100000000007</v>
      </c>
      <c r="AM540" s="177">
        <f>IF(W540="VENDOR","",IF(AL540="",AP540+AK540,AL540+AK540))</f>
        <v>77.209100000000007</v>
      </c>
      <c r="AN540" s="177" t="str">
        <f>E540&amp;AJ540</f>
        <v>46064USDRUB</v>
      </c>
      <c r="AO540" s="176">
        <v>77.099999999999994</v>
      </c>
      <c r="AP540" s="178">
        <f ca="1">IF(LEFT(AJ540,3)=RIGHT(AJ540,3),1,VLOOKUP(AJ540,'FX RATES'!$H$1:$I$20,2,FALSE))</f>
        <v>76.720500000000001</v>
      </c>
      <c r="AQ540" s="178">
        <f>IF(OR(AJ540="USDAED",LEFT(AJ540,3)=RIGHT(AJ540,3)),AP540,IF(LEFT(AJ540)="USD",AO540,IF(RIGHT(AJ540,3)="USD",1,IFERROR(VLOOKUP(E540&amp;"USD"&amp;RIGHT(AJ540,3),$AN:$AO,2,FALSE),VLOOKUP(E540&amp;"USD"&amp;RIGHT(AB540,3),$AF:$AG,2,FALSE)))))</f>
        <v>77.099999999999994</v>
      </c>
      <c r="AR540" s="179">
        <f>-Q540*(1-Z540)/(1+X540)*IF(W540="CLIENT",IF(S540=RIGHT(AJ540,3),1/AM540,AM540),IF(W540="VENDOR",IF(S540=RIGHT(AJ540,3),1/AE540,AE540),AE540^(VLOOKUP(AB540,'FX RATES'!$H$1:$J$26,3,FALSE))/AM540^(VLOOKUP(AJ540,'FX RATES'!$H$1:$J$26,3,FALSE))))</f>
        <v>0</v>
      </c>
      <c r="AS540" s="179">
        <f>-I540*(1+X540)/(1-Z540)*IF(W540="VENDOR",IF(K540=RIGHT(AB540,3),1/AE540,AE540),IF(W540="CLIENT",IF(K540=RIGHT(AB540,3),1/AM540,AM540),AM540^(VLOOKUP(AJ540,'FX RATES'!$H$1:$J$26,3,FALSE))/AE540^(VLOOKUP(AB540,'FX RATES'!$H$1:$J$26,3,FALSE))))</f>
        <v>82377326.745674804</v>
      </c>
      <c r="AT540" s="170">
        <f>IF(AB540&lt;&gt;AJ540,J540/IF(K540=RIGHT(AB540,3),AE540,1/AE540),IF(S540="USD",J540/IF(K540=RIGHT(AB540,3),IF(W540="CLIENT",AM540,AE540),1/IF(W540="CLIENT",AM540,AE540)),J540*VLOOKUP(K540,'FX RATES'!$E$1:$F$10,2,FALSE)))</f>
        <v>-1062670.2997275204</v>
      </c>
      <c r="AU540" s="170">
        <f>IF(AB540&lt;&gt;AJ540,R540/IF(S540=RIGHT(AJ540,3),AM540,1/AM540),IF(K540="USD",R540/IF(S540=RIGHT(AJ540,3),IF(W540="CLIENT",AM540,AE540),1/IF(W540="CLIENT",AM540,AE540)),R540*VLOOKUP(S540,'FX RATES'!$E$1:$F$10,2,FALSE)))</f>
        <v>1066938.0519352616</v>
      </c>
      <c r="AV540" s="170">
        <f>AT540+AU540</f>
        <v>4267.7522077411413</v>
      </c>
      <c r="AW540" s="169"/>
      <c r="AX540" s="170">
        <f>IF(AND(ISERROR(SEARCH("INVOICE",T540)),ISERROR(SEARCH("SWITCH",T540)),ISERROR(SEARCH("FOREX",T540)),ISERROR(SEARCH("REFUND",A540)),ISERROR(SEARCH("CANCELLED",A540))),IF(AW540="",-AT540*X540+AU540*Z540,AW540),0)</f>
        <v>4267.7522077410467</v>
      </c>
      <c r="AY540" s="170">
        <f>IF(AZ540="USD",AT540,IF(AZ540=K540,J540,-R540))</f>
        <v>-1062670.2997275204</v>
      </c>
      <c r="AZ540" s="170" t="str">
        <f>LEFT(AB540,3)</f>
        <v>USD</v>
      </c>
      <c r="BA540" s="542">
        <f>IF(OR(A540="REFUND",A540="CANCELLED"),0,IFERROR((IF(OR(AB540="USDAED",LEFT(AB540,3)=RIGHT(AB540,3)),AI540,AG540)-AE540)*-AY540*VLOOKUP(AB540,'FX RATES'!$H$1:$J$26,3,FALSE),0))</f>
        <v>2656.6757493187447</v>
      </c>
      <c r="BB540" s="170" t="str">
        <f>RIGHT(AB540,3)</f>
        <v>AED</v>
      </c>
      <c r="BC540" s="542">
        <f>IF(BA540=0,0,IFERROR(BA540/IF(BB540&lt;&gt;"USD",AI540,1),"???"))</f>
        <v>723.39707265316395</v>
      </c>
      <c r="BD540" s="170">
        <f>IFERROR(-AC540/(IF(OR(AB540="USDAED",LEFT(AB540,3)=RIGHT(AB540,3)),AH540,AG540)-AE540)*BC540,0)</f>
        <v>723.39707265317941</v>
      </c>
      <c r="BE540" s="542">
        <f>BC540-BD540</f>
        <v>-1.546140993013978E-11</v>
      </c>
      <c r="BF540" s="170">
        <f>IF(BG540="USD",AU540,IF(BG540=S540,R540,-J540))</f>
        <v>1066938.0519352616</v>
      </c>
      <c r="BG540" s="170" t="str">
        <f>LEFT(AJ540,3)</f>
        <v>USD</v>
      </c>
      <c r="BH540" s="542">
        <f>IF(OR(A540="REFUND",A540="CANCELLED"),0,IFERROR((IF(OR(AJ540="USDAED",LEFT(AJ540,3)=RIGHT(AJ540,3)),AQ540,AO540)-AM540)*-BF540*VLOOKUP(AJ540,'FX RATES'!$H$1:$J$26,3,FALSE),0))</f>
        <v>116402.94146615005</v>
      </c>
      <c r="BI540" s="170" t="str">
        <f>RIGHT(AJ540,3)</f>
        <v>RUB</v>
      </c>
      <c r="BJ540" s="542">
        <f>IF(BH540=0,0,IFERROR(BH540/IF(BI540&lt;&gt;"USD",AQ540,1),"???"))</f>
        <v>1509.7657777710772</v>
      </c>
      <c r="BK540" s="170">
        <f>IFERROR(-AK540/(IF(OR(AJ540="USDAED",LEFT(AJ540,3)=RIGHT(AJ540,3)),AP540,AO540)-AM540)*BJ540,0)</f>
        <v>0</v>
      </c>
      <c r="BL540" s="542">
        <f>BJ540-BK540</f>
        <v>1509.7657777710772</v>
      </c>
      <c r="BM540" s="170">
        <f>IF(AND(ISERROR(SEARCH("REFUND",A540)),ISERROR(SEARCH("CANCELLED",A540))),BD540+BK540,0)</f>
        <v>723.39707265317941</v>
      </c>
      <c r="BN540" s="542">
        <f>IF(AND(ISERROR(SEARCH("REFUND",A540)),ISERROR(SEARCH("CANCELLED",A540))),BE540+BL540,0)</f>
        <v>1509.7657777710617</v>
      </c>
    </row>
    <row r="541" spans="1:66" ht="19.5" customHeight="1">
      <c r="A541" s="167" t="s">
        <v>601</v>
      </c>
      <c r="B541" s="168" t="s">
        <v>52</v>
      </c>
      <c r="C541" s="168" t="s">
        <v>383</v>
      </c>
      <c r="D541" s="168" t="s">
        <v>465</v>
      </c>
      <c r="E541" s="171">
        <v>46064</v>
      </c>
      <c r="F541" s="171"/>
      <c r="G541" s="168" t="s">
        <v>52</v>
      </c>
      <c r="H541" s="168" t="s">
        <v>524</v>
      </c>
      <c r="I541" s="169"/>
      <c r="J541" s="170">
        <f>IF(I541="",AR541,I541)</f>
        <v>-82155948.530973449</v>
      </c>
      <c r="K541" s="168" t="s">
        <v>9</v>
      </c>
      <c r="L541" s="171" t="s">
        <v>525</v>
      </c>
      <c r="M541" s="168" t="s">
        <v>25</v>
      </c>
      <c r="N541" s="167" t="s">
        <v>553</v>
      </c>
      <c r="O541" s="168" t="s">
        <v>34</v>
      </c>
      <c r="P541" s="349" t="s">
        <v>526</v>
      </c>
      <c r="Q541" s="169">
        <f>-J540</f>
        <v>3900000</v>
      </c>
      <c r="R541" s="170">
        <f>IF(Q541="",AS541,Q541)</f>
        <v>3900000</v>
      </c>
      <c r="S541" s="168" t="s">
        <v>8</v>
      </c>
      <c r="T541" s="171" t="s">
        <v>15</v>
      </c>
      <c r="U541" s="168" t="s">
        <v>15</v>
      </c>
      <c r="V541" s="167" t="s">
        <v>371</v>
      </c>
      <c r="W541" s="172" t="s">
        <v>375</v>
      </c>
      <c r="X541" s="173">
        <f>IF(Y541="",VLOOKUP(H541,CLIENTS!$A$1:$O$649,5,FALSE),Y541)</f>
        <v>0</v>
      </c>
      <c r="Y541" s="174">
        <v>0</v>
      </c>
      <c r="Z541" s="173">
        <f>IF(AA541="",VLOOKUP(P541,CLIENTS!$A$1:$O$649,5,FALSE),AA541)</f>
        <v>-2E-3</v>
      </c>
      <c r="AA541" s="174">
        <v>-2E-3</v>
      </c>
      <c r="AB541" s="173" t="str">
        <f>IF(W541="via USD",IF(K541="EUR",K541&amp;"USD","USD"&amp;K541),IFERROR(VLOOKUP(K541&amp;S541,'FX RATES'!$H$2:$H$20,1,FALSE),S541&amp;K541))</f>
        <v>USDRUB</v>
      </c>
      <c r="AC541" s="175">
        <f>IF(LEFT(AB541,3)=RIGHT(AB541,3),0,IFERROR(INDEX(CLIENTS!$A$1:$O$649,MATCH(H541,CLIENTS!$A$1:$A$649,0),MATCH(AB541,CLIENTS!$A$1:$O$1,0)),0))</f>
        <v>0</v>
      </c>
      <c r="AD541" s="176">
        <v>77.209100000000007</v>
      </c>
      <c r="AE541" s="177">
        <f>IF(W541="CLIENT","",IF(AD541="",AH541+AC541,AD541+AC541))</f>
        <v>77.209100000000007</v>
      </c>
      <c r="AF541" s="177" t="str">
        <f>E541&amp;AB541</f>
        <v>46064USDRUB</v>
      </c>
      <c r="AG541" s="176">
        <v>77.099999999999994</v>
      </c>
      <c r="AH541" s="178">
        <f ca="1">IF(LEFT(AB541,3)=RIGHT(AB541,3),1,VLOOKUP(AB541,'FX RATES'!$H$1:$I$20,2,FALSE))</f>
        <v>76.720500000000001</v>
      </c>
      <c r="AI541" s="178">
        <f>IF(OR(AB541="USDAED",LEFT(AB541,3)=RIGHT(AB541,3)),AH541,IF(LEFT(AB541)="USD",AG541,IF(RIGHT(AB541,3)="USD",1,IFERROR(VLOOKUP(E541&amp;"USD"&amp;RIGHT(AB541,3),$AF:$AG,2,FALSE),VLOOKUP(E541&amp;"USD"&amp;RIGHT(AJ541,3),$AN:$AO,2,FALSE)))))</f>
        <v>77.099999999999994</v>
      </c>
      <c r="AJ541" s="173" t="str">
        <f>IF(W541="via USD",IF(S541="EUR",S541&amp;"USD","USD"&amp;S541),IFERROR(VLOOKUP(K541&amp;S541,'FX RATES'!$H$2:$H$20,1,FALSE),S541&amp;K541))</f>
        <v>USDAED</v>
      </c>
      <c r="AK541" s="175">
        <f>IF(LEFT(AJ541,3)=RIGHT(AJ541,3),0,IFERROR(INDEX(CLIENTS!$A$1:$O$649,MATCH(P541,CLIENTS!$A$1:$A$649,0),MATCH(AJ541,CLIENTS!$A$1:$O$1,0)),0))</f>
        <v>0</v>
      </c>
      <c r="AL541" s="176">
        <v>3.6724999999999999</v>
      </c>
      <c r="AM541" s="177">
        <f>IF(W541="VENDOR","",IF(AL541="",AP541+AK541,AL541+AK541))</f>
        <v>3.6724999999999999</v>
      </c>
      <c r="AN541" s="177" t="str">
        <f>E541&amp;AJ541</f>
        <v>46064USDAED</v>
      </c>
      <c r="AO541" s="176">
        <v>3.6724999999999999</v>
      </c>
      <c r="AP541" s="178">
        <f>IF(LEFT(AJ541,3)=RIGHT(AJ541,3),1,VLOOKUP(AJ541,'FX RATES'!$H$1:$I$20,2,FALSE))</f>
        <v>3.6724999999999999</v>
      </c>
      <c r="AQ541" s="178">
        <f>IF(OR(AJ541="USDAED",LEFT(AJ541,3)=RIGHT(AJ541,3)),AP541,IF(LEFT(AJ541)="USD",AO541,IF(RIGHT(AJ541,3)="USD",1,IFERROR(VLOOKUP(E541&amp;"USD"&amp;RIGHT(AJ541,3),$AN:$AO,2,FALSE),VLOOKUP(E541&amp;"USD"&amp;RIGHT(AB541,3),$AF:$AG,2,FALSE)))))</f>
        <v>3.6724999999999999</v>
      </c>
      <c r="AR541" s="179">
        <f>-Q541*(1-Z541)/(1+X541)*IF(W541="CLIENT",IF(S541=RIGHT(AJ541,3),1/AM541,AM541),IF(W541="VENDOR",IF(S541=RIGHT(AJ541,3),1/AE541,AE541),AE541^(VLOOKUP(AB541,'FX RATES'!$H$1:$J$26,3,FALSE))/AM541^(VLOOKUP(AJ541,'FX RATES'!$H$1:$J$26,3,FALSE))))</f>
        <v>-82155948.530973449</v>
      </c>
      <c r="AS541" s="179">
        <f>-I541*(1+X541)/(1-Z541)*IF(W541="VENDOR",IF(K541=RIGHT(AB541,3),1/AE541,AE541),IF(W541="CLIENT",IF(K541=RIGHT(AB541,3),1/AM541,AM541),AM541^(VLOOKUP(AJ541,'FX RATES'!$H$1:$J$26,3,FALSE))/AE541^(VLOOKUP(AB541,'FX RATES'!$H$1:$J$26,3,FALSE))))</f>
        <v>0</v>
      </c>
      <c r="AT541" s="170">
        <f>IF(AB541&lt;&gt;AJ541,J541/IF(K541=RIGHT(AB541,3),AE541,1/AE541),IF(S541="USD",J541/IF(K541=RIGHT(AB541,3),IF(W541="CLIENT",AM541,AE541),1/IF(W541="CLIENT",AM541,AE541)),J541*VLOOKUP(K541,'FX RATES'!$E$1:$F$10,2,FALSE)))</f>
        <v>-1064070.7964601768</v>
      </c>
      <c r="AU541" s="170">
        <f>IF(AB541&lt;&gt;AJ541,R541/IF(S541=RIGHT(AJ541,3),AM541,1/AM541),IF(K541="USD",R541/IF(S541=RIGHT(AJ541,3),IF(W541="CLIENT",AM541,AE541),1/IF(W541="CLIENT",AM541,AE541)),R541*VLOOKUP(S541,'FX RATES'!$E$1:$F$10,2,FALSE)))</f>
        <v>1061946.9026548674</v>
      </c>
      <c r="AV541" s="170">
        <f>AT541+AU541</f>
        <v>-2123.8938053094316</v>
      </c>
      <c r="AW541" s="169"/>
      <c r="AX541" s="170">
        <f>IF(AND(ISERROR(SEARCH("INVOICE",T541)),ISERROR(SEARCH("SWITCH",T541)),ISERROR(SEARCH("FOREX",T541)),ISERROR(SEARCH("REFUND",A541)),ISERROR(SEARCH("CANCELLED",A541))),IF(AW541="",-AT541*X541+AU541*Z541,AW541),0)</f>
        <v>-2123.8938053097349</v>
      </c>
      <c r="AY541" s="170">
        <f>IF(AZ541="USD",AT541,IF(AZ541=K541,J541,-R541))</f>
        <v>-1064070.7964601768</v>
      </c>
      <c r="AZ541" s="170" t="str">
        <f>LEFT(AB541,3)</f>
        <v>USD</v>
      </c>
      <c r="BA541" s="542">
        <f>IF(OR(A541="REFUND",A541="CANCELLED"),0,IFERROR((IF(OR(AB541="USDAED",LEFT(AB541,3)=RIGHT(AB541,3)),AI541,AG541)-AE541)*-AY541*VLOOKUP(AB541,'FX RATES'!$H$1:$J$26,3,FALSE),0))</f>
        <v>-116090.12389381827</v>
      </c>
      <c r="BB541" s="170" t="str">
        <f>RIGHT(AB541,3)</f>
        <v>RUB</v>
      </c>
      <c r="BC541" s="542">
        <f>IF(BA541=0,0,IFERROR(BA541/IF(BB541&lt;&gt;"USD",AI541,1),"???"))</f>
        <v>-1505.7084811130774</v>
      </c>
      <c r="BD541" s="170">
        <f>IFERROR(-AC541/(IF(OR(AB541="USDAED",LEFT(AB541,3)=RIGHT(AB541,3)),AH541,AG541)-AE541)*BC541,0)</f>
        <v>0</v>
      </c>
      <c r="BE541" s="542">
        <f>BC541-BD541</f>
        <v>-1505.7084811130774</v>
      </c>
      <c r="BF541" s="170">
        <f>IF(BG541="USD",AU541,IF(BG541=S541,R541,-J541))</f>
        <v>1061946.9026548674</v>
      </c>
      <c r="BG541" s="170" t="str">
        <f>LEFT(AJ541,3)</f>
        <v>USD</v>
      </c>
      <c r="BH541" s="542">
        <f>IF(OR(A541="REFUND",A541="CANCELLED"),0,IFERROR((IF(OR(AJ541="USDAED",LEFT(AJ541,3)=RIGHT(AJ541,3)),AQ541,AO541)-AM541)*-BF541*VLOOKUP(AJ541,'FX RATES'!$H$1:$J$26,3,FALSE),0))</f>
        <v>0</v>
      </c>
      <c r="BI541" s="170" t="str">
        <f>RIGHT(AJ541,3)</f>
        <v>AED</v>
      </c>
      <c r="BJ541" s="542">
        <f>IF(BH541=0,0,IFERROR(BH541/IF(BI541&lt;&gt;"USD",AQ541,1),"???"))</f>
        <v>0</v>
      </c>
      <c r="BK541" s="170">
        <f>IFERROR(-AK541/(IF(OR(AJ541="USDAED",LEFT(AJ541,3)=RIGHT(AJ541,3)),AP541,AO541)-AM541)*BJ541,0)</f>
        <v>0</v>
      </c>
      <c r="BL541" s="542">
        <f>BJ541-BK541</f>
        <v>0</v>
      </c>
      <c r="BM541" s="170">
        <f>IF(AND(ISERROR(SEARCH("REFUND",A541)),ISERROR(SEARCH("CANCELLED",A541))),BD541+BK541,0)</f>
        <v>0</v>
      </c>
      <c r="BN541" s="542">
        <f>IF(AND(ISERROR(SEARCH("REFUND",A541)),ISERROR(SEARCH("CANCELLED",A541))),BE541+BL541,0)</f>
        <v>-1505.7084811130774</v>
      </c>
    </row>
    <row r="542" spans="1:66" ht="19.5" customHeight="1">
      <c r="A542" s="167"/>
      <c r="B542" s="182"/>
      <c r="C542" s="182"/>
      <c r="D542" s="182"/>
      <c r="E542" s="184"/>
      <c r="F542" s="184"/>
      <c r="G542" s="182"/>
      <c r="H542" s="182"/>
      <c r="I542" s="170"/>
      <c r="J542" s="170"/>
      <c r="K542" s="182"/>
      <c r="L542" s="184"/>
      <c r="M542" s="182"/>
      <c r="O542" s="182"/>
      <c r="P542" s="444"/>
      <c r="Q542" s="170"/>
      <c r="R542" s="170"/>
      <c r="S542" s="182"/>
      <c r="T542" s="184"/>
      <c r="U542" s="182"/>
      <c r="X542" s="173"/>
      <c r="Y542" s="173"/>
      <c r="Z542" s="173"/>
      <c r="AA542" s="173"/>
      <c r="AB542" s="173"/>
      <c r="AC542" s="175"/>
      <c r="AD542" s="177"/>
      <c r="AE542" s="177"/>
      <c r="AF542" s="177"/>
      <c r="AG542" s="177"/>
      <c r="AH542" s="178"/>
      <c r="AI542" s="178"/>
      <c r="AJ542" s="173"/>
      <c r="AK542" s="175"/>
      <c r="AL542" s="177"/>
      <c r="AM542" s="177"/>
      <c r="AN542" s="177"/>
      <c r="AO542" s="177"/>
      <c r="AP542" s="178"/>
      <c r="AQ542" s="178"/>
      <c r="AR542" s="185"/>
      <c r="AS542" s="185"/>
      <c r="AT542" s="170"/>
      <c r="AU542" s="170"/>
      <c r="AV542" s="170"/>
      <c r="AW542" s="170"/>
      <c r="AX542" s="170"/>
      <c r="AY542" s="170"/>
      <c r="AZ542" s="170"/>
      <c r="BA542" s="542"/>
      <c r="BB542" s="170"/>
      <c r="BC542" s="542"/>
      <c r="BD542" s="170"/>
      <c r="BE542" s="542"/>
      <c r="BF542" s="170"/>
      <c r="BG542" s="170"/>
      <c r="BH542" s="542"/>
      <c r="BI542" s="170"/>
      <c r="BJ542" s="542"/>
      <c r="BK542" s="170"/>
      <c r="BL542" s="542"/>
      <c r="BM542" s="170"/>
      <c r="BN542" s="542"/>
    </row>
    <row r="543" spans="1:66" ht="19.5" customHeight="1">
      <c r="A543" s="167" t="s">
        <v>601</v>
      </c>
      <c r="B543" s="181" t="s">
        <v>39</v>
      </c>
      <c r="C543" s="181" t="s">
        <v>367</v>
      </c>
      <c r="D543" s="181" t="s">
        <v>418</v>
      </c>
      <c r="E543" s="171">
        <v>46064</v>
      </c>
      <c r="F543" s="171"/>
      <c r="G543" s="181" t="s">
        <v>39</v>
      </c>
      <c r="H543" s="168" t="s">
        <v>428</v>
      </c>
      <c r="I543" s="169"/>
      <c r="J543" s="170">
        <f>IF(I543="",AR543,I543)</f>
        <v>-299400</v>
      </c>
      <c r="K543" s="168" t="s">
        <v>5</v>
      </c>
      <c r="L543" s="168" t="s">
        <v>378</v>
      </c>
      <c r="M543" s="168" t="s">
        <v>20</v>
      </c>
      <c r="N543" s="167" t="s">
        <v>553</v>
      </c>
      <c r="O543" s="168" t="s">
        <v>52</v>
      </c>
      <c r="P543" s="168" t="s">
        <v>428</v>
      </c>
      <c r="Q543" s="169">
        <v>300000</v>
      </c>
      <c r="R543" s="170">
        <f>IF(Q543="",AS543,Q543)</f>
        <v>300000</v>
      </c>
      <c r="S543" s="168" t="s">
        <v>53</v>
      </c>
      <c r="T543" s="168" t="s">
        <v>420</v>
      </c>
      <c r="U543" s="168" t="s">
        <v>54</v>
      </c>
      <c r="V543" s="167" t="s">
        <v>371</v>
      </c>
      <c r="W543" s="172" t="s">
        <v>375</v>
      </c>
      <c r="X543" s="173">
        <f>IF(Y543="",VLOOKUP(H543,CLIENTS!$A$1:$O$649,5,FALSE),Y543)</f>
        <v>0</v>
      </c>
      <c r="Y543" s="174">
        <v>0</v>
      </c>
      <c r="Z543" s="173">
        <f>IF(AA543="",VLOOKUP(P543,CLIENTS!$A$1:$O$649,5,FALSE),AA543)</f>
        <v>2E-3</v>
      </c>
      <c r="AA543" s="174">
        <v>2E-3</v>
      </c>
      <c r="AB543" s="173" t="str">
        <f>IF(W543="via USD",IF(K543="EUR",K543&amp;"USD","USD"&amp;K543),IFERROR(VLOOKUP(K543&amp;S543,'FX RATES'!$H$2:$H$20,1,FALSE),S543&amp;K543))</f>
        <v>USDUSD</v>
      </c>
      <c r="AC543" s="175">
        <f>IF(LEFT(AB543,3)=RIGHT(AB543,3),0,IFERROR(INDEX(CLIENTS!$A$1:$O$649,MATCH(H543,CLIENTS!$A$1:$A$649,0),MATCH(AB543,CLIENTS!$A$1:$O$1,0)),0))</f>
        <v>0</v>
      </c>
      <c r="AD543" s="176"/>
      <c r="AE543" s="177">
        <f>IF(W543="CLIENT","",IF(AD543="",AH543+AC543,AD543+AC543))</f>
        <v>1</v>
      </c>
      <c r="AF543" s="177" t="str">
        <f>E543&amp;AB543</f>
        <v>46064USDUSD</v>
      </c>
      <c r="AG543" s="176"/>
      <c r="AH543" s="178">
        <f>IF(LEFT(AB543,3)=RIGHT(AB543,3),1,VLOOKUP(AB543,'FX RATES'!$H$1:$I$20,2,FALSE))</f>
        <v>1</v>
      </c>
      <c r="AI543" s="178">
        <f>IF(OR(AB543="USDAED",LEFT(AB543,3)=RIGHT(AB543,3)),AH543,IF(LEFT(AB543)="USD",AG543,IF(RIGHT(AB543,3)="USD",1,IFERROR(VLOOKUP(E543&amp;"USD"&amp;RIGHT(AB543,3),$AF:$AG,2,FALSE),VLOOKUP(E543&amp;"USD"&amp;RIGHT(AJ543,3),$AN:$AO,2,FALSE)))))</f>
        <v>1</v>
      </c>
      <c r="AJ543" s="173" t="str">
        <f>IF(W543="via USD",IF(S543="EUR",S543&amp;"USD","USD"&amp;S543),IFERROR(VLOOKUP(K543&amp;S543,'FX RATES'!$H$2:$H$20,1,FALSE),S543&amp;K543))</f>
        <v>USDUSDT</v>
      </c>
      <c r="AK543" s="175">
        <f>IF(LEFT(AJ543,3)=RIGHT(AJ543,3),0,IFERROR(INDEX(CLIENTS!$A$1:$O$649,MATCH(P543,CLIENTS!$A$1:$A$649,0),MATCH(AJ543,CLIENTS!$A$1:$O$1,0)),0))</f>
        <v>0</v>
      </c>
      <c r="AL543" s="176"/>
      <c r="AM543" s="177">
        <f>IF(W543="VENDOR","",IF(AL543="",AP543+AK543,AL543+AK543))</f>
        <v>1</v>
      </c>
      <c r="AN543" s="177" t="str">
        <f>E543&amp;AJ543</f>
        <v>46064USDUSDT</v>
      </c>
      <c r="AO543" s="176">
        <v>1</v>
      </c>
      <c r="AP543" s="178">
        <f>IF(LEFT(AJ543,3)=RIGHT(AJ543,3),1,VLOOKUP(AJ543,'FX RATES'!$H$1:$I$50,2,FALSE))</f>
        <v>1</v>
      </c>
      <c r="AQ543" s="178">
        <f>IF(OR(AJ543="USDAED",LEFT(AJ543,3)=RIGHT(AJ543,3),AJ543="USDUSDT",AJ543="USDTUSD"),AP543,IF(LEFT(AJ543)="USD",AO543,IF(RIGHT(AJ543,3)="USD",1,IFERROR(VLOOKUP(E543&amp;"USD"&amp;RIGHT(AJ543,3),$AN:$AO,2,FALSE),VLOOKUP(E543&amp;"USD"&amp;RIGHT(AB543,3),$AF:$AG,2,FALSE)))))</f>
        <v>1</v>
      </c>
      <c r="AR543" s="179">
        <f>-Q543*(1-Z543)/(1+X543)*IF(W543="CLIENT",IF(S543=RIGHT(AJ543,3),1/AM543,AM543),IF(W543="VENDOR",IF(S543=RIGHT(AJ543,3),1/AE543,AE543),AE543^(VLOOKUP(AB543,'FX RATES'!$H$1:$J$26,3,FALSE))/AM543^(VLOOKUP(AJ543,'FX RATES'!$H$1:$J$26,3,FALSE))))</f>
        <v>-299400</v>
      </c>
      <c r="AS543" s="179">
        <f>-I543*(1+X543)/(1-Z543)*IF(W543="VENDOR",IF(K543=RIGHT(AB543,3),1/AE543,AE543),IF(W543="CLIENT",IF(K543=RIGHT(AB543,3),1/AM543,AM543),AM543^(VLOOKUP(AJ543,'FX RATES'!$H$1:$J$26,3,FALSE))/AE543^(VLOOKUP(AB543,'FX RATES'!$H$1:$J$26,3,FALSE))))</f>
        <v>0</v>
      </c>
      <c r="AT543" s="170">
        <f>IF(AB543&lt;&gt;AJ543,J543/IF(K543=RIGHT(AB543,3),AE543,1/AE543),IF(S543="USD",J543/IF(K543=RIGHT(AB543,3),IF(W543="CLIENT",AM543,AE543),1/IF(W543="CLIENT",AM543,AE543)),J543*VLOOKUP(K543,'FX RATES'!$E$1:$F$10,2,FALSE)))</f>
        <v>-299400</v>
      </c>
      <c r="AU543" s="170">
        <f>IF(AB543&lt;&gt;AJ543,R543/IF(S543=RIGHT(AJ543,3),AM543,1/AM543),IF(K543="USD",R543/IF(S543=RIGHT(AJ543,3),IF(W543="CLIENT",AM543,AE543),1/IF(W543="CLIENT",AM543,AE543)),R543*VLOOKUP(S543,'FX RATES'!$E$1:$F$10,2,FALSE)))</f>
        <v>300000</v>
      </c>
      <c r="AV543" s="170">
        <f>AT543+AU543</f>
        <v>600</v>
      </c>
      <c r="AW543" s="169"/>
      <c r="AX543" s="170">
        <f>IF(AND(ISERROR(SEARCH("INVOICE",T543)),ISERROR(SEARCH("SWITCH",T543)),ISERROR(SEARCH("FOREX",T543)),ISERROR(SEARCH("REFUND",A543)),ISERROR(SEARCH("CANCELLED",A543))),IF(AW543="",-AT543*X543+AU543*Z543,AW543),0)</f>
        <v>600</v>
      </c>
      <c r="AY543" s="170">
        <f>IF(AZ543="USD",AT543,IF(AZ543=K543,J543,-R543))</f>
        <v>-299400</v>
      </c>
      <c r="AZ543" s="170" t="str">
        <f>LEFT(AB543,3)</f>
        <v>USD</v>
      </c>
      <c r="BA543" s="542">
        <f>IF(OR(A543="REFUND",A543="CANCELLED"),0,IFERROR((IF(OR(AB543="USDAED",LEFT(AB543,3)=RIGHT(AB543,3)),AI543,AG543)-AE543)*-AY543*VLOOKUP(AB543,'FX RATES'!$H$1:$J$26,3,FALSE),0))</f>
        <v>0</v>
      </c>
      <c r="BB543" s="170" t="str">
        <f>RIGHT(AB543,3)</f>
        <v>USD</v>
      </c>
      <c r="BC543" s="542">
        <f>IF(BA543=0,0,IFERROR(BA543/IF(BB543&lt;&gt;"USD",AI543,1),"???"))</f>
        <v>0</v>
      </c>
      <c r="BD543" s="170">
        <f>IFERROR(-AC543/(IF(OR(AB543="USDAED",LEFT(AB543,3)=RIGHT(AB543,3)),AH543,AG543)-AE543)*BC543,0)</f>
        <v>0</v>
      </c>
      <c r="BE543" s="542">
        <f>BC543-BD543</f>
        <v>0</v>
      </c>
      <c r="BF543" s="170">
        <f>IF(BG543="USD",AU543,IF(BG543=S543,R543,-J543))</f>
        <v>300000</v>
      </c>
      <c r="BG543" s="170" t="str">
        <f>LEFT(AJ543,3)</f>
        <v>USD</v>
      </c>
      <c r="BH543" s="542">
        <f>IF(OR(A543="REFUND",A543="CANCELLED"),0,IFERROR((IF(OR(AJ543="USDAED",LEFT(AJ543,3)=RIGHT(AJ543,3),AJ543="USDUSDT",AJ543="USDTUSD"),AQ543,AO543)-AM543)*-BF543*VLOOKUP(AJ543,'FX RATES'!$H$1:$J$26,3,FALSE),0))</f>
        <v>0</v>
      </c>
      <c r="BI543" s="170" t="str">
        <f>RIGHT(AJ543,4)</f>
        <v>USDT</v>
      </c>
      <c r="BJ543" s="542">
        <f>IF(BH543=0,0,IFERROR(BH543/IF(BI543&lt;&gt;"USD",AQ543,1),"???"))</f>
        <v>0</v>
      </c>
      <c r="BK543" s="170">
        <f>IFERROR(-AK543/(IF(OR(AJ543="USDAED",LEFT(AJ543,3)=RIGHT(AJ543,3)),AP543,AO543)-AM543)*BJ543,0)</f>
        <v>0</v>
      </c>
      <c r="BL543" s="542">
        <f>BJ543-BK543</f>
        <v>0</v>
      </c>
      <c r="BM543" s="170">
        <f>IF(AND(ISERROR(SEARCH("REFUND",A543)),ISERROR(SEARCH("CANCELLED",A543))),BD543+BK543,0)</f>
        <v>0</v>
      </c>
      <c r="BN543" s="542">
        <f>IF(AND(ISERROR(SEARCH("REFUND",A543)),ISERROR(SEARCH("CANCELLED",A543))),BE543+BL543,0)</f>
        <v>0</v>
      </c>
    </row>
    <row r="544" spans="1:66" ht="19.5" customHeight="1">
      <c r="A544" s="167"/>
      <c r="B544" s="182"/>
      <c r="C544" s="182"/>
      <c r="D544" s="182"/>
      <c r="E544" s="184"/>
      <c r="F544" s="184"/>
      <c r="G544" s="182"/>
      <c r="H544" s="182"/>
      <c r="I544" s="170"/>
      <c r="J544" s="170"/>
      <c r="K544" s="182"/>
      <c r="L544" s="184"/>
      <c r="M544" s="182"/>
      <c r="O544" s="182"/>
      <c r="P544" s="444"/>
      <c r="Q544" s="170"/>
      <c r="R544" s="170"/>
      <c r="S544" s="182"/>
      <c r="T544" s="184"/>
      <c r="U544" s="182"/>
      <c r="X544" s="173"/>
      <c r="Y544" s="173"/>
      <c r="Z544" s="173"/>
      <c r="AA544" s="173"/>
      <c r="AB544" s="173"/>
      <c r="AC544" s="175"/>
      <c r="AD544" s="177"/>
      <c r="AE544" s="177"/>
      <c r="AF544" s="177"/>
      <c r="AG544" s="177"/>
      <c r="AH544" s="178"/>
      <c r="AI544" s="178"/>
      <c r="AJ544" s="173"/>
      <c r="AK544" s="175"/>
      <c r="AL544" s="177"/>
      <c r="AM544" s="177"/>
      <c r="AN544" s="177"/>
      <c r="AO544" s="177"/>
      <c r="AP544" s="178"/>
      <c r="AQ544" s="178"/>
      <c r="AR544" s="185"/>
      <c r="AS544" s="185"/>
      <c r="AT544" s="170"/>
      <c r="AU544" s="170"/>
      <c r="AV544" s="170"/>
      <c r="AW544" s="170"/>
      <c r="AX544" s="170"/>
      <c r="AY544" s="170"/>
      <c r="AZ544" s="170"/>
      <c r="BA544" s="542"/>
      <c r="BB544" s="170"/>
      <c r="BC544" s="542"/>
      <c r="BD544" s="170"/>
      <c r="BE544" s="542"/>
      <c r="BF544" s="170"/>
      <c r="BG544" s="170"/>
      <c r="BH544" s="542"/>
      <c r="BI544" s="170"/>
      <c r="BJ544" s="542"/>
      <c r="BK544" s="170"/>
      <c r="BL544" s="542"/>
      <c r="BM544" s="170"/>
      <c r="BN544" s="542"/>
    </row>
    <row r="545" spans="1:66" ht="19.5" customHeight="1">
      <c r="A545" s="167" t="s">
        <v>601</v>
      </c>
      <c r="B545" s="168" t="s">
        <v>39</v>
      </c>
      <c r="C545" s="168" t="s">
        <v>367</v>
      </c>
      <c r="D545" s="168" t="s">
        <v>368</v>
      </c>
      <c r="E545" s="171">
        <v>46065</v>
      </c>
      <c r="F545" s="171"/>
      <c r="G545" s="168" t="s">
        <v>39</v>
      </c>
      <c r="H545" s="168" t="s">
        <v>393</v>
      </c>
      <c r="I545" s="169"/>
      <c r="J545" s="170">
        <f t="shared" ref="J545:J552" si="609">IF(I545="",AR545,I545)</f>
        <v>-82831.869738126232</v>
      </c>
      <c r="K545" s="168" t="s">
        <v>5</v>
      </c>
      <c r="L545" s="171" t="s">
        <v>378</v>
      </c>
      <c r="M545" s="168" t="s">
        <v>20</v>
      </c>
      <c r="N545" s="167" t="s">
        <v>553</v>
      </c>
      <c r="O545" s="168" t="s">
        <v>52</v>
      </c>
      <c r="P545" s="168" t="s">
        <v>394</v>
      </c>
      <c r="Q545" s="169">
        <v>6461786.7300000004</v>
      </c>
      <c r="R545" s="170">
        <f t="shared" ref="R545:R552" si="610">IF(Q545="",AS545,Q545)</f>
        <v>6461786.7300000004</v>
      </c>
      <c r="S545" s="168" t="s">
        <v>9</v>
      </c>
      <c r="T545" s="171" t="s">
        <v>25</v>
      </c>
      <c r="U545" s="168" t="s">
        <v>25</v>
      </c>
      <c r="V545" s="167" t="s">
        <v>371</v>
      </c>
      <c r="W545" s="172" t="s">
        <v>389</v>
      </c>
      <c r="X545" s="173">
        <f>IF(Y545="",VLOOKUP(H545,CLIENTS!$A$1:$O$649,5,FALSE),Y545)</f>
        <v>0</v>
      </c>
      <c r="Y545" s="174">
        <v>0</v>
      </c>
      <c r="Z545" s="173">
        <f>IF(AA545="",VLOOKUP(P545,CLIENTS!$A$1:$O$649,5,FALSE),AA545)</f>
        <v>7.0000000000000001E-3</v>
      </c>
      <c r="AA545" s="174">
        <v>7.0000000000000001E-3</v>
      </c>
      <c r="AB545" s="173" t="str">
        <f>IF(W545="via USD",IF(K545="EUR",K545&amp;"USD","USD"&amp;K545),IFERROR(VLOOKUP(K545&amp;S545,'FX RATES'!$H$2:$H$20,1,FALSE),S545&amp;K545))</f>
        <v>USDRUB</v>
      </c>
      <c r="AC545" s="175">
        <f>IF(LEFT(AB545,3)=RIGHT(AB545,3),0,IFERROR(INDEX(CLIENTS!$A$1:$O$649,MATCH(H545,CLIENTS!$A$1:$A$649,0),MATCH(AB545,CLIENTS!$A$1:$O$1,0)),0))</f>
        <v>0</v>
      </c>
      <c r="AD545" s="176"/>
      <c r="AE545" s="177" t="str">
        <f t="shared" ref="AE545:AE552" si="611">IF(W545="CLIENT","",IF(AD545="",AH545+AC545,AD545+AC545))</f>
        <v/>
      </c>
      <c r="AF545" s="177" t="str">
        <f t="shared" ref="AF545:AF552" si="612">E545&amp;AB545</f>
        <v>46065USDRUB</v>
      </c>
      <c r="AG545" s="176">
        <v>77.150000000000006</v>
      </c>
      <c r="AH545" s="178">
        <f ca="1">IF(LEFT(AB545,3)=RIGHT(AB545,3),1,VLOOKUP(AB545,'FX RATES'!$H$1:$I$20,2,FALSE))</f>
        <v>76.720500000000001</v>
      </c>
      <c r="AI545" s="178">
        <f>IF(OR(AB545="USDAED",LEFT(AB545,3)=RIGHT(AB545,3)),AH545,IF(LEFT(AB545)="USD",AG545,IF(RIGHT(AB545,3)="USD",1,IFERROR(VLOOKUP(E545&amp;"USD"&amp;RIGHT(AB545,3),$AF:$AG,2,FALSE),VLOOKUP(E545&amp;"USD"&amp;RIGHT(AJ545,3),$AN:$AO,2,FALSE)))))</f>
        <v>77.150000000000006</v>
      </c>
      <c r="AJ545" s="173" t="str">
        <f>IF(W545="via USD",IF(S545="EUR",S545&amp;"USD","USD"&amp;S545),IFERROR(VLOOKUP(K545&amp;S545,'FX RATES'!$H$2:$H$20,1,FALSE),S545&amp;K545))</f>
        <v>USDRUB</v>
      </c>
      <c r="AK545" s="175">
        <f>IF(LEFT(AJ545,3)=RIGHT(AJ545,3),0,IFERROR(INDEX(CLIENTS!$A$1:$O$649,MATCH(P545,CLIENTS!$A$1:$A$649,0),MATCH(AJ545,CLIENTS!$A$1:$O$1,0)),0))</f>
        <v>0</v>
      </c>
      <c r="AL545" s="176">
        <v>77.464799999999997</v>
      </c>
      <c r="AM545" s="177">
        <f t="shared" ref="AM545:AM552" si="613">IF(W545="VENDOR","",IF(AL545="",AP545+AK545,AL545+AK545))</f>
        <v>77.464799999999997</v>
      </c>
      <c r="AN545" s="177" t="str">
        <f t="shared" ref="AN545:AN552" si="614">E545&amp;AJ545</f>
        <v>46065USDRUB</v>
      </c>
      <c r="AO545" s="176">
        <v>77.150000000000006</v>
      </c>
      <c r="AP545" s="178">
        <f ca="1">IF(LEFT(AJ545,3)=RIGHT(AJ545,3),1,VLOOKUP(AJ545,'FX RATES'!$H$1:$I$20,2,FALSE))</f>
        <v>76.720500000000001</v>
      </c>
      <c r="AQ545" s="178">
        <f t="shared" ref="AQ545:AQ554" si="615">IF(OR(AJ545="USDAED",LEFT(AJ545,3)=RIGHT(AJ545,3)),AP545,IF(LEFT(AJ545)="USD",AO545,IF(RIGHT(AJ545,3)="USD",1,IFERROR(VLOOKUP(E545&amp;"USD"&amp;RIGHT(AJ545,3),$AN:$AO,2,FALSE),VLOOKUP(E545&amp;"USD"&amp;RIGHT(AB545,3),$AF:$AG,2,FALSE)))))</f>
        <v>77.150000000000006</v>
      </c>
      <c r="AR545" s="179">
        <f>-Q545*(1-Z545)/(1+X545)*IF(W545="CLIENT",IF(S545=RIGHT(AJ545,3),1/AM545,AM545),IF(W545="VENDOR",IF(S545=RIGHT(AJ545,3),1/AE545,AE545),AE545^(VLOOKUP(AB545,'FX RATES'!$H$1:$J$26,3,FALSE))/AM545^(VLOOKUP(AJ545,'FX RATES'!$H$1:$J$26,3,FALSE))))</f>
        <v>-82831.869738126232</v>
      </c>
      <c r="AS545" s="179">
        <f>-I545*(1+X545)/(1-Z545)*IF(W545="VENDOR",IF(K545=RIGHT(AB545,3),1/AE545,AE545),IF(W545="CLIENT",IF(K545=RIGHT(AB545,3),1/AM545,AM545),AM545^(VLOOKUP(AJ545,'FX RATES'!$H$1:$J$26,3,FALSE))/AE545^(VLOOKUP(AB545,'FX RATES'!$H$1:$J$26,3,FALSE))))</f>
        <v>0</v>
      </c>
      <c r="AT545" s="170">
        <f>IF(AB545&lt;&gt;AJ545,J545/IF(K545=RIGHT(AB545,3),AE545,1/AE545),IF(S545="USD",J545/IF(K545=RIGHT(AB545,3),IF(W545="CLIENT",AM545,AE545),1/IF(W545="CLIENT",AM545,AE545)),J545*VLOOKUP(K545,'FX RATES'!$E$1:$F$10,2,FALSE)))</f>
        <v>-82831.869738126232</v>
      </c>
      <c r="AU545" s="170">
        <f>IF(AB545&lt;&gt;AJ545,R545/IF(S545=RIGHT(AJ545,3),AM545,1/AM545),IF(K545="USD",R545/IF(S545=RIGHT(AJ545,3),IF(W545="CLIENT",AM545,AE545),1/IF(W545="CLIENT",AM545,AE545)),R545*VLOOKUP(S545,'FX RATES'!$E$1:$F$10,2,FALSE)))</f>
        <v>83415.780199522895</v>
      </c>
      <c r="AV545" s="170">
        <f t="shared" ref="AV545:AV552" si="616">AT545+AU545</f>
        <v>583.91046139666287</v>
      </c>
      <c r="AW545" s="169"/>
      <c r="AX545" s="170">
        <f t="shared" ref="AX545:AX552" si="617">IF(AND(ISERROR(SEARCH("INVOICE",T545)),ISERROR(SEARCH("SWITCH",T545)),ISERROR(SEARCH("FOREX",T545)),ISERROR(SEARCH("REFUND",A545)),ISERROR(SEARCH("CANCELLED",A545))),IF(AW545="",-AT545*X545+AU545*Z545,AW545),0)</f>
        <v>583.91046139666025</v>
      </c>
      <c r="AY545" s="170">
        <f t="shared" ref="AY545:AY552" si="618">IF(AZ545="USD",AT545,IF(AZ545=K545,J545,-R545))</f>
        <v>-82831.869738126232</v>
      </c>
      <c r="AZ545" s="170" t="str">
        <f t="shared" ref="AZ545:AZ552" si="619">LEFT(AB545,3)</f>
        <v>USD</v>
      </c>
      <c r="BA545" s="542">
        <f>IF(OR(A545="REFUND",A545="CANCELLED"),0,IFERROR((IF(OR(AB545="USDAED",LEFT(AB545,3)=RIGHT(AB545,3)),AI545,AG545)-AE545)*-AY545*VLOOKUP(AB545,'FX RATES'!$H$1:$J$26,3,FALSE),0))</f>
        <v>0</v>
      </c>
      <c r="BB545" s="170" t="str">
        <f>RIGHT(AB545,3)</f>
        <v>RUB</v>
      </c>
      <c r="BC545" s="542">
        <f t="shared" ref="BC545:BC552" si="620">IF(BA545=0,0,IFERROR(BA545/IF(BB545&lt;&gt;"USD",AI545,1),"???"))</f>
        <v>0</v>
      </c>
      <c r="BD545" s="170">
        <f t="shared" ref="BD545:BD552" si="621">IFERROR(-AC545/(IF(OR(AB545="USDAED",LEFT(AB545,3)=RIGHT(AB545,3)),AH545,AG545)-AE545)*BC545,0)</f>
        <v>0</v>
      </c>
      <c r="BE545" s="542">
        <f t="shared" ref="BE545:BE552" si="622">BC545-BD545</f>
        <v>0</v>
      </c>
      <c r="BF545" s="170">
        <f t="shared" ref="BF545:BF552" si="623">IF(BG545="USD",AU545,IF(BG545=S545,R545,-J545))</f>
        <v>83415.780199522895</v>
      </c>
      <c r="BG545" s="170" t="str">
        <f t="shared" ref="BG545:BG552" si="624">LEFT(AJ545,3)</f>
        <v>USD</v>
      </c>
      <c r="BH545" s="542">
        <f>IF(OR(A545="REFUND",A545="CANCELLED"),0,IFERROR((IF(OR(AJ545="USDAED",LEFT(AJ545,3)=RIGHT(AJ545,3)),AQ545,AO545)-AM545)*-BF545*VLOOKUP(AJ545,'FX RATES'!$H$1:$J$26,3,FALSE),0))</f>
        <v>26259.287606809063</v>
      </c>
      <c r="BI545" s="170" t="str">
        <f t="shared" ref="BI545:BI552" si="625">RIGHT(AJ545,3)</f>
        <v>RUB</v>
      </c>
      <c r="BJ545" s="542">
        <f t="shared" ref="BJ545:BJ552" si="626">IF(BH545=0,0,IFERROR(BH545/IF(BI545&lt;&gt;"USD",AQ545,1),"???"))</f>
        <v>340.36665724963137</v>
      </c>
      <c r="BK545" s="170">
        <f t="shared" ref="BK545:BK552" si="627">IFERROR(-AK545/(IF(OR(AJ545="USDAED",LEFT(AJ545,3)=RIGHT(AJ545,3)),AP545,AO545)-AM545)*BJ545,0)</f>
        <v>0</v>
      </c>
      <c r="BL545" s="542">
        <f t="shared" ref="BL545:BL552" si="628">BJ545-BK545</f>
        <v>340.36665724963137</v>
      </c>
      <c r="BM545" s="170">
        <f t="shared" ref="BM545:BM552" si="629">IF(AND(ISERROR(SEARCH("REFUND",A545)),ISERROR(SEARCH("CANCELLED",A545))),BD545+BK545,0)</f>
        <v>0</v>
      </c>
      <c r="BN545" s="542">
        <f t="shared" ref="BN545:BN552" si="630">IF(AND(ISERROR(SEARCH("REFUND",A545)),ISERROR(SEARCH("CANCELLED",A545))),BE545+BL545,0)</f>
        <v>340.36665724963137</v>
      </c>
    </row>
    <row r="546" spans="1:66" ht="19.5" customHeight="1">
      <c r="A546" s="167" t="s">
        <v>601</v>
      </c>
      <c r="B546" s="168" t="s">
        <v>39</v>
      </c>
      <c r="C546" s="168" t="s">
        <v>367</v>
      </c>
      <c r="D546" s="168" t="s">
        <v>368</v>
      </c>
      <c r="E546" s="171">
        <v>46065</v>
      </c>
      <c r="F546" s="171"/>
      <c r="G546" s="168" t="s">
        <v>39</v>
      </c>
      <c r="H546" s="168" t="s">
        <v>504</v>
      </c>
      <c r="I546" s="169"/>
      <c r="J546" s="170">
        <f t="shared" si="609"/>
        <v>-496299.99994939641</v>
      </c>
      <c r="K546" s="168" t="s">
        <v>5</v>
      </c>
      <c r="L546" s="171" t="s">
        <v>505</v>
      </c>
      <c r="M546" s="168" t="s">
        <v>20</v>
      </c>
      <c r="N546" s="182" t="s">
        <v>553</v>
      </c>
      <c r="O546" s="168" t="s">
        <v>52</v>
      </c>
      <c r="P546" s="168" t="s">
        <v>413</v>
      </c>
      <c r="Q546" s="169">
        <v>38677847.32</v>
      </c>
      <c r="R546" s="170">
        <f t="shared" si="610"/>
        <v>38677847.32</v>
      </c>
      <c r="S546" s="168" t="s">
        <v>9</v>
      </c>
      <c r="T546" s="171" t="s">
        <v>414</v>
      </c>
      <c r="U546" s="168" t="s">
        <v>25</v>
      </c>
      <c r="V546" s="167" t="s">
        <v>371</v>
      </c>
      <c r="W546" s="172" t="s">
        <v>375</v>
      </c>
      <c r="X546" s="173">
        <f>IF(Y546="",VLOOKUP(H546,CLIENTS!$A$1:$O$649,5,FALSE),Y546)</f>
        <v>0</v>
      </c>
      <c r="Y546" s="174">
        <v>0</v>
      </c>
      <c r="Z546" s="173">
        <f>IF(AA546="",VLOOKUP(P546,CLIENTS!$A$1:$O$649,5,FALSE),AA546)</f>
        <v>6.0000000000000001E-3</v>
      </c>
      <c r="AA546" s="174">
        <v>6.0000000000000001E-3</v>
      </c>
      <c r="AB546" s="173" t="str">
        <f>IF(W546="via USD",IF(K546="EUR",K546&amp;"USD","USD"&amp;K546),IFERROR(VLOOKUP(K546&amp;S546,'FX RATES'!$H$2:$H$20,1,FALSE),S546&amp;K546))</f>
        <v>USDUSD</v>
      </c>
      <c r="AC546" s="175">
        <f>IF(LEFT(AB546,3)=RIGHT(AB546,3),0,IFERROR(INDEX(CLIENTS!$A$1:$O$649,MATCH(H546,CLIENTS!$A$1:$A$649,0),MATCH(AB546,CLIENTS!$A$1:$O$1,0)),0))</f>
        <v>0</v>
      </c>
      <c r="AD546" s="176"/>
      <c r="AE546" s="177">
        <f t="shared" si="611"/>
        <v>1</v>
      </c>
      <c r="AF546" s="177" t="str">
        <f t="shared" si="612"/>
        <v>46065USDUSD</v>
      </c>
      <c r="AG546" s="176"/>
      <c r="AH546" s="178">
        <f>IF(LEFT(AB546,3)=RIGHT(AB546,3),1,VLOOKUP(AB546,'FX RATES'!$H$1:$I$20,2,FALSE))</f>
        <v>1</v>
      </c>
      <c r="AI546" s="178">
        <f>IF(OR(AB546="USDAED",LEFT(AB546,3)=RIGHT(AB546,3)),AH546,IF(LEFT(AB546)="USD",AG546,IF(RIGHT(AB546,3)="USD",1,IFERROR(VLOOKUP(E546&amp;"USD"&amp;RIGHT(AB546,3),$AF:$AG,2,FALSE),VLOOKUP(E546&amp;"USD"&amp;RIGHT(AJ546,3),$AN:$AO,2,FALSE)))))</f>
        <v>1</v>
      </c>
      <c r="AJ546" s="173" t="str">
        <f>IF(W546="via USD",IF(S546="EUR",S546&amp;"USD","USD"&amp;S546),IFERROR(VLOOKUP(K546&amp;S546,'FX RATES'!$H$2:$H$20,1,FALSE),S546&amp;K546))</f>
        <v>USDRUB</v>
      </c>
      <c r="AK546" s="175">
        <f>IF(LEFT(AJ546,3)=RIGHT(AJ546,3),0,IFERROR(INDEX(CLIENTS!$A$1:$O$649,MATCH(P546,CLIENTS!$A$1:$A$649,0),MATCH(AJ546,CLIENTS!$A$1:$O$1,0)),0))</f>
        <v>0</v>
      </c>
      <c r="AL546" s="176">
        <v>77.464799999999997</v>
      </c>
      <c r="AM546" s="177">
        <f t="shared" si="613"/>
        <v>77.464799999999997</v>
      </c>
      <c r="AN546" s="177" t="str">
        <f t="shared" si="614"/>
        <v>46065USDRUB</v>
      </c>
      <c r="AO546" s="176">
        <v>77.150000000000006</v>
      </c>
      <c r="AP546" s="178">
        <f ca="1">IF(LEFT(AJ546,3)=RIGHT(AJ546,3),1,VLOOKUP(AJ546,'FX RATES'!$H$1:$I$20,2,FALSE))</f>
        <v>76.720500000000001</v>
      </c>
      <c r="AQ546" s="178">
        <f t="shared" si="615"/>
        <v>77.150000000000006</v>
      </c>
      <c r="AR546" s="179">
        <f>-Q546*(1-Z546)/(1+X546)*IF(W546="CLIENT",IF(S546=RIGHT(AJ546,3),1/AM546,AM546),IF(W546="VENDOR",IF(S546=RIGHT(AJ546,3),1/AE546,AE546),AE546^(VLOOKUP(AB546,'FX RATES'!$H$1:$J$26,3,FALSE))/AM546^(VLOOKUP(AJ546,'FX RATES'!$H$1:$J$26,3,FALSE))))</f>
        <v>-496299.99994939641</v>
      </c>
      <c r="AS546" s="179">
        <f>-I546*(1+X546)/(1-Z546)*IF(W546="VENDOR",IF(K546=RIGHT(AB546,3),1/AE546,AE546),IF(W546="CLIENT",IF(K546=RIGHT(AB546,3),1/AM546,AM546),AM546^(VLOOKUP(AJ546,'FX RATES'!$H$1:$J$26,3,FALSE))/AE546^(VLOOKUP(AB546,'FX RATES'!$H$1:$J$26,3,FALSE))))</f>
        <v>0</v>
      </c>
      <c r="AT546" s="170">
        <f>IF(AB546&lt;&gt;AJ546,J546/IF(K546=RIGHT(AB546,3),AE546,1/AE546),IF(S546="USD",J546/IF(K546=RIGHT(AB546,3),IF(W546="CLIENT",AM546,AE546),1/IF(W546="CLIENT",AM546,AE546)),J546*VLOOKUP(K546,'FX RATES'!$E$1:$F$10,2,FALSE)))</f>
        <v>-496299.99994939641</v>
      </c>
      <c r="AU546" s="170">
        <f>IF(AB546&lt;&gt;AJ546,R546/IF(S546=RIGHT(AJ546,3),AM546,1/AM546),IF(K546="USD",R546/IF(S546=RIGHT(AJ546,3),IF(W546="CLIENT",AM546,AE546),1/IF(W546="CLIENT",AM546,AE546)),R546*VLOOKUP(S546,'FX RATES'!$E$1:$F$10,2,FALSE)))</f>
        <v>499295.77459697827</v>
      </c>
      <c r="AV546" s="170">
        <f t="shared" si="616"/>
        <v>2995.7746475818567</v>
      </c>
      <c r="AW546" s="169"/>
      <c r="AX546" s="170">
        <f t="shared" si="617"/>
        <v>2995.7746475818699</v>
      </c>
      <c r="AY546" s="170">
        <f t="shared" si="618"/>
        <v>-496299.99994939641</v>
      </c>
      <c r="AZ546" s="170" t="str">
        <f t="shared" si="619"/>
        <v>USD</v>
      </c>
      <c r="BA546" s="542">
        <f>IF(OR(A546="REFUND",A546="CANCELLED"),0,IFERROR((IF(OR(AB546="USDAED",LEFT(AB546,3)=RIGHT(AB546,3)),AI546,AG546)-AE546)*-AY546*VLOOKUP(AB546,'FX RATES'!$H$1:$J$26,3,FALSE),0))</f>
        <v>0</v>
      </c>
      <c r="BB546" s="170" t="str">
        <f>RIGHT(AB546,3)</f>
        <v>USD</v>
      </c>
      <c r="BC546" s="542">
        <f t="shared" si="620"/>
        <v>0</v>
      </c>
      <c r="BD546" s="170">
        <f t="shared" si="621"/>
        <v>0</v>
      </c>
      <c r="BE546" s="542">
        <f t="shared" si="622"/>
        <v>0</v>
      </c>
      <c r="BF546" s="170">
        <f t="shared" si="623"/>
        <v>499295.77459697827</v>
      </c>
      <c r="BG546" s="170" t="str">
        <f t="shared" si="624"/>
        <v>USD</v>
      </c>
      <c r="BH546" s="542">
        <f>IF(OR(A546="REFUND",A546="CANCELLED"),0,IFERROR((IF(OR(AJ546="USDAED",LEFT(AJ546,3)=RIGHT(AJ546,3)),AQ546,AO546)-AM546)*-BF546*VLOOKUP(AJ546,'FX RATES'!$H$1:$J$26,3,FALSE),0))</f>
        <v>157178.3098431243</v>
      </c>
      <c r="BI546" s="170" t="str">
        <f t="shared" si="625"/>
        <v>RUB</v>
      </c>
      <c r="BJ546" s="542">
        <f t="shared" si="626"/>
        <v>2037.307969450736</v>
      </c>
      <c r="BK546" s="170">
        <f t="shared" si="627"/>
        <v>0</v>
      </c>
      <c r="BL546" s="542">
        <f t="shared" si="628"/>
        <v>2037.307969450736</v>
      </c>
      <c r="BM546" s="170">
        <f t="shared" si="629"/>
        <v>0</v>
      </c>
      <c r="BN546" s="542">
        <f t="shared" si="630"/>
        <v>2037.307969450736</v>
      </c>
    </row>
    <row r="547" spans="1:66" ht="19.5" customHeight="1">
      <c r="A547" s="167" t="s">
        <v>601</v>
      </c>
      <c r="B547" s="168" t="s">
        <v>31</v>
      </c>
      <c r="C547" s="168" t="s">
        <v>367</v>
      </c>
      <c r="D547" s="168" t="s">
        <v>472</v>
      </c>
      <c r="E547" s="171">
        <v>46065</v>
      </c>
      <c r="F547" s="171"/>
      <c r="G547" s="168" t="s">
        <v>31</v>
      </c>
      <c r="H547" s="168" t="s">
        <v>508</v>
      </c>
      <c r="I547" s="169">
        <v>-993400.51</v>
      </c>
      <c r="J547" s="170">
        <f t="shared" si="609"/>
        <v>-993400.51</v>
      </c>
      <c r="K547" s="168" t="s">
        <v>8</v>
      </c>
      <c r="L547" s="168" t="s">
        <v>16</v>
      </c>
      <c r="M547" s="168" t="s">
        <v>14</v>
      </c>
      <c r="N547" s="167" t="s">
        <v>553</v>
      </c>
      <c r="O547" s="168" t="s">
        <v>52</v>
      </c>
      <c r="P547" s="168" t="s">
        <v>509</v>
      </c>
      <c r="Q547" s="169"/>
      <c r="R547" s="170">
        <f t="shared" si="610"/>
        <v>21434217.029667843</v>
      </c>
      <c r="S547" s="168" t="s">
        <v>9</v>
      </c>
      <c r="T547" s="171" t="s">
        <v>25</v>
      </c>
      <c r="U547" s="168" t="s">
        <v>25</v>
      </c>
      <c r="V547" s="167" t="s">
        <v>371</v>
      </c>
      <c r="W547" s="172" t="s">
        <v>375</v>
      </c>
      <c r="X547" s="173">
        <f>IF(Y547="",VLOOKUP(H547,CLIENTS!$A$1:$O$649,5,FALSE),Y547)</f>
        <v>0</v>
      </c>
      <c r="Y547" s="174">
        <v>0</v>
      </c>
      <c r="Z547" s="173">
        <f>IF(AA547="",VLOOKUP(P547,CLIENTS!$A$1:$O$649,5,FALSE),AA547)</f>
        <v>1.7000000000000001E-2</v>
      </c>
      <c r="AA547" s="174">
        <v>1.7000000000000001E-2</v>
      </c>
      <c r="AB547" s="173" t="str">
        <f>IF(W547="via USD",IF(K547="EUR",K547&amp;"USD","USD"&amp;K547),IFERROR(VLOOKUP(K547&amp;S547,'FX RATES'!$H$2:$H$20,1,FALSE),S547&amp;K547))</f>
        <v>USDAED</v>
      </c>
      <c r="AC547" s="175">
        <f>IF(LEFT(AB547,3)=RIGHT(AB547,3),0,IFERROR(INDEX(CLIENTS!$A$1:$O$649,MATCH(H547,CLIENTS!$A$1:$A$649,0),MATCH(AB547,CLIENTS!$A$1:$O$1,0)),0))</f>
        <v>-2.5000000000000001E-3</v>
      </c>
      <c r="AD547" s="176"/>
      <c r="AE547" s="177">
        <f t="shared" si="611"/>
        <v>3.67</v>
      </c>
      <c r="AF547" s="177" t="str">
        <f t="shared" si="612"/>
        <v>46065USDAED</v>
      </c>
      <c r="AG547" s="176"/>
      <c r="AH547" s="178">
        <f>IF(LEFT(AB547,3)=RIGHT(AB547,3),1,VLOOKUP(AB547,'FX RATES'!$H$1:$I$20,2,FALSE))</f>
        <v>3.6724999999999999</v>
      </c>
      <c r="AI547" s="178">
        <f>IF(OR(AB547="USDAED",LEFT(AB547,3)=RIGHT(AB547,3)),AH547,IF(LEFT(AB547)="USD",AG547,IF(RIGHT(AB547,3)="USD",1,IFERROR(VLOOKUP(E547&amp;"USD"&amp;RIGHT(AB547,3),$AF:$AG,2,FALSE),VLOOKUP(E547&amp;"USD"&amp;RIGHT(AJ547,3),$AN:$AO,2,FALSE)))))</f>
        <v>3.6724999999999999</v>
      </c>
      <c r="AJ547" s="173" t="str">
        <f>IF(W547="via USD",IF(S547="EUR",S547&amp;"USD","USD"&amp;S547),IFERROR(VLOOKUP(K547&amp;S547,'FX RATES'!$H$2:$H$20,1,FALSE),S547&amp;K547))</f>
        <v>USDRUB</v>
      </c>
      <c r="AK547" s="175">
        <f>IF(LEFT(AJ547,3)=RIGHT(AJ547,3),0,IFERROR(INDEX(CLIENTS!$A$1:$O$649,MATCH(P547,CLIENTS!$A$1:$A$649,0),MATCH(AJ547,CLIENTS!$A$1:$O$1,0)),0))</f>
        <v>0</v>
      </c>
      <c r="AL547" s="176">
        <v>77.84</v>
      </c>
      <c r="AM547" s="177">
        <f t="shared" si="613"/>
        <v>77.84</v>
      </c>
      <c r="AN547" s="177" t="str">
        <f t="shared" si="614"/>
        <v>46065USDRUB</v>
      </c>
      <c r="AO547" s="176">
        <v>77.150000000000006</v>
      </c>
      <c r="AP547" s="178">
        <f ca="1">IF(LEFT(AJ547,3)=RIGHT(AJ547,3),1,VLOOKUP(AJ547,'FX RATES'!$H$1:$I$20,2,FALSE))</f>
        <v>76.720500000000001</v>
      </c>
      <c r="AQ547" s="178">
        <f t="shared" si="615"/>
        <v>77.150000000000006</v>
      </c>
      <c r="AR547" s="179">
        <f>-Q547*(1-Z547)/(1+X547)*IF(W547="CLIENT",IF(S547=RIGHT(AJ547,3),1/AM547,AM547),IF(W547="VENDOR",IF(S547=RIGHT(AJ547,3),1/AE547,AE547),AE547^(VLOOKUP(AB547,'FX RATES'!$H$1:$J$26,3,FALSE))/AM547^(VLOOKUP(AJ547,'FX RATES'!$H$1:$J$26,3,FALSE))))</f>
        <v>0</v>
      </c>
      <c r="AS547" s="179">
        <f>-I547*(1+X547)/(1-Z547)*IF(W547="VENDOR",IF(K547=RIGHT(AB547,3),1/AE547,AE547),IF(W547="CLIENT",IF(K547=RIGHT(AB547,3),1/AM547,AM547),AM547^(VLOOKUP(AJ547,'FX RATES'!$H$1:$J$26,3,FALSE))/AE547^(VLOOKUP(AB547,'FX RATES'!$H$1:$J$26,3,FALSE))))</f>
        <v>21434217.029667843</v>
      </c>
      <c r="AT547" s="170">
        <f>IF(AB547&lt;&gt;AJ547,J547/IF(K547=RIGHT(AB547,3),AE547,1/AE547),IF(S547="USD",J547/IF(K547=RIGHT(AB547,3),IF(W547="CLIENT",AM547,AE547),1/IF(W547="CLIENT",AM547,AE547)),J547*VLOOKUP(K547,'FX RATES'!$E$1:$F$10,2,FALSE)))</f>
        <v>-270681.3378746594</v>
      </c>
      <c r="AU547" s="170">
        <f>IF(AB547&lt;&gt;AJ547,R547/IF(S547=RIGHT(AJ547,3),AM547,1/AM547),IF(K547="USD",R547/IF(S547=RIGHT(AJ547,3),IF(W547="CLIENT",AM547,AE547),1/IF(W547="CLIENT",AM547,AE547)),R547*VLOOKUP(S547,'FX RATES'!$E$1:$F$10,2,FALSE)))</f>
        <v>275362.50038113876</v>
      </c>
      <c r="AV547" s="170">
        <f t="shared" si="616"/>
        <v>4681.1625064793625</v>
      </c>
      <c r="AW547" s="169"/>
      <c r="AX547" s="170">
        <f t="shared" si="617"/>
        <v>4681.1625064793589</v>
      </c>
      <c r="AY547" s="170">
        <f t="shared" si="618"/>
        <v>-270681.3378746594</v>
      </c>
      <c r="AZ547" s="170" t="str">
        <f t="shared" si="619"/>
        <v>USD</v>
      </c>
      <c r="BA547" s="542">
        <f>IF(OR(A547="REFUND",A547="CANCELLED"),0,IFERROR((IF(OR(AB547="USDAED",LEFT(AB547,3)=RIGHT(AB547,3)),AI547,AG547)-AE547)*-AY547*VLOOKUP(AB547,'FX RATES'!$H$1:$J$26,3,FALSE),0))</f>
        <v>676.70334468663407</v>
      </c>
      <c r="BB547" s="170" t="str">
        <f>RIGHT(AB547,3)</f>
        <v>AED</v>
      </c>
      <c r="BC547" s="542">
        <f t="shared" si="620"/>
        <v>184.26231305286157</v>
      </c>
      <c r="BD547" s="170">
        <f t="shared" si="621"/>
        <v>184.26231305286549</v>
      </c>
      <c r="BE547" s="542">
        <f t="shared" si="622"/>
        <v>-3.922195901395753E-12</v>
      </c>
      <c r="BF547" s="170">
        <f t="shared" si="623"/>
        <v>275362.50038113876</v>
      </c>
      <c r="BG547" s="170" t="str">
        <f t="shared" si="624"/>
        <v>USD</v>
      </c>
      <c r="BH547" s="542">
        <f>IF(OR(A547="REFUND",A547="CANCELLED"),0,IFERROR((IF(OR(AJ547="USDAED",LEFT(AJ547,3)=RIGHT(AJ547,3)),AQ547,AO547)-AM547)*-BF547*VLOOKUP(AJ547,'FX RATES'!$H$1:$J$26,3,FALSE),0))</f>
        <v>190000.12526298512</v>
      </c>
      <c r="BI547" s="170" t="str">
        <f t="shared" si="625"/>
        <v>RUB</v>
      </c>
      <c r="BJ547" s="542">
        <f t="shared" si="626"/>
        <v>2462.736555579846</v>
      </c>
      <c r="BK547" s="170">
        <f t="shared" si="627"/>
        <v>0</v>
      </c>
      <c r="BL547" s="542">
        <f t="shared" si="628"/>
        <v>2462.736555579846</v>
      </c>
      <c r="BM547" s="170">
        <f t="shared" si="629"/>
        <v>184.26231305286549</v>
      </c>
      <c r="BN547" s="542">
        <f t="shared" si="630"/>
        <v>2462.7365555798419</v>
      </c>
    </row>
    <row r="548" spans="1:66" ht="19.5" customHeight="1">
      <c r="A548" s="167" t="s">
        <v>601</v>
      </c>
      <c r="B548" s="168" t="s">
        <v>31</v>
      </c>
      <c r="C548" s="168" t="s">
        <v>367</v>
      </c>
      <c r="D548" s="168" t="s">
        <v>583</v>
      </c>
      <c r="E548" s="171">
        <v>46065</v>
      </c>
      <c r="F548" s="171"/>
      <c r="G548" s="168" t="s">
        <v>31</v>
      </c>
      <c r="H548" s="181" t="s">
        <v>616</v>
      </c>
      <c r="I548" s="169"/>
      <c r="J548" s="170">
        <f t="shared" si="609"/>
        <v>-1321231.836911733</v>
      </c>
      <c r="K548" s="168" t="s">
        <v>8</v>
      </c>
      <c r="L548" s="171" t="s">
        <v>17</v>
      </c>
      <c r="M548" s="168" t="s">
        <v>14</v>
      </c>
      <c r="N548" s="167" t="s">
        <v>553</v>
      </c>
      <c r="O548" s="168" t="s">
        <v>52</v>
      </c>
      <c r="P548" s="168" t="s">
        <v>588</v>
      </c>
      <c r="Q548" s="169">
        <v>28000000</v>
      </c>
      <c r="R548" s="170">
        <f t="shared" si="610"/>
        <v>28000000</v>
      </c>
      <c r="S548" s="168" t="s">
        <v>9</v>
      </c>
      <c r="T548" s="171" t="s">
        <v>502</v>
      </c>
      <c r="U548" s="168" t="s">
        <v>25</v>
      </c>
      <c r="V548" s="167" t="s">
        <v>371</v>
      </c>
      <c r="W548" s="172" t="s">
        <v>375</v>
      </c>
      <c r="X548" s="173">
        <f>IF(Y548="",VLOOKUP(H548,CLIENTS!$A$1:$O$649,5,FALSE),Y548)</f>
        <v>0</v>
      </c>
      <c r="Y548" s="174">
        <v>0</v>
      </c>
      <c r="Z548" s="173">
        <f>IF(AA548="",VLOOKUP(P548,CLIENTS!$A$1:$O$649,5,FALSE),AA548)</f>
        <v>4.0000000000000001E-3</v>
      </c>
      <c r="AA548" s="174">
        <v>4.0000000000000001E-3</v>
      </c>
      <c r="AB548" s="173" t="str">
        <f>IF(W548="via USD",IF(K548="EUR",K548&amp;"USD","USD"&amp;K548),IFERROR(VLOOKUP(K548&amp;S548,'FX RATES'!$H$2:$H$20,1,FALSE),S548&amp;K548))</f>
        <v>USDAED</v>
      </c>
      <c r="AC548" s="175">
        <f>IF(LEFT(AB548,3)=RIGHT(AB548,3),0,IFERROR(INDEX(CLIENTS!$A$1:$O$649,MATCH(H548,CLIENTS!$A$1:$A$649,0),MATCH(AB548,CLIENTS!$A$1:$O$1,0)),0))</f>
        <v>-2.5000000000000001E-3</v>
      </c>
      <c r="AD548" s="176"/>
      <c r="AE548" s="177">
        <f t="shared" si="611"/>
        <v>3.67</v>
      </c>
      <c r="AF548" s="177" t="str">
        <f t="shared" si="612"/>
        <v>46065USDAED</v>
      </c>
      <c r="AG548" s="176"/>
      <c r="AH548" s="178">
        <f>IF(LEFT(AB548,3)=RIGHT(AB548,3),1,VLOOKUP(AB548,'FX RATES'!$H$1:$I$20,2,FALSE))</f>
        <v>3.6724999999999999</v>
      </c>
      <c r="AI548" s="178">
        <f>IF(OR(AB548="USDAED",LEFT(AB548,3)=RIGHT(AB548,3)),AH548,IF(LEFT(AB548)="USD",AG548,IF(RIGHT(AB548,3)="USD",1,IFERROR(VLOOKUP(E548&amp;"USD"&amp;RIGHT(AB548,3),$AF:$AG,2,FALSE),VLOOKUP(E548&amp;"USD"&amp;RIGHT(AJ548,3),$AN:$AO,2,FALSE)))))</f>
        <v>3.6724999999999999</v>
      </c>
      <c r="AJ548" s="173" t="str">
        <f>IF(W548="via USD",IF(S548="EUR",S548&amp;"USD","USD"&amp;S548),IFERROR(VLOOKUP(K548&amp;S548,'FX RATES'!$H$2:$H$20,1,FALSE),S548&amp;K548))</f>
        <v>USDRUB</v>
      </c>
      <c r="AK548" s="175">
        <f>IF(LEFT(AJ548,3)=RIGHT(AJ548,3),0,IFERROR(INDEX(CLIENTS!$A$1:$O$649,MATCH(P548,CLIENTS!$A$1:$A$649,0),MATCH(AJ548,CLIENTS!$A$1:$O$1,0)),0))</f>
        <v>0</v>
      </c>
      <c r="AL548" s="176">
        <v>77.464799999999997</v>
      </c>
      <c r="AM548" s="177">
        <f t="shared" si="613"/>
        <v>77.464799999999997</v>
      </c>
      <c r="AN548" s="177" t="str">
        <f t="shared" si="614"/>
        <v>46065USDRUB</v>
      </c>
      <c r="AO548" s="176">
        <v>77.150000000000006</v>
      </c>
      <c r="AP548" s="178">
        <f ca="1">IF(LEFT(AJ548,3)=RIGHT(AJ548,3),1,VLOOKUP(AJ548,'FX RATES'!$H$1:$I$20,2,FALSE))</f>
        <v>76.720500000000001</v>
      </c>
      <c r="AQ548" s="178">
        <f t="shared" si="615"/>
        <v>77.150000000000006</v>
      </c>
      <c r="AR548" s="179">
        <f>-Q548*(1-Z548)/(1+X548)*IF(W548="CLIENT",IF(S548=RIGHT(AJ548,3),1/AM548,AM548),IF(W548="VENDOR",IF(S548=RIGHT(AJ548,3),1/AE548,AE548),AE548^(VLOOKUP(AB548,'FX RATES'!$H$1:$J$26,3,FALSE))/AM548^(VLOOKUP(AJ548,'FX RATES'!$H$1:$J$26,3,FALSE))))</f>
        <v>-1321231.836911733</v>
      </c>
      <c r="AS548" s="179">
        <f>-I548*(1+X548)/(1-Z548)*IF(W548="VENDOR",IF(K548=RIGHT(AB548,3),1/AE548,AE548),IF(W548="CLIENT",IF(K548=RIGHT(AB548,3),1/AM548,AM548),AM548^(VLOOKUP(AJ548,'FX RATES'!$H$1:$J$26,3,FALSE))/AE548^(VLOOKUP(AB548,'FX RATES'!$H$1:$J$26,3,FALSE))))</f>
        <v>0</v>
      </c>
      <c r="AT548" s="170">
        <f>IF(AB548&lt;&gt;AJ548,J548/IF(K548=RIGHT(AB548,3),AE548,1/AE548),IF(S548="USD",J548/IF(K548=RIGHT(AB548,3),IF(W548="CLIENT",AM548,AE548),1/IF(W548="CLIENT",AM548,AE548)),J548*VLOOKUP(K548,'FX RATES'!$E$1:$F$10,2,FALSE)))</f>
        <v>-360008.67490782915</v>
      </c>
      <c r="AU548" s="170">
        <f>IF(AB548&lt;&gt;AJ548,R548/IF(S548=RIGHT(AJ548,3),AM548,1/AM548),IF(K548="USD",R548/IF(S548=RIGHT(AJ548,3),IF(W548="CLIENT",AM548,AE548),1/IF(W548="CLIENT",AM548,AE548)),R548*VLOOKUP(S548,'FX RATES'!$E$1:$F$10,2,FALSE)))</f>
        <v>361454.49287934648</v>
      </c>
      <c r="AV548" s="170">
        <f t="shared" si="616"/>
        <v>1445.8179715173319</v>
      </c>
      <c r="AW548" s="169"/>
      <c r="AX548" s="170">
        <f t="shared" si="617"/>
        <v>1445.817971517386</v>
      </c>
      <c r="AY548" s="170">
        <f t="shared" si="618"/>
        <v>-360008.67490782915</v>
      </c>
      <c r="AZ548" s="170" t="str">
        <f t="shared" si="619"/>
        <v>USD</v>
      </c>
      <c r="BA548" s="542">
        <f>IF(OR(A548="REFUND",A548="CANCELLED"),0,IFERROR((IF(OR(AB548="USDAED",LEFT(AB548,3)=RIGHT(AB548,3)),AI548,AG548)-AE548)*-AY548*VLOOKUP(AB548,'FX RATES'!$H$1:$J$26,3,FALSE),0))</f>
        <v>900.02168726955369</v>
      </c>
      <c r="BB548" s="170" t="str">
        <f>RIGHT(AB548,3)</f>
        <v>AED</v>
      </c>
      <c r="BC548" s="542">
        <f t="shared" si="620"/>
        <v>245.07057515848979</v>
      </c>
      <c r="BD548" s="170">
        <f t="shared" si="621"/>
        <v>245.07057515849502</v>
      </c>
      <c r="BE548" s="542">
        <f t="shared" si="622"/>
        <v>-5.2295945351943374E-12</v>
      </c>
      <c r="BF548" s="170">
        <f t="shared" si="623"/>
        <v>361454.49287934648</v>
      </c>
      <c r="BG548" s="170" t="str">
        <f t="shared" si="624"/>
        <v>USD</v>
      </c>
      <c r="BH548" s="542">
        <f>IF(OR(A548="REFUND",A548="CANCELLED"),0,IFERROR((IF(OR(AJ548="USDAED",LEFT(AJ548,3)=RIGHT(AJ548,3)),AQ548,AO548)-AM548)*-BF548*VLOOKUP(AJ548,'FX RATES'!$H$1:$J$26,3,FALSE),0))</f>
        <v>113785.87435841505</v>
      </c>
      <c r="BI548" s="170" t="str">
        <f t="shared" si="625"/>
        <v>RUB</v>
      </c>
      <c r="BJ548" s="542">
        <f t="shared" si="626"/>
        <v>1474.8655133948807</v>
      </c>
      <c r="BK548" s="170">
        <f t="shared" si="627"/>
        <v>0</v>
      </c>
      <c r="BL548" s="542">
        <f t="shared" si="628"/>
        <v>1474.8655133948807</v>
      </c>
      <c r="BM548" s="170">
        <f t="shared" si="629"/>
        <v>245.07057515849502</v>
      </c>
      <c r="BN548" s="542">
        <f t="shared" si="630"/>
        <v>1474.8655133948755</v>
      </c>
    </row>
    <row r="549" spans="1:66" ht="19.5" customHeight="1">
      <c r="A549" s="167" t="s">
        <v>601</v>
      </c>
      <c r="B549" s="168" t="s">
        <v>52</v>
      </c>
      <c r="C549" s="168" t="s">
        <v>367</v>
      </c>
      <c r="D549" s="168" t="s">
        <v>368</v>
      </c>
      <c r="E549" s="171">
        <v>46065</v>
      </c>
      <c r="F549" s="171"/>
      <c r="G549" s="168" t="s">
        <v>52</v>
      </c>
      <c r="H549" s="168" t="s">
        <v>560</v>
      </c>
      <c r="I549" s="169">
        <v>-300000</v>
      </c>
      <c r="J549" s="170">
        <f t="shared" si="609"/>
        <v>-300000</v>
      </c>
      <c r="K549" s="168" t="s">
        <v>53</v>
      </c>
      <c r="L549" s="168" t="s">
        <v>420</v>
      </c>
      <c r="M549" s="168" t="s">
        <v>54</v>
      </c>
      <c r="N549" s="167" t="s">
        <v>553</v>
      </c>
      <c r="O549" s="168" t="s">
        <v>52</v>
      </c>
      <c r="P549" s="168" t="s">
        <v>560</v>
      </c>
      <c r="Q549" s="169"/>
      <c r="R549" s="170">
        <f t="shared" si="610"/>
        <v>23274000</v>
      </c>
      <c r="S549" s="168" t="s">
        <v>9</v>
      </c>
      <c r="T549" s="168" t="s">
        <v>617</v>
      </c>
      <c r="U549" s="168" t="s">
        <v>25</v>
      </c>
      <c r="V549" s="167" t="s">
        <v>371</v>
      </c>
      <c r="W549" s="172" t="s">
        <v>375</v>
      </c>
      <c r="X549" s="173">
        <f>IF(Y549="",VLOOKUP(H549,CLIENTS!$A$1:$O$649,5,FALSE),Y549)</f>
        <v>0</v>
      </c>
      <c r="Y549" s="174">
        <v>0</v>
      </c>
      <c r="Z549" s="173">
        <f>IF(AA549="",VLOOKUP(P549,CLIENTS!$A$1:$O$649,5,FALSE),AA549)</f>
        <v>0</v>
      </c>
      <c r="AA549" s="174">
        <v>0</v>
      </c>
      <c r="AB549" s="173" t="str">
        <f>IF(W549="via USD",IF(K549="EUR",K549&amp;"USD","USD"&amp;K549),IFERROR(VLOOKUP(K549&amp;S549,'FX RATES'!$H$2:$H$20,1,FALSE),S549&amp;K549))</f>
        <v>USDUSDT</v>
      </c>
      <c r="AC549" s="175">
        <f>IF(LEFT(AB549,3)=RIGHT(AB549,3),0,IFERROR(INDEX(CLIENTS!$A$1:$O$649,MATCH(H549,CLIENTS!$A$1:$A$649,0),MATCH(AB549,CLIENTS!$A$1:$O$1,0)),0))</f>
        <v>0</v>
      </c>
      <c r="AD549" s="176"/>
      <c r="AE549" s="177">
        <f t="shared" si="611"/>
        <v>1</v>
      </c>
      <c r="AF549" s="177" t="str">
        <f t="shared" si="612"/>
        <v>46065USDUSDT</v>
      </c>
      <c r="AG549" s="176"/>
      <c r="AH549" s="178">
        <f>IF(LEFT(AB549,3)=RIGHT(AB549,3),1,VLOOKUP(AB549,'FX RATES'!$H$1:$I$50,2,FALSE))</f>
        <v>1</v>
      </c>
      <c r="AI549" s="178">
        <f>IF(OR(AB549="USDAED",LEFT(AB549,3)=RIGHT(AB549,3),AB549="USDUSDT",AB549="USDTUSD"),AH549,IF(LEFT(AB549)="USD",AG549,IF(RIGHT(AB549,3)="USD",1,IFERROR(VLOOKUP(E549&amp;"USD"&amp;RIGHT(AB549,3),$AF:$AG,2,FALSE),VLOOKUP(E549&amp;"USD"&amp;RIGHT(AJ549,3),$AN:$AO,2,FALSE)))))</f>
        <v>1</v>
      </c>
      <c r="AJ549" s="173" t="str">
        <f>IF(W549="via USD",IF(S549="EUR",S549&amp;"USD","USD"&amp;S549),IFERROR(VLOOKUP(K549&amp;S549,'FX RATES'!$H$2:$H$20,1,FALSE),S549&amp;K549))</f>
        <v>USDRUB</v>
      </c>
      <c r="AK549" s="175">
        <f>IF(LEFT(AJ549,3)=RIGHT(AJ549,3),0,IFERROR(INDEX(CLIENTS!$A$1:$O$649,MATCH(P549,CLIENTS!$A$1:$A$649,0),MATCH(AJ549,CLIENTS!$A$1:$O$1,0)),0))</f>
        <v>0</v>
      </c>
      <c r="AL549" s="176">
        <v>77.58</v>
      </c>
      <c r="AM549" s="177">
        <f t="shared" si="613"/>
        <v>77.58</v>
      </c>
      <c r="AN549" s="177" t="str">
        <f t="shared" si="614"/>
        <v>46065USDRUB</v>
      </c>
      <c r="AO549" s="176">
        <v>77.150000000000006</v>
      </c>
      <c r="AP549" s="178">
        <f ca="1">IF(LEFT(AJ549,3)=RIGHT(AJ549,3),1,VLOOKUP(AJ549,'FX RATES'!$H$1:$I$20,2,FALSE))</f>
        <v>76.720500000000001</v>
      </c>
      <c r="AQ549" s="178">
        <f t="shared" si="615"/>
        <v>77.150000000000006</v>
      </c>
      <c r="AR549" s="179">
        <f>-Q549*(1-Z549)/(1+X549)*IF(W549="CLIENT",IF(S549=RIGHT(AJ549,3),1/AM549,AM549),IF(W549="VENDOR",IF(S549=RIGHT(AJ549,3),1/AE549,AE549),AE549^(VLOOKUP(AB549,'FX RATES'!$H$1:$J$26,3,FALSE))/AM549^(VLOOKUP(AJ549,'FX RATES'!$H$1:$J$26,3,FALSE))))</f>
        <v>0</v>
      </c>
      <c r="AS549" s="179">
        <f>-I549*(1+X549)/(1-Z549)*IF(W549="VENDOR",IF(K549=RIGHT(AB549,3),1/AE549,AE549),IF(W549="CLIENT",IF(K549=RIGHT(AB549,3),1/AM549,AM549),AM549^(VLOOKUP(AJ549,'FX RATES'!$H$1:$J$26,3,FALSE))/AE549^(VLOOKUP(AB549,'FX RATES'!$H$1:$J$26,3,FALSE))))</f>
        <v>23274000</v>
      </c>
      <c r="AT549" s="170">
        <f>IF(AB549&lt;&gt;AJ549,J549/IF(K549=RIGHT(AB549,3),AE549,1/AE549),IF(S549="USD",J549/IF(K549=RIGHT(AB549,3),IF(W549="CLIENT",AM549,AE549),1/IF(W549="CLIENT",AM549,AE549)),J549*VLOOKUP(K549,'FX RATES'!$E$1:$F$10,2,FALSE)))</f>
        <v>-300000</v>
      </c>
      <c r="AU549" s="170">
        <f>IF(AB549&lt;&gt;AJ549,R549/IF(S549=RIGHT(AJ549,3),AM549,1/AM549),IF(K549="USD",R549/IF(S549=RIGHT(AJ549,3),IF(W549="CLIENT",AM549,AE549),1/IF(W549="CLIENT",AM549,AE549)),R549*VLOOKUP(S549,'FX RATES'!$E$1:$F$10,2,FALSE)))</f>
        <v>300000</v>
      </c>
      <c r="AV549" s="170">
        <f t="shared" si="616"/>
        <v>0</v>
      </c>
      <c r="AW549" s="169"/>
      <c r="AX549" s="170">
        <f t="shared" si="617"/>
        <v>0</v>
      </c>
      <c r="AY549" s="170">
        <f t="shared" si="618"/>
        <v>-300000</v>
      </c>
      <c r="AZ549" s="170" t="str">
        <f t="shared" si="619"/>
        <v>USD</v>
      </c>
      <c r="BA549" s="542">
        <f>IF(OR(A549="REFUND",A549="CANCELLED"),0,IFERROR((IF(OR(AB549="USDAED",LEFT(AB549,3)=RIGHT(AB549,3),AB549="USDUSDT",AB549="USDTUSD"),AI549,AG549)-AE549)*-AY549*VLOOKUP(AB549,'FX RATES'!$H$1:$J$26,3,FALSE),0))</f>
        <v>0</v>
      </c>
      <c r="BB549" s="170" t="str">
        <f>RIGHT(AB549,4)</f>
        <v>USDT</v>
      </c>
      <c r="BC549" s="542">
        <f t="shared" si="620"/>
        <v>0</v>
      </c>
      <c r="BD549" s="170">
        <f t="shared" si="621"/>
        <v>0</v>
      </c>
      <c r="BE549" s="542">
        <f t="shared" si="622"/>
        <v>0</v>
      </c>
      <c r="BF549" s="170">
        <f t="shared" si="623"/>
        <v>300000</v>
      </c>
      <c r="BG549" s="170" t="str">
        <f t="shared" si="624"/>
        <v>USD</v>
      </c>
      <c r="BH549" s="542">
        <f>IF(OR(A549="REFUND",A549="CANCELLED"),0,IFERROR((IF(OR(AJ549="USDAED",LEFT(AJ549,3)=RIGHT(AJ549,3)),AQ549,AO549)-AM549)*-BF549*VLOOKUP(AJ549,'FX RATES'!$H$1:$J$26,3,FALSE),0))</f>
        <v>128999.99999999779</v>
      </c>
      <c r="BI549" s="170" t="str">
        <f t="shared" si="625"/>
        <v>RUB</v>
      </c>
      <c r="BJ549" s="542">
        <f t="shared" si="626"/>
        <v>1672.0674011665299</v>
      </c>
      <c r="BK549" s="170">
        <f t="shared" si="627"/>
        <v>0</v>
      </c>
      <c r="BL549" s="542">
        <f t="shared" si="628"/>
        <v>1672.0674011665299</v>
      </c>
      <c r="BM549" s="170">
        <f t="shared" si="629"/>
        <v>0</v>
      </c>
      <c r="BN549" s="542">
        <f t="shared" si="630"/>
        <v>1672.0674011665299</v>
      </c>
    </row>
    <row r="550" spans="1:66" ht="19.5" customHeight="1">
      <c r="A550" s="167" t="s">
        <v>601</v>
      </c>
      <c r="B550" s="168" t="s">
        <v>52</v>
      </c>
      <c r="C550" s="168" t="s">
        <v>367</v>
      </c>
      <c r="D550" s="168" t="s">
        <v>368</v>
      </c>
      <c r="E550" s="171">
        <v>46065</v>
      </c>
      <c r="F550" s="171"/>
      <c r="G550" s="168" t="s">
        <v>52</v>
      </c>
      <c r="H550" s="169" t="s">
        <v>550</v>
      </c>
      <c r="I550" s="169">
        <v>-111000</v>
      </c>
      <c r="J550" s="170">
        <f t="shared" si="609"/>
        <v>-111000</v>
      </c>
      <c r="K550" s="168" t="s">
        <v>53</v>
      </c>
      <c r="L550" s="168" t="s">
        <v>420</v>
      </c>
      <c r="M550" s="168" t="s">
        <v>54</v>
      </c>
      <c r="N550" s="167" t="s">
        <v>553</v>
      </c>
      <c r="O550" s="168" t="s">
        <v>52</v>
      </c>
      <c r="P550" s="169" t="s">
        <v>551</v>
      </c>
      <c r="Q550" s="169"/>
      <c r="R550" s="170">
        <f t="shared" si="610"/>
        <v>8611380</v>
      </c>
      <c r="S550" s="168" t="s">
        <v>9</v>
      </c>
      <c r="T550" s="168" t="s">
        <v>502</v>
      </c>
      <c r="U550" s="168" t="s">
        <v>25</v>
      </c>
      <c r="V550" s="167" t="s">
        <v>371</v>
      </c>
      <c r="W550" s="172" t="s">
        <v>375</v>
      </c>
      <c r="X550" s="173">
        <f>IF(Y550="",VLOOKUP(H550,CLIENTS!$A$1:$O$649,5,FALSE),Y550)</f>
        <v>0</v>
      </c>
      <c r="Y550" s="174">
        <v>0</v>
      </c>
      <c r="Z550" s="173">
        <f>IF(AA550="",VLOOKUP(P550,CLIENTS!$A$1:$O$649,5,FALSE),AA550)</f>
        <v>0</v>
      </c>
      <c r="AA550" s="174">
        <v>0</v>
      </c>
      <c r="AB550" s="173" t="str">
        <f>IF(W550="via USD",IF(K550="EUR",K550&amp;"USD","USD"&amp;K550),IFERROR(VLOOKUP(K550&amp;S550,'FX RATES'!$H$2:$H$20,1,FALSE),S550&amp;K550))</f>
        <v>USDUSDT</v>
      </c>
      <c r="AC550" s="175">
        <f>IF(LEFT(AB550,3)=RIGHT(AB550,3),0,IFERROR(INDEX(CLIENTS!$A$1:$O$649,MATCH(H550,CLIENTS!$A$1:$A$649,0),MATCH(AB550,CLIENTS!$A$1:$O$1,0)),0))</f>
        <v>0</v>
      </c>
      <c r="AD550" s="176"/>
      <c r="AE550" s="177">
        <f t="shared" si="611"/>
        <v>1</v>
      </c>
      <c r="AF550" s="177" t="str">
        <f t="shared" si="612"/>
        <v>46065USDUSDT</v>
      </c>
      <c r="AG550" s="176"/>
      <c r="AH550" s="178">
        <f>IF(LEFT(AB550,3)=RIGHT(AB550,3),1,VLOOKUP(AB550,'FX RATES'!$H$1:$I$50,2,FALSE))</f>
        <v>1</v>
      </c>
      <c r="AI550" s="178">
        <f>IF(OR(AB550="USDAED",LEFT(AB550,3)=RIGHT(AB550,3),AB550="USDUSDT",AB550="USDTUSD"),AH550,IF(LEFT(AB550)="USD",AG550,IF(RIGHT(AB550,3)="USD",1,IFERROR(VLOOKUP(E550&amp;"USD"&amp;RIGHT(AB550,3),$AF:$AG,2,FALSE),VLOOKUP(E550&amp;"USD"&amp;RIGHT(AJ550,3),$AN:$AO,2,FALSE)))))</f>
        <v>1</v>
      </c>
      <c r="AJ550" s="173" t="str">
        <f>IF(W550="via USD",IF(S550="EUR",S550&amp;"USD","USD"&amp;S550),IFERROR(VLOOKUP(K550&amp;S550,'FX RATES'!$H$2:$H$20,1,FALSE),S550&amp;K550))</f>
        <v>USDRUB</v>
      </c>
      <c r="AK550" s="175">
        <f>IF(LEFT(AJ550,3)=RIGHT(AJ550,3),0,IFERROR(INDEX(CLIENTS!$A$1:$O$649,MATCH(P550,CLIENTS!$A$1:$A$649,0),MATCH(AJ550,CLIENTS!$A$1:$O$1,0)),0))</f>
        <v>0</v>
      </c>
      <c r="AL550" s="176">
        <v>77.58</v>
      </c>
      <c r="AM550" s="177">
        <f t="shared" si="613"/>
        <v>77.58</v>
      </c>
      <c r="AN550" s="177" t="str">
        <f t="shared" si="614"/>
        <v>46065USDRUB</v>
      </c>
      <c r="AO550" s="176">
        <v>77.150000000000006</v>
      </c>
      <c r="AP550" s="178">
        <f ca="1">IF(LEFT(AJ550,3)=RIGHT(AJ550,3),1,VLOOKUP(AJ550,'FX RATES'!$H$1:$I$20,2,FALSE))</f>
        <v>76.720500000000001</v>
      </c>
      <c r="AQ550" s="178">
        <f t="shared" si="615"/>
        <v>77.150000000000006</v>
      </c>
      <c r="AR550" s="179">
        <f>-Q550*(1-Z550)/(1+X550)*IF(W550="CLIENT",IF(S550=RIGHT(AJ550,3),1/AM550,AM550),IF(W550="VENDOR",IF(S550=RIGHT(AJ550,3),1/AE550,AE550),AE550^(VLOOKUP(AB550,'FX RATES'!$H$1:$J$26,3,FALSE))/AM550^(VLOOKUP(AJ550,'FX RATES'!$H$1:$J$26,3,FALSE))))</f>
        <v>0</v>
      </c>
      <c r="AS550" s="179">
        <f>-I550*(1+X550)/(1-Z550)*IF(W550="VENDOR",IF(K550=RIGHT(AB550,3),1/AE550,AE550),IF(W550="CLIENT",IF(K550=RIGHT(AB550,3),1/AM550,AM550),AM550^(VLOOKUP(AJ550,'FX RATES'!$H$1:$J$26,3,FALSE))/AE550^(VLOOKUP(AB550,'FX RATES'!$H$1:$J$26,3,FALSE))))</f>
        <v>8611380</v>
      </c>
      <c r="AT550" s="170">
        <f>IF(AB550&lt;&gt;AJ550,J550/IF(K550=RIGHT(AB550,3),AE550,1/AE550),IF(S550="USD",J550/IF(K550=RIGHT(AB550,3),IF(W550="CLIENT",AM550,AE550),1/IF(W550="CLIENT",AM550,AE550)),J550*VLOOKUP(K550,'FX RATES'!$E$1:$F$10,2,FALSE)))</f>
        <v>-111000</v>
      </c>
      <c r="AU550" s="170">
        <f>IF(AB550&lt;&gt;AJ550,R550/IF(S550=RIGHT(AJ550,3),AM550,1/AM550),IF(K550="USD",R550/IF(S550=RIGHT(AJ550,3),IF(W550="CLIENT",AM550,AE550),1/IF(W550="CLIENT",AM550,AE550)),R550*VLOOKUP(S550,'FX RATES'!$E$1:$F$10,2,FALSE)))</f>
        <v>111000</v>
      </c>
      <c r="AV550" s="170">
        <f t="shared" si="616"/>
        <v>0</v>
      </c>
      <c r="AW550" s="169"/>
      <c r="AX550" s="170">
        <f t="shared" si="617"/>
        <v>0</v>
      </c>
      <c r="AY550" s="170">
        <f t="shared" si="618"/>
        <v>-111000</v>
      </c>
      <c r="AZ550" s="170" t="str">
        <f t="shared" si="619"/>
        <v>USD</v>
      </c>
      <c r="BA550" s="542">
        <f>IF(OR(A550="REFUND",A550="CANCELLED"),0,IFERROR((IF(OR(AB550="USDAED",LEFT(AB550,3)=RIGHT(AB550,3),AB550="USDUSDT",AB550="USDTUSD"),AI550,AG550)-AE550)*-AY550*VLOOKUP(AB550,'FX RATES'!$H$1:$J$26,3,FALSE),0))</f>
        <v>0</v>
      </c>
      <c r="BB550" s="170" t="str">
        <f>RIGHT(AB550,4)</f>
        <v>USDT</v>
      </c>
      <c r="BC550" s="542">
        <f t="shared" si="620"/>
        <v>0</v>
      </c>
      <c r="BD550" s="170">
        <f t="shared" si="621"/>
        <v>0</v>
      </c>
      <c r="BE550" s="542">
        <f t="shared" si="622"/>
        <v>0</v>
      </c>
      <c r="BF550" s="170">
        <f t="shared" si="623"/>
        <v>111000</v>
      </c>
      <c r="BG550" s="170" t="str">
        <f t="shared" si="624"/>
        <v>USD</v>
      </c>
      <c r="BH550" s="542">
        <f>IF(OR(A550="REFUND",A550="CANCELLED"),0,IFERROR((IF(OR(AJ550="USDAED",LEFT(AJ550,3)=RIGHT(AJ550,3)),AQ550,AO550)-AM550)*-BF550*VLOOKUP(AJ550,'FX RATES'!$H$1:$J$26,3,FALSE),0))</f>
        <v>47729.999999999178</v>
      </c>
      <c r="BI550" s="170" t="str">
        <f t="shared" si="625"/>
        <v>RUB</v>
      </c>
      <c r="BJ550" s="542">
        <f t="shared" si="626"/>
        <v>618.66493843161595</v>
      </c>
      <c r="BK550" s="170">
        <f t="shared" si="627"/>
        <v>0</v>
      </c>
      <c r="BL550" s="542">
        <f t="shared" si="628"/>
        <v>618.66493843161595</v>
      </c>
      <c r="BM550" s="170">
        <f t="shared" si="629"/>
        <v>0</v>
      </c>
      <c r="BN550" s="542">
        <f t="shared" si="630"/>
        <v>618.66493843161595</v>
      </c>
    </row>
    <row r="551" spans="1:66" ht="19.5" customHeight="1">
      <c r="A551" s="167" t="s">
        <v>601</v>
      </c>
      <c r="B551" s="168" t="s">
        <v>39</v>
      </c>
      <c r="C551" s="168" t="s">
        <v>367</v>
      </c>
      <c r="D551" s="181" t="s">
        <v>368</v>
      </c>
      <c r="E551" s="171">
        <v>46065</v>
      </c>
      <c r="F551" s="171"/>
      <c r="G551" s="168" t="s">
        <v>39</v>
      </c>
      <c r="H551" s="181" t="s">
        <v>377</v>
      </c>
      <c r="I551" s="169">
        <v>-699223</v>
      </c>
      <c r="J551" s="170">
        <f t="shared" si="609"/>
        <v>-699223</v>
      </c>
      <c r="K551" s="168" t="s">
        <v>5</v>
      </c>
      <c r="L551" s="168" t="s">
        <v>378</v>
      </c>
      <c r="M551" s="168" t="s">
        <v>20</v>
      </c>
      <c r="N551" s="167" t="s">
        <v>553</v>
      </c>
      <c r="O551" s="168" t="s">
        <v>39</v>
      </c>
      <c r="P551" s="349" t="s">
        <v>379</v>
      </c>
      <c r="Q551" s="169"/>
      <c r="R551" s="170">
        <f t="shared" si="610"/>
        <v>54437356.63356784</v>
      </c>
      <c r="S551" s="168" t="s">
        <v>9</v>
      </c>
      <c r="T551" s="171" t="s">
        <v>380</v>
      </c>
      <c r="U551" s="168" t="s">
        <v>25</v>
      </c>
      <c r="V551" s="167" t="s">
        <v>371</v>
      </c>
      <c r="W551" s="172" t="s">
        <v>375</v>
      </c>
      <c r="X551" s="173">
        <f>IF(Y551="",VLOOKUP(H551,CLIENTS!$A$1:$O$649,5,FALSE),Y551)</f>
        <v>0</v>
      </c>
      <c r="Y551" s="174">
        <v>0</v>
      </c>
      <c r="Z551" s="173">
        <f>IF(AA551="",VLOOKUP(P551,CLIENTS!$A$1:$O$649,5,FALSE),AA551)</f>
        <v>5.0000000000000001E-3</v>
      </c>
      <c r="AA551" s="174">
        <v>5.0000000000000001E-3</v>
      </c>
      <c r="AB551" s="173" t="str">
        <f>IF(W551="via USD",IF(K551="EUR",K551&amp;"USD","USD"&amp;K551),IFERROR(VLOOKUP(K551&amp;S551,'FX RATES'!$H$2:$H$20,1,FALSE),S551&amp;K551))</f>
        <v>USDUSD</v>
      </c>
      <c r="AC551" s="175">
        <f>IF(LEFT(AB551,3)=RIGHT(AB551,3),0,IFERROR(INDEX(CLIENTS!$A$1:$O$649,MATCH(H551,CLIENTS!$A$1:$A$649,0),MATCH(AB551,CLIENTS!$A$1:$O$1,0)),0))</f>
        <v>0</v>
      </c>
      <c r="AD551" s="176"/>
      <c r="AE551" s="177">
        <f t="shared" si="611"/>
        <v>1</v>
      </c>
      <c r="AF551" s="177" t="str">
        <f t="shared" si="612"/>
        <v>46065USDUSD</v>
      </c>
      <c r="AG551" s="176"/>
      <c r="AH551" s="178">
        <f>IF(LEFT(AB551,3)=RIGHT(AB551,3),1,VLOOKUP(AB551,'FX RATES'!$H$1:$I$20,2,FALSE))</f>
        <v>1</v>
      </c>
      <c r="AI551" s="178">
        <f>IF(OR(AB551="USDAED",LEFT(AB551,3)=RIGHT(AB551,3)),AH551,IF(LEFT(AB551)="USD",AG551,IF(RIGHT(AB551,3)="USD",1,IFERROR(VLOOKUP(E551&amp;"USD"&amp;RIGHT(AB551,3),$AF:$AG,2,FALSE),VLOOKUP(E551&amp;"USD"&amp;RIGHT(AJ551,3),$AN:$AO,2,FALSE)))))</f>
        <v>1</v>
      </c>
      <c r="AJ551" s="173" t="str">
        <f>IF(W551="via USD",IF(S551="EUR",S551&amp;"USD","USD"&amp;S551),IFERROR(VLOOKUP(K551&amp;S551,'FX RATES'!$H$2:$H$20,1,FALSE),S551&amp;K551))</f>
        <v>USDRUB</v>
      </c>
      <c r="AK551" s="175">
        <f>IF(LEFT(AJ551,3)=RIGHT(AJ551,3),0,IFERROR(INDEX(CLIENTS!$A$1:$O$649,MATCH(P551,CLIENTS!$A$1:$A$649,0),MATCH(AJ551,CLIENTS!$A$1:$O$1,0)),0))</f>
        <v>0</v>
      </c>
      <c r="AL551" s="176">
        <v>77.464799999999997</v>
      </c>
      <c r="AM551" s="177">
        <f t="shared" si="613"/>
        <v>77.464799999999997</v>
      </c>
      <c r="AN551" s="177" t="str">
        <f t="shared" si="614"/>
        <v>46065USDRUB</v>
      </c>
      <c r="AO551" s="176">
        <v>77.150000000000006</v>
      </c>
      <c r="AP551" s="178">
        <f ca="1">IF(LEFT(AJ551,3)=RIGHT(AJ551,3),1,VLOOKUP(AJ551,'FX RATES'!$H$1:$I$20,2,FALSE))</f>
        <v>76.720500000000001</v>
      </c>
      <c r="AQ551" s="178">
        <f t="shared" si="615"/>
        <v>77.150000000000006</v>
      </c>
      <c r="AR551" s="179">
        <f>-Q551*(1-Z551)/(1+X551)*IF(W551="CLIENT",IF(S551=RIGHT(AJ551,3),1/AM551,AM551),IF(W551="VENDOR",IF(S551=RIGHT(AJ551,3),1/AE551,AE551),AE551^(VLOOKUP(AB551,'FX RATES'!$H$1:$J$26,3,FALSE))/AM551^(VLOOKUP(AJ551,'FX RATES'!$H$1:$J$26,3,FALSE))))</f>
        <v>0</v>
      </c>
      <c r="AS551" s="179">
        <f>-I551*(1+X551)/(1-Z551)*IF(W551="VENDOR",IF(K551=RIGHT(AB551,3),1/AE551,AE551),IF(W551="CLIENT",IF(K551=RIGHT(AB551,3),1/AM551,AM551),AM551^(VLOOKUP(AJ551,'FX RATES'!$H$1:$J$26,3,FALSE))/AE551^(VLOOKUP(AB551,'FX RATES'!$H$1:$J$26,3,FALSE))))</f>
        <v>54437356.63356784</v>
      </c>
      <c r="AT551" s="170">
        <f>IF(AB551&lt;&gt;AJ551,J551/IF(K551=RIGHT(AB551,3),AE551,1/AE551),IF(S551="USD",J551/IF(K551=RIGHT(AB551,3),IF(W551="CLIENT",AM551,AE551),1/IF(W551="CLIENT",AM551,AE551)),J551*VLOOKUP(K551,'FX RATES'!$E$1:$F$10,2,FALSE)))</f>
        <v>-699223</v>
      </c>
      <c r="AU551" s="170">
        <f>IF(AB551&lt;&gt;AJ551,R551/IF(S551=RIGHT(AJ551,3),AM551,1/AM551),IF(K551="USD",R551/IF(S551=RIGHT(AJ551,3),IF(W551="CLIENT",AM551,AE551),1/IF(W551="CLIENT",AM551,AE551)),R551*VLOOKUP(S551,'FX RATES'!$E$1:$F$10,2,FALSE)))</f>
        <v>702736.68341708544</v>
      </c>
      <c r="AV551" s="170">
        <f t="shared" si="616"/>
        <v>3513.6834170854418</v>
      </c>
      <c r="AW551" s="169"/>
      <c r="AX551" s="170">
        <f t="shared" si="617"/>
        <v>3513.6834170854272</v>
      </c>
      <c r="AY551" s="170">
        <f t="shared" si="618"/>
        <v>-699223</v>
      </c>
      <c r="AZ551" s="170" t="str">
        <f t="shared" si="619"/>
        <v>USD</v>
      </c>
      <c r="BA551" s="542">
        <f>IF(OR(A551="REFUND",A551="CANCELLED"),0,IFERROR((IF(OR(AB551="USDAED",LEFT(AB551,3)=RIGHT(AB551,3)),AI551,AG551)-AE551)*-AY551*VLOOKUP(AB551,'FX RATES'!$H$1:$J$26,3,FALSE),0))</f>
        <v>0</v>
      </c>
      <c r="BB551" s="170" t="str">
        <f>RIGHT(AB551,3)</f>
        <v>USD</v>
      </c>
      <c r="BC551" s="542">
        <f t="shared" si="620"/>
        <v>0</v>
      </c>
      <c r="BD551" s="170">
        <f t="shared" si="621"/>
        <v>0</v>
      </c>
      <c r="BE551" s="542">
        <f t="shared" si="622"/>
        <v>0</v>
      </c>
      <c r="BF551" s="170">
        <f t="shared" si="623"/>
        <v>702736.68341708544</v>
      </c>
      <c r="BG551" s="170" t="str">
        <f t="shared" si="624"/>
        <v>USD</v>
      </c>
      <c r="BH551" s="542">
        <f>IF(OR(A551="REFUND",A551="CANCELLED"),0,IFERROR((IF(OR(AJ551="USDAED",LEFT(AJ551,3)=RIGHT(AJ551,3)),AQ551,AO551)-AM551)*-BF551*VLOOKUP(AJ551,'FX RATES'!$H$1:$J$26,3,FALSE),0))</f>
        <v>221221.50793969224</v>
      </c>
      <c r="BI551" s="170" t="str">
        <f t="shared" si="625"/>
        <v>RUB</v>
      </c>
      <c r="BJ551" s="542">
        <f t="shared" si="626"/>
        <v>2867.420712115259</v>
      </c>
      <c r="BK551" s="170">
        <f t="shared" si="627"/>
        <v>0</v>
      </c>
      <c r="BL551" s="542">
        <f t="shared" si="628"/>
        <v>2867.420712115259</v>
      </c>
      <c r="BM551" s="170">
        <f t="shared" si="629"/>
        <v>0</v>
      </c>
      <c r="BN551" s="542">
        <f t="shared" si="630"/>
        <v>2867.420712115259</v>
      </c>
    </row>
    <row r="552" spans="1:66" ht="19.5" customHeight="1">
      <c r="A552" s="167" t="s">
        <v>601</v>
      </c>
      <c r="B552" s="168" t="s">
        <v>39</v>
      </c>
      <c r="C552" s="168" t="s">
        <v>367</v>
      </c>
      <c r="D552" s="168" t="s">
        <v>368</v>
      </c>
      <c r="E552" s="171">
        <v>46065</v>
      </c>
      <c r="F552" s="171"/>
      <c r="G552" s="168" t="s">
        <v>39</v>
      </c>
      <c r="H552" s="181" t="s">
        <v>376</v>
      </c>
      <c r="I552" s="169">
        <v>-550110.75</v>
      </c>
      <c r="J552" s="170">
        <f t="shared" si="609"/>
        <v>-550110.75</v>
      </c>
      <c r="K552" s="168" t="s">
        <v>8</v>
      </c>
      <c r="L552" s="168" t="s">
        <v>385</v>
      </c>
      <c r="M552" s="168" t="s">
        <v>17</v>
      </c>
      <c r="N552" s="167" t="s">
        <v>553</v>
      </c>
      <c r="O552" s="168" t="s">
        <v>39</v>
      </c>
      <c r="P552" s="168" t="s">
        <v>372</v>
      </c>
      <c r="Q552" s="169"/>
      <c r="R552" s="170">
        <f t="shared" si="610"/>
        <v>11716956.484821156</v>
      </c>
      <c r="S552" s="168" t="s">
        <v>9</v>
      </c>
      <c r="T552" s="171" t="s">
        <v>373</v>
      </c>
      <c r="U552" s="168" t="s">
        <v>25</v>
      </c>
      <c r="V552" s="167" t="s">
        <v>371</v>
      </c>
      <c r="W552" s="172" t="s">
        <v>375</v>
      </c>
      <c r="X552" s="173">
        <f>IF(Y552="",VLOOKUP(H552,CLIENTS!$A$1:$O$649,5,FALSE),Y552)</f>
        <v>0</v>
      </c>
      <c r="Y552" s="174">
        <v>0</v>
      </c>
      <c r="Z552" s="173">
        <f>IF(AA552="",VLOOKUP(P552,CLIENTS!$A$1:$O$649,5,FALSE),AA552)</f>
        <v>8.9999999999999993E-3</v>
      </c>
      <c r="AA552" s="174">
        <v>8.9999999999999993E-3</v>
      </c>
      <c r="AB552" s="173" t="str">
        <f>IF(W552="via USD",IF(K552="EUR",K552&amp;"USD","USD"&amp;K552),IFERROR(VLOOKUP(K552&amp;S552,'FX RATES'!$H$2:$H$20,1,FALSE),S552&amp;K552))</f>
        <v>USDAED</v>
      </c>
      <c r="AC552" s="175">
        <f>IF(LEFT(AB552,3)=RIGHT(AB552,3),0,IFERROR(INDEX(CLIENTS!$A$1:$O$649,MATCH(H552,CLIENTS!$A$1:$A$649,0),MATCH(AB552,CLIENTS!$A$1:$O$1,0)),0))</f>
        <v>0</v>
      </c>
      <c r="AD552" s="176">
        <v>3.67</v>
      </c>
      <c r="AE552" s="177">
        <f t="shared" si="611"/>
        <v>3.67</v>
      </c>
      <c r="AF552" s="177" t="str">
        <f t="shared" si="612"/>
        <v>46065USDAED</v>
      </c>
      <c r="AG552" s="176"/>
      <c r="AH552" s="178">
        <f>IF(LEFT(AB552,3)=RIGHT(AB552,3),1,VLOOKUP(AB552,'FX RATES'!$H$1:$I$20,2,FALSE))</f>
        <v>3.6724999999999999</v>
      </c>
      <c r="AI552" s="178">
        <f>IF(OR(AB552="USDAED",LEFT(AB552,3)=RIGHT(AB552,3)),AH552,IF(LEFT(AB552)="USD",AG552,IF(RIGHT(AB552,3)="USD",1,IFERROR(VLOOKUP(E552&amp;"USD"&amp;RIGHT(AB552,3),$AF:$AG,2,FALSE),VLOOKUP(E552&amp;"USD"&amp;RIGHT(AJ552,3),$AN:$AO,2,FALSE)))))</f>
        <v>3.6724999999999999</v>
      </c>
      <c r="AJ552" s="173" t="str">
        <f>IF(W552="via USD",IF(S552="EUR",S552&amp;"USD","USD"&amp;S552),IFERROR(VLOOKUP(K552&amp;S552,'FX RATES'!$H$2:$H$20,1,FALSE),S552&amp;K552))</f>
        <v>USDRUB</v>
      </c>
      <c r="AK552" s="175">
        <f>IF(LEFT(AJ552,3)=RIGHT(AJ552,3),0,IFERROR(INDEX(CLIENTS!$A$1:$O$649,MATCH(P552,CLIENTS!$A$1:$A$649,0),MATCH(AJ552,CLIENTS!$A$1:$O$1,0)),0))</f>
        <v>0</v>
      </c>
      <c r="AL552" s="176">
        <v>77.464799999999997</v>
      </c>
      <c r="AM552" s="177">
        <f t="shared" si="613"/>
        <v>77.464799999999997</v>
      </c>
      <c r="AN552" s="177" t="str">
        <f t="shared" si="614"/>
        <v>46065USDRUB</v>
      </c>
      <c r="AO552" s="176">
        <v>77.150000000000006</v>
      </c>
      <c r="AP552" s="178">
        <f ca="1">IF(LEFT(AJ552,3)=RIGHT(AJ552,3),1,VLOOKUP(AJ552,'FX RATES'!$H$1:$I$20,2,FALSE))</f>
        <v>76.720500000000001</v>
      </c>
      <c r="AQ552" s="178">
        <f t="shared" si="615"/>
        <v>77.150000000000006</v>
      </c>
      <c r="AR552" s="179">
        <f>-Q552*(1-Z552)/(1+X552)*IF(W552="CLIENT",IF(S552=RIGHT(AJ552,3),1/AM552,AM552),IF(W552="VENDOR",IF(S552=RIGHT(AJ552,3),1/AE552,AE552),AE552^(VLOOKUP(AB552,'FX RATES'!$H$1:$J$26,3,FALSE))/AM552^(VLOOKUP(AJ552,'FX RATES'!$H$1:$J$26,3,FALSE))))</f>
        <v>0</v>
      </c>
      <c r="AS552" s="179">
        <f>-I552*(1+X552)/(1-Z552)*IF(W552="VENDOR",IF(K552=RIGHT(AB552,3),1/AE552,AE552),IF(W552="CLIENT",IF(K552=RIGHT(AB552,3),1/AM552,AM552),AM552^(VLOOKUP(AJ552,'FX RATES'!$H$1:$J$26,3,FALSE))/AE552^(VLOOKUP(AB552,'FX RATES'!$H$1:$J$26,3,FALSE))))</f>
        <v>11716956.484821156</v>
      </c>
      <c r="AT552" s="170">
        <f>IF(AB552&lt;&gt;AJ552,J552/IF(K552=RIGHT(AB552,3),AE552,1/AE552),IF(S552="USD",J552/IF(K552=RIGHT(AB552,3),IF(W552="CLIENT",AM552,AE552),1/IF(W552="CLIENT",AM552,AE552)),J552*VLOOKUP(K552,'FX RATES'!$E$1:$F$10,2,FALSE)))</f>
        <v>-149893.93732970027</v>
      </c>
      <c r="AU552" s="170">
        <f>IF(AB552&lt;&gt;AJ552,R552/IF(S552=RIGHT(AJ552,3),AM552,1/AM552),IF(K552="USD",R552/IF(S552=RIGHT(AJ552,3),IF(W552="CLIENT",AM552,AE552),1/IF(W552="CLIENT",AM552,AE552)),R552*VLOOKUP(S552,'FX RATES'!$E$1:$F$10,2,FALSE)))</f>
        <v>151255.23443965719</v>
      </c>
      <c r="AV552" s="170">
        <f t="shared" si="616"/>
        <v>1361.2971099569113</v>
      </c>
      <c r="AW552" s="169"/>
      <c r="AX552" s="170">
        <f t="shared" si="617"/>
        <v>1361.2971099569145</v>
      </c>
      <c r="AY552" s="170">
        <f t="shared" si="618"/>
        <v>-149893.93732970027</v>
      </c>
      <c r="AZ552" s="170" t="str">
        <f t="shared" si="619"/>
        <v>USD</v>
      </c>
      <c r="BA552" s="542">
        <f>IF(OR(A552="REFUND",A552="CANCELLED"),0,IFERROR((IF(OR(AB552="USDAED",LEFT(AB552,3)=RIGHT(AB552,3)),AI552,AG552)-AE552)*-AY552*VLOOKUP(AB552,'FX RATES'!$H$1:$J$26,3,FALSE),0))</f>
        <v>374.73484332424272</v>
      </c>
      <c r="BB552" s="170" t="str">
        <f>RIGHT(AB552,3)</f>
        <v>AED</v>
      </c>
      <c r="BC552" s="542">
        <f t="shared" si="620"/>
        <v>102.03807850898373</v>
      </c>
      <c r="BD552" s="170">
        <f t="shared" si="621"/>
        <v>0</v>
      </c>
      <c r="BE552" s="542">
        <f t="shared" si="622"/>
        <v>102.03807850898373</v>
      </c>
      <c r="BF552" s="170">
        <f t="shared" si="623"/>
        <v>151255.23443965719</v>
      </c>
      <c r="BG552" s="170" t="str">
        <f t="shared" si="624"/>
        <v>USD</v>
      </c>
      <c r="BH552" s="542">
        <f>IF(OR(A552="REFUND",A552="CANCELLED"),0,IFERROR((IF(OR(AJ552="USDAED",LEFT(AJ552,3)=RIGHT(AJ552,3)),AQ552,AO552)-AM552)*-BF552*VLOOKUP(AJ552,'FX RATES'!$H$1:$J$26,3,FALSE),0))</f>
        <v>47615.147801602732</v>
      </c>
      <c r="BI552" s="170" t="str">
        <f t="shared" si="625"/>
        <v>RUB</v>
      </c>
      <c r="BJ552" s="542">
        <f t="shared" si="626"/>
        <v>617.17625147897252</v>
      </c>
      <c r="BK552" s="170">
        <f t="shared" si="627"/>
        <v>0</v>
      </c>
      <c r="BL552" s="542">
        <f t="shared" si="628"/>
        <v>617.17625147897252</v>
      </c>
      <c r="BM552" s="170">
        <f t="shared" si="629"/>
        <v>0</v>
      </c>
      <c r="BN552" s="542">
        <f t="shared" si="630"/>
        <v>719.21432998795626</v>
      </c>
    </row>
    <row r="553" spans="1:66" ht="19.5" customHeight="1">
      <c r="A553" s="167" t="s">
        <v>601</v>
      </c>
      <c r="B553" s="168" t="s">
        <v>31</v>
      </c>
      <c r="C553" s="168" t="s">
        <v>383</v>
      </c>
      <c r="D553" s="168" t="s">
        <v>121</v>
      </c>
      <c r="E553" s="171">
        <v>46065</v>
      </c>
      <c r="F553" s="171"/>
      <c r="G553" s="168" t="s">
        <v>39</v>
      </c>
      <c r="H553" s="181" t="s">
        <v>476</v>
      </c>
      <c r="I553" s="169">
        <f>-(R551+R552)</f>
        <v>-66154313.118388996</v>
      </c>
      <c r="J553" s="170">
        <f>IF(I553="",AR553,I553)</f>
        <v>-66154313.118388996</v>
      </c>
      <c r="K553" s="168" t="s">
        <v>9</v>
      </c>
      <c r="L553" s="171" t="s">
        <v>25</v>
      </c>
      <c r="M553" s="168" t="s">
        <v>25</v>
      </c>
      <c r="N553" s="167" t="s">
        <v>553</v>
      </c>
      <c r="O553" s="168" t="s">
        <v>0</v>
      </c>
      <c r="P553" s="168" t="s">
        <v>0</v>
      </c>
      <c r="Q553" s="169"/>
      <c r="R553" s="170">
        <f>IF(Q553="",AS553,Q553)</f>
        <v>861605.29612920235</v>
      </c>
      <c r="S553" s="168" t="s">
        <v>5</v>
      </c>
      <c r="T553" s="171" t="s">
        <v>477</v>
      </c>
      <c r="U553" s="168" t="s">
        <v>14</v>
      </c>
      <c r="V553" s="167" t="s">
        <v>371</v>
      </c>
      <c r="W553" s="172" t="s">
        <v>382</v>
      </c>
      <c r="X553" s="173">
        <f>IF(Y553="",VLOOKUP(H553,CLIENTS!$A$1:$O$649,5,FALSE),Y553)</f>
        <v>0</v>
      </c>
      <c r="Y553" s="174"/>
      <c r="Z553" s="173">
        <f>IF(AA553="",VLOOKUP(P553,CLIENTS!$A$1:$O$649,5,FALSE),AA553)</f>
        <v>0</v>
      </c>
      <c r="AA553" s="174"/>
      <c r="AB553" s="173" t="str">
        <f>IF(W553="via USD",IF(K553="EUR",K553&amp;"USD","USD"&amp;K553),IFERROR(VLOOKUP(K553&amp;S553,'FX RATES'!$H$2:$H$20,1,FALSE),S553&amp;K553))</f>
        <v>USDRUB</v>
      </c>
      <c r="AC553" s="175">
        <f>IF(LEFT(AB553,3)=RIGHT(AB553,3),0,IFERROR(INDEX(CLIENTS!$A$1:$O$649,MATCH(H553,CLIENTS!$A$1:$A$649,0),MATCH(AB553,CLIENTS!$A$1:$O$1,0)),0))+0.07</f>
        <v>0</v>
      </c>
      <c r="AD553" s="176">
        <v>76.780299999999997</v>
      </c>
      <c r="AE553" s="177">
        <f>IF(W553="CLIENT","",IF(AD553="",AH553+AC553,AD553+AC553))</f>
        <v>76.780299999999997</v>
      </c>
      <c r="AF553" s="177" t="str">
        <f>E553&amp;AB553</f>
        <v>46065USDRUB</v>
      </c>
      <c r="AG553" s="176">
        <v>77.150000000000006</v>
      </c>
      <c r="AH553" s="178">
        <f ca="1">IF(LEFT(AB553,3)=RIGHT(AB553,3),1,VLOOKUP(AB553,'FX RATES'!$H$1:$I$20,2,FALSE))</f>
        <v>76.720500000000001</v>
      </c>
      <c r="AI553" s="178">
        <f>IF(OR(AB553="USDAED",LEFT(AB553,3)=RIGHT(AB553,3)),AH553,IF(LEFT(AB553)="USD",AG553,IF(RIGHT(AB553,3)="USD",1,IFERROR(VLOOKUP(E553&amp;"USD"&amp;RIGHT(AB553,3),$AF:$AG,2,FALSE),VLOOKUP(E553&amp;"USD"&amp;RIGHT(AJ553,3),$AN:$AO,2,FALSE)))))</f>
        <v>77.150000000000006</v>
      </c>
      <c r="AJ553" s="173" t="str">
        <f>IF(W553="via USD",IF(S553="EUR",S553&amp;"USD","USD"&amp;S553),IFERROR(VLOOKUP(K553&amp;S553,'FX RATES'!$H$2:$H$20,1,FALSE),S553&amp;K553))</f>
        <v>USDRUB</v>
      </c>
      <c r="AK553" s="175">
        <f>IF(LEFT(AJ553,3)=RIGHT(AJ553,3),0,IFERROR(INDEX(CLIENTS!$A$1:$O$649,MATCH(P553,CLIENTS!$A$1:$A$649,0),MATCH(AJ553,CLIENTS!$A$1:$O$1,0)),0))</f>
        <v>0</v>
      </c>
      <c r="AL553" s="176"/>
      <c r="AM553" s="177" t="str">
        <f>IF(W553="VENDOR","",IF(AL553="",AP553+AK553,AL553+AK553))</f>
        <v/>
      </c>
      <c r="AN553" s="177" t="str">
        <f>E553&amp;AJ553</f>
        <v>46065USDRUB</v>
      </c>
      <c r="AO553" s="176"/>
      <c r="AP553" s="178">
        <f ca="1">IF(LEFT(AJ553,3)=RIGHT(AJ553,3),1,VLOOKUP(AJ553,'FX RATES'!$H$1:$I$20,2,FALSE))</f>
        <v>76.720500000000001</v>
      </c>
      <c r="AQ553" s="178">
        <f t="shared" si="615"/>
        <v>77.150000000000006</v>
      </c>
      <c r="AR553" s="179">
        <f>-Q553*(1-Z553)/(1+X553)*IF(W553="CLIENT",IF(S553=RIGHT(AJ553,3),1/AM553,AM553),IF(W553="VENDOR",IF(S553=RIGHT(AJ553,3),1/AE553,AE553),AE553^(VLOOKUP(AB553,'FX RATES'!$H$1:$J$26,3,FALSE))/AM553^(VLOOKUP(AJ553,'FX RATES'!$H$1:$J$26,3,FALSE))))</f>
        <v>0</v>
      </c>
      <c r="AS553" s="179">
        <f>-I553*(1+X553)/(1-Z553)*IF(W553="VENDOR",IF(K553=RIGHT(AB553,3),1/AE553,AE553),IF(W553="CLIENT",IF(K553=RIGHT(AB553,3),1/AM553,AM553),AM553^(VLOOKUP(AJ553,'FX RATES'!$H$1:$J$26,3,FALSE))/AE553^(VLOOKUP(AB553,'FX RATES'!$H$1:$J$26,3,FALSE))))</f>
        <v>861605.29612920235</v>
      </c>
      <c r="AT553" s="170">
        <f>IF(AB553&lt;&gt;AJ553,J553/IF(K553=RIGHT(AB553,3),AE553,1/AE553),IF(S553="USD",J553/IF(K553=RIGHT(AB553,3),IF(W553="CLIENT",AM553,AE553),1/IF(W553="CLIENT",AM553,AE553)),J553*VLOOKUP(K553,'FX RATES'!$E$1:$F$10,2,FALSE)))</f>
        <v>-861605.29612920235</v>
      </c>
      <c r="AU553" s="170">
        <f>IF(AB553&lt;&gt;AJ553,R553/IF(S553=RIGHT(AJ553,3),AM553,1/AM553),IF(K553="USD",R553/IF(S553=RIGHT(AJ553,3),IF(W553="CLIENT",AM553,AE553),1/IF(W553="CLIENT",AM553,AE553)),R553*VLOOKUP(S553,'FX RATES'!$E$1:$F$10,2,FALSE)))</f>
        <v>861605.29612920235</v>
      </c>
      <c r="AV553" s="170">
        <f>AT553+AU553</f>
        <v>0</v>
      </c>
      <c r="AW553" s="169"/>
      <c r="AX553" s="170">
        <f>IF(AND(ISERROR(SEARCH("INVOICE",T553)),ISERROR(SEARCH("SWITCH",T553)),ISERROR(SEARCH("FOREX",T553)),ISERROR(SEARCH("REFUND",A553)),ISERROR(SEARCH("CANCELLED",A553))),IF(AW553="",-AT553*X553+AU553*Z553,AW553),0)</f>
        <v>0</v>
      </c>
      <c r="AY553" s="170">
        <f>IF(AZ553="USD",AT553,IF(AZ553=K553,J553,-R553))</f>
        <v>-861605.29612920235</v>
      </c>
      <c r="AZ553" s="170" t="str">
        <f>LEFT(AB553,3)</f>
        <v>USD</v>
      </c>
      <c r="BA553" s="542">
        <f>IF(OR(A553="REFUND",A553="CANCELLED"),0,IFERROR((IF(OR(AB553="USDAED",LEFT(AB553,3)=RIGHT(AB553,3)),AI553,AG553)-AE553)*-AY553*VLOOKUP(AB553,'FX RATES'!$H$1:$J$26,3,FALSE),0))</f>
        <v>318535.47797897371</v>
      </c>
      <c r="BB553" s="170" t="str">
        <f>RIGHT(AB553,3)</f>
        <v>RUB</v>
      </c>
      <c r="BC553" s="542">
        <f>IF(BA553=0,0,IFERROR(BA553/IF(BB553&lt;&gt;"USD",AI553,1),"???"))</f>
        <v>4128.7813088655048</v>
      </c>
      <c r="BD553" s="170">
        <f>IFERROR(-AC553/(IF(OR(AB553="USDAED",LEFT(AB553,3)=RIGHT(AB553,3)),AH553,AG553)-AE553)*BC553,0)</f>
        <v>0</v>
      </c>
      <c r="BE553" s="542">
        <f>BC553-BD553</f>
        <v>4128.7813088655048</v>
      </c>
      <c r="BF553" s="170">
        <f>IF(BG553="USD",AU553,IF(BG553=S553,R553,-J553))</f>
        <v>861605.29612920235</v>
      </c>
      <c r="BG553" s="170" t="str">
        <f>LEFT(AJ553,3)</f>
        <v>USD</v>
      </c>
      <c r="BH553" s="542">
        <f>IF(OR(A553="REFUND",A553="CANCELLED"),0,IFERROR((IF(OR(AJ553="USDAED",LEFT(AJ553,3)=RIGHT(AJ553,3)),AQ553,AO553)-AM553)*-BF553*VLOOKUP(AJ553,'FX RATES'!$H$1:$J$26,3,FALSE),0))</f>
        <v>0</v>
      </c>
      <c r="BI553" s="170" t="str">
        <f>RIGHT(AJ553,3)</f>
        <v>RUB</v>
      </c>
      <c r="BJ553" s="542">
        <f>IF(BH553=0,0,IFERROR(BH553/IF(BI553&lt;&gt;"USD",AQ553,1),"???"))</f>
        <v>0</v>
      </c>
      <c r="BK553" s="170">
        <f>IFERROR(-AK553/(IF(OR(AJ553="USDAED",LEFT(AJ553,3)=RIGHT(AJ553,3)),AP553,AO553)-AM553)*BJ553,0)</f>
        <v>0</v>
      </c>
      <c r="BL553" s="542">
        <f>BJ553-BK553</f>
        <v>0</v>
      </c>
      <c r="BM553" s="170">
        <f>IF(AND(ISERROR(SEARCH("REFUND",A553)),ISERROR(SEARCH("CANCELLED",A553))),BD553+BK553,0)</f>
        <v>0</v>
      </c>
      <c r="BN553" s="542">
        <f>IF(AND(ISERROR(SEARCH("REFUND",A553)),ISERROR(SEARCH("CANCELLED",A553))),BE553+BL553,0)</f>
        <v>4128.7813088655048</v>
      </c>
    </row>
    <row r="554" spans="1:66" ht="19.5" customHeight="1">
      <c r="A554" s="167" t="s">
        <v>601</v>
      </c>
      <c r="B554" s="168" t="s">
        <v>31</v>
      </c>
      <c r="C554" s="168" t="s">
        <v>383</v>
      </c>
      <c r="D554" s="168" t="s">
        <v>121</v>
      </c>
      <c r="E554" s="171">
        <v>46065</v>
      </c>
      <c r="F554" s="171"/>
      <c r="G554" s="168" t="s">
        <v>52</v>
      </c>
      <c r="H554" s="181" t="s">
        <v>476</v>
      </c>
      <c r="I554" s="169">
        <f>-(R545+R546+R547+R548+R549+R550)</f>
        <v>-126459231.07966784</v>
      </c>
      <c r="J554" s="170">
        <f>IF(I554="",AR554,I554)</f>
        <v>-126459231.07966784</v>
      </c>
      <c r="K554" s="168" t="s">
        <v>9</v>
      </c>
      <c r="L554" s="171" t="s">
        <v>25</v>
      </c>
      <c r="M554" s="168" t="s">
        <v>25</v>
      </c>
      <c r="N554" s="167" t="s">
        <v>553</v>
      </c>
      <c r="O554" s="168" t="s">
        <v>0</v>
      </c>
      <c r="P554" s="168" t="s">
        <v>0</v>
      </c>
      <c r="Q554" s="169"/>
      <c r="R554" s="170">
        <f>IF(Q554="",AS554,Q554)</f>
        <v>1647027.0509449409</v>
      </c>
      <c r="S554" s="168" t="s">
        <v>5</v>
      </c>
      <c r="T554" s="171" t="s">
        <v>477</v>
      </c>
      <c r="U554" s="168" t="s">
        <v>14</v>
      </c>
      <c r="V554" s="167" t="s">
        <v>371</v>
      </c>
      <c r="W554" s="172" t="s">
        <v>382</v>
      </c>
      <c r="X554" s="173">
        <f>IF(Y554="",VLOOKUP(H554,CLIENTS!$A$1:$O$649,5,FALSE),Y554)</f>
        <v>0</v>
      </c>
      <c r="Y554" s="174"/>
      <c r="Z554" s="173">
        <f>IF(AA554="",VLOOKUP(P554,CLIENTS!$A$1:$O$649,5,FALSE),AA554)</f>
        <v>0</v>
      </c>
      <c r="AA554" s="174"/>
      <c r="AB554" s="173" t="str">
        <f>IF(W554="via USD",IF(K554="EUR",K554&amp;"USD","USD"&amp;K554),IFERROR(VLOOKUP(K554&amp;S554,'FX RATES'!$H$2:$H$20,1,FALSE),S554&amp;K554))</f>
        <v>USDRUB</v>
      </c>
      <c r="AC554" s="175">
        <f>IF(LEFT(AB554,3)=RIGHT(AB554,3),0,IFERROR(INDEX(CLIENTS!$A$1:$O$649,MATCH(H554,CLIENTS!$A$1:$A$649,0),MATCH(AB554,CLIENTS!$A$1:$O$1,0)),0))+0.07</f>
        <v>0</v>
      </c>
      <c r="AD554" s="176">
        <v>76.780299999999997</v>
      </c>
      <c r="AE554" s="177">
        <f>IF(W554="CLIENT","",IF(AD554="",AH554+AC554,AD554+AC554))</f>
        <v>76.780299999999997</v>
      </c>
      <c r="AF554" s="177" t="str">
        <f>E554&amp;AB554</f>
        <v>46065USDRUB</v>
      </c>
      <c r="AG554" s="176">
        <v>77.150000000000006</v>
      </c>
      <c r="AH554" s="178">
        <f ca="1">IF(LEFT(AB554,3)=RIGHT(AB554,3),1,VLOOKUP(AB554,'FX RATES'!$H$1:$I$20,2,FALSE))</f>
        <v>76.720500000000001</v>
      </c>
      <c r="AI554" s="178">
        <f>IF(OR(AB554="USDAED",LEFT(AB554,3)=RIGHT(AB554,3)),AH554,IF(LEFT(AB554)="USD",AG554,IF(RIGHT(AB554,3)="USD",1,IFERROR(VLOOKUP(E554&amp;"USD"&amp;RIGHT(AB554,3),$AF:$AG,2,FALSE),VLOOKUP(E554&amp;"USD"&amp;RIGHT(AJ554,3),$AN:$AO,2,FALSE)))))</f>
        <v>77.150000000000006</v>
      </c>
      <c r="AJ554" s="173" t="str">
        <f>IF(W554="via USD",IF(S554="EUR",S554&amp;"USD","USD"&amp;S554),IFERROR(VLOOKUP(K554&amp;S554,'FX RATES'!$H$2:$H$20,1,FALSE),S554&amp;K554))</f>
        <v>USDRUB</v>
      </c>
      <c r="AK554" s="175">
        <f>IF(LEFT(AJ554,3)=RIGHT(AJ554,3),0,IFERROR(INDEX(CLIENTS!$A$1:$O$649,MATCH(P554,CLIENTS!$A$1:$A$649,0),MATCH(AJ554,CLIENTS!$A$1:$O$1,0)),0))</f>
        <v>0</v>
      </c>
      <c r="AL554" s="176"/>
      <c r="AM554" s="177" t="str">
        <f>IF(W554="VENDOR","",IF(AL554="",AP554+AK554,AL554+AK554))</f>
        <v/>
      </c>
      <c r="AN554" s="177" t="str">
        <f>E554&amp;AJ554</f>
        <v>46065USDRUB</v>
      </c>
      <c r="AO554" s="176"/>
      <c r="AP554" s="178">
        <f ca="1">IF(LEFT(AJ554,3)=RIGHT(AJ554,3),1,VLOOKUP(AJ554,'FX RATES'!$H$1:$I$20,2,FALSE))</f>
        <v>76.720500000000001</v>
      </c>
      <c r="AQ554" s="178">
        <f t="shared" si="615"/>
        <v>77.150000000000006</v>
      </c>
      <c r="AR554" s="179">
        <f>-Q554*(1-Z554)/(1+X554)*IF(W554="CLIENT",IF(S554=RIGHT(AJ554,3),1/AM554,AM554),IF(W554="VENDOR",IF(S554=RIGHT(AJ554,3),1/AE554,AE554),AE554^(VLOOKUP(AB554,'FX RATES'!$H$1:$J$26,3,FALSE))/AM554^(VLOOKUP(AJ554,'FX RATES'!$H$1:$J$26,3,FALSE))))</f>
        <v>0</v>
      </c>
      <c r="AS554" s="179">
        <f>-I554*(1+X554)/(1-Z554)*IF(W554="VENDOR",IF(K554=RIGHT(AB554,3),1/AE554,AE554),IF(W554="CLIENT",IF(K554=RIGHT(AB554,3),1/AM554,AM554),AM554^(VLOOKUP(AJ554,'FX RATES'!$H$1:$J$26,3,FALSE))/AE554^(VLOOKUP(AB554,'FX RATES'!$H$1:$J$26,3,FALSE))))</f>
        <v>1647027.0509449409</v>
      </c>
      <c r="AT554" s="170">
        <f>IF(AB554&lt;&gt;AJ554,J554/IF(K554=RIGHT(AB554,3),AE554,1/AE554),IF(S554="USD",J554/IF(K554=RIGHT(AB554,3),IF(W554="CLIENT",AM554,AE554),1/IF(W554="CLIENT",AM554,AE554)),J554*VLOOKUP(K554,'FX RATES'!$E$1:$F$10,2,FALSE)))</f>
        <v>-1647027.0509449409</v>
      </c>
      <c r="AU554" s="170">
        <f>IF(AB554&lt;&gt;AJ554,R554/IF(S554=RIGHT(AJ554,3),AM554,1/AM554),IF(K554="USD",R554/IF(S554=RIGHT(AJ554,3),IF(W554="CLIENT",AM554,AE554),1/IF(W554="CLIENT",AM554,AE554)),R554*VLOOKUP(S554,'FX RATES'!$E$1:$F$10,2,FALSE)))</f>
        <v>1647027.0509449409</v>
      </c>
      <c r="AV554" s="170">
        <f>AT554+AU554</f>
        <v>0</v>
      </c>
      <c r="AW554" s="169"/>
      <c r="AX554" s="170">
        <f>IF(AND(ISERROR(SEARCH("INVOICE",T554)),ISERROR(SEARCH("SWITCH",T554)),ISERROR(SEARCH("FOREX",T554)),ISERROR(SEARCH("REFUND",A554)),ISERROR(SEARCH("CANCELLED",A554))),IF(AW554="",-AT554*X554+AU554*Z554,AW554),0)</f>
        <v>0</v>
      </c>
      <c r="AY554" s="170">
        <f>IF(AZ554="USD",AT554,IF(AZ554=K554,J554,-R554))</f>
        <v>-1647027.0509449409</v>
      </c>
      <c r="AZ554" s="170" t="str">
        <f>LEFT(AB554,3)</f>
        <v>USD</v>
      </c>
      <c r="BA554" s="542">
        <f>IF(OR(A554="REFUND",A554="CANCELLED"),0,IFERROR((IF(OR(AB554="USDAED",LEFT(AB554,3)=RIGHT(AB554,3)),AI554,AG554)-AE554)*-AY554*VLOOKUP(AB554,'FX RATES'!$H$1:$J$26,3,FALSE),0))</f>
        <v>608905.90073435917</v>
      </c>
      <c r="BB554" s="170" t="str">
        <f>RIGHT(AB554,3)</f>
        <v>RUB</v>
      </c>
      <c r="BC554" s="542">
        <f>IF(BA554=0,0,IFERROR(BA554/IF(BB554&lt;&gt;"USD",AI554,1),"???"))</f>
        <v>7892.4938526812584</v>
      </c>
      <c r="BD554" s="170">
        <f>IFERROR(-AC554/(IF(OR(AB554="USDAED",LEFT(AB554,3)=RIGHT(AB554,3)),AH554,AG554)-AE554)*BC554,0)</f>
        <v>0</v>
      </c>
      <c r="BE554" s="542">
        <f>BC554-BD554</f>
        <v>7892.4938526812584</v>
      </c>
      <c r="BF554" s="170">
        <f>IF(BG554="USD",AU554,IF(BG554=S554,R554,-J554))</f>
        <v>1647027.0509449409</v>
      </c>
      <c r="BG554" s="170" t="str">
        <f>LEFT(AJ554,3)</f>
        <v>USD</v>
      </c>
      <c r="BH554" s="542">
        <f>IF(OR(A554="REFUND",A554="CANCELLED"),0,IFERROR((IF(OR(AJ554="USDAED",LEFT(AJ554,3)=RIGHT(AJ554,3)),AQ554,AO554)-AM554)*-BF554*VLOOKUP(AJ554,'FX RATES'!$H$1:$J$26,3,FALSE),0))</f>
        <v>0</v>
      </c>
      <c r="BI554" s="170" t="str">
        <f>RIGHT(AJ554,3)</f>
        <v>RUB</v>
      </c>
      <c r="BJ554" s="542">
        <f>IF(BH554=0,0,IFERROR(BH554/IF(BI554&lt;&gt;"USD",AQ554,1),"???"))</f>
        <v>0</v>
      </c>
      <c r="BK554" s="170">
        <f>IFERROR(-AK554/(IF(OR(AJ554="USDAED",LEFT(AJ554,3)=RIGHT(AJ554,3)),AP554,AO554)-AM554)*BJ554,0)</f>
        <v>0</v>
      </c>
      <c r="BL554" s="542">
        <f>BJ554-BK554</f>
        <v>0</v>
      </c>
      <c r="BM554" s="170">
        <f>IF(AND(ISERROR(SEARCH("REFUND",A554)),ISERROR(SEARCH("CANCELLED",A554))),BD554+BK554,0)</f>
        <v>0</v>
      </c>
      <c r="BN554" s="542">
        <f>IF(AND(ISERROR(SEARCH("REFUND",A554)),ISERROR(SEARCH("CANCELLED",A554))),BE554+BL554,0)</f>
        <v>7892.4938526812584</v>
      </c>
    </row>
    <row r="555" spans="1:66" ht="19.5" customHeight="1">
      <c r="A555" s="167"/>
      <c r="B555" s="182"/>
      <c r="C555" s="182"/>
      <c r="D555" s="182"/>
      <c r="E555" s="184"/>
      <c r="F555" s="184"/>
      <c r="G555" s="182"/>
      <c r="H555" s="182"/>
      <c r="I555" s="170"/>
      <c r="J555" s="170"/>
      <c r="K555" s="182"/>
      <c r="L555" s="184"/>
      <c r="M555" s="182"/>
      <c r="O555" s="182"/>
      <c r="P555" s="444"/>
      <c r="Q555" s="170"/>
      <c r="R555" s="170"/>
      <c r="S555" s="182"/>
      <c r="T555" s="184"/>
      <c r="U555" s="182"/>
      <c r="X555" s="173"/>
      <c r="Y555" s="173"/>
      <c r="Z555" s="173"/>
      <c r="AA555" s="173"/>
      <c r="AB555" s="173"/>
      <c r="AC555" s="175"/>
      <c r="AD555" s="177"/>
      <c r="AE555" s="177"/>
      <c r="AF555" s="177"/>
      <c r="AG555" s="177"/>
      <c r="AH555" s="178"/>
      <c r="AI555" s="178"/>
      <c r="AJ555" s="173"/>
      <c r="AK555" s="175"/>
      <c r="AL555" s="177"/>
      <c r="AM555" s="177"/>
      <c r="AN555" s="177"/>
      <c r="AO555" s="177"/>
      <c r="AP555" s="178"/>
      <c r="AQ555" s="178"/>
      <c r="AR555" s="185"/>
      <c r="AS555" s="185"/>
      <c r="AT555" s="170"/>
      <c r="AU555" s="170"/>
      <c r="AV555" s="170"/>
      <c r="AW555" s="170"/>
      <c r="AX555" s="170"/>
      <c r="AY555" s="170"/>
      <c r="AZ555" s="170"/>
      <c r="BA555" s="542"/>
      <c r="BB555" s="170"/>
      <c r="BC555" s="542"/>
      <c r="BD555" s="170"/>
      <c r="BE555" s="542"/>
      <c r="BF555" s="170"/>
      <c r="BG555" s="170"/>
      <c r="BH555" s="542"/>
      <c r="BI555" s="170"/>
      <c r="BJ555" s="542"/>
      <c r="BK555" s="170"/>
      <c r="BL555" s="542"/>
      <c r="BM555" s="170"/>
      <c r="BN555" s="542"/>
    </row>
    <row r="556" spans="1:66" ht="19.5" customHeight="1">
      <c r="A556" s="167" t="s">
        <v>601</v>
      </c>
      <c r="B556" s="181" t="s">
        <v>39</v>
      </c>
      <c r="C556" s="181" t="s">
        <v>367</v>
      </c>
      <c r="D556" s="181" t="s">
        <v>418</v>
      </c>
      <c r="E556" s="171">
        <v>46066</v>
      </c>
      <c r="F556" s="171"/>
      <c r="G556" s="181" t="s">
        <v>39</v>
      </c>
      <c r="H556" s="168" t="s">
        <v>428</v>
      </c>
      <c r="I556" s="169"/>
      <c r="J556" s="170">
        <f>IF(I556="",AR556,I556)</f>
        <v>-499000</v>
      </c>
      <c r="K556" s="168" t="s">
        <v>5</v>
      </c>
      <c r="L556" s="168" t="s">
        <v>378</v>
      </c>
      <c r="M556" s="168" t="s">
        <v>20</v>
      </c>
      <c r="N556" s="167" t="s">
        <v>553</v>
      </c>
      <c r="O556" s="168" t="s">
        <v>52</v>
      </c>
      <c r="P556" s="168" t="s">
        <v>428</v>
      </c>
      <c r="Q556" s="169">
        <v>500000</v>
      </c>
      <c r="R556" s="170">
        <f>IF(Q556="",AS556,Q556)</f>
        <v>500000</v>
      </c>
      <c r="S556" s="168" t="s">
        <v>53</v>
      </c>
      <c r="T556" s="168" t="s">
        <v>420</v>
      </c>
      <c r="U556" s="168" t="s">
        <v>54</v>
      </c>
      <c r="V556" s="167" t="s">
        <v>371</v>
      </c>
      <c r="W556" s="172" t="s">
        <v>375</v>
      </c>
      <c r="X556" s="173">
        <f>IF(Y556="",VLOOKUP(H556,CLIENTS!$A$1:$O$649,5,FALSE),Y556)</f>
        <v>0</v>
      </c>
      <c r="Y556" s="174">
        <v>0</v>
      </c>
      <c r="Z556" s="173">
        <f>IF(AA556="",VLOOKUP(P556,CLIENTS!$A$1:$O$649,5,FALSE),AA556)</f>
        <v>2E-3</v>
      </c>
      <c r="AA556" s="174">
        <v>2E-3</v>
      </c>
      <c r="AB556" s="173" t="str">
        <f>IF(W556="via USD",IF(K556="EUR",K556&amp;"USD","USD"&amp;K556),IFERROR(VLOOKUP(K556&amp;S556,'FX RATES'!$H$2:$H$20,1,FALSE),S556&amp;K556))</f>
        <v>USDUSD</v>
      </c>
      <c r="AC556" s="175">
        <f>IF(LEFT(AB556,3)=RIGHT(AB556,3),0,IFERROR(INDEX(CLIENTS!$A$1:$O$649,MATCH(H556,CLIENTS!$A$1:$A$649,0),MATCH(AB556,CLIENTS!$A$1:$O$1,0)),0))</f>
        <v>0</v>
      </c>
      <c r="AD556" s="176"/>
      <c r="AE556" s="177">
        <f>IF(W556="CLIENT","",IF(AD556="",AH556+AC556,AD556+AC556))</f>
        <v>1</v>
      </c>
      <c r="AF556" s="177" t="str">
        <f>E556&amp;AB556</f>
        <v>46066USDUSD</v>
      </c>
      <c r="AG556" s="176"/>
      <c r="AH556" s="178">
        <f>IF(LEFT(AB556,3)=RIGHT(AB556,3),1,VLOOKUP(AB556,'FX RATES'!$H$1:$I$20,2,FALSE))</f>
        <v>1</v>
      </c>
      <c r="AI556" s="178">
        <f>IF(OR(AB556="USDAED",LEFT(AB556,3)=RIGHT(AB556,3)),AH556,IF(LEFT(AB556)="USD",AG556,IF(RIGHT(AB556,3)="USD",1,IFERROR(VLOOKUP(E556&amp;"USD"&amp;RIGHT(AB556,3),$AF:$AG,2,FALSE),VLOOKUP(E556&amp;"USD"&amp;RIGHT(AJ556,3),$AN:$AO,2,FALSE)))))</f>
        <v>1</v>
      </c>
      <c r="AJ556" s="173" t="str">
        <f>IF(W556="via USD",IF(S556="EUR",S556&amp;"USD","USD"&amp;S556),IFERROR(VLOOKUP(K556&amp;S556,'FX RATES'!$H$2:$H$20,1,FALSE),S556&amp;K556))</f>
        <v>USDUSDT</v>
      </c>
      <c r="AK556" s="175">
        <f>IF(LEFT(AJ556,3)=RIGHT(AJ556,3),0,IFERROR(INDEX(CLIENTS!$A$1:$O$649,MATCH(P556,CLIENTS!$A$1:$A$649,0),MATCH(AJ556,CLIENTS!$A$1:$O$1,0)),0))</f>
        <v>0</v>
      </c>
      <c r="AL556" s="176"/>
      <c r="AM556" s="177">
        <f>IF(W556="VENDOR","",IF(AL556="",AP556+AK556,AL556+AK556))</f>
        <v>1</v>
      </c>
      <c r="AN556" s="177" t="str">
        <f>E556&amp;AJ556</f>
        <v>46066USDUSDT</v>
      </c>
      <c r="AO556" s="176">
        <v>1</v>
      </c>
      <c r="AP556" s="178">
        <f>IF(LEFT(AJ556,3)=RIGHT(AJ556,3),1,VLOOKUP(AJ556,'FX RATES'!$H$1:$I$50,2,FALSE))</f>
        <v>1</v>
      </c>
      <c r="AQ556" s="178">
        <f>IF(OR(AJ556="USDAED",LEFT(AJ556,3)=RIGHT(AJ556,3),AJ556="USDUSDT",AJ556="USDTUSD"),AP556,IF(LEFT(AJ556)="USD",AO556,IF(RIGHT(AJ556,3)="USD",1,IFERROR(VLOOKUP(E556&amp;"USD"&amp;RIGHT(AJ556,3),$AN:$AO,2,FALSE),VLOOKUP(E556&amp;"USD"&amp;RIGHT(AB556,3),$AF:$AG,2,FALSE)))))</f>
        <v>1</v>
      </c>
      <c r="AR556" s="179">
        <f>-Q556*(1-Z556)/(1+X556)*IF(W556="CLIENT",IF(S556=RIGHT(AJ556,3),1/AM556,AM556),IF(W556="VENDOR",IF(S556=RIGHT(AJ556,3),1/AE556,AE556),AE556^(VLOOKUP(AB556,'FX RATES'!$H$1:$J$26,3,FALSE))/AM556^(VLOOKUP(AJ556,'FX RATES'!$H$1:$J$26,3,FALSE))))</f>
        <v>-499000</v>
      </c>
      <c r="AS556" s="179">
        <f>-I556*(1+X556)/(1-Z556)*IF(W556="VENDOR",IF(K556=RIGHT(AB556,3),1/AE556,AE556),IF(W556="CLIENT",IF(K556=RIGHT(AB556,3),1/AM556,AM556),AM556^(VLOOKUP(AJ556,'FX RATES'!$H$1:$J$26,3,FALSE))/AE556^(VLOOKUP(AB556,'FX RATES'!$H$1:$J$26,3,FALSE))))</f>
        <v>0</v>
      </c>
      <c r="AT556" s="170">
        <f>IF(AB556&lt;&gt;AJ556,J556/IF(K556=RIGHT(AB556,3),AE556,1/AE556),IF(S556="USD",J556/IF(K556=RIGHT(AB556,3),IF(W556="CLIENT",AM556,AE556),1/IF(W556="CLIENT",AM556,AE556)),J556*VLOOKUP(K556,'FX RATES'!$E$1:$F$10,2,FALSE)))</f>
        <v>-499000</v>
      </c>
      <c r="AU556" s="170">
        <f>IF(AB556&lt;&gt;AJ556,R556/IF(S556=RIGHT(AJ556,3),AM556,1/AM556),IF(K556="USD",R556/IF(S556=RIGHT(AJ556,3),IF(W556="CLIENT",AM556,AE556),1/IF(W556="CLIENT",AM556,AE556)),R556*VLOOKUP(S556,'FX RATES'!$E$1:$F$10,2,FALSE)))</f>
        <v>500000</v>
      </c>
      <c r="AV556" s="170">
        <f>AT556+AU556</f>
        <v>1000</v>
      </c>
      <c r="AW556" s="169"/>
      <c r="AX556" s="170">
        <f>IF(AND(ISERROR(SEARCH("INVOICE",T556)),ISERROR(SEARCH("SWITCH",T556)),ISERROR(SEARCH("FOREX",T556)),ISERROR(SEARCH("REFUND",A556)),ISERROR(SEARCH("CANCELLED",A556))),IF(AW556="",-AT556*X556+AU556*Z556,AW556),0)</f>
        <v>1000</v>
      </c>
      <c r="AY556" s="170">
        <f>IF(AZ556="USD",AT556,IF(AZ556=K556,J556,-R556))</f>
        <v>-499000</v>
      </c>
      <c r="AZ556" s="170" t="str">
        <f>LEFT(AB556,3)</f>
        <v>USD</v>
      </c>
      <c r="BA556" s="542">
        <f>IF(OR(A556="REFUND",A556="CANCELLED"),0,IFERROR((IF(OR(AB556="USDAED",LEFT(AB556,3)=RIGHT(AB556,3)),AI556,AG556)-AE556)*-AY556*VLOOKUP(AB556,'FX RATES'!$H$1:$J$26,3,FALSE),0))</f>
        <v>0</v>
      </c>
      <c r="BB556" s="170" t="str">
        <f>RIGHT(AB556,3)</f>
        <v>USD</v>
      </c>
      <c r="BC556" s="542">
        <f>IF(BA556=0,0,IFERROR(BA556/IF(BB556&lt;&gt;"USD",AI556,1),"???"))</f>
        <v>0</v>
      </c>
      <c r="BD556" s="170">
        <f>IFERROR(-AC556/(IF(OR(AB556="USDAED",LEFT(AB556,3)=RIGHT(AB556,3)),AH556,AG556)-AE556)*BC556,0)</f>
        <v>0</v>
      </c>
      <c r="BE556" s="542">
        <f>BC556-BD556</f>
        <v>0</v>
      </c>
      <c r="BF556" s="170">
        <f>IF(BG556="USD",AU556,IF(BG556=S556,R556,-J556))</f>
        <v>500000</v>
      </c>
      <c r="BG556" s="170" t="str">
        <f>LEFT(AJ556,3)</f>
        <v>USD</v>
      </c>
      <c r="BH556" s="542">
        <f>IF(OR(A556="REFUND",A556="CANCELLED"),0,IFERROR((IF(OR(AJ556="USDAED",LEFT(AJ556,3)=RIGHT(AJ556,3),AJ556="USDUSDT",AJ556="USDTUSD"),AQ556,AO556)-AM556)*-BF556*VLOOKUP(AJ556,'FX RATES'!$H$1:$J$26,3,FALSE),0))</f>
        <v>0</v>
      </c>
      <c r="BI556" s="170" t="str">
        <f>RIGHT(AJ556,4)</f>
        <v>USDT</v>
      </c>
      <c r="BJ556" s="542">
        <f>IF(BH556=0,0,IFERROR(BH556/IF(BI556&lt;&gt;"USD",AQ556,1),"???"))</f>
        <v>0</v>
      </c>
      <c r="BK556" s="170">
        <f>IFERROR(-AK556/(IF(OR(AJ556="USDAED",LEFT(AJ556,3)=RIGHT(AJ556,3)),AP556,AO556)-AM556)*BJ556,0)</f>
        <v>0</v>
      </c>
      <c r="BL556" s="542">
        <f>BJ556-BK556</f>
        <v>0</v>
      </c>
      <c r="BM556" s="170">
        <f>IF(AND(ISERROR(SEARCH("REFUND",A556)),ISERROR(SEARCH("CANCELLED",A556))),BD556+BK556,0)</f>
        <v>0</v>
      </c>
      <c r="BN556" s="542">
        <f>IF(AND(ISERROR(SEARCH("REFUND",A556)),ISERROR(SEARCH("CANCELLED",A556))),BE556+BL556,0)</f>
        <v>0</v>
      </c>
    </row>
    <row r="557" spans="1:66" ht="19.5" customHeight="1">
      <c r="A557" s="180"/>
      <c r="E557" s="180"/>
      <c r="F557" s="182"/>
      <c r="L557" s="180"/>
      <c r="M557" s="180"/>
      <c r="N557" s="182"/>
      <c r="O557" s="180"/>
      <c r="P557" s="180"/>
      <c r="V557" s="180"/>
      <c r="W557" s="180"/>
    </row>
    <row r="558" spans="1:66" ht="19.5" customHeight="1">
      <c r="A558" s="167" t="s">
        <v>601</v>
      </c>
      <c r="B558" s="168" t="s">
        <v>52</v>
      </c>
      <c r="C558" s="168" t="s">
        <v>367</v>
      </c>
      <c r="D558" s="168" t="s">
        <v>368</v>
      </c>
      <c r="E558" s="171">
        <v>46066</v>
      </c>
      <c r="F558" s="171"/>
      <c r="G558" s="168" t="s">
        <v>52</v>
      </c>
      <c r="H558" s="168" t="s">
        <v>560</v>
      </c>
      <c r="I558" s="169">
        <v>-380000</v>
      </c>
      <c r="J558" s="170">
        <f t="shared" ref="J558" si="631">IF(I558="",AR558,I558)</f>
        <v>-380000</v>
      </c>
      <c r="K558" s="168" t="s">
        <v>53</v>
      </c>
      <c r="L558" s="168" t="s">
        <v>420</v>
      </c>
      <c r="M558" s="168" t="s">
        <v>54</v>
      </c>
      <c r="N558" s="182" t="s">
        <v>553</v>
      </c>
      <c r="O558" s="168" t="s">
        <v>52</v>
      </c>
      <c r="P558" s="168" t="s">
        <v>560</v>
      </c>
      <c r="Q558" s="169"/>
      <c r="R558" s="170">
        <f t="shared" ref="R558" si="632">IF(Q558="",AS558,Q558)</f>
        <v>29487999.999999996</v>
      </c>
      <c r="S558" s="168" t="s">
        <v>9</v>
      </c>
      <c r="T558" s="168" t="s">
        <v>617</v>
      </c>
      <c r="U558" s="168" t="s">
        <v>25</v>
      </c>
      <c r="V558" s="167" t="s">
        <v>371</v>
      </c>
      <c r="W558" s="172" t="s">
        <v>375</v>
      </c>
      <c r="X558" s="173">
        <f>IF(Y558="",VLOOKUP(H558,CLIENTS!$A$1:$O$649,5,FALSE),Y558)</f>
        <v>0</v>
      </c>
      <c r="Y558" s="174">
        <v>0</v>
      </c>
      <c r="Z558" s="173">
        <f>IF(AA558="",VLOOKUP(P558,CLIENTS!$A$1:$O$649,5,FALSE),AA558)</f>
        <v>0</v>
      </c>
      <c r="AA558" s="174">
        <v>0</v>
      </c>
      <c r="AB558" s="173" t="str">
        <f>IF(W558="via USD",IF(K558="EUR",K558&amp;"USD","USD"&amp;K558),IFERROR(VLOOKUP(K558&amp;S558,'FX RATES'!$H$2:$H$20,1,FALSE),S558&amp;K558))</f>
        <v>USDUSDT</v>
      </c>
      <c r="AC558" s="175">
        <f>IF(LEFT(AB558,3)=RIGHT(AB558,3),0,IFERROR(INDEX(CLIENTS!$A$1:$O$649,MATCH(H558,CLIENTS!$A$1:$A$649,0),MATCH(AB558,CLIENTS!$A$1:$O$1,0)),0))</f>
        <v>0</v>
      </c>
      <c r="AD558" s="176"/>
      <c r="AE558" s="177">
        <f t="shared" ref="AE558" si="633">IF(W558="CLIENT","",IF(AD558="",AH558+AC558,AD558+AC558))</f>
        <v>1</v>
      </c>
      <c r="AF558" s="177" t="str">
        <f t="shared" ref="AF558" si="634">E558&amp;AB558</f>
        <v>46066USDUSDT</v>
      </c>
      <c r="AG558" s="176"/>
      <c r="AH558" s="178">
        <f>IF(LEFT(AB558,3)=RIGHT(AB558,3),1,VLOOKUP(AB558,'FX RATES'!$H$1:$I$50,2,FALSE))</f>
        <v>1</v>
      </c>
      <c r="AI558" s="178">
        <f>IF(OR(AB558="USDAED",LEFT(AB558,3)=RIGHT(AB558,3),AB558="USDUSDT",AB558="USDTUSD"),AH558,IF(LEFT(AB558)="USD",AG558,IF(RIGHT(AB558,3)="USD",1,IFERROR(VLOOKUP(E558&amp;"USD"&amp;RIGHT(AB558,3),$AF:$AG,2,FALSE),VLOOKUP(E558&amp;"USD"&amp;RIGHT(AJ558,3),$AN:$AO,2,FALSE)))))</f>
        <v>1</v>
      </c>
      <c r="AJ558" s="173" t="str">
        <f>IF(W558="via USD",IF(S558="EUR",S558&amp;"USD","USD"&amp;S558),IFERROR(VLOOKUP(K558&amp;S558,'FX RATES'!$H$2:$H$20,1,FALSE),S558&amp;K558))</f>
        <v>USDRUB</v>
      </c>
      <c r="AK558" s="175">
        <f>IF(LEFT(AJ558,3)=RIGHT(AJ558,3),0,IFERROR(INDEX(CLIENTS!$A$1:$O$649,MATCH(P558,CLIENTS!$A$1:$A$649,0),MATCH(AJ558,CLIENTS!$A$1:$O$1,0)),0))</f>
        <v>0</v>
      </c>
      <c r="AL558" s="176">
        <v>77.599999999999994</v>
      </c>
      <c r="AM558" s="177">
        <f t="shared" ref="AM558" si="635">IF(W558="VENDOR","",IF(AL558="",AP558+AK558,AL558+AK558))</f>
        <v>77.599999999999994</v>
      </c>
      <c r="AN558" s="177" t="str">
        <f t="shared" ref="AN558" si="636">E558&amp;AJ558</f>
        <v>46066USDRUB</v>
      </c>
      <c r="AO558" s="176">
        <v>77.25</v>
      </c>
      <c r="AP558" s="178">
        <f ca="1">IF(LEFT(AJ558,3)=RIGHT(AJ558,3),1,VLOOKUP(AJ558,'FX RATES'!$H$1:$I$20,2,FALSE))</f>
        <v>76.720500000000001</v>
      </c>
      <c r="AQ558" s="178">
        <f t="shared" ref="AQ558:AQ563" si="637">IF(OR(AJ558="USDAED",LEFT(AJ558,3)=RIGHT(AJ558,3)),AP558,IF(LEFT(AJ558)="USD",AO558,IF(RIGHT(AJ558,3)="USD",1,IFERROR(VLOOKUP(E558&amp;"USD"&amp;RIGHT(AJ558,3),$AN:$AO,2,FALSE),VLOOKUP(E558&amp;"USD"&amp;RIGHT(AB558,3),$AF:$AG,2,FALSE)))))</f>
        <v>77.25</v>
      </c>
      <c r="AR558" s="179">
        <f>-Q558*(1-Z558)/(1+X558)*IF(W558="CLIENT",IF(S558=RIGHT(AJ558,3),1/AM558,AM558),IF(W558="VENDOR",IF(S558=RIGHT(AJ558,3),1/AE558,AE558),AE558^(VLOOKUP(AB558,'FX RATES'!$H$1:$J$26,3,FALSE))/AM558^(VLOOKUP(AJ558,'FX RATES'!$H$1:$J$26,3,FALSE))))</f>
        <v>0</v>
      </c>
      <c r="AS558" s="179">
        <f>-I558*(1+X558)/(1-Z558)*IF(W558="VENDOR",IF(K558=RIGHT(AB558,3),1/AE558,AE558),IF(W558="CLIENT",IF(K558=RIGHT(AB558,3),1/AM558,AM558),AM558^(VLOOKUP(AJ558,'FX RATES'!$H$1:$J$26,3,FALSE))/AE558^(VLOOKUP(AB558,'FX RATES'!$H$1:$J$26,3,FALSE))))</f>
        <v>29487999.999999996</v>
      </c>
      <c r="AT558" s="170">
        <f>IF(AB558&lt;&gt;AJ558,J558/IF(K558=RIGHT(AB558,3),AE558,1/AE558),IF(S558="USD",J558/IF(K558=RIGHT(AB558,3),IF(W558="CLIENT",AM558,AE558),1/IF(W558="CLIENT",AM558,AE558)),J558*VLOOKUP(K558,'FX RATES'!$E$1:$F$10,2,FALSE)))</f>
        <v>-380000</v>
      </c>
      <c r="AU558" s="170">
        <f>IF(AB558&lt;&gt;AJ558,R558/IF(S558=RIGHT(AJ558,3),AM558,1/AM558),IF(K558="USD",R558/IF(S558=RIGHT(AJ558,3),IF(W558="CLIENT",AM558,AE558),1/IF(W558="CLIENT",AM558,AE558)),R558*VLOOKUP(S558,'FX RATES'!$E$1:$F$10,2,FALSE)))</f>
        <v>380000</v>
      </c>
      <c r="AV558" s="170">
        <f t="shared" ref="AV558" si="638">AT558+AU558</f>
        <v>0</v>
      </c>
      <c r="AW558" s="169"/>
      <c r="AX558" s="170">
        <f t="shared" ref="AX558" si="639">IF(AND(ISERROR(SEARCH("INVOICE",T558)),ISERROR(SEARCH("SWITCH",T558)),ISERROR(SEARCH("FOREX",T558)),ISERROR(SEARCH("REFUND",A558)),ISERROR(SEARCH("CANCELLED",A558))),IF(AW558="",-AT558*X558+AU558*Z558,AW558),0)</f>
        <v>0</v>
      </c>
      <c r="AY558" s="170">
        <f t="shared" ref="AY558" si="640">IF(AZ558="USD",AT558,IF(AZ558=K558,J558,-R558))</f>
        <v>-380000</v>
      </c>
      <c r="AZ558" s="170" t="str">
        <f t="shared" ref="AZ558" si="641">LEFT(AB558,3)</f>
        <v>USD</v>
      </c>
      <c r="BA558" s="542">
        <f>IF(OR(A558="REFUND",A558="CANCELLED"),0,IFERROR((IF(OR(AB558="USDAED",LEFT(AB558,3)=RIGHT(AB558,3),AB558="USDUSDT",AB558="USDTUSD"),AI558,AG558)-AE558)*-AY558*VLOOKUP(AB558,'FX RATES'!$H$1:$J$26,3,FALSE),0))</f>
        <v>0</v>
      </c>
      <c r="BB558" s="170" t="str">
        <f>RIGHT(AB558,4)</f>
        <v>USDT</v>
      </c>
      <c r="BC558" s="542">
        <f t="shared" ref="BC558" si="642">IF(BA558=0,0,IFERROR(BA558/IF(BB558&lt;&gt;"USD",AI558,1),"???"))</f>
        <v>0</v>
      </c>
      <c r="BD558" s="170">
        <f t="shared" ref="BD558" si="643">IFERROR(-AC558/(IF(OR(AB558="USDAED",LEFT(AB558,3)=RIGHT(AB558,3)),AH558,AG558)-AE558)*BC558,0)</f>
        <v>0</v>
      </c>
      <c r="BE558" s="542">
        <f t="shared" ref="BE558" si="644">BC558-BD558</f>
        <v>0</v>
      </c>
      <c r="BF558" s="170">
        <f t="shared" ref="BF558" si="645">IF(BG558="USD",AU558,IF(BG558=S558,R558,-J558))</f>
        <v>380000</v>
      </c>
      <c r="BG558" s="170" t="str">
        <f t="shared" ref="BG558" si="646">LEFT(AJ558,3)</f>
        <v>USD</v>
      </c>
      <c r="BH558" s="542">
        <f>IF(OR(A558="REFUND",A558="CANCELLED"),0,IFERROR((IF(OR(AJ558="USDAED",LEFT(AJ558,3)=RIGHT(AJ558,3)),AQ558,AO558)-AM558)*-BF558*VLOOKUP(AJ558,'FX RATES'!$H$1:$J$26,3,FALSE),0))</f>
        <v>132999.99999999785</v>
      </c>
      <c r="BI558" s="170" t="str">
        <f t="shared" ref="BI558" si="647">RIGHT(AJ558,3)</f>
        <v>RUB</v>
      </c>
      <c r="BJ558" s="542">
        <f t="shared" ref="BJ558" si="648">IF(BH558=0,0,IFERROR(BH558/IF(BI558&lt;&gt;"USD",AQ558,1),"???"))</f>
        <v>1721.6828478964123</v>
      </c>
      <c r="BK558" s="170">
        <f t="shared" ref="BK558" si="649">IFERROR(-AK558/(IF(OR(AJ558="USDAED",LEFT(AJ558,3)=RIGHT(AJ558,3)),AP558,AO558)-AM558)*BJ558,0)</f>
        <v>0</v>
      </c>
      <c r="BL558" s="542">
        <f t="shared" ref="BL558" si="650">BJ558-BK558</f>
        <v>1721.6828478964123</v>
      </c>
      <c r="BM558" s="170">
        <f t="shared" ref="BM558" si="651">IF(AND(ISERROR(SEARCH("REFUND",A558)),ISERROR(SEARCH("CANCELLED",A558))),BD558+BK558,0)</f>
        <v>0</v>
      </c>
      <c r="BN558" s="542">
        <f t="shared" ref="BN558" si="652">IF(AND(ISERROR(SEARCH("REFUND",A558)),ISERROR(SEARCH("CANCELLED",A558))),BE558+BL558,0)</f>
        <v>1721.6828478964123</v>
      </c>
    </row>
    <row r="559" spans="1:66" ht="19.5" customHeight="1">
      <c r="A559" s="167" t="s">
        <v>601</v>
      </c>
      <c r="B559" s="168" t="s">
        <v>52</v>
      </c>
      <c r="C559" s="168" t="s">
        <v>367</v>
      </c>
      <c r="D559" s="168" t="s">
        <v>368</v>
      </c>
      <c r="E559" s="171">
        <v>46066</v>
      </c>
      <c r="F559" s="171"/>
      <c r="G559" s="168" t="s">
        <v>52</v>
      </c>
      <c r="H559" s="168" t="s">
        <v>560</v>
      </c>
      <c r="I559" s="169">
        <v>-550000</v>
      </c>
      <c r="J559" s="170">
        <f>IF(I559="",AR559,I559)</f>
        <v>-550000</v>
      </c>
      <c r="K559" s="168" t="s">
        <v>53</v>
      </c>
      <c r="L559" s="168" t="s">
        <v>420</v>
      </c>
      <c r="M559" s="168" t="s">
        <v>54</v>
      </c>
      <c r="N559" s="182" t="s">
        <v>553</v>
      </c>
      <c r="O559" s="168" t="s">
        <v>52</v>
      </c>
      <c r="P559" s="168" t="s">
        <v>560</v>
      </c>
      <c r="Q559" s="169"/>
      <c r="R559" s="170">
        <f>IF(Q559="",AS559,Q559)</f>
        <v>42625000</v>
      </c>
      <c r="S559" s="168" t="s">
        <v>9</v>
      </c>
      <c r="T559" s="168" t="s">
        <v>617</v>
      </c>
      <c r="U559" s="168" t="s">
        <v>25</v>
      </c>
      <c r="V559" s="167" t="s">
        <v>371</v>
      </c>
      <c r="W559" s="172" t="s">
        <v>375</v>
      </c>
      <c r="X559" s="173">
        <f>IF(Y559="",VLOOKUP(H559,CLIENTS!$A$1:$O$649,5,FALSE),Y559)</f>
        <v>0</v>
      </c>
      <c r="Y559" s="174">
        <v>0</v>
      </c>
      <c r="Z559" s="173">
        <f>IF(AA559="",VLOOKUP(P559,CLIENTS!$A$1:$O$649,5,FALSE),AA559)</f>
        <v>0</v>
      </c>
      <c r="AA559" s="174">
        <v>0</v>
      </c>
      <c r="AB559" s="173" t="str">
        <f>IF(W559="via USD",IF(K559="EUR",K559&amp;"USD","USD"&amp;K559),IFERROR(VLOOKUP(K559&amp;S559,'FX RATES'!$H$2:$H$20,1,FALSE),S559&amp;K559))</f>
        <v>USDUSDT</v>
      </c>
      <c r="AC559" s="175">
        <f>IF(LEFT(AB559,3)=RIGHT(AB559,3),0,IFERROR(INDEX(CLIENTS!$A$1:$O$649,MATCH(H559,CLIENTS!$A$1:$A$649,0),MATCH(AB559,CLIENTS!$A$1:$O$1,0)),0))</f>
        <v>0</v>
      </c>
      <c r="AD559" s="176"/>
      <c r="AE559" s="177">
        <f>IF(W559="CLIENT","",IF(AD559="",AH559+AC559,AD559+AC559))</f>
        <v>1</v>
      </c>
      <c r="AF559" s="177" t="str">
        <f>E559&amp;AB559</f>
        <v>46066USDUSDT</v>
      </c>
      <c r="AG559" s="176"/>
      <c r="AH559" s="178">
        <f>IF(LEFT(AB559,3)=RIGHT(AB559,3),1,VLOOKUP(AB559,'FX RATES'!$H$1:$I$50,2,FALSE))</f>
        <v>1</v>
      </c>
      <c r="AI559" s="178">
        <f>IF(OR(AB559="USDAED",LEFT(AB559,3)=RIGHT(AB559,3),AB559="USDUSDT",AB559="USDTUSD"),AH559,IF(LEFT(AB559)="USD",AG559,IF(RIGHT(AB559,3)="USD",1,IFERROR(VLOOKUP(E559&amp;"USD"&amp;RIGHT(AB559,3),$AF:$AG,2,FALSE),VLOOKUP(E559&amp;"USD"&amp;RIGHT(AJ559,3),$AN:$AO,2,FALSE)))))</f>
        <v>1</v>
      </c>
      <c r="AJ559" s="173" t="str">
        <f>IF(W559="via USD",IF(S559="EUR",S559&amp;"USD","USD"&amp;S559),IFERROR(VLOOKUP(K559&amp;S559,'FX RATES'!$H$2:$H$20,1,FALSE),S559&amp;K559))</f>
        <v>USDRUB</v>
      </c>
      <c r="AK559" s="175">
        <f>IF(LEFT(AJ559,3)=RIGHT(AJ559,3),0,IFERROR(INDEX(CLIENTS!$A$1:$O$649,MATCH(P559,CLIENTS!$A$1:$A$649,0),MATCH(AJ559,CLIENTS!$A$1:$O$1,0)),0))</f>
        <v>0</v>
      </c>
      <c r="AL559" s="176">
        <v>77.5</v>
      </c>
      <c r="AM559" s="177">
        <f>IF(W559="VENDOR","",IF(AL559="",AP559+AK559,AL559+AK559))</f>
        <v>77.5</v>
      </c>
      <c r="AN559" s="177" t="str">
        <f>E559&amp;AJ559</f>
        <v>46066USDRUB</v>
      </c>
      <c r="AO559" s="176">
        <v>77.25</v>
      </c>
      <c r="AP559" s="178">
        <f ca="1">IF(LEFT(AJ559,3)=RIGHT(AJ559,3),1,VLOOKUP(AJ559,'FX RATES'!$H$1:$I$20,2,FALSE))</f>
        <v>76.720500000000001</v>
      </c>
      <c r="AQ559" s="178">
        <f t="shared" si="637"/>
        <v>77.25</v>
      </c>
      <c r="AR559" s="179">
        <f>-Q559*(1-Z559)/(1+X559)*IF(W559="CLIENT",IF(S559=RIGHT(AJ559,3),1/AM559,AM559),IF(W559="VENDOR",IF(S559=RIGHT(AJ559,3),1/AE559,AE559),AE559^(VLOOKUP(AB559,'FX RATES'!$H$1:$J$26,3,FALSE))/AM559^(VLOOKUP(AJ559,'FX RATES'!$H$1:$J$26,3,FALSE))))</f>
        <v>0</v>
      </c>
      <c r="AS559" s="179">
        <f>-I559*(1+X559)/(1-Z559)*IF(W559="VENDOR",IF(K559=RIGHT(AB559,3),1/AE559,AE559),IF(W559="CLIENT",IF(K559=RIGHT(AB559,3),1/AM559,AM559),AM559^(VLOOKUP(AJ559,'FX RATES'!$H$1:$J$26,3,FALSE))/AE559^(VLOOKUP(AB559,'FX RATES'!$H$1:$J$26,3,FALSE))))</f>
        <v>42625000</v>
      </c>
      <c r="AT559" s="170">
        <f>IF(AB559&lt;&gt;AJ559,J559/IF(K559=RIGHT(AB559,3),AE559,1/AE559),IF(S559="USD",J559/IF(K559=RIGHT(AB559,3),IF(W559="CLIENT",AM559,AE559),1/IF(W559="CLIENT",AM559,AE559)),J559*VLOOKUP(K559,'FX RATES'!$E$1:$F$10,2,FALSE)))</f>
        <v>-550000</v>
      </c>
      <c r="AU559" s="170">
        <f>IF(AB559&lt;&gt;AJ559,R559/IF(S559=RIGHT(AJ559,3),AM559,1/AM559),IF(K559="USD",R559/IF(S559=RIGHT(AJ559,3),IF(W559="CLIENT",AM559,AE559),1/IF(W559="CLIENT",AM559,AE559)),R559*VLOOKUP(S559,'FX RATES'!$E$1:$F$10,2,FALSE)))</f>
        <v>550000</v>
      </c>
      <c r="AV559" s="170">
        <f>AT559+AU559</f>
        <v>0</v>
      </c>
      <c r="AW559" s="169"/>
      <c r="AX559" s="170">
        <f>IF(AND(ISERROR(SEARCH("INVOICE",T559)),ISERROR(SEARCH("SWITCH",T559)),ISERROR(SEARCH("FOREX",T559)),ISERROR(SEARCH("REFUND",A559)),ISERROR(SEARCH("CANCELLED",A559))),IF(AW559="",-AT559*X559+AU559*Z559,AW559),0)</f>
        <v>0</v>
      </c>
      <c r="AY559" s="170">
        <f>IF(AZ559="USD",AT559,IF(AZ559=K559,J559,-R559))</f>
        <v>-550000</v>
      </c>
      <c r="AZ559" s="170" t="str">
        <f>LEFT(AB559,3)</f>
        <v>USD</v>
      </c>
      <c r="BA559" s="542">
        <f>IF(OR(A559="REFUND",A559="CANCELLED"),0,IFERROR((IF(OR(AB559="USDAED",LEFT(AB559,3)=RIGHT(AB559,3),AB559="USDUSDT",AB559="USDTUSD"),AI559,AG559)-AE559)*-AY559*VLOOKUP(AB559,'FX RATES'!$H$1:$J$26,3,FALSE),0))</f>
        <v>0</v>
      </c>
      <c r="BB559" s="170" t="str">
        <f>RIGHT(AB559,4)</f>
        <v>USDT</v>
      </c>
      <c r="BC559" s="542">
        <f>IF(BA559=0,0,IFERROR(BA559/IF(BB559&lt;&gt;"USD",AI559,1),"???"))</f>
        <v>0</v>
      </c>
      <c r="BD559" s="170">
        <f>IFERROR(-AC559/(IF(OR(AB559="USDAED",LEFT(AB559,3)=RIGHT(AB559,3)),AH559,AG559)-AE559)*BC559,0)</f>
        <v>0</v>
      </c>
      <c r="BE559" s="542">
        <f>BC559-BD559</f>
        <v>0</v>
      </c>
      <c r="BF559" s="170">
        <f>IF(BG559="USD",AU559,IF(BG559=S559,R559,-J559))</f>
        <v>550000</v>
      </c>
      <c r="BG559" s="170" t="str">
        <f>LEFT(AJ559,3)</f>
        <v>USD</v>
      </c>
      <c r="BH559" s="542">
        <f>IF(OR(A559="REFUND",A559="CANCELLED"),0,IFERROR((IF(OR(AJ559="USDAED",LEFT(AJ559,3)=RIGHT(AJ559,3)),AQ559,AO559)-AM559)*-BF559*VLOOKUP(AJ559,'FX RATES'!$H$1:$J$26,3,FALSE),0))</f>
        <v>137500</v>
      </c>
      <c r="BI559" s="170" t="str">
        <f>RIGHT(AJ559,3)</f>
        <v>RUB</v>
      </c>
      <c r="BJ559" s="542">
        <f>IF(BH559=0,0,IFERROR(BH559/IF(BI559&lt;&gt;"USD",AQ559,1),"???"))</f>
        <v>1779.9352750809062</v>
      </c>
      <c r="BK559" s="170">
        <f>IFERROR(-AK559/(IF(OR(AJ559="USDAED",LEFT(AJ559,3)=RIGHT(AJ559,3)),AP559,AO559)-AM559)*BJ559,0)</f>
        <v>0</v>
      </c>
      <c r="BL559" s="542">
        <f>BJ559-BK559</f>
        <v>1779.9352750809062</v>
      </c>
      <c r="BM559" s="170">
        <f>IF(AND(ISERROR(SEARCH("REFUND",A559)),ISERROR(SEARCH("CANCELLED",A559))),BD559+BK559,0)</f>
        <v>0</v>
      </c>
      <c r="BN559" s="542">
        <f>IF(AND(ISERROR(SEARCH("REFUND",A559)),ISERROR(SEARCH("CANCELLED",A559))),BE559+BL559,0)</f>
        <v>1779.9352750809062</v>
      </c>
    </row>
    <row r="560" spans="1:66" ht="19.5" customHeight="1">
      <c r="A560" s="167" t="s">
        <v>601</v>
      </c>
      <c r="B560" s="168" t="s">
        <v>52</v>
      </c>
      <c r="C560" s="168" t="s">
        <v>367</v>
      </c>
      <c r="D560" s="168" t="s">
        <v>368</v>
      </c>
      <c r="E560" s="171">
        <v>46066</v>
      </c>
      <c r="F560" s="171"/>
      <c r="G560" s="168" t="s">
        <v>52</v>
      </c>
      <c r="H560" s="169" t="s">
        <v>550</v>
      </c>
      <c r="I560" s="169">
        <v>-125000</v>
      </c>
      <c r="J560" s="170">
        <f>IF(I560="",AR560,I560)</f>
        <v>-125000</v>
      </c>
      <c r="K560" s="168" t="s">
        <v>53</v>
      </c>
      <c r="L560" s="168" t="s">
        <v>420</v>
      </c>
      <c r="M560" s="168" t="s">
        <v>54</v>
      </c>
      <c r="N560" s="182" t="s">
        <v>553</v>
      </c>
      <c r="O560" s="168" t="s">
        <v>52</v>
      </c>
      <c r="P560" s="169" t="s">
        <v>551</v>
      </c>
      <c r="Q560" s="169"/>
      <c r="R560" s="170">
        <f>IF(Q560="",AS560,Q560)</f>
        <v>9700000</v>
      </c>
      <c r="S560" s="168" t="s">
        <v>9</v>
      </c>
      <c r="T560" s="168" t="s">
        <v>502</v>
      </c>
      <c r="U560" s="168" t="s">
        <v>25</v>
      </c>
      <c r="V560" s="167" t="s">
        <v>371</v>
      </c>
      <c r="W560" s="172" t="s">
        <v>375</v>
      </c>
      <c r="X560" s="173">
        <f>IF(Y560="",VLOOKUP(H560,CLIENTS!$A$1:$O$649,5,FALSE),Y560)</f>
        <v>0</v>
      </c>
      <c r="Y560" s="174">
        <v>0</v>
      </c>
      <c r="Z560" s="173">
        <f>IF(AA560="",VLOOKUP(P560,CLIENTS!$A$1:$O$649,5,FALSE),AA560)</f>
        <v>0</v>
      </c>
      <c r="AA560" s="174">
        <v>0</v>
      </c>
      <c r="AB560" s="173" t="str">
        <f>IF(W560="via USD",IF(K560="EUR",K560&amp;"USD","USD"&amp;K560),IFERROR(VLOOKUP(K560&amp;S560,'FX RATES'!$H$2:$H$20,1,FALSE),S560&amp;K560))</f>
        <v>USDUSDT</v>
      </c>
      <c r="AC560" s="175">
        <f>IF(LEFT(AB560,3)=RIGHT(AB560,3),0,IFERROR(INDEX(CLIENTS!$A$1:$O$649,MATCH(H560,CLIENTS!$A$1:$A$649,0),MATCH(AB560,CLIENTS!$A$1:$O$1,0)),0))</f>
        <v>0</v>
      </c>
      <c r="AD560" s="176"/>
      <c r="AE560" s="177">
        <f>IF(W560="CLIENT","",IF(AD560="",AH560+AC560,AD560+AC560))</f>
        <v>1</v>
      </c>
      <c r="AF560" s="177" t="str">
        <f>E560&amp;AB560</f>
        <v>46066USDUSDT</v>
      </c>
      <c r="AG560" s="176"/>
      <c r="AH560" s="178">
        <f>IF(LEFT(AB560,3)=RIGHT(AB560,3),1,VLOOKUP(AB560,'FX RATES'!$H$1:$I$50,2,FALSE))</f>
        <v>1</v>
      </c>
      <c r="AI560" s="178">
        <f>IF(OR(AB560="USDAED",LEFT(AB560,3)=RIGHT(AB560,3),AB560="USDUSDT",AB560="USDTUSD"),AH560,IF(LEFT(AB560)="USD",AG560,IF(RIGHT(AB560,3)="USD",1,IFERROR(VLOOKUP(E560&amp;"USD"&amp;RIGHT(AB560,3),$AF:$AG,2,FALSE),VLOOKUP(E560&amp;"USD"&amp;RIGHT(AJ560,3),$AN:$AO,2,FALSE)))))</f>
        <v>1</v>
      </c>
      <c r="AJ560" s="173" t="str">
        <f>IF(W560="via USD",IF(S560="EUR",S560&amp;"USD","USD"&amp;S560),IFERROR(VLOOKUP(K560&amp;S560,'FX RATES'!$H$2:$H$20,1,FALSE),S560&amp;K560))</f>
        <v>USDRUB</v>
      </c>
      <c r="AK560" s="175">
        <f>IF(LEFT(AJ560,3)=RIGHT(AJ560,3),0,IFERROR(INDEX(CLIENTS!$A$1:$O$649,MATCH(P560,CLIENTS!$A$1:$A$649,0),MATCH(AJ560,CLIENTS!$A$1:$O$1,0)),0))</f>
        <v>0</v>
      </c>
      <c r="AL560" s="176">
        <v>77.599999999999994</v>
      </c>
      <c r="AM560" s="177">
        <f>IF(W560="VENDOR","",IF(AL560="",AP560+AK560,AL560+AK560))</f>
        <v>77.599999999999994</v>
      </c>
      <c r="AN560" s="177" t="str">
        <f>E560&amp;AJ560</f>
        <v>46066USDRUB</v>
      </c>
      <c r="AO560" s="176">
        <v>77.25</v>
      </c>
      <c r="AP560" s="178">
        <f ca="1">IF(LEFT(AJ560,3)=RIGHT(AJ560,3),1,VLOOKUP(AJ560,'FX RATES'!$H$1:$I$20,2,FALSE))</f>
        <v>76.720500000000001</v>
      </c>
      <c r="AQ560" s="178">
        <f t="shared" si="637"/>
        <v>77.25</v>
      </c>
      <c r="AR560" s="179">
        <f>-Q560*(1-Z560)/(1+X560)*IF(W560="CLIENT",IF(S560=RIGHT(AJ560,3),1/AM560,AM560),IF(W560="VENDOR",IF(S560=RIGHT(AJ560,3),1/AE560,AE560),AE560^(VLOOKUP(AB560,'FX RATES'!$H$1:$J$26,3,FALSE))/AM560^(VLOOKUP(AJ560,'FX RATES'!$H$1:$J$26,3,FALSE))))</f>
        <v>0</v>
      </c>
      <c r="AS560" s="179">
        <f>-I560*(1+X560)/(1-Z560)*IF(W560="VENDOR",IF(K560=RIGHT(AB560,3),1/AE560,AE560),IF(W560="CLIENT",IF(K560=RIGHT(AB560,3),1/AM560,AM560),AM560^(VLOOKUP(AJ560,'FX RATES'!$H$1:$J$26,3,FALSE))/AE560^(VLOOKUP(AB560,'FX RATES'!$H$1:$J$26,3,FALSE))))</f>
        <v>9700000</v>
      </c>
      <c r="AT560" s="170">
        <f>IF(AB560&lt;&gt;AJ560,J560/IF(K560=RIGHT(AB560,3),AE560,1/AE560),IF(S560="USD",J560/IF(K560=RIGHT(AB560,3),IF(W560="CLIENT",AM560,AE560),1/IF(W560="CLIENT",AM560,AE560)),J560*VLOOKUP(K560,'FX RATES'!$E$1:$F$10,2,FALSE)))</f>
        <v>-125000</v>
      </c>
      <c r="AU560" s="170">
        <f>IF(AB560&lt;&gt;AJ560,R560/IF(S560=RIGHT(AJ560,3),AM560,1/AM560),IF(K560="USD",R560/IF(S560=RIGHT(AJ560,3),IF(W560="CLIENT",AM560,AE560),1/IF(W560="CLIENT",AM560,AE560)),R560*VLOOKUP(S560,'FX RATES'!$E$1:$F$10,2,FALSE)))</f>
        <v>125000.00000000001</v>
      </c>
      <c r="AV560" s="170">
        <f>AT560+AU560</f>
        <v>0</v>
      </c>
      <c r="AW560" s="169"/>
      <c r="AX560" s="170">
        <f>IF(AND(ISERROR(SEARCH("INVOICE",T560)),ISERROR(SEARCH("SWITCH",T560)),ISERROR(SEARCH("FOREX",T560)),ISERROR(SEARCH("REFUND",A560)),ISERROR(SEARCH("CANCELLED",A560))),IF(AW560="",-AT560*X560+AU560*Z560,AW560),0)</f>
        <v>0</v>
      </c>
      <c r="AY560" s="170">
        <f>IF(AZ560="USD",AT560,IF(AZ560=K560,J560,-R560))</f>
        <v>-125000</v>
      </c>
      <c r="AZ560" s="170" t="str">
        <f>LEFT(AB560,3)</f>
        <v>USD</v>
      </c>
      <c r="BA560" s="542">
        <f>IF(OR(A560="REFUND",A560="CANCELLED"),0,IFERROR((IF(OR(AB560="USDAED",LEFT(AB560,3)=RIGHT(AB560,3),AB560="USDUSDT",AB560="USDTUSD"),AI560,AG560)-AE560)*-AY560*VLOOKUP(AB560,'FX RATES'!$H$1:$J$26,3,FALSE),0))</f>
        <v>0</v>
      </c>
      <c r="BB560" s="170" t="str">
        <f>RIGHT(AB560,4)</f>
        <v>USDT</v>
      </c>
      <c r="BC560" s="542">
        <f>IF(BA560=0,0,IFERROR(BA560/IF(BB560&lt;&gt;"USD",AI560,1),"???"))</f>
        <v>0</v>
      </c>
      <c r="BD560" s="170">
        <f>IFERROR(-AC560/(IF(OR(AB560="USDAED",LEFT(AB560,3)=RIGHT(AB560,3)),AH560,AG560)-AE560)*BC560,0)</f>
        <v>0</v>
      </c>
      <c r="BE560" s="542">
        <f>BC560-BD560</f>
        <v>0</v>
      </c>
      <c r="BF560" s="170">
        <f>IF(BG560="USD",AU560,IF(BG560=S560,R560,-J560))</f>
        <v>125000.00000000001</v>
      </c>
      <c r="BG560" s="170" t="str">
        <f>LEFT(AJ560,3)</f>
        <v>USD</v>
      </c>
      <c r="BH560" s="542">
        <f>IF(OR(A560="REFUND",A560="CANCELLED"),0,IFERROR((IF(OR(AJ560="USDAED",LEFT(AJ560,3)=RIGHT(AJ560,3)),AQ560,AO560)-AM560)*-BF560*VLOOKUP(AJ560,'FX RATES'!$H$1:$J$26,3,FALSE),0))</f>
        <v>43749.999999999294</v>
      </c>
      <c r="BI560" s="170" t="str">
        <f>RIGHT(AJ560,3)</f>
        <v>RUB</v>
      </c>
      <c r="BJ560" s="542">
        <f>IF(BH560=0,0,IFERROR(BH560/IF(BI560&lt;&gt;"USD",AQ560,1),"???"))</f>
        <v>566.34304207118828</v>
      </c>
      <c r="BK560" s="170">
        <f>IFERROR(-AK560/(IF(OR(AJ560="USDAED",LEFT(AJ560,3)=RIGHT(AJ560,3)),AP560,AO560)-AM560)*BJ560,0)</f>
        <v>0</v>
      </c>
      <c r="BL560" s="542">
        <f>BJ560-BK560</f>
        <v>566.34304207118828</v>
      </c>
      <c r="BM560" s="170">
        <f>IF(AND(ISERROR(SEARCH("REFUND",A560)),ISERROR(SEARCH("CANCELLED",A560))),BD560+BK560,0)</f>
        <v>0</v>
      </c>
      <c r="BN560" s="542">
        <f>IF(AND(ISERROR(SEARCH("REFUND",A560)),ISERROR(SEARCH("CANCELLED",A560))),BE560+BL560,0)</f>
        <v>566.34304207118828</v>
      </c>
    </row>
    <row r="561" spans="1:66" ht="19.5" customHeight="1">
      <c r="A561" s="167" t="s">
        <v>601</v>
      </c>
      <c r="B561" s="168" t="s">
        <v>31</v>
      </c>
      <c r="C561" s="168" t="s">
        <v>367</v>
      </c>
      <c r="D561" s="181" t="s">
        <v>368</v>
      </c>
      <c r="E561" s="171">
        <v>46066</v>
      </c>
      <c r="F561" s="171"/>
      <c r="G561" s="168" t="s">
        <v>31</v>
      </c>
      <c r="H561" s="181" t="s">
        <v>377</v>
      </c>
      <c r="I561" s="169">
        <v>-127800</v>
      </c>
      <c r="J561" s="170">
        <f>IF(I561="",AR561,I561)</f>
        <v>-127800</v>
      </c>
      <c r="K561" s="168" t="s">
        <v>5</v>
      </c>
      <c r="L561" s="168" t="s">
        <v>378</v>
      </c>
      <c r="M561" s="168" t="s">
        <v>14</v>
      </c>
      <c r="N561" s="167" t="s">
        <v>553</v>
      </c>
      <c r="O561" s="168" t="s">
        <v>52</v>
      </c>
      <c r="P561" s="349" t="s">
        <v>379</v>
      </c>
      <c r="Q561" s="169"/>
      <c r="R561" s="170">
        <f>IF(Q561="",AS561,Q561)</f>
        <v>9924729.6482412051</v>
      </c>
      <c r="S561" s="168" t="s">
        <v>9</v>
      </c>
      <c r="T561" s="171" t="s">
        <v>380</v>
      </c>
      <c r="U561" s="168" t="s">
        <v>25</v>
      </c>
      <c r="V561" s="167" t="s">
        <v>371</v>
      </c>
      <c r="W561" s="172" t="s">
        <v>375</v>
      </c>
      <c r="X561" s="173">
        <f>IF(Y561="",VLOOKUP(H561,CLIENTS!$A$1:$O$649,5,FALSE),Y561)</f>
        <v>0</v>
      </c>
      <c r="Y561" s="174">
        <v>0</v>
      </c>
      <c r="Z561" s="173">
        <f>IF(AA561="",VLOOKUP(P561,CLIENTS!$A$1:$O$649,5,FALSE),AA561)</f>
        <v>5.0000000000000001E-3</v>
      </c>
      <c r="AA561" s="174">
        <v>5.0000000000000001E-3</v>
      </c>
      <c r="AB561" s="173" t="str">
        <f>IF(W561="via USD",IF(K561="EUR",K561&amp;"USD","USD"&amp;K561),IFERROR(VLOOKUP(K561&amp;S561,'FX RATES'!$H$2:$H$20,1,FALSE),S561&amp;K561))</f>
        <v>USDUSD</v>
      </c>
      <c r="AC561" s="175">
        <f>IF(LEFT(AB561,3)=RIGHT(AB561,3),0,IFERROR(INDEX(CLIENTS!$A$1:$O$649,MATCH(H561,CLIENTS!$A$1:$A$649,0),MATCH(AB561,CLIENTS!$A$1:$O$1,0)),0))</f>
        <v>0</v>
      </c>
      <c r="AD561" s="176"/>
      <c r="AE561" s="177">
        <f>IF(W561="CLIENT","",IF(AD561="",AH561+AC561,AD561+AC561))</f>
        <v>1</v>
      </c>
      <c r="AF561" s="177" t="str">
        <f>E561&amp;AB561</f>
        <v>46066USDUSD</v>
      </c>
      <c r="AG561" s="176"/>
      <c r="AH561" s="178">
        <f>IF(LEFT(AB561,3)=RIGHT(AB561,3),1,VLOOKUP(AB561,'FX RATES'!$H$1:$I$20,2,FALSE))</f>
        <v>1</v>
      </c>
      <c r="AI561" s="178">
        <f>IF(OR(AB561="USDAED",LEFT(AB561,3)=RIGHT(AB561,3)),AH561,IF(LEFT(AB561)="USD",AG561,IF(RIGHT(AB561,3)="USD",1,IFERROR(VLOOKUP(E561&amp;"USD"&amp;RIGHT(AB561,3),$AF:$AG,2,FALSE),VLOOKUP(E561&amp;"USD"&amp;RIGHT(AJ561,3),$AN:$AO,2,FALSE)))))</f>
        <v>1</v>
      </c>
      <c r="AJ561" s="173" t="str">
        <f>IF(W561="via USD",IF(S561="EUR",S561&amp;"USD","USD"&amp;S561),IFERROR(VLOOKUP(K561&amp;S561,'FX RATES'!$H$2:$H$20,1,FALSE),S561&amp;K561))</f>
        <v>USDRUB</v>
      </c>
      <c r="AK561" s="175">
        <f>IF(LEFT(AJ561,3)=RIGHT(AJ561,3),0,IFERROR(INDEX(CLIENTS!$A$1:$O$649,MATCH(P561,CLIENTS!$A$1:$A$649,0),MATCH(AJ561,CLIENTS!$A$1:$O$1,0)),0))</f>
        <v>0</v>
      </c>
      <c r="AL561" s="176">
        <v>77.27</v>
      </c>
      <c r="AM561" s="177">
        <f>IF(W561="VENDOR","",IF(AL561="",AP561+AK561,AL561+AK561))</f>
        <v>77.27</v>
      </c>
      <c r="AN561" s="177" t="str">
        <f>E561&amp;AJ561</f>
        <v>46066USDRUB</v>
      </c>
      <c r="AO561" s="176">
        <v>77.25</v>
      </c>
      <c r="AP561" s="178">
        <f ca="1">IF(LEFT(AJ561,3)=RIGHT(AJ561,3),1,VLOOKUP(AJ561,'FX RATES'!$H$1:$I$20,2,FALSE))</f>
        <v>76.720500000000001</v>
      </c>
      <c r="AQ561" s="178">
        <f t="shared" si="637"/>
        <v>77.25</v>
      </c>
      <c r="AR561" s="179">
        <f>-Q561*(1-Z561)/(1+X561)*IF(W561="CLIENT",IF(S561=RIGHT(AJ561,3),1/AM561,AM561),IF(W561="VENDOR",IF(S561=RIGHT(AJ561,3),1/AE561,AE561),AE561^(VLOOKUP(AB561,'FX RATES'!$H$1:$J$26,3,FALSE))/AM561^(VLOOKUP(AJ561,'FX RATES'!$H$1:$J$26,3,FALSE))))</f>
        <v>0</v>
      </c>
      <c r="AS561" s="179">
        <f>-I561*(1+X561)/(1-Z561)*IF(W561="VENDOR",IF(K561=RIGHT(AB561,3),1/AE561,AE561),IF(W561="CLIENT",IF(K561=RIGHT(AB561,3),1/AM561,AM561),AM561^(VLOOKUP(AJ561,'FX RATES'!$H$1:$J$26,3,FALSE))/AE561^(VLOOKUP(AB561,'FX RATES'!$H$1:$J$26,3,FALSE))))</f>
        <v>9924729.6482412051</v>
      </c>
      <c r="AT561" s="170">
        <f>IF(AB561&lt;&gt;AJ561,J561/IF(K561=RIGHT(AB561,3),AE561,1/AE561),IF(S561="USD",J561/IF(K561=RIGHT(AB561,3),IF(W561="CLIENT",AM561,AE561),1/IF(W561="CLIENT",AM561,AE561)),J561*VLOOKUP(K561,'FX RATES'!$E$1:$F$10,2,FALSE)))</f>
        <v>-127800</v>
      </c>
      <c r="AU561" s="170">
        <f>IF(AB561&lt;&gt;AJ561,R561/IF(S561=RIGHT(AJ561,3),AM561,1/AM561),IF(K561="USD",R561/IF(S561=RIGHT(AJ561,3),IF(W561="CLIENT",AM561,AE561),1/IF(W561="CLIENT",AM561,AE561)),R561*VLOOKUP(S561,'FX RATES'!$E$1:$F$10,2,FALSE)))</f>
        <v>128442.21105527638</v>
      </c>
      <c r="AV561" s="170">
        <f>AT561+AU561</f>
        <v>642.21105527637701</v>
      </c>
      <c r="AW561" s="169"/>
      <c r="AX561" s="170">
        <f>IF(AND(ISERROR(SEARCH("INVOICE",T561)),ISERROR(SEARCH("SWITCH",T561)),ISERROR(SEARCH("FOREX",T561)),ISERROR(SEARCH("REFUND",A561)),ISERROR(SEARCH("CANCELLED",A561))),IF(AW561="",-AT561*X561+AU561*Z561,AW561),0)</f>
        <v>642.2110552763819</v>
      </c>
      <c r="AY561" s="170">
        <f>IF(AZ561="USD",AT561,IF(AZ561=K561,J561,-R561))</f>
        <v>-127800</v>
      </c>
      <c r="AZ561" s="170" t="str">
        <f>LEFT(AB561,3)</f>
        <v>USD</v>
      </c>
      <c r="BA561" s="542">
        <f>IF(OR(A561="REFUND",A561="CANCELLED"),0,IFERROR((IF(OR(AB561="USDAED",LEFT(AB561,3)=RIGHT(AB561,3)),AI561,AG561)-AE561)*-AY561*VLOOKUP(AB561,'FX RATES'!$H$1:$J$26,3,FALSE),0))</f>
        <v>0</v>
      </c>
      <c r="BB561" s="170" t="str">
        <f>RIGHT(AB561,3)</f>
        <v>USD</v>
      </c>
      <c r="BC561" s="542">
        <f>IF(BA561=0,0,IFERROR(BA561/IF(BB561&lt;&gt;"USD",AI561,1),"???"))</f>
        <v>0</v>
      </c>
      <c r="BD561" s="170">
        <f>IFERROR(-AC561/(IF(OR(AB561="USDAED",LEFT(AB561,3)=RIGHT(AB561,3)),AH561,AG561)-AE561)*BC561,0)</f>
        <v>0</v>
      </c>
      <c r="BE561" s="542">
        <f>BC561-BD561</f>
        <v>0</v>
      </c>
      <c r="BF561" s="170">
        <f>IF(BG561="USD",AU561,IF(BG561=S561,R561,-J561))</f>
        <v>128442.21105527638</v>
      </c>
      <c r="BG561" s="170" t="str">
        <f>LEFT(AJ561,3)</f>
        <v>USD</v>
      </c>
      <c r="BH561" s="542">
        <f>IF(OR(A561="REFUND",A561="CANCELLED"),0,IFERROR((IF(OR(AJ561="USDAED",LEFT(AJ561,3)=RIGHT(AJ561,3)),AQ561,AO561)-AM561)*-BF561*VLOOKUP(AJ561,'FX RATES'!$H$1:$J$26,3,FALSE),0))</f>
        <v>2568.8442211050165</v>
      </c>
      <c r="BI561" s="170" t="str">
        <f>RIGHT(AJ561,3)</f>
        <v>RUB</v>
      </c>
      <c r="BJ561" s="542">
        <f>IF(BH561=0,0,IFERROR(BH561/IF(BI561&lt;&gt;"USD",AQ561,1),"???"))</f>
        <v>33.253646875145847</v>
      </c>
      <c r="BK561" s="170">
        <f>IFERROR(-AK561/(IF(OR(AJ561="USDAED",LEFT(AJ561,3)=RIGHT(AJ561,3)),AP561,AO561)-AM561)*BJ561,0)</f>
        <v>0</v>
      </c>
      <c r="BL561" s="542">
        <f>BJ561-BK561</f>
        <v>33.253646875145847</v>
      </c>
      <c r="BM561" s="170">
        <f>IF(AND(ISERROR(SEARCH("REFUND",A561)),ISERROR(SEARCH("CANCELLED",A561))),BD561+BK561,0)</f>
        <v>0</v>
      </c>
      <c r="BN561" s="542">
        <f>IF(AND(ISERROR(SEARCH("REFUND",A561)),ISERROR(SEARCH("CANCELLED",A561))),BE561+BL561,0)</f>
        <v>33.253646875145847</v>
      </c>
    </row>
    <row r="562" spans="1:66" ht="19.5" customHeight="1">
      <c r="A562" s="167" t="s">
        <v>601</v>
      </c>
      <c r="B562" s="168" t="s">
        <v>39</v>
      </c>
      <c r="C562" s="168" t="s">
        <v>367</v>
      </c>
      <c r="D562" s="168" t="s">
        <v>368</v>
      </c>
      <c r="E562" s="171">
        <v>46066</v>
      </c>
      <c r="F562" s="171"/>
      <c r="G562" s="168" t="s">
        <v>39</v>
      </c>
      <c r="H562" s="181" t="s">
        <v>369</v>
      </c>
      <c r="I562" s="169">
        <v>-219167.09</v>
      </c>
      <c r="J562" s="170">
        <f>IF(I562="",AR562,I562)</f>
        <v>-219167.09</v>
      </c>
      <c r="K562" s="168" t="s">
        <v>5</v>
      </c>
      <c r="L562" s="168" t="s">
        <v>569</v>
      </c>
      <c r="M562" s="168" t="s">
        <v>20</v>
      </c>
      <c r="N562" s="167" t="s">
        <v>553</v>
      </c>
      <c r="O562" s="168" t="s">
        <v>52</v>
      </c>
      <c r="P562" s="168" t="s">
        <v>372</v>
      </c>
      <c r="Q562" s="169"/>
      <c r="R562" s="170">
        <f>IF(Q562="",AS562,Q562)</f>
        <v>17072121.102215942</v>
      </c>
      <c r="S562" s="168" t="s">
        <v>9</v>
      </c>
      <c r="T562" s="171" t="s">
        <v>373</v>
      </c>
      <c r="U562" s="168" t="s">
        <v>25</v>
      </c>
      <c r="V562" s="167" t="s">
        <v>371</v>
      </c>
      <c r="W562" s="172" t="s">
        <v>375</v>
      </c>
      <c r="X562" s="173">
        <f>IF(Y562="",VLOOKUP(H562,CLIENTS!$A$1:$O$649,5,FALSE),Y562)</f>
        <v>0</v>
      </c>
      <c r="Y562" s="174">
        <v>0</v>
      </c>
      <c r="Z562" s="173">
        <f>IF(AA562="",VLOOKUP(P562,CLIENTS!$A$1:$O$649,5,FALSE),AA562)</f>
        <v>8.9999999999999993E-3</v>
      </c>
      <c r="AA562" s="174">
        <v>8.9999999999999993E-3</v>
      </c>
      <c r="AB562" s="173" t="str">
        <f>IF(W562="via USD",IF(K562="EUR",K562&amp;"USD","USD"&amp;K562),IFERROR(VLOOKUP(K562&amp;S562,'FX RATES'!$H$2:$H$20,1,FALSE),S562&amp;K562))</f>
        <v>USDUSD</v>
      </c>
      <c r="AC562" s="175">
        <f>IF(LEFT(AB562,3)=RIGHT(AB562,3),0,IFERROR(INDEX(CLIENTS!$A$1:$O$649,MATCH(H562,CLIENTS!$A$1:$A$649,0),MATCH(AB562,CLIENTS!$A$1:$O$1,0)),0))</f>
        <v>0</v>
      </c>
      <c r="AD562" s="176"/>
      <c r="AE562" s="177">
        <f>IF(W562="CLIENT","",IF(AD562="",AH562+AC562,AD562+AC562))</f>
        <v>1</v>
      </c>
      <c r="AF562" s="177" t="str">
        <f>E562&amp;AB562</f>
        <v>46066USDUSD</v>
      </c>
      <c r="AG562" s="176"/>
      <c r="AH562" s="178">
        <f>IF(LEFT(AB562,3)=RIGHT(AB562,3),1,VLOOKUP(AB562,'FX RATES'!$H$1:$I$20,2,FALSE))</f>
        <v>1</v>
      </c>
      <c r="AI562" s="178">
        <f>IF(OR(AB562="USDAED",LEFT(AB562,3)=RIGHT(AB562,3)),AH562,IF(LEFT(AB562)="USD",AG562,IF(RIGHT(AB562,3)="USD",1,IFERROR(VLOOKUP(E562&amp;"USD"&amp;RIGHT(AB562,3),$AF:$AG,2,FALSE),VLOOKUP(E562&amp;"USD"&amp;RIGHT(AJ562,3),$AN:$AO,2,FALSE)))))</f>
        <v>1</v>
      </c>
      <c r="AJ562" s="173" t="str">
        <f>IF(W562="via USD",IF(S562="EUR",S562&amp;"USD","USD"&amp;S562),IFERROR(VLOOKUP(K562&amp;S562,'FX RATES'!$H$2:$H$20,1,FALSE),S562&amp;K562))</f>
        <v>USDRUB</v>
      </c>
      <c r="AK562" s="175">
        <f>IF(LEFT(AJ562,3)=RIGHT(AJ562,3),0,IFERROR(INDEX(CLIENTS!$A$1:$O$649,MATCH(P562,CLIENTS!$A$1:$A$649,0),MATCH(AJ562,CLIENTS!$A$1:$O$1,0)),0))</f>
        <v>0</v>
      </c>
      <c r="AL562" s="176">
        <v>77.194400000000002</v>
      </c>
      <c r="AM562" s="177">
        <f>IF(W562="VENDOR","",IF(AL562="",AP562+AK562,AL562+AK562))</f>
        <v>77.194400000000002</v>
      </c>
      <c r="AN562" s="177" t="str">
        <f>E562&amp;AJ562</f>
        <v>46066USDRUB</v>
      </c>
      <c r="AO562" s="176">
        <v>77.25</v>
      </c>
      <c r="AP562" s="178">
        <f ca="1">IF(LEFT(AJ562,3)=RIGHT(AJ562,3),1,VLOOKUP(AJ562,'FX RATES'!$H$1:$I$20,2,FALSE))</f>
        <v>76.720500000000001</v>
      </c>
      <c r="AQ562" s="178">
        <f t="shared" si="637"/>
        <v>77.25</v>
      </c>
      <c r="AR562" s="179">
        <f>-Q562*(1-Z562)/(1+X562)*IF(W562="CLIENT",IF(S562=RIGHT(AJ562,3),1/AM562,AM562),IF(W562="VENDOR",IF(S562=RIGHT(AJ562,3),1/AE562,AE562),AE562^(VLOOKUP(AB562,'FX RATES'!$H$1:$J$26,3,FALSE))/AM562^(VLOOKUP(AJ562,'FX RATES'!$H$1:$J$26,3,FALSE))))</f>
        <v>0</v>
      </c>
      <c r="AS562" s="179">
        <f>-I562*(1+X562)/(1-Z562)*IF(W562="VENDOR",IF(K562=RIGHT(AB562,3),1/AE562,AE562),IF(W562="CLIENT",IF(K562=RIGHT(AB562,3),1/AM562,AM562),AM562^(VLOOKUP(AJ562,'FX RATES'!$H$1:$J$26,3,FALSE))/AE562^(VLOOKUP(AB562,'FX RATES'!$H$1:$J$26,3,FALSE))))</f>
        <v>17072121.102215942</v>
      </c>
      <c r="AT562" s="170">
        <f>IF(AB562&lt;&gt;AJ562,J562/IF(K562=RIGHT(AB562,3),AE562,1/AE562),IF(S562="USD",J562/IF(K562=RIGHT(AB562,3),IF(W562="CLIENT",AM562,AE562),1/IF(W562="CLIENT",AM562,AE562)),J562*VLOOKUP(K562,'FX RATES'!$E$1:$F$10,2,FALSE)))</f>
        <v>-219167.09</v>
      </c>
      <c r="AU562" s="170">
        <f>IF(AB562&lt;&gt;AJ562,R562/IF(S562=RIGHT(AJ562,3),AM562,1/AM562),IF(K562="USD",R562/IF(S562=RIGHT(AJ562,3),IF(W562="CLIENT",AM562,AE562),1/IF(W562="CLIENT",AM562,AE562)),R562*VLOOKUP(S562,'FX RATES'!$E$1:$F$10,2,FALSE)))</f>
        <v>221157.50756811298</v>
      </c>
      <c r="AV562" s="170">
        <f>AT562+AU562</f>
        <v>1990.4175681129855</v>
      </c>
      <c r="AW562" s="169"/>
      <c r="AX562" s="170">
        <f>IF(AND(ISERROR(SEARCH("INVOICE",T562)),ISERROR(SEARCH("SWITCH",T562)),ISERROR(SEARCH("FOREX",T562)),ISERROR(SEARCH("REFUND",A562)),ISERROR(SEARCH("CANCELLED",A562))),IF(AW562="",-AT562*X562+AU562*Z562,AW562),0)</f>
        <v>1990.4175681130166</v>
      </c>
      <c r="AY562" s="170">
        <f>IF(AZ562="USD",AT562,IF(AZ562=K562,J562,-R562))</f>
        <v>-219167.09</v>
      </c>
      <c r="AZ562" s="170" t="str">
        <f>LEFT(AB562,3)</f>
        <v>USD</v>
      </c>
      <c r="BA562" s="542">
        <f>IF(OR(A562="REFUND",A562="CANCELLED"),0,IFERROR((IF(OR(AB562="USDAED",LEFT(AB562,3)=RIGHT(AB562,3)),AI562,AG562)-AE562)*-AY562*VLOOKUP(AB562,'FX RATES'!$H$1:$J$26,3,FALSE),0))</f>
        <v>0</v>
      </c>
      <c r="BB562" s="170" t="str">
        <f>RIGHT(AB562,3)</f>
        <v>USD</v>
      </c>
      <c r="BC562" s="542">
        <f>IF(BA562=0,0,IFERROR(BA562/IF(BB562&lt;&gt;"USD",AI562,1),"???"))</f>
        <v>0</v>
      </c>
      <c r="BD562" s="170">
        <f>IFERROR(-AC562/(IF(OR(AB562="USDAED",LEFT(AB562,3)=RIGHT(AB562,3)),AH562,AG562)-AE562)*BC562,0)</f>
        <v>0</v>
      </c>
      <c r="BE562" s="542">
        <f>BC562-BD562</f>
        <v>0</v>
      </c>
      <c r="BF562" s="170">
        <f>IF(BG562="USD",AU562,IF(BG562=S562,R562,-J562))</f>
        <v>221157.50756811298</v>
      </c>
      <c r="BG562" s="170" t="str">
        <f>LEFT(AJ562,3)</f>
        <v>USD</v>
      </c>
      <c r="BH562" s="542">
        <f>IF(OR(A562="REFUND",A562="CANCELLED"),0,IFERROR((IF(OR(AJ562="USDAED",LEFT(AJ562,3)=RIGHT(AJ562,3)),AQ562,AO562)-AM562)*-BF562*VLOOKUP(AJ562,'FX RATES'!$H$1:$J$26,3,FALSE),0))</f>
        <v>-12296.35742078671</v>
      </c>
      <c r="BI562" s="170" t="str">
        <f>RIGHT(AJ562,3)</f>
        <v>RUB</v>
      </c>
      <c r="BJ562" s="542">
        <f>IF(BH562=0,0,IFERROR(BH562/IF(BI562&lt;&gt;"USD",AQ562,1),"???"))</f>
        <v>-159.17614784189917</v>
      </c>
      <c r="BK562" s="170">
        <f>IFERROR(-AK562/(IF(OR(AJ562="USDAED",LEFT(AJ562,3)=RIGHT(AJ562,3)),AP562,AO562)-AM562)*BJ562,0)</f>
        <v>0</v>
      </c>
      <c r="BL562" s="542">
        <f>BJ562-BK562</f>
        <v>-159.17614784189917</v>
      </c>
      <c r="BM562" s="170">
        <f>IF(AND(ISERROR(SEARCH("REFUND",A562)),ISERROR(SEARCH("CANCELLED",A562))),BD562+BK562,0)</f>
        <v>0</v>
      </c>
      <c r="BN562" s="542">
        <f>IF(AND(ISERROR(SEARCH("REFUND",A562)),ISERROR(SEARCH("CANCELLED",A562))),BE562+BL562,0)</f>
        <v>-159.17614784189917</v>
      </c>
    </row>
    <row r="563" spans="1:66" ht="19.5" customHeight="1">
      <c r="A563" s="167" t="s">
        <v>601</v>
      </c>
      <c r="B563" s="168" t="s">
        <v>31</v>
      </c>
      <c r="C563" s="168" t="s">
        <v>383</v>
      </c>
      <c r="D563" s="168" t="s">
        <v>121</v>
      </c>
      <c r="E563" s="171">
        <v>46066</v>
      </c>
      <c r="F563" s="171"/>
      <c r="G563" s="168" t="s">
        <v>52</v>
      </c>
      <c r="H563" s="181" t="s">
        <v>476</v>
      </c>
      <c r="I563" s="169">
        <f>-(R558+R559+R560+R561+R562)</f>
        <v>-108809850.75045715</v>
      </c>
      <c r="J563" s="170">
        <f>IF(I563="",AR563,I563)</f>
        <v>-108809850.75045715</v>
      </c>
      <c r="K563" s="168" t="s">
        <v>9</v>
      </c>
      <c r="L563" s="171" t="s">
        <v>25</v>
      </c>
      <c r="M563" s="168" t="s">
        <v>25</v>
      </c>
      <c r="N563" s="167" t="s">
        <v>553</v>
      </c>
      <c r="O563" s="168" t="s">
        <v>31</v>
      </c>
      <c r="P563" s="168" t="s">
        <v>31</v>
      </c>
      <c r="Q563" s="169"/>
      <c r="R563" s="170">
        <f>IF(Q563="",AS563,Q563)</f>
        <v>1421986.664207042</v>
      </c>
      <c r="S563" s="168" t="s">
        <v>5</v>
      </c>
      <c r="T563" s="171" t="s">
        <v>477</v>
      </c>
      <c r="U563" s="168" t="s">
        <v>14</v>
      </c>
      <c r="V563" s="167" t="s">
        <v>371</v>
      </c>
      <c r="W563" s="172" t="s">
        <v>382</v>
      </c>
      <c r="X563" s="173">
        <f>IF(Y563="",VLOOKUP(H563,CLIENTS!$A$1:$O$649,5,FALSE),Y563)</f>
        <v>0</v>
      </c>
      <c r="Y563" s="174"/>
      <c r="Z563" s="173">
        <f>IF(AA563="",VLOOKUP(P563,CLIENTS!$A$1:$O$649,5,FALSE),AA563)</f>
        <v>0</v>
      </c>
      <c r="AA563" s="174"/>
      <c r="AB563" s="173" t="str">
        <f>IF(W563="via USD",IF(K563="EUR",K563&amp;"USD","USD"&amp;K563),IFERROR(VLOOKUP(K563&amp;S563,'FX RATES'!$H$2:$H$20,1,FALSE),S563&amp;K563))</f>
        <v>USDRUB</v>
      </c>
      <c r="AC563" s="175">
        <f>IF(LEFT(AB563,3)=RIGHT(AB563,3),0,IFERROR(INDEX(CLIENTS!$A$1:$O$649,MATCH(H563,CLIENTS!$A$1:$A$649,0),MATCH(AB563,CLIENTS!$A$1:$O$1,0)),0))+0.07</f>
        <v>0</v>
      </c>
      <c r="AD563" s="176">
        <v>76.519599999999997</v>
      </c>
      <c r="AE563" s="177">
        <f>IF(W563="CLIENT","",IF(AD563="",AH563+AC563,AD563+AC563))</f>
        <v>76.519599999999997</v>
      </c>
      <c r="AF563" s="177" t="str">
        <f>E563&amp;AB563</f>
        <v>46066USDRUB</v>
      </c>
      <c r="AG563" s="176">
        <v>77.25</v>
      </c>
      <c r="AH563" s="178">
        <f ca="1">IF(LEFT(AB563,3)=RIGHT(AB563,3),1,VLOOKUP(AB563,'FX RATES'!$H$1:$I$20,2,FALSE))</f>
        <v>76.720500000000001</v>
      </c>
      <c r="AI563" s="178">
        <f>IF(OR(AB563="USDAED",LEFT(AB563,3)=RIGHT(AB563,3)),AH563,IF(LEFT(AB563)="USD",AG563,IF(RIGHT(AB563,3)="USD",1,IFERROR(VLOOKUP(E563&amp;"USD"&amp;RIGHT(AB563,3),$AF:$AG,2,FALSE),VLOOKUP(E563&amp;"USD"&amp;RIGHT(AJ563,3),$AN:$AO,2,FALSE)))))</f>
        <v>77.25</v>
      </c>
      <c r="AJ563" s="173" t="str">
        <f>IF(W563="via USD",IF(S563="EUR",S563&amp;"USD","USD"&amp;S563),IFERROR(VLOOKUP(K563&amp;S563,'FX RATES'!$H$2:$H$20,1,FALSE),S563&amp;K563))</f>
        <v>USDRUB</v>
      </c>
      <c r="AK563" s="175">
        <f>IF(LEFT(AJ563,3)=RIGHT(AJ563,3),0,IFERROR(INDEX(CLIENTS!$A$1:$O$649,MATCH(P563,CLIENTS!$A$1:$A$649,0),MATCH(AJ563,CLIENTS!$A$1:$O$1,0)),0))</f>
        <v>0</v>
      </c>
      <c r="AL563" s="176"/>
      <c r="AM563" s="177" t="str">
        <f>IF(W563="VENDOR","",IF(AL563="",AP563+AK563,AL563+AK563))</f>
        <v/>
      </c>
      <c r="AN563" s="177" t="str">
        <f>E563&amp;AJ563</f>
        <v>46066USDRUB</v>
      </c>
      <c r="AO563" s="176"/>
      <c r="AP563" s="178">
        <f ca="1">IF(LEFT(AJ563,3)=RIGHT(AJ563,3),1,VLOOKUP(AJ563,'FX RATES'!$H$1:$I$20,2,FALSE))</f>
        <v>76.720500000000001</v>
      </c>
      <c r="AQ563" s="178">
        <f t="shared" si="637"/>
        <v>77.25</v>
      </c>
      <c r="AR563" s="179">
        <f>-Q563*(1-Z563)/(1+X563)*IF(W563="CLIENT",IF(S563=RIGHT(AJ563,3),1/AM563,AM563),IF(W563="VENDOR",IF(S563=RIGHT(AJ563,3),1/AE563,AE563),AE563^(VLOOKUP(AB563,'FX RATES'!$H$1:$J$26,3,FALSE))/AM563^(VLOOKUP(AJ563,'FX RATES'!$H$1:$J$26,3,FALSE))))</f>
        <v>0</v>
      </c>
      <c r="AS563" s="179">
        <f>-I563*(1+X563)/(1-Z563)*IF(W563="VENDOR",IF(K563=RIGHT(AB563,3),1/AE563,AE563),IF(W563="CLIENT",IF(K563=RIGHT(AB563,3),1/AM563,AM563),AM563^(VLOOKUP(AJ563,'FX RATES'!$H$1:$J$26,3,FALSE))/AE563^(VLOOKUP(AB563,'FX RATES'!$H$1:$J$26,3,FALSE))))</f>
        <v>1421986.664207042</v>
      </c>
      <c r="AT563" s="170">
        <f>IF(AB563&lt;&gt;AJ563,J563/IF(K563=RIGHT(AB563,3),AE563,1/AE563),IF(S563="USD",J563/IF(K563=RIGHT(AB563,3),IF(W563="CLIENT",AM563,AE563),1/IF(W563="CLIENT",AM563,AE563)),J563*VLOOKUP(K563,'FX RATES'!$E$1:$F$10,2,FALSE)))</f>
        <v>-1421986.6642070417</v>
      </c>
      <c r="AU563" s="170">
        <f>IF(AB563&lt;&gt;AJ563,R563/IF(S563=RIGHT(AJ563,3),AM563,1/AM563),IF(K563="USD",R563/IF(S563=RIGHT(AJ563,3),IF(W563="CLIENT",AM563,AE563),1/IF(W563="CLIENT",AM563,AE563)),R563*VLOOKUP(S563,'FX RATES'!$E$1:$F$10,2,FALSE)))</f>
        <v>1421986.664207042</v>
      </c>
      <c r="AV563" s="170">
        <f>AT563+AU563</f>
        <v>0</v>
      </c>
      <c r="AW563" s="169"/>
      <c r="AX563" s="170">
        <f>IF(AND(ISERROR(SEARCH("INVOICE",T563)),ISERROR(SEARCH("SWITCH",T563)),ISERROR(SEARCH("FOREX",T563)),ISERROR(SEARCH("REFUND",A563)),ISERROR(SEARCH("CANCELLED",A563))),IF(AW563="",-AT563*X563+AU563*Z563,AW563),0)</f>
        <v>0</v>
      </c>
      <c r="AY563" s="170">
        <f>IF(AZ563="USD",AT563,IF(AZ563=K563,J563,-R563))</f>
        <v>-1421986.6642070417</v>
      </c>
      <c r="AZ563" s="170" t="str">
        <f>LEFT(AB563,3)</f>
        <v>USD</v>
      </c>
      <c r="BA563" s="542">
        <f>IF(OR(A563="REFUND",A563="CANCELLED"),0,IFERROR((IF(OR(AB563="USDAED",LEFT(AB563,3)=RIGHT(AB563,3)),AI563,AG563)-AE563)*-AY563*VLOOKUP(AB563,'FX RATES'!$H$1:$J$26,3,FALSE),0))</f>
        <v>1038619.0595368276</v>
      </c>
      <c r="BB563" s="170" t="str">
        <f>RIGHT(AB563,3)</f>
        <v>RUB</v>
      </c>
      <c r="BC563" s="542">
        <f>IF(BA563=0,0,IFERROR(BA563/IF(BB563&lt;&gt;"USD",AI563,1),"???"))</f>
        <v>13444.906919570583</v>
      </c>
      <c r="BD563" s="170">
        <f>IFERROR(-AC563/(IF(OR(AB563="USDAED",LEFT(AB563,3)=RIGHT(AB563,3)),AH563,AG563)-AE563)*BC563,0)</f>
        <v>0</v>
      </c>
      <c r="BE563" s="542">
        <f>BC563-BD563</f>
        <v>13444.906919570583</v>
      </c>
      <c r="BF563" s="170">
        <f>IF(BG563="USD",AU563,IF(BG563=S563,R563,-J563))</f>
        <v>1421986.664207042</v>
      </c>
      <c r="BG563" s="170" t="str">
        <f>LEFT(AJ563,3)</f>
        <v>USD</v>
      </c>
      <c r="BH563" s="542">
        <f>IF(OR(A563="REFUND",A563="CANCELLED"),0,IFERROR((IF(OR(AJ563="USDAED",LEFT(AJ563,3)=RIGHT(AJ563,3)),AQ563,AO563)-AM563)*-BF563*VLOOKUP(AJ563,'FX RATES'!$H$1:$J$26,3,FALSE),0))</f>
        <v>0</v>
      </c>
      <c r="BI563" s="170" t="str">
        <f>RIGHT(AJ563,3)</f>
        <v>RUB</v>
      </c>
      <c r="BJ563" s="542">
        <f>IF(BH563=0,0,IFERROR(BH563/IF(BI563&lt;&gt;"USD",AQ563,1),"???"))</f>
        <v>0</v>
      </c>
      <c r="BK563" s="170">
        <f>IFERROR(-AK563/(IF(OR(AJ563="USDAED",LEFT(AJ563,3)=RIGHT(AJ563,3)),AP563,AO563)-AM563)*BJ563,0)</f>
        <v>0</v>
      </c>
      <c r="BL563" s="542">
        <f>BJ563-BK563</f>
        <v>0</v>
      </c>
      <c r="BM563" s="170">
        <f>IF(AND(ISERROR(SEARCH("REFUND",A563)),ISERROR(SEARCH("CANCELLED",A563))),BD563+BK563,0)</f>
        <v>0</v>
      </c>
      <c r="BN563" s="542">
        <f>IF(AND(ISERROR(SEARCH("REFUND",A563)),ISERROR(SEARCH("CANCELLED",A563))),BE563+BL563,0)</f>
        <v>13444.906919570583</v>
      </c>
    </row>
    <row r="564" spans="1:66" ht="19.5" customHeight="1">
      <c r="A564" s="167"/>
      <c r="B564" s="182"/>
      <c r="C564" s="182"/>
      <c r="D564" s="182"/>
      <c r="E564" s="184"/>
      <c r="F564" s="184"/>
      <c r="G564" s="182"/>
      <c r="H564" s="182"/>
      <c r="I564" s="170"/>
      <c r="J564" s="170"/>
      <c r="K564" s="182"/>
      <c r="L564" s="184"/>
      <c r="M564" s="182"/>
      <c r="O564" s="182"/>
      <c r="P564" s="444"/>
      <c r="Q564" s="170"/>
      <c r="R564" s="170"/>
      <c r="S564" s="182"/>
      <c r="T564" s="184"/>
      <c r="U564" s="182"/>
      <c r="X564" s="173"/>
      <c r="Y564" s="173"/>
      <c r="Z564" s="173"/>
      <c r="AA564" s="173"/>
      <c r="AB564" s="173"/>
      <c r="AC564" s="175"/>
      <c r="AD564" s="177"/>
      <c r="AE564" s="177"/>
      <c r="AF564" s="177"/>
      <c r="AG564" s="177"/>
      <c r="AH564" s="178"/>
      <c r="AI564" s="178"/>
      <c r="AJ564" s="173"/>
      <c r="AK564" s="175"/>
      <c r="AL564" s="177"/>
      <c r="AM564" s="177"/>
      <c r="AN564" s="177"/>
      <c r="AO564" s="177"/>
      <c r="AP564" s="178"/>
      <c r="AQ564" s="178"/>
      <c r="AR564" s="185"/>
      <c r="AS564" s="185"/>
      <c r="AT564" s="170"/>
      <c r="AU564" s="170"/>
      <c r="AV564" s="170"/>
      <c r="AW564" s="170"/>
      <c r="AX564" s="170"/>
      <c r="AY564" s="170"/>
      <c r="AZ564" s="170"/>
      <c r="BA564" s="542"/>
      <c r="BB564" s="170"/>
      <c r="BC564" s="542"/>
      <c r="BD564" s="170"/>
      <c r="BE564" s="542"/>
      <c r="BF564" s="170"/>
      <c r="BG564" s="170"/>
      <c r="BH564" s="542"/>
      <c r="BI564" s="170"/>
      <c r="BJ564" s="542"/>
      <c r="BK564" s="170"/>
      <c r="BL564" s="542"/>
      <c r="BM564" s="170"/>
      <c r="BN564" s="542"/>
    </row>
    <row r="565" spans="1:66" ht="19.5" customHeight="1">
      <c r="A565" s="167" t="s">
        <v>601</v>
      </c>
      <c r="B565" s="168" t="s">
        <v>39</v>
      </c>
      <c r="C565" s="168" t="s">
        <v>367</v>
      </c>
      <c r="D565" s="168" t="s">
        <v>368</v>
      </c>
      <c r="E565" s="171">
        <v>46069</v>
      </c>
      <c r="F565" s="171"/>
      <c r="G565" s="168" t="s">
        <v>39</v>
      </c>
      <c r="H565" s="168" t="s">
        <v>596</v>
      </c>
      <c r="I565" s="169">
        <v>-1043700</v>
      </c>
      <c r="J565" s="170">
        <f>IF(I565="",AR565,I565)</f>
        <v>-1043700</v>
      </c>
      <c r="K565" s="168" t="s">
        <v>8</v>
      </c>
      <c r="L565" s="168" t="s">
        <v>618</v>
      </c>
      <c r="M565" s="168" t="s">
        <v>17</v>
      </c>
      <c r="N565" s="167" t="s">
        <v>553</v>
      </c>
      <c r="O565" s="168" t="s">
        <v>52</v>
      </c>
      <c r="P565" s="168" t="s">
        <v>598</v>
      </c>
      <c r="Q565" s="169"/>
      <c r="R565" s="170">
        <f>IF(Q565="",AS565,Q565)</f>
        <v>22113661.772160001</v>
      </c>
      <c r="S565" s="168" t="s">
        <v>9</v>
      </c>
      <c r="T565" s="171" t="s">
        <v>502</v>
      </c>
      <c r="U565" s="168" t="s">
        <v>25</v>
      </c>
      <c r="V565" s="167" t="s">
        <v>371</v>
      </c>
      <c r="W565" s="172" t="s">
        <v>389</v>
      </c>
      <c r="X565" s="173">
        <f>IF(Y565="",VLOOKUP(H565,CLIENTS!$A$1:$O$649,5,FALSE),Y565)</f>
        <v>8.0000000000000002E-3</v>
      </c>
      <c r="Y565" s="174">
        <v>8.0000000000000002E-3</v>
      </c>
      <c r="Z565" s="173">
        <f>IF(AA565="",VLOOKUP(P565,CLIENTS!$A$1:$O$649,5,FALSE),AA565)</f>
        <v>0</v>
      </c>
      <c r="AA565" s="174">
        <v>0</v>
      </c>
      <c r="AB565" s="173" t="str">
        <f>IF(W565="via USD",IF(K565="EUR",K565&amp;"USD","USD"&amp;K565),IFERROR(VLOOKUP(K565&amp;S565,'FX RATES'!$H$2:$H$20,1,FALSE),S565&amp;K565))</f>
        <v>AEDRUB</v>
      </c>
      <c r="AC565" s="175">
        <f>IF(LEFT(AB565,3)=RIGHT(AB565,3),0,IFERROR(INDEX(CLIENTS!$A$1:$O$649,MATCH(H565,CLIENTS!$A$1:$A$649,0),MATCH(AB565,CLIENTS!$A$1:$O$1,0)),0))</f>
        <v>0</v>
      </c>
      <c r="AD565" s="176"/>
      <c r="AE565" s="177" t="str">
        <f>IF(W565="CLIENT","",IF(AD565="",AH565+AC565,AD565+AC565))</f>
        <v/>
      </c>
      <c r="AF565" s="177" t="str">
        <f>E565&amp;AB565</f>
        <v>46069AEDRUB</v>
      </c>
      <c r="AG565" s="176"/>
      <c r="AH565" s="178">
        <f ca="1">IF(LEFT(AB565,3)=RIGHT(AB565,3),1,VLOOKUP(AB565,'FX RATES'!$H$1:$I$20,2,FALSE))</f>
        <v>20.8843</v>
      </c>
      <c r="AI565" s="178">
        <f>IF(OR(AB565="USDAED",LEFT(AB565,3)=RIGHT(AB565,3)),AH565,IF(LEFT(AB565)="USD",AG565,IF(RIGHT(AB565,3)="USD",1,IFERROR(VLOOKUP(E565&amp;"USD"&amp;RIGHT(AB565,3),$AF:$AG,2,FALSE),VLOOKUP(E565&amp;"USD"&amp;RIGHT(AJ565,3),$AN:$AO,2,FALSE)))))</f>
        <v>76.75</v>
      </c>
      <c r="AJ565" s="173" t="str">
        <f>IF(W565="via USD",IF(S565="EUR",S565&amp;"USD","USD"&amp;S565),IFERROR(VLOOKUP(K565&amp;S565,'FX RATES'!$H$2:$H$20,1,FALSE),S565&amp;K565))</f>
        <v>AEDRUB</v>
      </c>
      <c r="AK565" s="175">
        <f>IF(LEFT(AJ565,3)=RIGHT(AJ565,3),0,IFERROR(INDEX(CLIENTS!$A$1:$O$649,MATCH(P565,CLIENTS!$A$1:$A$649,0),MATCH(AJ565,CLIENTS!$A$1:$O$1,0)),0))</f>
        <v>0</v>
      </c>
      <c r="AL565" s="176">
        <v>21.019600000000001</v>
      </c>
      <c r="AM565" s="177">
        <f>IF(W565="VENDOR","",IF(AL565="",AP565+AK565,AL565+AK565))</f>
        <v>21.019600000000001</v>
      </c>
      <c r="AN565" s="177" t="str">
        <f>E565&amp;AJ565</f>
        <v>46069AEDRUB</v>
      </c>
      <c r="AO565" s="176">
        <v>20.898499999999999</v>
      </c>
      <c r="AP565" s="178">
        <f ca="1">IF(LEFT(AJ565,3)=RIGHT(AJ565,3),1,VLOOKUP(AJ565,'FX RATES'!$H$1:$I$20,2,FALSE))</f>
        <v>20.8843</v>
      </c>
      <c r="AQ565" s="178">
        <f>IF(OR(AJ565="USDAED",LEFT(AJ565,3)=RIGHT(AJ565,3)),AP565,IF(LEFT(AJ565)="USD",AO565,IF(RIGHT(AJ565,3)="USD",1,IFERROR(VLOOKUP(E565&amp;"USD"&amp;RIGHT(AJ565,3),$AN:$AO,2,FALSE),VLOOKUP(E565&amp;"USD"&amp;RIGHT(AB565,3),$AF:$AG,2,FALSE)))))</f>
        <v>76.75</v>
      </c>
      <c r="AR565" s="179">
        <f>-Q565*(1-Z565)/(1+X565)*IF(W565="CLIENT",IF(S565=RIGHT(AJ565,3),1/AM565,AM565),IF(W565="VENDOR",IF(S565=RIGHT(AJ565,3),1/AE565,AE565),AE565^(VLOOKUP(AB565,'FX RATES'!$H$1:$J$26,3,FALSE))/AM565^(VLOOKUP(AJ565,'FX RATES'!$H$1:$J$26,3,FALSE))))</f>
        <v>0</v>
      </c>
      <c r="AS565" s="179">
        <f>-I565*(1+X565)/(1-Z565)*IF(W565="VENDOR",IF(K565=RIGHT(AB565,3),1/AE565,AE565),IF(W565="CLIENT",IF(K565=RIGHT(AB565,3),1/AM565,AM565),AM565^(VLOOKUP(AJ565,'FX RATES'!$H$1:$J$26,3,FALSE))/AE565^(VLOOKUP(AB565,'FX RATES'!$H$1:$J$26,3,FALSE))))</f>
        <v>22113661.772160001</v>
      </c>
      <c r="AT565" s="170">
        <f ca="1">IF(AB565&lt;&gt;AJ565,J565/IF(K565=RIGHT(AB565,3),AE565,1/AE565),IF(S565="USD",J565/IF(K565=RIGHT(AB565,3),IF(W565="CLIENT",AM565,AE565),1/IF(W565="CLIENT",AM565,AE565)),J565*VLOOKUP(K565,'FX RATES'!$E$1:$F$10,2,FALSE)))</f>
        <v>-284185.59058977291</v>
      </c>
      <c r="AU565" s="170">
        <f ca="1">IF(AB565&lt;&gt;AJ565,R565/IF(S565=RIGHT(AJ565,3),AM565,1/AM565),IF(K565="USD",R565/IF(S565=RIGHT(AJ565,3),IF(W565="CLIENT",AM565,AE565),1/IF(W565="CLIENT",AM565,AE565)),R565*VLOOKUP(S565,'FX RATES'!$E$1:$F$10,2,FALSE)))</f>
        <v>288236.67431990145</v>
      </c>
      <c r="AV565" s="170">
        <f ca="1">AT565+AU565</f>
        <v>4051.0837301285355</v>
      </c>
      <c r="AW565" s="169"/>
      <c r="AX565" s="170">
        <f ca="1">IF(AND(ISERROR(SEARCH("INVOICE",T565)),ISERROR(SEARCH("SWITCH",T565)),ISERROR(SEARCH("FOREX",T565)),ISERROR(SEARCH("REFUND",A565)),ISERROR(SEARCH("CANCELLED",A565))),IF(AW565="",-AT565*X565+AU565*Z565,AW565),0)</f>
        <v>2273.4847247181833</v>
      </c>
      <c r="AY565" s="170">
        <f>IF(AZ565="USD",AT565,IF(AZ565=K565,J565,-R565))</f>
        <v>-1043700</v>
      </c>
      <c r="AZ565" s="170" t="str">
        <f>LEFT(AB565,3)</f>
        <v>AED</v>
      </c>
      <c r="BA565" s="542">
        <f>IF(OR(A565="REFUND",A565="CANCELLED"),0,IFERROR((IF(OR(AB565="USDAED",LEFT(AB565,3)=RIGHT(AB565,3)),AI565,AG565)-AE565)*-AY565*VLOOKUP(AB565,'FX RATES'!$H$1:$J$26,3,FALSE),0))</f>
        <v>0</v>
      </c>
      <c r="BB565" s="170" t="str">
        <f>RIGHT(AB565,3)</f>
        <v>RUB</v>
      </c>
      <c r="BC565" s="542">
        <f>IF(BA565=0,0,IFERROR(BA565/IF(BB565&lt;&gt;"USD",AI565,1),"???"))</f>
        <v>0</v>
      </c>
      <c r="BD565" s="170">
        <f>IFERROR(-AC565/(IF(OR(AB565="USDAED",LEFT(AB565,3)=RIGHT(AB565,3)),AH565,AG565)-AE565)*BC565,0)</f>
        <v>0</v>
      </c>
      <c r="BE565" s="542">
        <f>BC565-BD565</f>
        <v>0</v>
      </c>
      <c r="BF565" s="170">
        <f>IF(BG565="USD",AU565,IF(BG565=S565,R565,-J565))</f>
        <v>1043700</v>
      </c>
      <c r="BG565" s="170" t="str">
        <f>LEFT(AJ565,3)</f>
        <v>AED</v>
      </c>
      <c r="BH565" s="542">
        <f>IF(OR(A565="REFUND",A565="CANCELLED"),0,IFERROR((IF(OR(AJ565="USDAED",LEFT(AJ565,3)=RIGHT(AJ565,3)),AQ565,AO565)-AM565)*-BF565*VLOOKUP(AJ565,'FX RATES'!$H$1:$J$26,3,FALSE),0))</f>
        <v>126392.07000000207</v>
      </c>
      <c r="BI565" s="170" t="str">
        <f>RIGHT(AJ565,3)</f>
        <v>RUB</v>
      </c>
      <c r="BJ565" s="542">
        <f>IF(BH565=0,0,IFERROR(BH565/IF(BI565&lt;&gt;"USD",AQ565,1),"???"))</f>
        <v>1646.8022149837404</v>
      </c>
      <c r="BK565" s="170">
        <f>IFERROR(-AK565/(IF(OR(AJ565="USDAED",LEFT(AJ565,3)=RIGHT(AJ565,3)),AP565,AO565)-AM565)*BJ565,0)</f>
        <v>0</v>
      </c>
      <c r="BL565" s="542">
        <f>BJ565-BK565</f>
        <v>1646.8022149837404</v>
      </c>
      <c r="BM565" s="170">
        <f>IF(AND(ISERROR(SEARCH("REFUND",A565)),ISERROR(SEARCH("CANCELLED",A565))),BD565+BK565,0)</f>
        <v>0</v>
      </c>
      <c r="BN565" s="542">
        <f>IF(AND(ISERROR(SEARCH("REFUND",A565)),ISERROR(SEARCH("CANCELLED",A565))),BE565+BL565,0)</f>
        <v>1646.8022149837404</v>
      </c>
    </row>
    <row r="566" spans="1:66" ht="19.5" customHeight="1">
      <c r="A566" s="167" t="s">
        <v>601</v>
      </c>
      <c r="B566" s="168" t="s">
        <v>39</v>
      </c>
      <c r="C566" s="168" t="s">
        <v>367</v>
      </c>
      <c r="D566" s="168" t="s">
        <v>368</v>
      </c>
      <c r="E566" s="171">
        <v>46069</v>
      </c>
      <c r="F566" s="171"/>
      <c r="G566" s="168" t="s">
        <v>39</v>
      </c>
      <c r="H566" s="181" t="s">
        <v>547</v>
      </c>
      <c r="I566" s="169">
        <v>-376147.84</v>
      </c>
      <c r="J566" s="170">
        <f>IF(I566="",AR566,I566)</f>
        <v>-376147.84</v>
      </c>
      <c r="K566" s="168" t="s">
        <v>8</v>
      </c>
      <c r="L566" s="168" t="s">
        <v>548</v>
      </c>
      <c r="M566" s="168" t="s">
        <v>17</v>
      </c>
      <c r="N566" s="167" t="s">
        <v>553</v>
      </c>
      <c r="O566" s="168" t="s">
        <v>52</v>
      </c>
      <c r="P566" s="168" t="s">
        <v>379</v>
      </c>
      <c r="Q566" s="169"/>
      <c r="R566" s="170">
        <f>IF(Q566="",AS566,Q566)</f>
        <v>7951612.7832886511</v>
      </c>
      <c r="S566" s="168" t="s">
        <v>9</v>
      </c>
      <c r="T566" s="171" t="s">
        <v>380</v>
      </c>
      <c r="U566" s="168" t="s">
        <v>25</v>
      </c>
      <c r="V566" s="167" t="s">
        <v>371</v>
      </c>
      <c r="W566" s="172" t="s">
        <v>375</v>
      </c>
      <c r="X566" s="173">
        <f>IF(Y566="",VLOOKUP(H566,CLIENTS!$A$1:$O$649,5,FALSE),Y566)</f>
        <v>0</v>
      </c>
      <c r="Y566" s="174">
        <v>0</v>
      </c>
      <c r="Z566" s="173">
        <f>IF(AA566="",VLOOKUP(P566,CLIENTS!$A$1:$O$649,5,FALSE),AA566)</f>
        <v>5.0000000000000001E-3</v>
      </c>
      <c r="AA566" s="174">
        <v>5.0000000000000001E-3</v>
      </c>
      <c r="AB566" s="173" t="str">
        <f>IF(W566="via USD",IF(K566="EUR",K566&amp;"USD","USD"&amp;K566),IFERROR(VLOOKUP(K566&amp;S566,'FX RATES'!$H$2:$H$20,1,FALSE),S566&amp;K566))</f>
        <v>USDAED</v>
      </c>
      <c r="AC566" s="175">
        <f>IF(LEFT(AB566,3)=RIGHT(AB566,3),0,IFERROR(INDEX(CLIENTS!$A$1:$O$649,MATCH(H566,CLIENTS!$A$1:$A$649,0),MATCH(AB566,CLIENTS!$A$1:$O$1,0)),0))</f>
        <v>0</v>
      </c>
      <c r="AD566" s="176">
        <v>3.67</v>
      </c>
      <c r="AE566" s="177">
        <f>IF(W566="CLIENT","",IF(AD566="",AH566+AC566,AD566+AC566))</f>
        <v>3.67</v>
      </c>
      <c r="AF566" s="177" t="str">
        <f>E566&amp;AB566</f>
        <v>46069USDAED</v>
      </c>
      <c r="AG566" s="176"/>
      <c r="AH566" s="178">
        <f>IF(LEFT(AB566,3)=RIGHT(AB566,3),1,VLOOKUP(AB566,'FX RATES'!$H$1:$I$20,2,FALSE))</f>
        <v>3.6724999999999999</v>
      </c>
      <c r="AI566" s="178">
        <f>IF(OR(AB566="USDAED",LEFT(AB566,3)=RIGHT(AB566,3)),AH566,IF(LEFT(AB566)="USD",AG566,IF(RIGHT(AB566,3)="USD",1,IFERROR(VLOOKUP(E566&amp;"USD"&amp;RIGHT(AB566,3),$AF:$AG,2,FALSE),VLOOKUP(E566&amp;"USD"&amp;RIGHT(AJ566,3),$AN:$AO,2,FALSE)))))</f>
        <v>3.6724999999999999</v>
      </c>
      <c r="AJ566" s="173" t="str">
        <f>IF(W566="via USD",IF(S566="EUR",S566&amp;"USD","USD"&amp;S566),IFERROR(VLOOKUP(K566&amp;S566,'FX RATES'!$H$2:$H$20,1,FALSE),S566&amp;K566))</f>
        <v>USDRUB</v>
      </c>
      <c r="AK566" s="175">
        <f>IF(LEFT(AJ566,3)=RIGHT(AJ566,3),0,IFERROR(INDEX(CLIENTS!$A$1:$O$649,MATCH(P566,CLIENTS!$A$1:$A$649,0),MATCH(AJ566,CLIENTS!$A$1:$O$1,0)),0))</f>
        <v>0</v>
      </c>
      <c r="AL566" s="176">
        <v>77.194400000000002</v>
      </c>
      <c r="AM566" s="177">
        <f>IF(W566="VENDOR","",IF(AL566="",AP566+AK566,AL566+AK566))</f>
        <v>77.194400000000002</v>
      </c>
      <c r="AN566" s="177" t="str">
        <f>E566&amp;AJ566</f>
        <v>46069USDRUB</v>
      </c>
      <c r="AO566" s="176">
        <v>76.75</v>
      </c>
      <c r="AP566" s="178">
        <f ca="1">IF(LEFT(AJ566,3)=RIGHT(AJ566,3),1,VLOOKUP(AJ566,'FX RATES'!$H$1:$I$20,2,FALSE))</f>
        <v>76.720500000000001</v>
      </c>
      <c r="AQ566" s="178">
        <f>IF(OR(AJ566="USDAED",LEFT(AJ566,3)=RIGHT(AJ566,3)),AP566,IF(LEFT(AJ566)="USD",AO566,IF(RIGHT(AJ566,3)="USD",1,IFERROR(VLOOKUP(E566&amp;"USD"&amp;RIGHT(AJ566,3),$AN:$AO,2,FALSE),VLOOKUP(E566&amp;"USD"&amp;RIGHT(AB566,3),$AF:$AG,2,FALSE)))))</f>
        <v>76.75</v>
      </c>
      <c r="AR566" s="179">
        <f>-Q566*(1-Z566)/(1+X566)*IF(W566="CLIENT",IF(S566=RIGHT(AJ566,3),1/AM566,AM566),IF(W566="VENDOR",IF(S566=RIGHT(AJ566,3),1/AE566,AE566),AE566^(VLOOKUP(AB566,'FX RATES'!$H$1:$J$26,3,FALSE))/AM566^(VLOOKUP(AJ566,'FX RATES'!$H$1:$J$26,3,FALSE))))</f>
        <v>0</v>
      </c>
      <c r="AS566" s="179">
        <f>-I566*(1+X566)/(1-Z566)*IF(W566="VENDOR",IF(K566=RIGHT(AB566,3),1/AE566,AE566),IF(W566="CLIENT",IF(K566=RIGHT(AB566,3),1/AM566,AM566),AM566^(VLOOKUP(AJ566,'FX RATES'!$H$1:$J$26,3,FALSE))/AE566^(VLOOKUP(AB566,'FX RATES'!$H$1:$J$26,3,FALSE))))</f>
        <v>7951612.7832886511</v>
      </c>
      <c r="AT566" s="170">
        <f>IF(AB566&lt;&gt;AJ566,J566/IF(K566=RIGHT(AB566,3),AE566,1/AE566),IF(S566="USD",J566/IF(K566=RIGHT(AB566,3),IF(W566="CLIENT",AM566,AE566),1/IF(W566="CLIENT",AM566,AE566)),J566*VLOOKUP(K566,'FX RATES'!$E$1:$F$10,2,FALSE)))</f>
        <v>-102492.59945504088</v>
      </c>
      <c r="AU566" s="170">
        <f>IF(AB566&lt;&gt;AJ566,R566/IF(S566=RIGHT(AJ566,3),AM566,1/AM566),IF(K566="USD",R566/IF(S566=RIGHT(AJ566,3),IF(W566="CLIENT",AM566,AE566),1/IF(W566="CLIENT",AM566,AE566)),R566*VLOOKUP(S566,'FX RATES'!$E$1:$F$10,2,FALSE)))</f>
        <v>103007.63764325717</v>
      </c>
      <c r="AV566" s="170">
        <f>AT566+AU566</f>
        <v>515.03818821629102</v>
      </c>
      <c r="AW566" s="169"/>
      <c r="AX566" s="170">
        <f>IF(AND(ISERROR(SEARCH("INVOICE",T566)),ISERROR(SEARCH("SWITCH",T566)),ISERROR(SEARCH("FOREX",T566)),ISERROR(SEARCH("REFUND",A566)),ISERROR(SEARCH("CANCELLED",A566))),IF(AW566="",-AT566*X566+AU566*Z566,AW566),0)</f>
        <v>515.0381882162859</v>
      </c>
      <c r="AY566" s="170">
        <f>IF(AZ566="USD",AT566,IF(AZ566=K566,J566,-R566))</f>
        <v>-102492.59945504088</v>
      </c>
      <c r="AZ566" s="170" t="str">
        <f>LEFT(AB566,3)</f>
        <v>USD</v>
      </c>
      <c r="BA566" s="542">
        <f>IF(OR(A566="REFUND",A566="CANCELLED"),0,IFERROR((IF(OR(AB566="USDAED",LEFT(AB566,3)=RIGHT(AB566,3)),AI566,AG566)-AE566)*-AY566*VLOOKUP(AB566,'FX RATES'!$H$1:$J$26,3,FALSE),0))</f>
        <v>256.23149863759676</v>
      </c>
      <c r="BB566" s="170" t="str">
        <f>RIGHT(AB566,3)</f>
        <v>AED</v>
      </c>
      <c r="BC566" s="542">
        <f>IF(BA566=0,0,IFERROR(BA566/IF(BB566&lt;&gt;"USD",AI566,1),"???"))</f>
        <v>69.770319574566855</v>
      </c>
      <c r="BD566" s="170">
        <f>IFERROR(-AC566/(IF(OR(AB566="USDAED",LEFT(AB566,3)=RIGHT(AB566,3)),AH566,AG566)-AE566)*BC566,0)</f>
        <v>0</v>
      </c>
      <c r="BE566" s="542">
        <f>BC566-BD566</f>
        <v>69.770319574566855</v>
      </c>
      <c r="BF566" s="170">
        <f>IF(BG566="USD",AU566,IF(BG566=S566,R566,-J566))</f>
        <v>103007.63764325717</v>
      </c>
      <c r="BG566" s="170" t="str">
        <f>LEFT(AJ566,3)</f>
        <v>USD</v>
      </c>
      <c r="BH566" s="542">
        <f>IF(OR(A566="REFUND",A566="CANCELLED"),0,IFERROR((IF(OR(AJ566="USDAED",LEFT(AJ566,3)=RIGHT(AJ566,3)),AQ566,AO566)-AM566)*-BF566*VLOOKUP(AJ566,'FX RATES'!$H$1:$J$26,3,FALSE),0))</f>
        <v>45776.594168663658</v>
      </c>
      <c r="BI566" s="170" t="str">
        <f>RIGHT(AJ566,3)</f>
        <v>RUB</v>
      </c>
      <c r="BJ566" s="542">
        <f>IF(BH566=0,0,IFERROR(BH566/IF(BI566&lt;&gt;"USD",AQ566,1),"???"))</f>
        <v>596.43770903796292</v>
      </c>
      <c r="BK566" s="170">
        <f>IFERROR(-AK566/(IF(OR(AJ566="USDAED",LEFT(AJ566,3)=RIGHT(AJ566,3)),AP566,AO566)-AM566)*BJ566,0)</f>
        <v>0</v>
      </c>
      <c r="BL566" s="542">
        <f>BJ566-BK566</f>
        <v>596.43770903796292</v>
      </c>
      <c r="BM566" s="170">
        <f>IF(AND(ISERROR(SEARCH("REFUND",A566)),ISERROR(SEARCH("CANCELLED",A566))),BD566+BK566,0)</f>
        <v>0</v>
      </c>
      <c r="BN566" s="542">
        <f>IF(AND(ISERROR(SEARCH("REFUND",A566)),ISERROR(SEARCH("CANCELLED",A566))),BE566+BL566,0)</f>
        <v>666.2080286125298</v>
      </c>
    </row>
    <row r="567" spans="1:66" ht="19.5" customHeight="1">
      <c r="A567" s="167" t="s">
        <v>366</v>
      </c>
      <c r="B567" s="168" t="s">
        <v>39</v>
      </c>
      <c r="C567" s="168" t="s">
        <v>367</v>
      </c>
      <c r="D567" s="168" t="s">
        <v>368</v>
      </c>
      <c r="E567" s="171">
        <v>46069</v>
      </c>
      <c r="F567" s="171"/>
      <c r="G567" s="168" t="s">
        <v>39</v>
      </c>
      <c r="H567" s="168" t="s">
        <v>504</v>
      </c>
      <c r="I567" s="169"/>
      <c r="J567" s="170">
        <f t="shared" ref="J567" si="653">IF(I567="",AR567,I567)</f>
        <v>-477999.99847139174</v>
      </c>
      <c r="K567" s="168" t="s">
        <v>5</v>
      </c>
      <c r="L567" s="171" t="s">
        <v>505</v>
      </c>
      <c r="M567" s="168" t="s">
        <v>20</v>
      </c>
      <c r="N567" s="167" t="s">
        <v>553</v>
      </c>
      <c r="O567" s="168" t="s">
        <v>52</v>
      </c>
      <c r="P567" s="168" t="s">
        <v>417</v>
      </c>
      <c r="Q567" s="169">
        <v>37121653</v>
      </c>
      <c r="R567" s="170">
        <f t="shared" ref="R567" si="654">IF(Q567="",AS567,Q567)</f>
        <v>37121653</v>
      </c>
      <c r="S567" s="168" t="s">
        <v>9</v>
      </c>
      <c r="T567" s="171" t="s">
        <v>414</v>
      </c>
      <c r="U567" s="168" t="s">
        <v>25</v>
      </c>
      <c r="V567" s="167" t="s">
        <v>371</v>
      </c>
      <c r="W567" s="172" t="s">
        <v>375</v>
      </c>
      <c r="X567" s="173">
        <f>IF(Y567="",VLOOKUP(H567,CLIENTS!$A$1:$O$649,5,FALSE),Y567)</f>
        <v>0</v>
      </c>
      <c r="Y567" s="174">
        <v>0</v>
      </c>
      <c r="Z567" s="173">
        <f>IF(AA567="",VLOOKUP(P567,CLIENTS!$A$1:$O$649,5,FALSE),AA567)</f>
        <v>6.0000000000000001E-3</v>
      </c>
      <c r="AA567" s="174">
        <v>6.0000000000000001E-3</v>
      </c>
      <c r="AB567" s="173" t="str">
        <f>IF(W567="via USD",IF(K567="EUR",K567&amp;"USD","USD"&amp;K567),IFERROR(VLOOKUP(K567&amp;S567,'FX RATES'!$H$2:$H$20,1,FALSE),S567&amp;K567))</f>
        <v>USDUSD</v>
      </c>
      <c r="AC567" s="175">
        <f>IF(LEFT(AB567,3)=RIGHT(AB567,3),0,IFERROR(INDEX(CLIENTS!$A$1:$O$649,MATCH(H567,CLIENTS!$A$1:$A$649,0),MATCH(AB567,CLIENTS!$A$1:$O$1,0)),0))</f>
        <v>0</v>
      </c>
      <c r="AD567" s="176"/>
      <c r="AE567" s="177">
        <f t="shared" ref="AE567" si="655">IF(W567="CLIENT","",IF(AD567="",AH567+AC567,AD567+AC567))</f>
        <v>1</v>
      </c>
      <c r="AF567" s="177" t="str">
        <f t="shared" ref="AF567" si="656">E567&amp;AB567</f>
        <v>46069USDUSD</v>
      </c>
      <c r="AG567" s="176"/>
      <c r="AH567" s="178">
        <f>IF(LEFT(AB567,3)=RIGHT(AB567,3),1,VLOOKUP(AB567,'FX RATES'!$H$1:$I$20,2,FALSE))</f>
        <v>1</v>
      </c>
      <c r="AI567" s="178">
        <f>IF(OR(AB567="USDAED",LEFT(AB567,3)=RIGHT(AB567,3)),AH567,IF(LEFT(AB567)="USD",AG567,IF(RIGHT(AB567,3)="USD",1,IFERROR(VLOOKUP(E567&amp;"USD"&amp;RIGHT(AB567,3),$AF:$AG,2,FALSE),VLOOKUP(E567&amp;"USD"&amp;RIGHT(AJ567,3),$AN:$AO,2,FALSE)))))</f>
        <v>1</v>
      </c>
      <c r="AJ567" s="173" t="str">
        <f>IF(W567="via USD",IF(S567="EUR",S567&amp;"USD","USD"&amp;S567),IFERROR(VLOOKUP(K567&amp;S567,'FX RATES'!$H$2:$H$20,1,FALSE),S567&amp;K567))</f>
        <v>USDRUB</v>
      </c>
      <c r="AK567" s="175">
        <f>IF(LEFT(AJ567,3)=RIGHT(AJ567,3),0,IFERROR(INDEX(CLIENTS!$A$1:$O$649,MATCH(P567,CLIENTS!$A$1:$A$649,0),MATCH(AJ567,CLIENTS!$A$1:$O$1,0)),0))</f>
        <v>0</v>
      </c>
      <c r="AL567" s="176">
        <v>77.194400000000002</v>
      </c>
      <c r="AM567" s="177">
        <f t="shared" ref="AM567" si="657">IF(W567="VENDOR","",IF(AL567="",AP567+AK567,AL567+AK567))</f>
        <v>77.194400000000002</v>
      </c>
      <c r="AN567" s="177" t="str">
        <f t="shared" ref="AN567" si="658">E567&amp;AJ567</f>
        <v>46069USDRUB</v>
      </c>
      <c r="AO567" s="176">
        <v>76.75</v>
      </c>
      <c r="AP567" s="178">
        <f ca="1">IF(LEFT(AJ567,3)=RIGHT(AJ567,3),1,VLOOKUP(AJ567,'FX RATES'!$H$1:$I$20,2,FALSE))</f>
        <v>76.720500000000001</v>
      </c>
      <c r="AQ567" s="178">
        <f>IF(OR(AJ567="USDAED",LEFT(AJ567,3)=RIGHT(AJ567,3)),AP567,IF(LEFT(AJ567)="USD",AO567,IF(RIGHT(AJ567,3)="USD",1,IFERROR(VLOOKUP(E567&amp;"USD"&amp;RIGHT(AJ567,3),$AN:$AO,2,FALSE),VLOOKUP(E567&amp;"USD"&amp;RIGHT(AB567,3),$AF:$AG,2,FALSE)))))</f>
        <v>76.75</v>
      </c>
      <c r="AR567" s="179">
        <f>-Q567*(1-Z567)/(1+X567)*IF(W567="CLIENT",IF(S567=RIGHT(AJ567,3),1/AM567,AM567),IF(W567="VENDOR",IF(S567=RIGHT(AJ567,3),1/AE567,AE567),AE567^(VLOOKUP(AB567,'FX RATES'!$H$1:$J$26,3,FALSE))/AM567^(VLOOKUP(AJ567,'FX RATES'!$H$1:$J$26,3,FALSE))))</f>
        <v>-477999.99847139174</v>
      </c>
      <c r="AS567" s="179">
        <f>-I567*(1+X567)/(1-Z567)*IF(W567="VENDOR",IF(K567=RIGHT(AB567,3),1/AE567,AE567),IF(W567="CLIENT",IF(K567=RIGHT(AB567,3),1/AM567,AM567),AM567^(VLOOKUP(AJ567,'FX RATES'!$H$1:$J$26,3,FALSE))/AE567^(VLOOKUP(AB567,'FX RATES'!$H$1:$J$26,3,FALSE))))</f>
        <v>0</v>
      </c>
      <c r="AT567" s="170">
        <f>IF(AB567&lt;&gt;AJ567,J567/IF(K567=RIGHT(AB567,3),AE567,1/AE567),IF(S567="USD",J567/IF(K567=RIGHT(AB567,3),IF(W567="CLIENT",AM567,AE567),1/IF(W567="CLIENT",AM567,AE567)),J567*VLOOKUP(K567,'FX RATES'!$E$1:$F$10,2,FALSE)))</f>
        <v>-477999.99847139174</v>
      </c>
      <c r="AU567" s="170">
        <f>IF(AB567&lt;&gt;AJ567,R567/IF(S567=RIGHT(AJ567,3),AM567,1/AM567),IF(K567="USD",R567/IF(S567=RIGHT(AJ567,3),IF(W567="CLIENT",AM567,AE567),1/IF(W567="CLIENT",AM567,AE567)),R567*VLOOKUP(S567,'FX RATES'!$E$1:$F$10,2,FALSE)))</f>
        <v>480885.31033339206</v>
      </c>
      <c r="AV567" s="170">
        <f t="shared" ref="AV567" si="659">AT567+AU567</f>
        <v>2885.3118620003224</v>
      </c>
      <c r="AW567" s="169"/>
      <c r="AX567" s="170">
        <f t="shared" ref="AX567" si="660">IF(AND(ISERROR(SEARCH("INVOICE",T567)),ISERROR(SEARCH("SWITCH",T567)),ISERROR(SEARCH("FOREX",T567)),ISERROR(SEARCH("REFUND",A567)),ISERROR(SEARCH("CANCELLED",A567))),IF(AW567="",-AT567*X567+AU567*Z567,AW567),0)</f>
        <v>2885.3118620003524</v>
      </c>
      <c r="AY567" s="170">
        <f t="shared" ref="AY567" si="661">IF(AZ567="USD",AT567,IF(AZ567=K567,J567,-R567))</f>
        <v>-477999.99847139174</v>
      </c>
      <c r="AZ567" s="170" t="str">
        <f t="shared" ref="AZ567" si="662">LEFT(AB567,3)</f>
        <v>USD</v>
      </c>
      <c r="BA567" s="542">
        <f>IF(OR(A567="REFUND",A567="CANCELLED"),0,IFERROR((IF(OR(AB567="USDAED",LEFT(AB567,3)=RIGHT(AB567,3)),AI567,AG567)-AE567)*-AY567*VLOOKUP(AB567,'FX RATES'!$H$1:$J$26,3,FALSE),0))</f>
        <v>0</v>
      </c>
      <c r="BB567" s="170" t="str">
        <f t="shared" ref="BB567" si="663">RIGHT(AB567,3)</f>
        <v>USD</v>
      </c>
      <c r="BC567" s="542">
        <f t="shared" ref="BC567" si="664">IF(BA567=0,0,IFERROR(BA567/IF(BB567&lt;&gt;"USD",AI567,1),"???"))</f>
        <v>0</v>
      </c>
      <c r="BD567" s="170">
        <f t="shared" ref="BD567" si="665">IFERROR(-AC567/(IF(OR(AB567="USDAED",LEFT(AB567,3)=RIGHT(AB567,3)),AH567,AG567)-AE567)*BC567,0)</f>
        <v>0</v>
      </c>
      <c r="BE567" s="542">
        <f t="shared" ref="BE567" si="666">BC567-BD567</f>
        <v>0</v>
      </c>
      <c r="BF567" s="170">
        <f t="shared" ref="BF567" si="667">IF(BG567="USD",AU567,IF(BG567=S567,R567,-J567))</f>
        <v>480885.31033339206</v>
      </c>
      <c r="BG567" s="170" t="str">
        <f t="shared" ref="BG567" si="668">LEFT(AJ567,3)</f>
        <v>USD</v>
      </c>
      <c r="BH567" s="542">
        <f>IF(OR(A567="REFUND",A567="CANCELLED"),0,IFERROR((IF(OR(AJ567="USDAED",LEFT(AJ567,3)=RIGHT(AJ567,3)),AQ567,AO567)-AM567)*-BF567*VLOOKUP(AJ567,'FX RATES'!$H$1:$J$26,3,FALSE),0))</f>
        <v>213705.43191216025</v>
      </c>
      <c r="BI567" s="170" t="str">
        <f t="shared" ref="BI567" si="669">RIGHT(AJ567,3)</f>
        <v>RUB</v>
      </c>
      <c r="BJ567" s="542">
        <f t="shared" ref="BJ567" si="670">IF(BH567=0,0,IFERROR(BH567/IF(BI567&lt;&gt;"USD",AQ567,1),"???"))</f>
        <v>2784.4355949467131</v>
      </c>
      <c r="BK567" s="170">
        <f t="shared" ref="BK567" si="671">IFERROR(-AK567/(IF(OR(AJ567="USDAED",LEFT(AJ567,3)=RIGHT(AJ567,3)),AP567,AO567)-AM567)*BJ567,0)</f>
        <v>0</v>
      </c>
      <c r="BL567" s="542">
        <f t="shared" ref="BL567" si="672">BJ567-BK567</f>
        <v>2784.4355949467131</v>
      </c>
      <c r="BM567" s="170">
        <f t="shared" ref="BM567" si="673">IF(AND(ISERROR(SEARCH("REFUND",A567)),ISERROR(SEARCH("CANCELLED",A567))),BD567+BK567,0)</f>
        <v>0</v>
      </c>
      <c r="BN567" s="542">
        <f t="shared" ref="BN567" si="674">IF(AND(ISERROR(SEARCH("REFUND",A567)),ISERROR(SEARCH("CANCELLED",A567))),BE567+BL567,0)</f>
        <v>2784.4355949467131</v>
      </c>
    </row>
    <row r="568" spans="1:66" ht="19.5" customHeight="1">
      <c r="A568" s="167" t="s">
        <v>601</v>
      </c>
      <c r="B568" s="168" t="s">
        <v>31</v>
      </c>
      <c r="C568" s="168" t="s">
        <v>367</v>
      </c>
      <c r="D568" s="168" t="s">
        <v>368</v>
      </c>
      <c r="E568" s="171">
        <v>46069</v>
      </c>
      <c r="F568" s="171"/>
      <c r="G568" s="168" t="s">
        <v>31</v>
      </c>
      <c r="H568" s="168" t="s">
        <v>605</v>
      </c>
      <c r="I568" s="169">
        <v>-490000</v>
      </c>
      <c r="J568" s="170">
        <f>IF(I568="",AR568,I568)</f>
        <v>-490000</v>
      </c>
      <c r="K568" s="168" t="s">
        <v>8</v>
      </c>
      <c r="L568" s="171" t="s">
        <v>15</v>
      </c>
      <c r="M568" s="168" t="s">
        <v>14</v>
      </c>
      <c r="N568" s="167" t="s">
        <v>553</v>
      </c>
      <c r="O568" s="168" t="s">
        <v>52</v>
      </c>
      <c r="P568" s="168" t="s">
        <v>605</v>
      </c>
      <c r="Q568" s="169"/>
      <c r="R568" s="170">
        <f>IF(Q568="",AS568,Q568)</f>
        <v>10327263.791888956</v>
      </c>
      <c r="S568" s="168" t="s">
        <v>9</v>
      </c>
      <c r="T568" s="171" t="s">
        <v>436</v>
      </c>
      <c r="U568" s="168" t="s">
        <v>25</v>
      </c>
      <c r="V568" s="167" t="s">
        <v>371</v>
      </c>
      <c r="W568" s="172" t="s">
        <v>375</v>
      </c>
      <c r="X568" s="173">
        <f>IF(Y568="",VLOOKUP(H568,CLIENTS!$A$1:$O$649,5,FALSE),Y568)</f>
        <v>0</v>
      </c>
      <c r="Y568" s="174">
        <v>0</v>
      </c>
      <c r="Z568" s="173">
        <f>IF(AA568="",VLOOKUP(P568,CLIENTS!$A$1:$O$649,5,FALSE),AA568)</f>
        <v>2E-3</v>
      </c>
      <c r="AA568" s="174">
        <v>2E-3</v>
      </c>
      <c r="AB568" s="173" t="str">
        <f>IF(W568="via USD",IF(K568="EUR",K568&amp;"USD","USD"&amp;K568),IFERROR(VLOOKUP(K568&amp;S568,'FX RATES'!$H$2:$H$20,1,FALSE),S568&amp;K568))</f>
        <v>USDAED</v>
      </c>
      <c r="AC568" s="175">
        <f>IF(LEFT(AB568,3)=RIGHT(AB568,3),0,IFERROR(INDEX(CLIENTS!$A$1:$O$649,MATCH(H568,CLIENTS!$A$1:$A$649,0),MATCH(AB568,CLIENTS!$A$1:$O$1,0)),0))</f>
        <v>0</v>
      </c>
      <c r="AD568" s="176">
        <v>3.67</v>
      </c>
      <c r="AE568" s="177">
        <f>IF(W568="CLIENT","",IF(AD568="",AH568+AC568,AD568+AC568))</f>
        <v>3.67</v>
      </c>
      <c r="AF568" s="177" t="str">
        <f>E568&amp;AB568</f>
        <v>46069USDAED</v>
      </c>
      <c r="AG568" s="176"/>
      <c r="AH568" s="178">
        <f>IF(LEFT(AB568,3)=RIGHT(AB568,3),1,VLOOKUP(AB568,'FX RATES'!$H$1:$I$20,2,FALSE))</f>
        <v>3.6724999999999999</v>
      </c>
      <c r="AI568" s="178">
        <f>IF(OR(AB568="USDAED",LEFT(AB568,3)=RIGHT(AB568,3)),AH568,IF(LEFT(AB568)="USD",AG568,IF(RIGHT(AB568,3)="USD",1,IFERROR(VLOOKUP(E568&amp;"USD"&amp;RIGHT(AB568,3),$AF:$AG,2,FALSE),VLOOKUP(E568&amp;"USD"&amp;RIGHT(AJ568,3),$AN:$AO,2,FALSE)))))</f>
        <v>3.6724999999999999</v>
      </c>
      <c r="AJ568" s="173" t="str">
        <f>IF(W568="via USD",IF(S568="EUR",S568&amp;"USD","USD"&amp;S568),IFERROR(VLOOKUP(K568&amp;S568,'FX RATES'!$H$2:$H$20,1,FALSE),S568&amp;K568))</f>
        <v>USDRUB</v>
      </c>
      <c r="AK568" s="175">
        <f>IF(LEFT(AJ568,3)=RIGHT(AJ568,3),0,IFERROR(INDEX(CLIENTS!$A$1:$O$649,MATCH(P568,CLIENTS!$A$1:$A$649,0),MATCH(AJ568,CLIENTS!$A$1:$O$1,0)),0))</f>
        <v>0</v>
      </c>
      <c r="AL568" s="176">
        <v>77.194400000000002</v>
      </c>
      <c r="AM568" s="177">
        <f>IF(W568="VENDOR","",IF(AL568="",AP568+AK568,AL568+AK568))</f>
        <v>77.194400000000002</v>
      </c>
      <c r="AN568" s="177" t="str">
        <f>E568&amp;AJ568</f>
        <v>46069USDRUB</v>
      </c>
      <c r="AO568" s="176">
        <v>76.75</v>
      </c>
      <c r="AP568" s="178">
        <f ca="1">IF(LEFT(AJ568,3)=RIGHT(AJ568,3),1,VLOOKUP(AJ568,'FX RATES'!$H$1:$I$20,2,FALSE))</f>
        <v>76.720500000000001</v>
      </c>
      <c r="AQ568" s="178">
        <f>IF(OR(AJ568="USDAED",LEFT(AJ568,3)=RIGHT(AJ568,3)),AP568,IF(LEFT(AJ568)="USD",AO568,IF(RIGHT(AJ568,3)="USD",1,IFERROR(VLOOKUP(E568&amp;"USD"&amp;RIGHT(AJ568,3),$AN:$AO,2,FALSE),VLOOKUP(E568&amp;"USD"&amp;RIGHT(AB568,3),$AF:$AG,2,FALSE)))))</f>
        <v>76.75</v>
      </c>
      <c r="AR568" s="179">
        <f>-Q568*(1-Z568)/(1+X568)*IF(W568="CLIENT",IF(S568=RIGHT(AJ568,3),1/AM568,AM568),IF(W568="VENDOR",IF(S568=RIGHT(AJ568,3),1/AE568,AE568),AE568^(VLOOKUP(AB568,'FX RATES'!$H$1:$J$26,3,FALSE))/AM568^(VLOOKUP(AJ568,'FX RATES'!$H$1:$J$26,3,FALSE))))</f>
        <v>0</v>
      </c>
      <c r="AS568" s="179">
        <f>-I568*(1+X568)/(1-Z568)*IF(W568="VENDOR",IF(K568=RIGHT(AB568,3),1/AE568,AE568),IF(W568="CLIENT",IF(K568=RIGHT(AB568,3),1/AM568,AM568),AM568^(VLOOKUP(AJ568,'FX RATES'!$H$1:$J$26,3,FALSE))/AE568^(VLOOKUP(AB568,'FX RATES'!$H$1:$J$26,3,FALSE))))</f>
        <v>10327263.791888956</v>
      </c>
      <c r="AT568" s="170">
        <f>IF(AB568&lt;&gt;AJ568,J568/IF(K568=RIGHT(AB568,3),AE568,1/AE568),IF(S568="USD",J568/IF(K568=RIGHT(AB568,3),IF(W568="CLIENT",AM568,AE568),1/IF(W568="CLIENT",AM568,AE568)),J568*VLOOKUP(K568,'FX RATES'!$E$1:$F$10,2,FALSE)))</f>
        <v>-133514.98637602181</v>
      </c>
      <c r="AU568" s="170">
        <f>IF(AB568&lt;&gt;AJ568,R568/IF(S568=RIGHT(AJ568,3),AM568,1/AM568),IF(K568="USD",R568/IF(S568=RIGHT(AJ568,3),IF(W568="CLIENT",AM568,AE568),1/IF(W568="CLIENT",AM568,AE568)),R568*VLOOKUP(S568,'FX RATES'!$E$1:$F$10,2,FALSE)))</f>
        <v>133782.55147897976</v>
      </c>
      <c r="AV568" s="170">
        <f>AT568+AU568</f>
        <v>267.56510295794578</v>
      </c>
      <c r="AW568" s="169"/>
      <c r="AX568" s="170">
        <f>IF(AND(ISERROR(SEARCH("INVOICE",T568)),ISERROR(SEARCH("SWITCH",T568)),ISERROR(SEARCH("FOREX",T568)),ISERROR(SEARCH("REFUND",A568)),ISERROR(SEARCH("CANCELLED",A568))),IF(AW568="",-AT568*X568+AU568*Z568,AW568),0)</f>
        <v>267.56510295795954</v>
      </c>
      <c r="AY568" s="170">
        <f>IF(AZ568="USD",AT568,IF(AZ568=K568,J568,-R568))</f>
        <v>-133514.98637602181</v>
      </c>
      <c r="AZ568" s="170" t="str">
        <f>LEFT(AB568,3)</f>
        <v>USD</v>
      </c>
      <c r="BA568" s="542">
        <f>IF(OR(A568="REFUND",A568="CANCELLED"),0,IFERROR((IF(OR(AB568="USDAED",LEFT(AB568,3)=RIGHT(AB568,3)),AI568,AG568)-AE568)*-AY568*VLOOKUP(AB568,'FX RATES'!$H$1:$J$26,3,FALSE),0))</f>
        <v>333.78746594004741</v>
      </c>
      <c r="BB568" s="170" t="str">
        <f>RIGHT(AB568,3)</f>
        <v>AED</v>
      </c>
      <c r="BC568" s="542">
        <f>IF(BA568=0,0,IFERROR(BA568/IF(BB568&lt;&gt;"USD",AI568,1),"???"))</f>
        <v>90.888350153859065</v>
      </c>
      <c r="BD568" s="170">
        <f>IFERROR(-AC568/(IF(OR(AB568="USDAED",LEFT(AB568,3)=RIGHT(AB568,3)),AH568,AG568)-AE568)*BC568,0)</f>
        <v>0</v>
      </c>
      <c r="BE568" s="542">
        <f>BC568-BD568</f>
        <v>90.888350153859065</v>
      </c>
      <c r="BF568" s="170">
        <f>IF(BG568="USD",AU568,IF(BG568=S568,R568,-J568))</f>
        <v>133782.55147897976</v>
      </c>
      <c r="BG568" s="170" t="str">
        <f>LEFT(AJ568,3)</f>
        <v>USD</v>
      </c>
      <c r="BH568" s="542">
        <f>IF(OR(A568="REFUND",A568="CANCELLED"),0,IFERROR((IF(OR(AJ568="USDAED",LEFT(AJ568,3)=RIGHT(AJ568,3)),AQ568,AO568)-AM568)*-BF568*VLOOKUP(AJ568,'FX RATES'!$H$1:$J$26,3,FALSE),0))</f>
        <v>59452.96587725883</v>
      </c>
      <c r="BI568" s="170" t="str">
        <f>RIGHT(AJ568,3)</f>
        <v>RUB</v>
      </c>
      <c r="BJ568" s="542">
        <f>IF(BH568=0,0,IFERROR(BH568/IF(BI568&lt;&gt;"USD",AQ568,1),"???"))</f>
        <v>774.63147722812812</v>
      </c>
      <c r="BK568" s="170">
        <f>IFERROR(-AK568/(IF(OR(AJ568="USDAED",LEFT(AJ568,3)=RIGHT(AJ568,3)),AP568,AO568)-AM568)*BJ568,0)</f>
        <v>0</v>
      </c>
      <c r="BL568" s="542">
        <f>BJ568-BK568</f>
        <v>774.63147722812812</v>
      </c>
      <c r="BM568" s="170">
        <f>IF(AND(ISERROR(SEARCH("REFUND",A568)),ISERROR(SEARCH("CANCELLED",A568))),BD568+BK568,0)</f>
        <v>0</v>
      </c>
      <c r="BN568" s="542">
        <f>IF(AND(ISERROR(SEARCH("REFUND",A568)),ISERROR(SEARCH("CANCELLED",A568))),BE568+BL568,0)</f>
        <v>865.51982738198717</v>
      </c>
    </row>
    <row r="569" spans="1:66" ht="19.5" customHeight="1">
      <c r="A569" s="167" t="s">
        <v>601</v>
      </c>
      <c r="B569" s="181" t="s">
        <v>31</v>
      </c>
      <c r="C569" s="181" t="s">
        <v>367</v>
      </c>
      <c r="D569" s="181" t="s">
        <v>418</v>
      </c>
      <c r="E569" s="171">
        <v>46069</v>
      </c>
      <c r="F569" s="171"/>
      <c r="G569" s="181" t="s">
        <v>31</v>
      </c>
      <c r="H569" s="168" t="s">
        <v>619</v>
      </c>
      <c r="I569" s="169">
        <v>-4546618.59</v>
      </c>
      <c r="J569" s="170">
        <f>IF(I569="",AR569,I569)</f>
        <v>-4546618.59</v>
      </c>
      <c r="K569" s="168" t="s">
        <v>8</v>
      </c>
      <c r="L569" s="168" t="s">
        <v>385</v>
      </c>
      <c r="M569" s="168" t="s">
        <v>14</v>
      </c>
      <c r="N569" s="167" t="s">
        <v>553</v>
      </c>
      <c r="O569" s="168" t="s">
        <v>52</v>
      </c>
      <c r="P569" s="168" t="s">
        <v>619</v>
      </c>
      <c r="Q569" s="169"/>
      <c r="R569" s="170">
        <f>IF(Q569="",AS569,Q569)</f>
        <v>1239874.17</v>
      </c>
      <c r="S569" s="168" t="s">
        <v>53</v>
      </c>
      <c r="T569" s="168" t="s">
        <v>420</v>
      </c>
      <c r="U569" s="168" t="s">
        <v>54</v>
      </c>
      <c r="V569" s="167" t="s">
        <v>371</v>
      </c>
      <c r="W569" s="172" t="s">
        <v>375</v>
      </c>
      <c r="X569" s="173">
        <f>IF(Y569="",VLOOKUP(H569,CLIENTS!$A$1:$O$649,5,FALSE),Y569)</f>
        <v>0</v>
      </c>
      <c r="Y569" s="174">
        <v>0</v>
      </c>
      <c r="Z569" s="173">
        <f>IF(AA569="",VLOOKUP(P569,CLIENTS!$A$1:$O$649,5,FALSE),AA569)</f>
        <v>1.4976155359419652E-3</v>
      </c>
      <c r="AA569" s="174">
        <v>1.4976155359419652E-3</v>
      </c>
      <c r="AB569" s="173" t="str">
        <f>IF(W569="via USD",IF(K569="EUR",K569&amp;"USD","USD"&amp;K569),IFERROR(VLOOKUP(K569&amp;S569,'FX RATES'!$H$2:$H$20,1,FALSE),S569&amp;K569))</f>
        <v>USDAED</v>
      </c>
      <c r="AC569" s="175">
        <f>IF(LEFT(AB569,3)=RIGHT(AB569,3),0,IFERROR(INDEX(CLIENTS!$A$1:$O$649,MATCH(H569,CLIENTS!$A$1:$A$649,0),MATCH(AB569,CLIENTS!$A$1:$O$1,0)),0))</f>
        <v>0</v>
      </c>
      <c r="AD569" s="176">
        <v>3.6724999999999999</v>
      </c>
      <c r="AE569" s="177">
        <f>IF(W569="CLIENT","",IF(AD569="",AH569+AC569,AD569+AC569))</f>
        <v>3.6724999999999999</v>
      </c>
      <c r="AF569" s="177" t="str">
        <f>E569&amp;AB569</f>
        <v>46069USDAED</v>
      </c>
      <c r="AG569" s="176"/>
      <c r="AH569" s="178">
        <f>IF(LEFT(AB569,3)=RIGHT(AB569,3),1,VLOOKUP(AB569,'FX RATES'!$H$1:$I$20,2,FALSE))</f>
        <v>3.6724999999999999</v>
      </c>
      <c r="AI569" s="178">
        <f>IF(OR(AB569="USDAED",LEFT(AB569,3)=RIGHT(AB569,3)),AH569,IF(LEFT(AB569)="USD",AG569,IF(RIGHT(AB569,3)="USD",1,IFERROR(VLOOKUP(E569&amp;"USD"&amp;RIGHT(AB569,3),$AF:$AG,2,FALSE),VLOOKUP(E569&amp;"USD"&amp;RIGHT(AJ569,3),$AN:$AO,2,FALSE)))))</f>
        <v>3.6724999999999999</v>
      </c>
      <c r="AJ569" s="173" t="str">
        <f>IF(W569="via USD",IF(S569="EUR",S569&amp;"USD","USD"&amp;S569),IFERROR(VLOOKUP(K569&amp;S569,'FX RATES'!$H$2:$H$20,1,FALSE),S569&amp;K569))</f>
        <v>USDUSDT</v>
      </c>
      <c r="AK569" s="175">
        <f>IF(LEFT(AJ569,3)=RIGHT(AJ569,3),0,IFERROR(INDEX(CLIENTS!$A$1:$O$649,MATCH(P569,CLIENTS!$A$1:$A$649,0),MATCH(AJ569,CLIENTS!$A$1:$O$1,0)),0))</f>
        <v>0</v>
      </c>
      <c r="AL569" s="176"/>
      <c r="AM569" s="177">
        <f>IF(W569="VENDOR","",IF(AL569="",AP569+AK569,AL569+AK569))</f>
        <v>1</v>
      </c>
      <c r="AN569" s="177" t="str">
        <f>E569&amp;AJ569</f>
        <v>46069USDUSDT</v>
      </c>
      <c r="AO569" s="176">
        <v>1</v>
      </c>
      <c r="AP569" s="178">
        <f>IF(LEFT(AJ569,3)=RIGHT(AJ569,3),1,VLOOKUP(AJ569,'FX RATES'!$H$1:$I$50,2,FALSE))</f>
        <v>1</v>
      </c>
      <c r="AQ569" s="178">
        <f>IF(OR(AJ569="USDAED",LEFT(AJ569,3)=RIGHT(AJ569,3),AJ569="USDUSDT",AJ569="USDTUSD"),AP569,IF(LEFT(AJ569)="USD",AO569,IF(RIGHT(AJ569,3)="USD",1,IFERROR(VLOOKUP(E569&amp;"USD"&amp;RIGHT(AJ569,3),$AN:$AO,2,FALSE),VLOOKUP(E569&amp;"USD"&amp;RIGHT(AB569,3),$AF:$AG,2,FALSE)))))</f>
        <v>1</v>
      </c>
      <c r="AR569" s="179">
        <f>-Q569*(1-Z569)/(1+X569)*IF(W569="CLIENT",IF(S569=RIGHT(AJ569,3),1/AM569,AM569),IF(W569="VENDOR",IF(S569=RIGHT(AJ569,3),1/AE569,AE569),AE569^(VLOOKUP(AB569,'FX RATES'!$H$1:$J$26,3,FALSE))/AM569^(VLOOKUP(AJ569,'FX RATES'!$H$1:$J$26,3,FALSE))))</f>
        <v>0</v>
      </c>
      <c r="AS569" s="179">
        <f>-I569*(1+X569)/(1-Z569)*IF(W569="VENDOR",IF(K569=RIGHT(AB569,3),1/AE569,AE569),IF(W569="CLIENT",IF(K569=RIGHT(AB569,3),1/AM569,AM569),AM569^(VLOOKUP(AJ569,'FX RATES'!$H$1:$J$26,3,FALSE))/AE569^(VLOOKUP(AB569,'FX RATES'!$H$1:$J$26,3,FALSE))))</f>
        <v>1239874.17</v>
      </c>
      <c r="AT569" s="170">
        <f>IF(AB569&lt;&gt;AJ569,J569/IF(K569=RIGHT(AB569,3),AE569,1/AE569),IF(S569="USD",J569/IF(K569=RIGHT(AB569,3),IF(W569="CLIENT",AM569,AE569),1/IF(W569="CLIENT",AM569,AE569)),J569*VLOOKUP(K569,'FX RATES'!$E$1:$F$10,2,FALSE)))</f>
        <v>-1238017.3151803948</v>
      </c>
      <c r="AU569" s="170">
        <f>IF(AB569&lt;&gt;AJ569,R569/IF(S569=RIGHT(AJ569,3),AM569,1/AM569),IF(K569="USD",R569/IF(S569=RIGHT(AJ569,3),IF(W569="CLIENT",AM569,AE569),1/IF(W569="CLIENT",AM569,AE569)),R569*VLOOKUP(S569,'FX RATES'!$E$1:$F$10,2,FALSE)))</f>
        <v>1239874.17</v>
      </c>
      <c r="AV569" s="170">
        <f>AT569+AU569</f>
        <v>1856.854819605127</v>
      </c>
      <c r="AW569" s="169"/>
      <c r="AX569" s="170">
        <f>IF(AND(ISERROR(SEARCH("INVOICE",T569)),ISERROR(SEARCH("SWITCH",T569)),ISERROR(SEARCH("FOREX",T569)),ISERROR(SEARCH("REFUND",A569)),ISERROR(SEARCH("CANCELLED",A569))),IF(AW569="",-AT569*X569+AU569*Z569,AW569),0)</f>
        <v>1856.854819605149</v>
      </c>
      <c r="AY569" s="170">
        <f>IF(AZ569="USD",AT569,IF(AZ569=K569,J569,-R569))</f>
        <v>-1238017.3151803948</v>
      </c>
      <c r="AZ569" s="170" t="str">
        <f>LEFT(AB569,3)</f>
        <v>USD</v>
      </c>
      <c r="BA569" s="542">
        <f>IF(OR(A569="REFUND",A569="CANCELLED"),0,IFERROR((IF(OR(AB569="USDAED",LEFT(AB569,3)=RIGHT(AB569,3)),AI569,AG569)-AE569)*-AY569*VLOOKUP(AB569,'FX RATES'!$H$1:$J$26,3,FALSE),0))</f>
        <v>0</v>
      </c>
      <c r="BB569" s="170" t="str">
        <f>RIGHT(AB569,3)</f>
        <v>AED</v>
      </c>
      <c r="BC569" s="542">
        <f>IF(BA569=0,0,IFERROR(BA569/IF(BB569&lt;&gt;"USD",AI569,1),"???"))</f>
        <v>0</v>
      </c>
      <c r="BD569" s="170">
        <f>IFERROR(-AC569/(IF(OR(AB569="USDAED",LEFT(AB569,3)=RIGHT(AB569,3)),AH569,AG569)-AE569)*BC569,0)</f>
        <v>0</v>
      </c>
      <c r="BE569" s="542">
        <f>BC569-BD569</f>
        <v>0</v>
      </c>
      <c r="BF569" s="170">
        <f>IF(BG569="USD",AU569,IF(BG569=S569,R569,-J569))</f>
        <v>1239874.17</v>
      </c>
      <c r="BG569" s="170" t="str">
        <f>LEFT(AJ569,3)</f>
        <v>USD</v>
      </c>
      <c r="BH569" s="542">
        <f>IF(OR(A569="REFUND",A569="CANCELLED"),0,IFERROR((IF(OR(AJ569="USDAED",LEFT(AJ569,3)=RIGHT(AJ569,3),AJ569="USDUSDT",AJ569="USDTUSD"),AQ569,AO569)-AM569)*-BF569*VLOOKUP(AJ569,'FX RATES'!$H$1:$J$26,3,FALSE),0))</f>
        <v>0</v>
      </c>
      <c r="BI569" s="170" t="str">
        <f>RIGHT(AJ569,4)</f>
        <v>USDT</v>
      </c>
      <c r="BJ569" s="542">
        <f>IF(BH569=0,0,IFERROR(BH569/IF(BI569&lt;&gt;"USD",AQ569,1),"???"))</f>
        <v>0</v>
      </c>
      <c r="BK569" s="170">
        <f>IFERROR(-AK569/(IF(OR(AJ569="USDAED",LEFT(AJ569,3)=RIGHT(AJ569,3)),AP569,AO569)-AM569)*BJ569,0)</f>
        <v>0</v>
      </c>
      <c r="BL569" s="542">
        <f>BJ569-BK569</f>
        <v>0</v>
      </c>
      <c r="BM569" s="170">
        <f>IF(AND(ISERROR(SEARCH("REFUND",A569)),ISERROR(SEARCH("CANCELLED",A569))),BD569+BK569,0)</f>
        <v>0</v>
      </c>
      <c r="BN569" s="542">
        <f>IF(AND(ISERROR(SEARCH("REFUND",A569)),ISERROR(SEARCH("CANCELLED",A569))),BE569+BL569,0)</f>
        <v>0</v>
      </c>
    </row>
    <row r="570" spans="1:66" ht="19.5" customHeight="1">
      <c r="A570" s="167" t="s">
        <v>601</v>
      </c>
      <c r="B570" s="168" t="s">
        <v>52</v>
      </c>
      <c r="C570" s="168" t="s">
        <v>367</v>
      </c>
      <c r="D570" s="168" t="s">
        <v>368</v>
      </c>
      <c r="E570" s="171">
        <v>46069</v>
      </c>
      <c r="F570" s="171"/>
      <c r="G570" s="168" t="s">
        <v>52</v>
      </c>
      <c r="H570" s="168" t="s">
        <v>501</v>
      </c>
      <c r="I570" s="169">
        <v>-1200010</v>
      </c>
      <c r="J570" s="170">
        <f>IF(I570="",AR570,I570)</f>
        <v>-1200010</v>
      </c>
      <c r="K570" s="168" t="s">
        <v>53</v>
      </c>
      <c r="L570" s="168" t="s">
        <v>420</v>
      </c>
      <c r="M570" s="168" t="s">
        <v>54</v>
      </c>
      <c r="N570" s="182" t="s">
        <v>371</v>
      </c>
      <c r="O570" s="168" t="s">
        <v>52</v>
      </c>
      <c r="P570" s="168" t="s">
        <v>501</v>
      </c>
      <c r="Q570" s="169"/>
      <c r="R570" s="170">
        <f>IF(Q570="",AS570,Q570)</f>
        <v>92484770.699999988</v>
      </c>
      <c r="S570" s="168" t="s">
        <v>9</v>
      </c>
      <c r="T570" s="168" t="s">
        <v>502</v>
      </c>
      <c r="U570" s="168" t="s">
        <v>25</v>
      </c>
      <c r="V570" s="167" t="s">
        <v>371</v>
      </c>
      <c r="W570" s="172" t="s">
        <v>375</v>
      </c>
      <c r="X570" s="173">
        <f>IF(Y570="",VLOOKUP(H570,CLIENTS!$A$1:$O$649,5,FALSE),Y570)</f>
        <v>0</v>
      </c>
      <c r="Y570" s="174">
        <v>0</v>
      </c>
      <c r="Z570" s="173">
        <f>IF(AA570="",VLOOKUP(P570,CLIENTS!$A$1:$O$649,5,FALSE),AA570)</f>
        <v>0</v>
      </c>
      <c r="AA570" s="174">
        <v>0</v>
      </c>
      <c r="AB570" s="173" t="str">
        <f>IF(W570="via USD",IF(K570="EUR",K570&amp;"USD","USD"&amp;K570),IFERROR(VLOOKUP(K570&amp;S570,'FX RATES'!$H$2:$H$20,1,FALSE),S570&amp;K570))</f>
        <v>USDUSDT</v>
      </c>
      <c r="AC570" s="175">
        <f>IF(LEFT(AB570,3)=RIGHT(AB570,3),0,IFERROR(INDEX(CLIENTS!$A$1:$O$649,MATCH(H570,CLIENTS!$A$1:$A$649,0),MATCH(AB570,CLIENTS!$A$1:$O$1,0)),0))</f>
        <v>0</v>
      </c>
      <c r="AD570" s="176"/>
      <c r="AE570" s="177">
        <f>IF(W570="CLIENT","",IF(AD570="",AH570+AC570,AD570+AC570))</f>
        <v>1</v>
      </c>
      <c r="AF570" s="177" t="str">
        <f>E570&amp;AB570</f>
        <v>46069USDUSDT</v>
      </c>
      <c r="AG570" s="176"/>
      <c r="AH570" s="178">
        <f>IF(LEFT(AB570,3)=RIGHT(AB570,3),1,VLOOKUP(AB570,'FX RATES'!$H$1:$I$50,2,FALSE))</f>
        <v>1</v>
      </c>
      <c r="AI570" s="178">
        <f>IF(OR(AB570="USDAED",LEFT(AB570,3)=RIGHT(AB570,3),AB570="USDUSDT",AB570="USDTUSD"),AH570,IF(LEFT(AB570)="USD",AG570,IF(RIGHT(AB570,3)="USD",1,IFERROR(VLOOKUP(E570&amp;"USD"&amp;RIGHT(AB570,3),$AF:$AG,2,FALSE),VLOOKUP(E570&amp;"USD"&amp;RIGHT(AJ570,3),$AN:$AO,2,FALSE)))))</f>
        <v>1</v>
      </c>
      <c r="AJ570" s="173" t="str">
        <f>IF(W570="via USD",IF(S570="EUR",S570&amp;"USD","USD"&amp;S570),IFERROR(VLOOKUP(K570&amp;S570,'FX RATES'!$H$2:$H$20,1,FALSE),S570&amp;K570))</f>
        <v>USDRUB</v>
      </c>
      <c r="AK570" s="175">
        <f>IF(LEFT(AJ570,3)=RIGHT(AJ570,3),0,IFERROR(INDEX(CLIENTS!$A$1:$O$649,MATCH(P570,CLIENTS!$A$1:$A$649,0),MATCH(AJ570,CLIENTS!$A$1:$O$1,0)),0))</f>
        <v>0</v>
      </c>
      <c r="AL570" s="176">
        <v>77.069999999999993</v>
      </c>
      <c r="AM570" s="177">
        <f>IF(W570="VENDOR","",IF(AL570="",AP570+AK570,AL570+AK570))</f>
        <v>77.069999999999993</v>
      </c>
      <c r="AN570" s="177" t="str">
        <f>E570&amp;AJ570</f>
        <v>46069USDRUB</v>
      </c>
      <c r="AO570" s="176">
        <v>76.75</v>
      </c>
      <c r="AP570" s="178">
        <f ca="1">IF(LEFT(AJ570,3)=RIGHT(AJ570,3),1,VLOOKUP(AJ570,'FX RATES'!$H$1:$I$20,2,FALSE))</f>
        <v>76.720500000000001</v>
      </c>
      <c r="AQ570" s="178">
        <f>IF(OR(AJ570="USDAED",LEFT(AJ570,3)=RIGHT(AJ570,3)),AP570,IF(LEFT(AJ570)="USD",AO570,IF(RIGHT(AJ570,3)="USD",1,IFERROR(VLOOKUP(E570&amp;"USD"&amp;RIGHT(AJ570,3),$AN:$AO,2,FALSE),VLOOKUP(E570&amp;"USD"&amp;RIGHT(AB570,3),$AF:$AG,2,FALSE)))))</f>
        <v>76.75</v>
      </c>
      <c r="AR570" s="179">
        <f>-Q570*(1-Z570)/(1+X570)*IF(W570="CLIENT",IF(S570=RIGHT(AJ570,3),1/AM570,AM570),IF(W570="VENDOR",IF(S570=RIGHT(AJ570,3),1/AE570,AE570),AE570^(VLOOKUP(AB570,'FX RATES'!$H$1:$J$26,3,FALSE))/AM570^(VLOOKUP(AJ570,'FX RATES'!$H$1:$J$26,3,FALSE))))</f>
        <v>0</v>
      </c>
      <c r="AS570" s="179">
        <f>-I570*(1+X570)/(1-Z570)*IF(W570="VENDOR",IF(K570=RIGHT(AB570,3),1/AE570,AE570),IF(W570="CLIENT",IF(K570=RIGHT(AB570,3),1/AM570,AM570),AM570^(VLOOKUP(AJ570,'FX RATES'!$H$1:$J$26,3,FALSE))/AE570^(VLOOKUP(AB570,'FX RATES'!$H$1:$J$26,3,FALSE))))</f>
        <v>92484770.699999988</v>
      </c>
      <c r="AT570" s="170">
        <f>IF(AB570&lt;&gt;AJ570,J570/IF(K570=RIGHT(AB570,3),AE570,1/AE570),IF(S570="USD",J570/IF(K570=RIGHT(AB570,3),IF(W570="CLIENT",AM570,AE570),1/IF(W570="CLIENT",AM570,AE570)),J570*VLOOKUP(K570,'FX RATES'!$E$1:$F$10,2,FALSE)))</f>
        <v>-1200010</v>
      </c>
      <c r="AU570" s="170">
        <f>IF(AB570&lt;&gt;AJ570,R570/IF(S570=RIGHT(AJ570,3),AM570,1/AM570),IF(K570="USD",R570/IF(S570=RIGHT(AJ570,3),IF(W570="CLIENT",AM570,AE570),1/IF(W570="CLIENT",AM570,AE570)),R570*VLOOKUP(S570,'FX RATES'!$E$1:$F$10,2,FALSE)))</f>
        <v>1200010</v>
      </c>
      <c r="AV570" s="170">
        <f>AT570+AU570</f>
        <v>0</v>
      </c>
      <c r="AW570" s="169"/>
      <c r="AX570" s="170">
        <f>IF(AND(ISERROR(SEARCH("INVOICE",T570)),ISERROR(SEARCH("SWITCH",T570)),ISERROR(SEARCH("FOREX",T570)),ISERROR(SEARCH("REFUND",A570)),ISERROR(SEARCH("CANCELLED",A570))),IF(AW570="",-AT570*X570+AU570*Z570,AW570),0)</f>
        <v>0</v>
      </c>
      <c r="AY570" s="170">
        <f>IF(AZ570="USD",AT570,IF(AZ570=K570,J570,-R570))</f>
        <v>-1200010</v>
      </c>
      <c r="AZ570" s="170" t="str">
        <f>LEFT(AB570,3)</f>
        <v>USD</v>
      </c>
      <c r="BA570" s="542">
        <f>IF(OR(A570="REFUND",A570="CANCELLED"),0,IFERROR((IF(OR(AB570="USDAED",LEFT(AB570,3)=RIGHT(AB570,3),AB570="USDUSDT",AB570="USDTUSD"),AI570,AG570)-AE570)*-AY570*VLOOKUP(AB570,'FX RATES'!$H$1:$J$26,3,FALSE),0))</f>
        <v>0</v>
      </c>
      <c r="BB570" s="170" t="str">
        <f>RIGHT(AB570,4)</f>
        <v>USDT</v>
      </c>
      <c r="BC570" s="542">
        <f>IF(BA570=0,0,IFERROR(BA570/IF(BB570&lt;&gt;"USD",AI570,1),"???"))</f>
        <v>0</v>
      </c>
      <c r="BD570" s="170">
        <f>IFERROR(-AC570/(IF(OR(AB570="USDAED",LEFT(AB570,3)=RIGHT(AB570,3)),AH570,AG570)-AE570)*BC570,0)</f>
        <v>0</v>
      </c>
      <c r="BE570" s="542">
        <f>BC570-BD570</f>
        <v>0</v>
      </c>
      <c r="BF570" s="170">
        <f>IF(BG570="USD",AU570,IF(BG570=S570,R570,-J570))</f>
        <v>1200010</v>
      </c>
      <c r="BG570" s="170" t="str">
        <f>LEFT(AJ570,3)</f>
        <v>USD</v>
      </c>
      <c r="BH570" s="542">
        <f>IF(OR(A570="REFUND",A570="CANCELLED"),0,IFERROR((IF(OR(AJ570="USDAED",LEFT(AJ570,3)=RIGHT(AJ570,3)),AQ570,AO570)-AM570)*-BF570*VLOOKUP(AJ570,'FX RATES'!$H$1:$J$26,3,FALSE),0))</f>
        <v>384003.1999999918</v>
      </c>
      <c r="BI570" s="170" t="str">
        <f>RIGHT(AJ570,3)</f>
        <v>RUB</v>
      </c>
      <c r="BJ570" s="542">
        <f>IF(BH570=0,0,IFERROR(BH570/IF(BI570&lt;&gt;"USD",AQ570,1),"???"))</f>
        <v>5003.2990228011959</v>
      </c>
      <c r="BK570" s="170">
        <f>IFERROR(-AK570/(IF(OR(AJ570="USDAED",LEFT(AJ570,3)=RIGHT(AJ570,3)),AP570,AO570)-AM570)*BJ570,0)</f>
        <v>0</v>
      </c>
      <c r="BL570" s="542">
        <f>BJ570-BK570</f>
        <v>5003.2990228011959</v>
      </c>
      <c r="BM570" s="170">
        <f>IF(AND(ISERROR(SEARCH("REFUND",A570)),ISERROR(SEARCH("CANCELLED",A570))),BD570+BK570,0)</f>
        <v>0</v>
      </c>
      <c r="BN570" s="542">
        <f>IF(AND(ISERROR(SEARCH("REFUND",A570)),ISERROR(SEARCH("CANCELLED",A570))),BE570+BL570,0)</f>
        <v>5003.2990228011959</v>
      </c>
    </row>
    <row r="571" spans="1:66" ht="19.5" customHeight="1">
      <c r="A571" s="167" t="s">
        <v>601</v>
      </c>
      <c r="B571" s="168" t="s">
        <v>31</v>
      </c>
      <c r="C571" s="168" t="s">
        <v>367</v>
      </c>
      <c r="D571" s="168" t="s">
        <v>620</v>
      </c>
      <c r="E571" s="171">
        <v>46069</v>
      </c>
      <c r="F571" s="171"/>
      <c r="G571" s="168" t="s">
        <v>31</v>
      </c>
      <c r="H571" s="181" t="s">
        <v>538</v>
      </c>
      <c r="I571" s="169">
        <v>-759740.04</v>
      </c>
      <c r="J571" s="170">
        <f>IF(I571="",AR571,I571)</f>
        <v>-759740.04</v>
      </c>
      <c r="K571" s="168" t="s">
        <v>5</v>
      </c>
      <c r="L571" s="168" t="s">
        <v>426</v>
      </c>
      <c r="M571" s="168" t="s">
        <v>14</v>
      </c>
      <c r="N571" s="167" t="s">
        <v>553</v>
      </c>
      <c r="O571" s="168" t="s">
        <v>52</v>
      </c>
      <c r="P571" s="168" t="s">
        <v>379</v>
      </c>
      <c r="Q571" s="169"/>
      <c r="R571" s="170">
        <f>IF(Q571="",AS571,Q571)</f>
        <v>58503877.224928647</v>
      </c>
      <c r="S571" s="168" t="s">
        <v>9</v>
      </c>
      <c r="T571" s="171" t="s">
        <v>380</v>
      </c>
      <c r="U571" s="168" t="s">
        <v>25</v>
      </c>
      <c r="V571" s="167" t="s">
        <v>371</v>
      </c>
      <c r="W571" s="172" t="s">
        <v>375</v>
      </c>
      <c r="X571" s="173">
        <f>IF(Y571="",VLOOKUP(H571,CLIENTS!$A$1:$O$649,5,FALSE),Y571)</f>
        <v>0</v>
      </c>
      <c r="Y571" s="174">
        <v>0</v>
      </c>
      <c r="Z571" s="173">
        <f>IF(AA571="",VLOOKUP(P571,CLIENTS!$A$1:$O$649,5,FALSE),AA571)</f>
        <v>5.0000000000000001E-3</v>
      </c>
      <c r="AA571" s="174">
        <v>5.0000000000000001E-3</v>
      </c>
      <c r="AB571" s="173" t="str">
        <f>IF(W571="via USD",IF(K571="EUR",K571&amp;"USD","USD"&amp;K571),IFERROR(VLOOKUP(K571&amp;S571,'FX RATES'!$H$2:$H$20,1,FALSE),S571&amp;K571))</f>
        <v>USDUSD</v>
      </c>
      <c r="AC571" s="175">
        <f>IF(LEFT(AB571,3)=RIGHT(AB571,3),0,IFERROR(INDEX(CLIENTS!$A$1:$O$649,MATCH(H571,CLIENTS!$A$1:$A$649,0),MATCH(AB571,CLIENTS!$A$1:$O$1,0)),0))</f>
        <v>0</v>
      </c>
      <c r="AD571" s="176"/>
      <c r="AE571" s="177">
        <f>IF(W571="CLIENT","",IF(AD571="",AH571+AC571,AD571+AC571))</f>
        <v>1</v>
      </c>
      <c r="AF571" s="177" t="str">
        <f>E571&amp;AB571</f>
        <v>46069USDUSD</v>
      </c>
      <c r="AG571" s="176"/>
      <c r="AH571" s="178">
        <f>IF(LEFT(AB571,3)=RIGHT(AB571,3),1,VLOOKUP(AB571,'FX RATES'!$H$1:$I$20,2,FALSE))</f>
        <v>1</v>
      </c>
      <c r="AI571" s="178">
        <f>IF(OR(AB571="USDAED",LEFT(AB571,3)=RIGHT(AB571,3)),AH571,IF(LEFT(AB571)="USD",AG571,IF(RIGHT(AB571,3)="USD",1,IFERROR(VLOOKUP(E571&amp;"USD"&amp;RIGHT(AB571,3),$AF:$AG,2,FALSE),VLOOKUP(E571&amp;"USD"&amp;RIGHT(AJ571,3),$AN:$AO,2,FALSE)))))</f>
        <v>1</v>
      </c>
      <c r="AJ571" s="173" t="str">
        <f>IF(W571="via USD",IF(S571="EUR",S571&amp;"USD","USD"&amp;S571),IFERROR(VLOOKUP(K571&amp;S571,'FX RATES'!$H$2:$H$20,1,FALSE),S571&amp;K571))</f>
        <v>USDRUB</v>
      </c>
      <c r="AK571" s="175">
        <f>IF(LEFT(AJ571,3)=RIGHT(AJ571,3),0,IFERROR(INDEX(CLIENTS!$A$1:$O$649,MATCH(P571,CLIENTS!$A$1:$A$649,0),MATCH(AJ571,CLIENTS!$A$1:$O$1,0)),0))</f>
        <v>0</v>
      </c>
      <c r="AL571" s="176">
        <v>76.620099999999994</v>
      </c>
      <c r="AM571" s="177">
        <f>IF(W571="VENDOR","",IF(AL571="",AP571+AK571,AL571+AK571))</f>
        <v>76.620099999999994</v>
      </c>
      <c r="AN571" s="177" t="str">
        <f>E571&amp;AJ571</f>
        <v>46069USDRUB</v>
      </c>
      <c r="AO571" s="176">
        <v>76.75</v>
      </c>
      <c r="AP571" s="178">
        <f ca="1">IF(LEFT(AJ571,3)=RIGHT(AJ571,3),1,VLOOKUP(AJ571,'FX RATES'!$H$1:$I$20,2,FALSE))</f>
        <v>76.720500000000001</v>
      </c>
      <c r="AQ571" s="178">
        <f>IF(OR(AJ571="USDAED",LEFT(AJ571,3)=RIGHT(AJ571,3)),AP571,IF(LEFT(AJ571)="USD",AO571,IF(RIGHT(AJ571,3)="USD",1,IFERROR(VLOOKUP(E571&amp;"USD"&amp;RIGHT(AJ571,3),$AN:$AO,2,FALSE),VLOOKUP(E571&amp;"USD"&amp;RIGHT(AB571,3),$AF:$AG,2,FALSE)))))</f>
        <v>76.75</v>
      </c>
      <c r="AR571" s="179">
        <f>-Q571*(1-Z571)/(1+X571)*IF(W571="CLIENT",IF(S571=RIGHT(AJ571,3),1/AM571,AM571),IF(W571="VENDOR",IF(S571=RIGHT(AJ571,3),1/AE571,AE571),AE571^(VLOOKUP(AB571,'FX RATES'!$H$1:$J$26,3,FALSE))/AM571^(VLOOKUP(AJ571,'FX RATES'!$H$1:$J$26,3,FALSE))))</f>
        <v>0</v>
      </c>
      <c r="AS571" s="179">
        <f>-I571*(1+X571)/(1-Z571)*IF(W571="VENDOR",IF(K571=RIGHT(AB571,3),1/AE571,AE571),IF(W571="CLIENT",IF(K571=RIGHT(AB571,3),1/AM571,AM571),AM571^(VLOOKUP(AJ571,'FX RATES'!$H$1:$J$26,3,FALSE))/AE571^(VLOOKUP(AB571,'FX RATES'!$H$1:$J$26,3,FALSE))))</f>
        <v>58503877.224928647</v>
      </c>
      <c r="AT571" s="170">
        <f>IF(AB571&lt;&gt;AJ571,J571/IF(K571=RIGHT(AB571,3),AE571,1/AE571),IF(S571="USD",J571/IF(K571=RIGHT(AB571,3),IF(W571="CLIENT",AM571,AE571),1/IF(W571="CLIENT",AM571,AE571)),J571*VLOOKUP(K571,'FX RATES'!$E$1:$F$10,2,FALSE)))</f>
        <v>-759740.04</v>
      </c>
      <c r="AU571" s="170">
        <f>IF(AB571&lt;&gt;AJ571,R571/IF(S571=RIGHT(AJ571,3),AM571,1/AM571),IF(K571="USD",R571/IF(S571=RIGHT(AJ571,3),IF(W571="CLIENT",AM571,AE571),1/IF(W571="CLIENT",AM571,AE571)),R571*VLOOKUP(S571,'FX RATES'!$E$1:$F$10,2,FALSE)))</f>
        <v>763557.82914572873</v>
      </c>
      <c r="AV571" s="170">
        <f>AT571+AU571</f>
        <v>3817.7891457286896</v>
      </c>
      <c r="AW571" s="169"/>
      <c r="AX571" s="170">
        <f>IF(AND(ISERROR(SEARCH("INVOICE",T571)),ISERROR(SEARCH("SWITCH",T571)),ISERROR(SEARCH("FOREX",T571)),ISERROR(SEARCH("REFUND",A571)),ISERROR(SEARCH("CANCELLED",A571))),IF(AW571="",-AT571*X571+AU571*Z571,AW571),0)</f>
        <v>3817.7891457286437</v>
      </c>
      <c r="AY571" s="170">
        <f>IF(AZ571="USD",AT571,IF(AZ571=K571,J571,-R571))</f>
        <v>-759740.04</v>
      </c>
      <c r="AZ571" s="170" t="str">
        <f>LEFT(AB571,3)</f>
        <v>USD</v>
      </c>
      <c r="BA571" s="542">
        <f>IF(OR(A571="REFUND",A571="CANCELLED"),0,IFERROR((IF(OR(AB571="USDAED",LEFT(AB571,3)=RIGHT(AB571,3)),AI571,AG571)-AE571)*-AY571*VLOOKUP(AB571,'FX RATES'!$H$1:$J$26,3,FALSE),0))</f>
        <v>0</v>
      </c>
      <c r="BB571" s="170" t="str">
        <f>RIGHT(AB571,3)</f>
        <v>USD</v>
      </c>
      <c r="BC571" s="542">
        <f>IF(BA571=0,0,IFERROR(BA571/IF(BB571&lt;&gt;"USD",AI571,1),"???"))</f>
        <v>0</v>
      </c>
      <c r="BD571" s="170">
        <f>IFERROR(-AC571/(IF(OR(AB571="USDAED",LEFT(AB571,3)=RIGHT(AB571,3)),AH571,AG571)-AE571)*BC571,0)</f>
        <v>0</v>
      </c>
      <c r="BE571" s="542">
        <f>BC571-BD571</f>
        <v>0</v>
      </c>
      <c r="BF571" s="170">
        <f>IF(BG571="USD",AU571,IF(BG571=S571,R571,-J571))</f>
        <v>763557.82914572873</v>
      </c>
      <c r="BG571" s="170" t="str">
        <f>LEFT(AJ571,3)</f>
        <v>USD</v>
      </c>
      <c r="BH571" s="542">
        <f>IF(OR(A571="REFUND",A571="CANCELLED"),0,IFERROR((IF(OR(AJ571="USDAED",LEFT(AJ571,3)=RIGHT(AJ571,3)),AQ571,AO571)-AM571)*-BF571*VLOOKUP(AJ571,'FX RATES'!$H$1:$J$26,3,FALSE),0))</f>
        <v>-99186.162006035011</v>
      </c>
      <c r="BI571" s="170" t="str">
        <f>RIGHT(AJ571,3)</f>
        <v>RUB</v>
      </c>
      <c r="BJ571" s="542">
        <f>IF(BH571=0,0,IFERROR(BH571/IF(BI571&lt;&gt;"USD",AQ571,1),"???"))</f>
        <v>-1292.3278437268405</v>
      </c>
      <c r="BK571" s="170">
        <f>IFERROR(-AK571/(IF(OR(AJ571="USDAED",LEFT(AJ571,3)=RIGHT(AJ571,3)),AP571,AO571)-AM571)*BJ571,0)</f>
        <v>0</v>
      </c>
      <c r="BL571" s="542">
        <f>BJ571-BK571</f>
        <v>-1292.3278437268405</v>
      </c>
      <c r="BM571" s="170">
        <f>IF(AND(ISERROR(SEARCH("REFUND",A571)),ISERROR(SEARCH("CANCELLED",A571))),BD571+BK571,0)</f>
        <v>0</v>
      </c>
      <c r="BN571" s="542">
        <f>IF(AND(ISERROR(SEARCH("REFUND",A571)),ISERROR(SEARCH("CANCELLED",A571))),BE571+BL571,0)</f>
        <v>-1292.3278437268405</v>
      </c>
    </row>
    <row r="572" spans="1:66" ht="19.5" customHeight="1">
      <c r="A572" s="167" t="s">
        <v>601</v>
      </c>
      <c r="B572" s="168" t="s">
        <v>31</v>
      </c>
      <c r="C572" s="168" t="s">
        <v>383</v>
      </c>
      <c r="D572" s="168" t="s">
        <v>121</v>
      </c>
      <c r="E572" s="171">
        <v>46069</v>
      </c>
      <c r="F572" s="171"/>
      <c r="G572" s="168" t="s">
        <v>52</v>
      </c>
      <c r="H572" s="181" t="s">
        <v>476</v>
      </c>
      <c r="I572" s="169">
        <f>-(R565+R566+R567+R568+R570+R571)</f>
        <v>-228502839.27226624</v>
      </c>
      <c r="J572" s="170">
        <f>IF(I572="",AR572,I572)</f>
        <v>-228502839.27226624</v>
      </c>
      <c r="K572" s="168" t="s">
        <v>9</v>
      </c>
      <c r="L572" s="171" t="s">
        <v>25</v>
      </c>
      <c r="M572" s="168" t="s">
        <v>25</v>
      </c>
      <c r="N572" s="167" t="s">
        <v>553</v>
      </c>
      <c r="O572" s="168" t="s">
        <v>31</v>
      </c>
      <c r="P572" s="168" t="s">
        <v>31</v>
      </c>
      <c r="Q572" s="169"/>
      <c r="R572" s="170">
        <f>IF(Q572="",AS572,Q572)</f>
        <v>2997198.7921145959</v>
      </c>
      <c r="S572" s="168" t="s">
        <v>5</v>
      </c>
      <c r="T572" s="171" t="s">
        <v>477</v>
      </c>
      <c r="U572" s="168" t="s">
        <v>14</v>
      </c>
      <c r="V572" s="167" t="s">
        <v>371</v>
      </c>
      <c r="W572" s="172" t="s">
        <v>382</v>
      </c>
      <c r="X572" s="173">
        <f>IF(Y572="",VLOOKUP(H572,CLIENTS!$A$1:$O$649,5,FALSE),Y572)</f>
        <v>0</v>
      </c>
      <c r="Y572" s="174"/>
      <c r="Z572" s="173">
        <f>IF(AA572="",VLOOKUP(P572,CLIENTS!$A$1:$O$649,5,FALSE),AA572)</f>
        <v>0</v>
      </c>
      <c r="AA572" s="174"/>
      <c r="AB572" s="173" t="str">
        <f>IF(W572="via USD",IF(K572="EUR",K572&amp;"USD","USD"&amp;K572),IFERROR(VLOOKUP(K572&amp;S572,'FX RATES'!$H$2:$H$20,1,FALSE),S572&amp;K572))</f>
        <v>USDRUB</v>
      </c>
      <c r="AC572" s="175">
        <f>IF(LEFT(AB572,3)=RIGHT(AB572,3),0,IFERROR(INDEX(CLIENTS!$A$1:$O$649,MATCH(H572,CLIENTS!$A$1:$A$649,0),MATCH(AB572,CLIENTS!$A$1:$O$1,0)),0))+0.07</f>
        <v>0</v>
      </c>
      <c r="AD572" s="176">
        <v>76.238799999999998</v>
      </c>
      <c r="AE572" s="177">
        <f>IF(W572="CLIENT","",IF(AD572="",AH572+AC572,AD572+AC572))</f>
        <v>76.238799999999998</v>
      </c>
      <c r="AF572" s="177" t="str">
        <f>E572&amp;AB572</f>
        <v>46069USDRUB</v>
      </c>
      <c r="AG572" s="176">
        <v>76.75</v>
      </c>
      <c r="AH572" s="178">
        <f ca="1">IF(LEFT(AB572,3)=RIGHT(AB572,3),1,VLOOKUP(AB572,'FX RATES'!$H$1:$I$20,2,FALSE))</f>
        <v>76.720500000000001</v>
      </c>
      <c r="AI572" s="178">
        <f>IF(OR(AB572="USDAED",LEFT(AB572,3)=RIGHT(AB572,3)),AH572,IF(LEFT(AB572)="USD",AG572,IF(RIGHT(AB572,3)="USD",1,IFERROR(VLOOKUP(E572&amp;"USD"&amp;RIGHT(AB572,3),$AF:$AG,2,FALSE),VLOOKUP(E572&amp;"USD"&amp;RIGHT(AJ572,3),$AN:$AO,2,FALSE)))))</f>
        <v>76.75</v>
      </c>
      <c r="AJ572" s="173" t="str">
        <f>IF(W572="via USD",IF(S572="EUR",S572&amp;"USD","USD"&amp;S572),IFERROR(VLOOKUP(K572&amp;S572,'FX RATES'!$H$2:$H$20,1,FALSE),S572&amp;K572))</f>
        <v>USDRUB</v>
      </c>
      <c r="AK572" s="175">
        <f>IF(LEFT(AJ572,3)=RIGHT(AJ572,3),0,IFERROR(INDEX(CLIENTS!$A$1:$O$649,MATCH(P572,CLIENTS!$A$1:$A$649,0),MATCH(AJ572,CLIENTS!$A$1:$O$1,0)),0))</f>
        <v>0</v>
      </c>
      <c r="AL572" s="176"/>
      <c r="AM572" s="177" t="str">
        <f>IF(W572="VENDOR","",IF(AL572="",AP572+AK572,AL572+AK572))</f>
        <v/>
      </c>
      <c r="AN572" s="177" t="str">
        <f>E572&amp;AJ572</f>
        <v>46069USDRUB</v>
      </c>
      <c r="AO572" s="176"/>
      <c r="AP572" s="178">
        <f ca="1">IF(LEFT(AJ572,3)=RIGHT(AJ572,3),1,VLOOKUP(AJ572,'FX RATES'!$H$1:$I$20,2,FALSE))</f>
        <v>76.720500000000001</v>
      </c>
      <c r="AQ572" s="178">
        <f>IF(OR(AJ572="USDAED",LEFT(AJ572,3)=RIGHT(AJ572,3)),AP572,IF(LEFT(AJ572)="USD",AO572,IF(RIGHT(AJ572,3)="USD",1,IFERROR(VLOOKUP(E572&amp;"USD"&amp;RIGHT(AJ572,3),$AN:$AO,2,FALSE),VLOOKUP(E572&amp;"USD"&amp;RIGHT(AB572,3),$AF:$AG,2,FALSE)))))</f>
        <v>76.75</v>
      </c>
      <c r="AR572" s="179">
        <f>-Q572*(1-Z572)/(1+X572)*IF(W572="CLIENT",IF(S572=RIGHT(AJ572,3),1/AM572,AM572),IF(W572="VENDOR",IF(S572=RIGHT(AJ572,3),1/AE572,AE572),AE572^(VLOOKUP(AB572,'FX RATES'!$H$1:$J$26,3,FALSE))/AM572^(VLOOKUP(AJ572,'FX RATES'!$H$1:$J$26,3,FALSE))))</f>
        <v>0</v>
      </c>
      <c r="AS572" s="179">
        <f>-I572*(1+X572)/(1-Z572)*IF(W572="VENDOR",IF(K572=RIGHT(AB572,3),1/AE572,AE572),IF(W572="CLIENT",IF(K572=RIGHT(AB572,3),1/AM572,AM572),AM572^(VLOOKUP(AJ572,'FX RATES'!$H$1:$J$26,3,FALSE))/AE572^(VLOOKUP(AB572,'FX RATES'!$H$1:$J$26,3,FALSE))))</f>
        <v>2997198.7921145959</v>
      </c>
      <c r="AT572" s="170">
        <f>IF(AB572&lt;&gt;AJ572,J572/IF(K572=RIGHT(AB572,3),AE572,1/AE572),IF(S572="USD",J572/IF(K572=RIGHT(AB572,3),IF(W572="CLIENT",AM572,AE572),1/IF(W572="CLIENT",AM572,AE572)),J572*VLOOKUP(K572,'FX RATES'!$E$1:$F$10,2,FALSE)))</f>
        <v>-2997198.7921145959</v>
      </c>
      <c r="AU572" s="170">
        <f>IF(AB572&lt;&gt;AJ572,R572/IF(S572=RIGHT(AJ572,3),AM572,1/AM572),IF(K572="USD",R572/IF(S572=RIGHT(AJ572,3),IF(W572="CLIENT",AM572,AE572),1/IF(W572="CLIENT",AM572,AE572)),R572*VLOOKUP(S572,'FX RATES'!$E$1:$F$10,2,FALSE)))</f>
        <v>2997198.7921145959</v>
      </c>
      <c r="AV572" s="170">
        <f>AT572+AU572</f>
        <v>0</v>
      </c>
      <c r="AW572" s="169"/>
      <c r="AX572" s="170">
        <f>IF(AND(ISERROR(SEARCH("INVOICE",T572)),ISERROR(SEARCH("SWITCH",T572)),ISERROR(SEARCH("FOREX",T572)),ISERROR(SEARCH("REFUND",A572)),ISERROR(SEARCH("CANCELLED",A572))),IF(AW572="",-AT572*X572+AU572*Z572,AW572),0)</f>
        <v>0</v>
      </c>
      <c r="AY572" s="170">
        <f>IF(AZ572="USD",AT572,IF(AZ572=K572,J572,-R572))</f>
        <v>-2997198.7921145959</v>
      </c>
      <c r="AZ572" s="170" t="str">
        <f>LEFT(AB572,3)</f>
        <v>USD</v>
      </c>
      <c r="BA572" s="542">
        <f>IF(OR(A572="REFUND",A572="CANCELLED"),0,IFERROR((IF(OR(AB572="USDAED",LEFT(AB572,3)=RIGHT(AB572,3)),AI572,AG572)-AE572)*-AY572*VLOOKUP(AB572,'FX RATES'!$H$1:$J$26,3,FALSE),0))</f>
        <v>1532168.0225289883</v>
      </c>
      <c r="BB572" s="170" t="str">
        <f>RIGHT(AB572,3)</f>
        <v>RUB</v>
      </c>
      <c r="BC572" s="542">
        <f>IF(BA572=0,0,IFERROR(BA572/IF(BB572&lt;&gt;"USD",AI572,1),"???"))</f>
        <v>19963.101270736002</v>
      </c>
      <c r="BD572" s="170">
        <f>IFERROR(-AC572/(IF(OR(AB572="USDAED",LEFT(AB572,3)=RIGHT(AB572,3)),AH572,AG572)-AE572)*BC572,0)</f>
        <v>0</v>
      </c>
      <c r="BE572" s="542">
        <f>BC572-BD572</f>
        <v>19963.101270736002</v>
      </c>
      <c r="BF572" s="170">
        <f>IF(BG572="USD",AU572,IF(BG572=S572,R572,-J572))</f>
        <v>2997198.7921145959</v>
      </c>
      <c r="BG572" s="170" t="str">
        <f>LEFT(AJ572,3)</f>
        <v>USD</v>
      </c>
      <c r="BH572" s="542">
        <f>IF(OR(A572="REFUND",A572="CANCELLED"),0,IFERROR((IF(OR(AJ572="USDAED",LEFT(AJ572,3)=RIGHT(AJ572,3)),AQ572,AO572)-AM572)*-BF572*VLOOKUP(AJ572,'FX RATES'!$H$1:$J$26,3,FALSE),0))</f>
        <v>0</v>
      </c>
      <c r="BI572" s="170" t="str">
        <f>RIGHT(AJ572,3)</f>
        <v>RUB</v>
      </c>
      <c r="BJ572" s="542">
        <f>IF(BH572=0,0,IFERROR(BH572/IF(BI572&lt;&gt;"USD",AQ572,1),"???"))</f>
        <v>0</v>
      </c>
      <c r="BK572" s="170">
        <f>IFERROR(-AK572/(IF(OR(AJ572="USDAED",LEFT(AJ572,3)=RIGHT(AJ572,3)),AP572,AO572)-AM572)*BJ572,0)</f>
        <v>0</v>
      </c>
      <c r="BL572" s="542">
        <f>BJ572-BK572</f>
        <v>0</v>
      </c>
      <c r="BM572" s="170">
        <f>IF(AND(ISERROR(SEARCH("REFUND",A572)),ISERROR(SEARCH("CANCELLED",A572))),BD572+BK572,0)</f>
        <v>0</v>
      </c>
      <c r="BN572" s="542">
        <f>IF(AND(ISERROR(SEARCH("REFUND",A572)),ISERROR(SEARCH("CANCELLED",A572))),BE572+BL572,0)</f>
        <v>19963.101270736002</v>
      </c>
    </row>
    <row r="574" spans="1:66" ht="19.5" customHeight="1">
      <c r="A574" s="167" t="s">
        <v>601</v>
      </c>
      <c r="B574" s="168" t="s">
        <v>31</v>
      </c>
      <c r="C574" s="168" t="s">
        <v>367</v>
      </c>
      <c r="D574" s="168" t="s">
        <v>621</v>
      </c>
      <c r="E574" s="171">
        <v>46069</v>
      </c>
      <c r="F574" s="171"/>
      <c r="G574" s="168" t="s">
        <v>31</v>
      </c>
      <c r="H574" s="181" t="s">
        <v>425</v>
      </c>
      <c r="I574" s="169"/>
      <c r="J574" s="170">
        <f>IF(I574="",AR574,I574)</f>
        <v>-223813.9441797141</v>
      </c>
      <c r="K574" s="168" t="s">
        <v>5</v>
      </c>
      <c r="L574" s="171" t="s">
        <v>426</v>
      </c>
      <c r="M574" s="168" t="s">
        <v>14</v>
      </c>
      <c r="N574" s="167" t="s">
        <v>553</v>
      </c>
      <c r="O574" s="168" t="s">
        <v>39</v>
      </c>
      <c r="P574" s="168" t="s">
        <v>536</v>
      </c>
      <c r="Q574" s="169">
        <v>824430</v>
      </c>
      <c r="R574" s="170">
        <f>IF(Q574="",AS574,Q574)</f>
        <v>824430</v>
      </c>
      <c r="S574" s="168" t="s">
        <v>8</v>
      </c>
      <c r="T574" s="171" t="s">
        <v>537</v>
      </c>
      <c r="U574" s="168" t="s">
        <v>17</v>
      </c>
      <c r="V574" s="167" t="s">
        <v>371</v>
      </c>
      <c r="W574" s="172" t="s">
        <v>382</v>
      </c>
      <c r="X574" s="173">
        <f>IF(Y574="",VLOOKUP(H574,CLIENTS!$A$1:$O$649,5,FALSE),Y574)</f>
        <v>0</v>
      </c>
      <c r="Y574" s="174">
        <v>0</v>
      </c>
      <c r="Z574" s="173">
        <f>IF(AA574="",VLOOKUP(P574,CLIENTS!$A$1:$O$649,5,FALSE),AA574)</f>
        <v>3.0000000000000001E-3</v>
      </c>
      <c r="AA574" s="174">
        <v>3.0000000000000001E-3</v>
      </c>
      <c r="AB574" s="173" t="str">
        <f>IF(W574="via USD",IF(K574="EUR",K574&amp;"USD","USD"&amp;K574),IFERROR(VLOOKUP(K574&amp;S574,'FX RATES'!$H$2:$H$20,1,FALSE),S574&amp;K574))</f>
        <v>USDAED</v>
      </c>
      <c r="AC574" s="175">
        <f>IF(LEFT(AB574,3)=RIGHT(AB574,3),0,IFERROR(INDEX(CLIENTS!$A$1:$O$649,MATCH(H574,CLIENTS!$A$1:$A$649,0),MATCH(AB574,CLIENTS!$A$1:$O$1,0)),0))</f>
        <v>0</v>
      </c>
      <c r="AD574" s="176">
        <v>3.6724999999999999</v>
      </c>
      <c r="AE574" s="177">
        <f>IF(W574="CLIENT","",IF(AD574="",AH574+AC574,AD574+AC574))</f>
        <v>3.6724999999999999</v>
      </c>
      <c r="AF574" s="177" t="str">
        <f>E574&amp;AB574</f>
        <v>46069USDAED</v>
      </c>
      <c r="AG574" s="176"/>
      <c r="AH574" s="178">
        <f>IF(LEFT(AB574,3)=RIGHT(AB574,3),1,VLOOKUP(AB574,'FX RATES'!$H$1:$I$20,2,FALSE))</f>
        <v>3.6724999999999999</v>
      </c>
      <c r="AI574" s="178">
        <f>IF(OR(AB574="USDAED",LEFT(AB574,3)=RIGHT(AB574,3)),AH574,IF(LEFT(AB574)="USD",AG574,IF(RIGHT(AB574,3)="USD",1,IFERROR(VLOOKUP(E574&amp;"USD"&amp;RIGHT(AB574,3),$AF:$AG,2,FALSE),VLOOKUP(E574&amp;"USD"&amp;RIGHT(AJ574,3),$AN:$AO,2,FALSE)))))</f>
        <v>3.6724999999999999</v>
      </c>
      <c r="AJ574" s="173" t="str">
        <f>IF(W574="via USD",IF(S574="EUR",S574&amp;"USD","USD"&amp;S574),IFERROR(VLOOKUP(K574&amp;S574,'FX RATES'!$H$2:$H$20,1,FALSE),S574&amp;K574))</f>
        <v>USDAED</v>
      </c>
      <c r="AK574" s="175">
        <f>IF(LEFT(AJ574,3)=RIGHT(AJ574,3),0,IFERROR(INDEX(CLIENTS!$A$1:$O$649,MATCH(P574,CLIENTS!$A$1:$A$649,0),MATCH(AJ574,CLIENTS!$A$1:$O$1,0)),0))</f>
        <v>0</v>
      </c>
      <c r="AL574" s="176"/>
      <c r="AM574" s="177" t="str">
        <f>IF(W574="VENDOR","",IF(AL574="",AP574+AK574,AL574+AK574))</f>
        <v/>
      </c>
      <c r="AN574" s="177" t="str">
        <f>E574&amp;AJ574</f>
        <v>46069USDAED</v>
      </c>
      <c r="AO574" s="176"/>
      <c r="AP574" s="178">
        <f>IF(LEFT(AJ574,3)=RIGHT(AJ574,3),1,VLOOKUP(AJ574,'FX RATES'!$H$1:$I$20,2,FALSE))</f>
        <v>3.6724999999999999</v>
      </c>
      <c r="AQ574" s="178">
        <f>IF(OR(AJ574="USDAED",LEFT(AJ574,3)=RIGHT(AJ574,3)),AP574,IF(LEFT(AJ574)="USD",AO574,IF(RIGHT(AJ574,3)="USD",1,IFERROR(VLOOKUP(E574&amp;"USD"&amp;RIGHT(AJ574,3),$AN:$AO,2,FALSE),VLOOKUP(E574&amp;"USD"&amp;RIGHT(AB574,3),$AF:$AG,2,FALSE)))))</f>
        <v>3.6724999999999999</v>
      </c>
      <c r="AR574" s="179">
        <f>-Q574*(1-Z574)/(1+X574)*IF(W574="CLIENT",IF(S574=RIGHT(AJ574,3),1/AM574,AM574),IF(W574="VENDOR",IF(S574=RIGHT(AJ574,3),1/AE574,AE574),AE574^(VLOOKUP(AB574,'FX RATES'!$H$1:$J$26,3,FALSE))/AM574^(VLOOKUP(AJ574,'FX RATES'!$H$1:$J$26,3,FALSE))))</f>
        <v>-223813.9441797141</v>
      </c>
      <c r="AS574" s="179">
        <f>-I574*(1+X574)/(1-Z574)*IF(W574="VENDOR",IF(K574=RIGHT(AB574,3),1/AE574,AE574),IF(W574="CLIENT",IF(K574=RIGHT(AB574,3),1/AM574,AM574),AM574^(VLOOKUP(AJ574,'FX RATES'!$H$1:$J$26,3,FALSE))/AE574^(VLOOKUP(AB574,'FX RATES'!$H$1:$J$26,3,FALSE))))</f>
        <v>0</v>
      </c>
      <c r="AT574" s="170">
        <f>IF(AB574&lt;&gt;AJ574,J574/IF(K574=RIGHT(AB574,3),AE574,1/AE574),IF(S574="USD",J574/IF(K574=RIGHT(AB574,3),IF(W574="CLIENT",AM574,AE574),1/IF(W574="CLIENT",AM574,AE574)),J574*VLOOKUP(K574,'FX RATES'!$E$1:$F$10,2,FALSE)))</f>
        <v>-223813.9441797141</v>
      </c>
      <c r="AU574" s="170">
        <f>IF(AB574&lt;&gt;AJ574,R574/IF(S574=RIGHT(AJ574,3),AM574,1/AM574),IF(K574="USD",R574/IF(S574=RIGHT(AJ574,3),IF(W574="CLIENT",AM574,AE574),1/IF(W574="CLIENT",AM574,AE574)),R574*VLOOKUP(S574,'FX RATES'!$E$1:$F$10,2,FALSE)))</f>
        <v>224487.40639891083</v>
      </c>
      <c r="AV574" s="170">
        <f>AT574+AU574</f>
        <v>673.46221919672098</v>
      </c>
      <c r="AW574" s="169"/>
      <c r="AX574" s="170">
        <f>IF(AND(ISERROR(SEARCH("INVOICE",T574)),ISERROR(SEARCH("SWITCH",T574)),ISERROR(SEARCH("FOREX",T574)),ISERROR(SEARCH("REFUND",A574)),ISERROR(SEARCH("CANCELLED",A574))),IF(AW574="",-AT574*X574+AU574*Z574,AW574),0)</f>
        <v>673.46221919673246</v>
      </c>
      <c r="AY574" s="170">
        <f>IF(AZ574="USD",AT574,IF(AZ574=K574,J574,-R574))</f>
        <v>-223813.9441797141</v>
      </c>
      <c r="AZ574" s="170" t="str">
        <f>LEFT(AB574,3)</f>
        <v>USD</v>
      </c>
      <c r="BA574" s="542">
        <f>IF(OR(A574="REFUND",A574="CANCELLED"),0,IFERROR((IF(OR(AB574="USDAED",LEFT(AB574,3)=RIGHT(AB574,3)),AI574,AG574)-AE574)*-AY574*VLOOKUP(AB574,'FX RATES'!$H$1:$J$26,3,FALSE),0))</f>
        <v>0</v>
      </c>
      <c r="BB574" s="170" t="str">
        <f>RIGHT(AB574,3)</f>
        <v>AED</v>
      </c>
      <c r="BC574" s="542">
        <f>IF(BA574=0,0,IFERROR(BA574/IF(BB574&lt;&gt;"USD",AI574,1),"???"))</f>
        <v>0</v>
      </c>
      <c r="BD574" s="170">
        <f>IFERROR(-AC574/(IF(OR(AB574="USDAED",LEFT(AB574,3)=RIGHT(AB574,3)),AH574,AG574)-AE574)*BC574,0)</f>
        <v>0</v>
      </c>
      <c r="BE574" s="542">
        <f>BC574-BD574</f>
        <v>0</v>
      </c>
      <c r="BF574" s="170">
        <f>IF(BG574="USD",AU574,IF(BG574=S574,R574,-J574))</f>
        <v>224487.40639891083</v>
      </c>
      <c r="BG574" s="170" t="str">
        <f>LEFT(AJ574,3)</f>
        <v>USD</v>
      </c>
      <c r="BH574" s="542">
        <f>IF(OR(A574="REFUND",A574="CANCELLED"),0,IFERROR((IF(OR(AJ574="USDAED",LEFT(AJ574,3)=RIGHT(AJ574,3)),AQ574,AO574)-AM574)*-BF574*VLOOKUP(AJ574,'FX RATES'!$H$1:$J$26,3,FALSE),0))</f>
        <v>0</v>
      </c>
      <c r="BI574" s="170" t="str">
        <f>RIGHT(AJ574,3)</f>
        <v>AED</v>
      </c>
      <c r="BJ574" s="542">
        <f>IF(BH574=0,0,IFERROR(BH574/IF(BI574&lt;&gt;"USD",AQ574,1),"???"))</f>
        <v>0</v>
      </c>
      <c r="BK574" s="170">
        <f>IFERROR(-AK574/(IF(OR(AJ574="USDAED",LEFT(AJ574,3)=RIGHT(AJ574,3)),AP574,AO574)-AM574)*BJ574,0)</f>
        <v>0</v>
      </c>
      <c r="BL574" s="542">
        <f>BJ574-BK574</f>
        <v>0</v>
      </c>
      <c r="BM574" s="170">
        <f>IF(AND(ISERROR(SEARCH("REFUND",A574)),ISERROR(SEARCH("CANCELLED",A574))),BD574+BK574,0)</f>
        <v>0</v>
      </c>
      <c r="BN574" s="542">
        <f>IF(AND(ISERROR(SEARCH("REFUND",A574)),ISERROR(SEARCH("CANCELLED",A574))),BE574+BL574,0)</f>
        <v>0</v>
      </c>
    </row>
    <row r="575" spans="1:66" ht="19.5" customHeight="1">
      <c r="A575" s="180"/>
      <c r="E575" s="180"/>
      <c r="F575" s="180"/>
      <c r="L575" s="180"/>
      <c r="M575" s="180"/>
      <c r="N575" s="180"/>
      <c r="O575" s="180"/>
      <c r="P575" s="180"/>
      <c r="V575" s="180"/>
      <c r="W575" s="180"/>
      <c r="BA575" s="180"/>
      <c r="BC575" s="180"/>
      <c r="BE575" s="180"/>
      <c r="BH575" s="180"/>
      <c r="BJ575" s="180"/>
      <c r="BL575" s="180"/>
      <c r="BN575" s="180"/>
    </row>
    <row r="576" spans="1:66" ht="20">
      <c r="A576" s="167" t="s">
        <v>601</v>
      </c>
      <c r="B576" s="168" t="s">
        <v>27</v>
      </c>
      <c r="C576" s="168" t="s">
        <v>367</v>
      </c>
      <c r="D576" s="181" t="s">
        <v>368</v>
      </c>
      <c r="E576" s="171">
        <v>46069</v>
      </c>
      <c r="F576" s="171"/>
      <c r="G576" s="168" t="s">
        <v>27</v>
      </c>
      <c r="H576" s="181" t="s">
        <v>622</v>
      </c>
      <c r="I576" s="169"/>
      <c r="J576" s="398">
        <f>IF(I576="",AR576,I576)</f>
        <v>-41261.375</v>
      </c>
      <c r="K576" s="168" t="s">
        <v>5</v>
      </c>
      <c r="L576" s="168" t="s">
        <v>623</v>
      </c>
      <c r="M576" s="168" t="s">
        <v>28</v>
      </c>
      <c r="N576" s="418"/>
      <c r="O576" s="168" t="s">
        <v>39</v>
      </c>
      <c r="P576" s="349" t="s">
        <v>624</v>
      </c>
      <c r="Q576" s="169">
        <v>3283656.79</v>
      </c>
      <c r="R576" s="170">
        <f>IF(Q576="",AS576,Q576)</f>
        <v>3283656.79</v>
      </c>
      <c r="S576" s="168" t="s">
        <v>9</v>
      </c>
      <c r="T576" s="171" t="s">
        <v>514</v>
      </c>
      <c r="U576" s="168" t="s">
        <v>514</v>
      </c>
      <c r="W576" s="172" t="s">
        <v>375</v>
      </c>
      <c r="X576" s="173">
        <f>IF(Y576="",VLOOKUP(H576,CLIENTS!$A$1:$O$649,5,FALSE),Y576)</f>
        <v>0</v>
      </c>
      <c r="Y576" s="174">
        <v>0</v>
      </c>
      <c r="Z576" s="173">
        <f>IF(AA576="",VLOOKUP(P576,CLIENTS!$A$1:$O$649,5,FALSE),AA576)</f>
        <v>0.03</v>
      </c>
      <c r="AA576" s="174">
        <v>0.03</v>
      </c>
      <c r="AB576" s="173" t="str">
        <f>IF(W576="via USD",IF(K576="EUR",K576&amp;"USD","USD"&amp;K576),IFERROR(VLOOKUP(K576&amp;S576,'FX RATES'!$H$2:$H$20,1,FALSE),S576&amp;K576))</f>
        <v>USDUSD</v>
      </c>
      <c r="AC576" s="175">
        <f>IF(LEFT(AB576,3)=RIGHT(AB576,3),0,IFERROR(INDEX(CLIENTS!$A$1:$O$649,MATCH(H576,CLIENTS!$A$1:$A$649,0),MATCH(AB576,CLIENTS!$A$1:$O$1,0)),0))</f>
        <v>0</v>
      </c>
      <c r="AD576" s="176"/>
      <c r="AE576" s="177">
        <f>IF(W576="CLIENT","",IF(AD576="",AH576+AC576,AD576+AC576))</f>
        <v>1</v>
      </c>
      <c r="AF576" s="177" t="str">
        <f>E576&amp;AB576</f>
        <v>46069USDUSD</v>
      </c>
      <c r="AG576" s="176"/>
      <c r="AH576" s="178">
        <f>IF(LEFT(AB576,3)=RIGHT(AB576,3),1,VLOOKUP(AB576,'FX RATES'!$H$1:$I$20,2,FALSE))</f>
        <v>1</v>
      </c>
      <c r="AI576" s="178">
        <f>IF(OR(AB576="USDAED",LEFT(AB576,3)=RIGHT(AB576,3)),AH576,IF(LEFT(AB576)="USD",AG576,IF(RIGHT(AB576,3)="USD",1,IFERROR(VLOOKUP(E576&amp;"USD"&amp;RIGHT(AB576,3),$AF:$AG,2,FALSE),VLOOKUP(E576&amp;"USD"&amp;RIGHT(AJ576,3),$AN:$AO,2,FALSE)))))</f>
        <v>1</v>
      </c>
      <c r="AJ576" s="173" t="str">
        <f>IF(W576="via USD",IF(S576="EUR",S576&amp;"USD","USD"&amp;S576),IFERROR(VLOOKUP(K576&amp;S576,'FX RATES'!$H$2:$H$20,1,FALSE),S576&amp;K576))</f>
        <v>USDRUB</v>
      </c>
      <c r="AK576" s="175">
        <f>IF(LEFT(AJ576,3)=RIGHT(AJ576,3),0,IFERROR(INDEX(CLIENTS!$A$1:$O$649,MATCH(P576,CLIENTS!$A$1:$A$649,0),MATCH(AJ576,CLIENTS!$A$1:$O$1,0)),0))</f>
        <v>0</v>
      </c>
      <c r="AL576" s="176">
        <v>77.194400000000002</v>
      </c>
      <c r="AM576" s="177">
        <f>IF(W576="VENDOR","",IF(AL576="",AP576+AK576,AL576+AK576))</f>
        <v>77.194400000000002</v>
      </c>
      <c r="AN576" s="177" t="str">
        <f>E576&amp;AJ576</f>
        <v>46069USDRUB</v>
      </c>
      <c r="AO576" s="176">
        <v>77.150000000000006</v>
      </c>
      <c r="AP576" s="178">
        <f ca="1">IF(LEFT(AJ576,3)=RIGHT(AJ576,3),1,VLOOKUP(AJ576,'FX RATES'!$H$1:$I$20,2,FALSE))</f>
        <v>76.720500000000001</v>
      </c>
      <c r="AQ576" s="178">
        <f>IF(OR(AJ576="USDAED",LEFT(AJ576,3)=RIGHT(AJ576,3)),AP576,IF(LEFT(AJ576)="USD",AO576,IF(RIGHT(AJ576,3)="USD",1,IFERROR(VLOOKUP(E576&amp;"USD"&amp;RIGHT(AJ576,3),$AN:$AO,2,FALSE),VLOOKUP(E576&amp;"USD"&amp;RIGHT(AB576,3),$AF:$AG,2,FALSE)))))</f>
        <v>76.75</v>
      </c>
      <c r="AR576" s="179">
        <f>-Q576*(1-Z576)/(1+X576)*IF(W576="CLIENT",IF(S576=RIGHT(AJ576,3),1/AM576,AM576),IF(W576="VENDOR",IF(S576=RIGHT(AJ576,3),1/AE576,AE576),AE576^(VLOOKUP(AB576,'FX RATES'!$H$1:$J$26,3,FALSE))/AM576^(VLOOKUP(AJ576,'FX RATES'!$H$1:$J$26,3,FALSE))))</f>
        <v>-41261.375</v>
      </c>
      <c r="AS576" s="179">
        <f>-I576*(1+X576)/(1-Z576)*IF(W576="VENDOR",IF(K576=RIGHT(AB576,3),1/AE576,AE576),IF(W576="CLIENT",IF(K576=RIGHT(AB576,3),1/AM576,AM576),AM576^(VLOOKUP(AJ576,'FX RATES'!$H$1:$J$26,3,FALSE))/AE576^(VLOOKUP(AB576,'FX RATES'!$H$1:$J$26,3,FALSE))))</f>
        <v>0</v>
      </c>
      <c r="AT576" s="170">
        <f>IF(AB576&lt;&gt;AJ576,J576/IF(K576=RIGHT(AB576,3),AE576,1/AE576),IF(S576="USD",J576/IF(K576=RIGHT(AB576,3),IF(W576="CLIENT",AM576,AE576),1/IF(W576="CLIENT",AM576,AE576)),J576*VLOOKUP(K576,'FX RATES'!$E$1:$F$10,2,FALSE)))</f>
        <v>-41261.375</v>
      </c>
      <c r="AU576" s="170">
        <f>IF(AB576&lt;&gt;AJ576,R576/IF(S576=RIGHT(AJ576,3),AM576,1/AM576),IF(K576="USD",R576/IF(S576=RIGHT(AJ576,3),IF(W576="CLIENT",AM576,AE576),1/IF(W576="CLIENT",AM576,AE576)),R576*VLOOKUP(S576,'FX RATES'!$E$1:$F$10,2,FALSE)))</f>
        <v>42537.5</v>
      </c>
      <c r="AV576" s="170">
        <f>AT576+AU576</f>
        <v>1276.125</v>
      </c>
      <c r="AW576" s="169"/>
      <c r="AX576" s="170">
        <f>IF(AND(ISERROR(SEARCH("INVOICE",T576)),ISERROR(SEARCH("SWITCH",T576)),ISERROR(SEARCH("FOREX",T576)),ISERROR(SEARCH("REFUND",A576)),ISERROR(SEARCH("CANCELLED",A576))),IF(AW576="",-AT576*X576+AU576*Z576,AW576),0)</f>
        <v>1276.125</v>
      </c>
      <c r="AY576" s="170">
        <f>IF(AZ576="USD",AT576,IF(AZ576=K576,J576,-R576))</f>
        <v>-41261.375</v>
      </c>
      <c r="AZ576" s="170" t="str">
        <f>LEFT(AB576,3)</f>
        <v>USD</v>
      </c>
      <c r="BA576" s="542">
        <f>IF(OR(A576="REFUND",A576="CANCELLED"),0,IFERROR((IF(OR(AB576="USDAED",LEFT(AB576,3)=RIGHT(AB576,3)),AI576,AG576)-AE576)*-AY576*VLOOKUP(AB576,'FX RATES'!$H$1:$J$26,3,FALSE),0))</f>
        <v>0</v>
      </c>
      <c r="BB576" s="170" t="str">
        <f>RIGHT(AB576,3)</f>
        <v>USD</v>
      </c>
      <c r="BC576" s="542">
        <f>IF(BA576=0,0,IFERROR(BA576/IF(BB576&lt;&gt;"USD",AI576,1),"???"))</f>
        <v>0</v>
      </c>
      <c r="BD576" s="170">
        <f>IFERROR(-AC576/(IF(OR(AB576="USDAED",LEFT(AB576,3)=RIGHT(AB576,3)),AH576,AG576)-AE576)*BC576,0)</f>
        <v>0</v>
      </c>
      <c r="BE576" s="542">
        <f>BC576-BD576</f>
        <v>0</v>
      </c>
      <c r="BF576" s="170">
        <f>IF(BG576="USD",AU576,IF(BG576=S576,R576,-J576))</f>
        <v>42537.5</v>
      </c>
      <c r="BG576" s="170" t="str">
        <f>LEFT(AJ576,3)</f>
        <v>USD</v>
      </c>
      <c r="BH576" s="542">
        <f>IF(OR(A576="REFUND",A576="CANCELLED"),0,IFERROR((IF(OR(AJ576="USDAED",LEFT(AJ576,3)=RIGHT(AJ576,3)),AQ576,AO576)-AM576)*-BF576*VLOOKUP(AJ576,'FX RATES'!$H$1:$J$26,3,FALSE),0))</f>
        <v>1888.6649999998299</v>
      </c>
      <c r="BI576" s="170" t="str">
        <f>RIGHT(AJ576,3)</f>
        <v>RUB</v>
      </c>
      <c r="BJ576" s="542">
        <f>IF(BH576=0,0,IFERROR(BH576/IF(BI576&lt;&gt;"USD",AQ576,1),"???"))</f>
        <v>24.608013029313746</v>
      </c>
      <c r="BK576" s="170">
        <f>IFERROR(-AK576/(IF(OR(AJ576="USDAED",LEFT(AJ576,3)=RIGHT(AJ576,3)),AP576,AO576)-AM576)*BJ576,0)</f>
        <v>0</v>
      </c>
      <c r="BL576" s="542">
        <f>BJ576-BK576</f>
        <v>24.608013029313746</v>
      </c>
      <c r="BM576" s="170">
        <f>IF(AND(ISERROR(SEARCH("REFUND",A576)),ISERROR(SEARCH("CANCELLED",A576))),BD576+BK576,0)</f>
        <v>0</v>
      </c>
      <c r="BN576" s="542">
        <f>IF(AND(ISERROR(SEARCH("REFUND",A576)),ISERROR(SEARCH("CANCELLED",A576))),BE576+BL576,0)</f>
        <v>24.608013029313746</v>
      </c>
    </row>
    <row r="577" spans="1:66" ht="19">
      <c r="A577" s="167" t="s">
        <v>601</v>
      </c>
      <c r="B577" s="168" t="s">
        <v>39</v>
      </c>
      <c r="C577" s="168" t="s">
        <v>381</v>
      </c>
      <c r="D577" s="168" t="s">
        <v>128</v>
      </c>
      <c r="E577" s="171">
        <v>46069</v>
      </c>
      <c r="F577" s="171"/>
      <c r="G577" s="168" t="s">
        <v>39</v>
      </c>
      <c r="H577" s="168" t="s">
        <v>39</v>
      </c>
      <c r="I577" s="169">
        <f>-R576</f>
        <v>-3283656.79</v>
      </c>
      <c r="J577" s="170">
        <f>IF(I577="",AR577,I577)</f>
        <v>-3283656.79</v>
      </c>
      <c r="K577" s="168" t="s">
        <v>9</v>
      </c>
      <c r="L577" s="171" t="s">
        <v>514</v>
      </c>
      <c r="M577" s="168" t="s">
        <v>514</v>
      </c>
      <c r="N577" s="167" t="s">
        <v>371</v>
      </c>
      <c r="O577" s="168" t="s">
        <v>39</v>
      </c>
      <c r="P577" s="168" t="s">
        <v>39</v>
      </c>
      <c r="Q577" s="169"/>
      <c r="R577" s="170">
        <f>IF(Q577="",AS577,Q577)</f>
        <v>3283656.79</v>
      </c>
      <c r="S577" s="168" t="s">
        <v>9</v>
      </c>
      <c r="T577" s="168" t="s">
        <v>25</v>
      </c>
      <c r="U577" s="168" t="s">
        <v>25</v>
      </c>
      <c r="V577" s="167" t="s">
        <v>371</v>
      </c>
      <c r="W577" s="172" t="s">
        <v>382</v>
      </c>
      <c r="X577" s="173">
        <f>IF(Y577="",VLOOKUP(H577,CLIENTS!$A$1:$O$649,5,FALSE),Y577)</f>
        <v>0</v>
      </c>
      <c r="Y577" s="174"/>
      <c r="Z577" s="173">
        <f>IF(AA577="",VLOOKUP(P577,CLIENTS!$A$1:$O$649,5,FALSE),AA577)</f>
        <v>0</v>
      </c>
      <c r="AA577" s="174"/>
      <c r="AB577" s="173" t="str">
        <f>IF(W577="via USD",IF(K577="EUR",K577&amp;"USD","USD"&amp;K577),IFERROR(VLOOKUP(K577&amp;S577,'FX RATES'!$H$2:$H$20,1,FALSE),S577&amp;K577))</f>
        <v>RUBRUB</v>
      </c>
      <c r="AC577" s="175">
        <f>IF(LEFT(AB577,3)=RIGHT(AB577,3),0,IFERROR(INDEX(CLIENTS!$A$1:$O$649,MATCH(H577,CLIENTS!$A$1:$A$649,0),MATCH(AB577,CLIENTS!$A$1:$O$1,0)),0))</f>
        <v>0</v>
      </c>
      <c r="AD577" s="176"/>
      <c r="AE577" s="177">
        <f>IF(W577="CLIENT","",IF(AD577="",AH577+AC577,AD577+AC577))</f>
        <v>1</v>
      </c>
      <c r="AF577" s="177" t="str">
        <f>E577&amp;AB577</f>
        <v>46069RUBRUB</v>
      </c>
      <c r="AG577" s="176"/>
      <c r="AH577" s="178">
        <f>IF(LEFT(AB577,3)=RIGHT(AB577,3),1,VLOOKUP(AB577,'FX RATES'!$H$1:$I$20,2,FALSE))</f>
        <v>1</v>
      </c>
      <c r="AI577" s="178">
        <f>IF(OR(AB577="USDAED",LEFT(AB577,3)=RIGHT(AB577,3)),AH577,IF(LEFT(AB577)="USD",AG577,IF(RIGHT(AB577,3)="USD",1,IFERROR(VLOOKUP(E577&amp;"USD"&amp;RIGHT(AB577,3),$AF:$AG,2,FALSE),VLOOKUP(E577&amp;"USD"&amp;RIGHT(AJ577,3),$AN:$AO,2,FALSE)))))</f>
        <v>1</v>
      </c>
      <c r="AJ577" s="173" t="str">
        <f>IF(W577="via USD",IF(S577="EUR",S577&amp;"USD","USD"&amp;S577),IFERROR(VLOOKUP(K577&amp;S577,'FX RATES'!$H$2:$H$20,1,FALSE),S577&amp;K577))</f>
        <v>RUBRUB</v>
      </c>
      <c r="AK577" s="175">
        <f>IF(LEFT(AJ577,3)=RIGHT(AJ577,3),0,IFERROR(INDEX(CLIENTS!$A$1:$O$649,MATCH(P577,CLIENTS!$A$1:$A$649,0),MATCH(AJ577,CLIENTS!$A$1:$O$1,0)),0))</f>
        <v>0</v>
      </c>
      <c r="AL577" s="176"/>
      <c r="AM577" s="177" t="str">
        <f>IF(W577="VENDOR","",IF(AL577="",AP577+AK577,AL577+AK577))</f>
        <v/>
      </c>
      <c r="AN577" s="177" t="str">
        <f>E577&amp;AJ577</f>
        <v>46069RUBRUB</v>
      </c>
      <c r="AO577" s="176"/>
      <c r="AP577" s="178">
        <f>IF(LEFT(AJ577,3)=RIGHT(AJ577,3),1,VLOOKUP(AJ577,'FX RATES'!$H$1:$I$20,2,FALSE))</f>
        <v>1</v>
      </c>
      <c r="AQ577" s="178">
        <f>IF(OR(AJ577="USDAED",LEFT(AJ577,3)=RIGHT(AJ577,3)),AP577,IF(LEFT(AJ577)="USD",AO577,IF(RIGHT(AJ577,3)="USD",1,IFERROR(VLOOKUP(E577&amp;"USD"&amp;RIGHT(AJ577,3),$AN:$AO,2,FALSE),VLOOKUP(E577&amp;"USD"&amp;RIGHT(AB577,3),$AF:$AG,2,FALSE)))))</f>
        <v>1</v>
      </c>
      <c r="AR577" s="179">
        <f>-Q577*(1-Z577)/(1+X577)*IF(W577="CLIENT",IF(S577=RIGHT(AJ577,3),1/AM577,AM577),IF(W577="VENDOR",IF(S577=RIGHT(AJ577,3),1/AE577,AE577),AE577^(VLOOKUP(AB577,'FX RATES'!$H$1:$J$26,3,FALSE))/AM577^(VLOOKUP(AJ577,'FX RATES'!$H$1:$J$26,3,FALSE))))</f>
        <v>0</v>
      </c>
      <c r="AS577" s="179">
        <f>-I577*(1+X577)/(1-Z577)*IF(W577="VENDOR",IF(K577=RIGHT(AB577,3),1/AE577,AE577),IF(W577="CLIENT",IF(K577=RIGHT(AB577,3),1/AM577,AM577),AM577^(VLOOKUP(AJ577,'FX RATES'!$H$1:$J$26,3,FALSE))/AE577^(VLOOKUP(AB577,'FX RATES'!$H$1:$J$26,3,FALSE))))</f>
        <v>3283656.79</v>
      </c>
      <c r="AT577" s="170">
        <f ca="1">IF(AB577&lt;&gt;AJ577,J577/IF(K577=RIGHT(AB577,3),AE577,1/AE577),IF(S577="USD",J577/IF(K577=RIGHT(AB577,3),IF(W577="CLIENT",AM577,AE577),1/IF(W577="CLIENT",AM577,AE577)),J577*VLOOKUP(K577,'FX RATES'!$E$1:$F$10,2,FALSE)))</f>
        <v>-42800.252735579146</v>
      </c>
      <c r="AU577" s="170">
        <f ca="1">IF(AB577&lt;&gt;AJ577,R577/IF(S577=RIGHT(AJ577,3),AM577,1/AM577),IF(K577="USD",R577/IF(S577=RIGHT(AJ577,3),IF(W577="CLIENT",AM577,AE577),1/IF(W577="CLIENT",AM577,AE577)),R577*VLOOKUP(S577,'FX RATES'!$E$1:$F$10,2,FALSE)))</f>
        <v>42800.252735579146</v>
      </c>
      <c r="AV577" s="170">
        <f ca="1">AT577+AU577</f>
        <v>0</v>
      </c>
      <c r="AW577" s="169"/>
      <c r="AX577" s="170">
        <f ca="1">IF(AND(ISERROR(SEARCH("INVOICE",T577)),ISERROR(SEARCH("SWITCH",T577)),ISERROR(SEARCH("FOREX",T577)),ISERROR(SEARCH("REFUND",A577)),ISERROR(SEARCH("CANCELLED",A577))),IF(AW577="",-AT577*X577+AU577*Z577,AW577),0)</f>
        <v>0</v>
      </c>
      <c r="AY577" s="170">
        <f>IF(AZ577="USD",AT577,IF(AZ577=K577,J577,-R577))</f>
        <v>-3283656.79</v>
      </c>
      <c r="AZ577" s="170" t="str">
        <f>LEFT(AB577,3)</f>
        <v>RUB</v>
      </c>
      <c r="BA577" s="542">
        <f>IF(OR(A577="REFUND",A577="CANCELLED"),0,IFERROR((IF(OR(AB577="USDAED",LEFT(AB577,3)=RIGHT(AB577,3)),AI577,AG577)-AE577)*-AY577*VLOOKUP(AB577,'FX RATES'!$H$1:$J$26,3,FALSE),0))</f>
        <v>0</v>
      </c>
      <c r="BB577" s="170" t="str">
        <f>RIGHT(AB577,3)</f>
        <v>RUB</v>
      </c>
      <c r="BC577" s="542">
        <f>IF(BA577=0,0,IFERROR(BA577/IF(BB577&lt;&gt;"USD",AI577,1),"???"))</f>
        <v>0</v>
      </c>
      <c r="BD577" s="170">
        <f>IFERROR(-AC577/(IF(OR(AB577="USDAED",LEFT(AB577,3)=RIGHT(AB577,3)),AH577,AG577)-AE577)*BC577,0)</f>
        <v>0</v>
      </c>
      <c r="BE577" s="542">
        <f>BC577-BD577</f>
        <v>0</v>
      </c>
      <c r="BF577" s="170">
        <f>IF(BG577="USD",AU577,IF(BG577=S577,R577,-J577))</f>
        <v>3283656.79</v>
      </c>
      <c r="BG577" s="170" t="str">
        <f>LEFT(AJ577,3)</f>
        <v>RUB</v>
      </c>
      <c r="BH577" s="542">
        <f>IF(OR(A577="REFUND",A577="CANCELLED"),0,IFERROR((IF(OR(AJ577="USDAED",LEFT(AJ577,3)=RIGHT(AJ577,3)),AQ577,AO577)-AM577)*-BF577*VLOOKUP(AJ577,'FX RATES'!$H$1:$J$26,3,FALSE),0))</f>
        <v>0</v>
      </c>
      <c r="BI577" s="170" t="str">
        <f>RIGHT(AJ577,3)</f>
        <v>RUB</v>
      </c>
      <c r="BJ577" s="542">
        <f>IF(BH577=0,0,IFERROR(BH577/IF(BI577&lt;&gt;"USD",AQ577,1),"???"))</f>
        <v>0</v>
      </c>
      <c r="BK577" s="170">
        <f>IFERROR(-AK577/(IF(OR(AJ577="USDAED",LEFT(AJ577,3)=RIGHT(AJ577,3)),AP577,AO577)-AM577)*BJ577,0)</f>
        <v>0</v>
      </c>
      <c r="BL577" s="542">
        <f>BJ577-BK577</f>
        <v>0</v>
      </c>
      <c r="BM577" s="170">
        <f>IF(AND(ISERROR(SEARCH("REFUND",A577)),ISERROR(SEARCH("CANCELLED",A577))),BD577+BK577,0)</f>
        <v>0</v>
      </c>
      <c r="BN577" s="542">
        <f>IF(AND(ISERROR(SEARCH("REFUND",A577)),ISERROR(SEARCH("CANCELLED",A577))),BE577+BL577,0)</f>
        <v>0</v>
      </c>
    </row>
    <row r="578" spans="1:66" ht="19">
      <c r="A578" s="167"/>
      <c r="B578" s="182"/>
      <c r="C578" s="182"/>
      <c r="D578" s="182"/>
      <c r="E578" s="184"/>
      <c r="F578" s="184"/>
      <c r="G578" s="182"/>
      <c r="H578" s="182"/>
      <c r="I578" s="170"/>
      <c r="J578" s="170"/>
      <c r="K578" s="182"/>
      <c r="L578" s="182"/>
      <c r="M578" s="182"/>
      <c r="O578" s="182"/>
      <c r="P578" s="182"/>
      <c r="Q578" s="170"/>
      <c r="R578" s="170"/>
      <c r="S578" s="182"/>
      <c r="T578" s="182"/>
      <c r="U578" s="182"/>
      <c r="X578" s="173"/>
      <c r="Y578" s="173"/>
      <c r="Z578" s="173"/>
      <c r="AA578" s="173"/>
      <c r="AB578" s="173"/>
      <c r="AC578" s="175"/>
      <c r="AD578" s="177"/>
      <c r="AE578" s="177"/>
      <c r="AF578" s="177"/>
      <c r="AG578" s="177"/>
      <c r="AH578" s="178"/>
      <c r="AI578" s="178"/>
      <c r="AJ578" s="173"/>
      <c r="AK578" s="175"/>
      <c r="AL578" s="177"/>
      <c r="AM578" s="177"/>
      <c r="AN578" s="177"/>
      <c r="AO578" s="177"/>
      <c r="AP578" s="178"/>
      <c r="AQ578" s="178"/>
      <c r="AR578" s="185"/>
      <c r="AS578" s="185"/>
      <c r="AT578" s="170"/>
      <c r="AU578" s="170"/>
      <c r="AV578" s="170"/>
      <c r="AW578" s="170"/>
      <c r="AX578" s="170"/>
      <c r="AY578" s="170"/>
      <c r="AZ578" s="170"/>
      <c r="BA578" s="542"/>
      <c r="BB578" s="170"/>
      <c r="BC578" s="542"/>
      <c r="BD578" s="170"/>
      <c r="BE578" s="542"/>
      <c r="BF578" s="170"/>
      <c r="BG578" s="170"/>
      <c r="BH578" s="542"/>
      <c r="BI578" s="170"/>
      <c r="BJ578" s="542"/>
      <c r="BK578" s="170"/>
      <c r="BL578" s="542"/>
      <c r="BM578" s="170"/>
      <c r="BN578" s="542"/>
    </row>
    <row r="579" spans="1:66" ht="19">
      <c r="A579" s="167" t="s">
        <v>601</v>
      </c>
      <c r="B579" s="181" t="s">
        <v>27</v>
      </c>
      <c r="C579" s="181" t="s">
        <v>367</v>
      </c>
      <c r="D579" s="181" t="s">
        <v>418</v>
      </c>
      <c r="E579" s="171">
        <v>46070</v>
      </c>
      <c r="F579" s="171" t="s">
        <v>625</v>
      </c>
      <c r="G579" s="181" t="s">
        <v>27</v>
      </c>
      <c r="H579" s="168" t="s">
        <v>428</v>
      </c>
      <c r="I579" s="169"/>
      <c r="J579" s="170">
        <f>IF(I579="",AR579,I579)</f>
        <v>-499000</v>
      </c>
      <c r="K579" s="168" t="s">
        <v>5</v>
      </c>
      <c r="L579" s="168" t="s">
        <v>378</v>
      </c>
      <c r="M579" s="168" t="s">
        <v>28</v>
      </c>
      <c r="N579" s="167" t="s">
        <v>553</v>
      </c>
      <c r="O579" s="168" t="s">
        <v>52</v>
      </c>
      <c r="P579" s="168" t="s">
        <v>428</v>
      </c>
      <c r="Q579" s="169">
        <v>500000</v>
      </c>
      <c r="R579" s="170">
        <f>IF(Q579="",AS579,Q579)</f>
        <v>500000</v>
      </c>
      <c r="S579" s="168" t="s">
        <v>53</v>
      </c>
      <c r="T579" s="168" t="s">
        <v>420</v>
      </c>
      <c r="U579" s="168" t="s">
        <v>54</v>
      </c>
      <c r="V579" s="167" t="s">
        <v>371</v>
      </c>
      <c r="W579" s="172" t="s">
        <v>375</v>
      </c>
      <c r="X579" s="173">
        <f>IF(Y579="",VLOOKUP(H579,CLIENTS!$A$1:$O$649,5,FALSE),Y579)</f>
        <v>0</v>
      </c>
      <c r="Y579" s="174">
        <v>0</v>
      </c>
      <c r="Z579" s="173">
        <f>IF(AA579="",VLOOKUP(P579,CLIENTS!$A$1:$O$649,5,FALSE),AA579)</f>
        <v>2E-3</v>
      </c>
      <c r="AA579" s="174">
        <v>2E-3</v>
      </c>
      <c r="AB579" s="173" t="str">
        <f>IF(W579="via USD",IF(K579="EUR",K579&amp;"USD","USD"&amp;K579),IFERROR(VLOOKUP(K579&amp;S579,'FX RATES'!$H$2:$H$20,1,FALSE),S579&amp;K579))</f>
        <v>USDUSD</v>
      </c>
      <c r="AC579" s="175">
        <f>IF(LEFT(AB579,3)=RIGHT(AB579,3),0,IFERROR(INDEX(CLIENTS!$A$1:$O$649,MATCH(H579,CLIENTS!$A$1:$A$649,0),MATCH(AB579,CLIENTS!$A$1:$O$1,0)),0))</f>
        <v>0</v>
      </c>
      <c r="AD579" s="176"/>
      <c r="AE579" s="177">
        <f>IF(W579="CLIENT","",IF(AD579="",AH579+AC579,AD579+AC579))</f>
        <v>1</v>
      </c>
      <c r="AF579" s="177" t="str">
        <f>E579&amp;AB579</f>
        <v>46070USDUSD</v>
      </c>
      <c r="AG579" s="176"/>
      <c r="AH579" s="178">
        <f>IF(LEFT(AB579,3)=RIGHT(AB579,3),1,VLOOKUP(AB579,'FX RATES'!$H$1:$I$20,2,FALSE))</f>
        <v>1</v>
      </c>
      <c r="AI579" s="178">
        <f>IF(OR(AB579="USDAED",LEFT(AB579,3)=RIGHT(AB579,3)),AH579,IF(LEFT(AB579)="USD",AG579,IF(RIGHT(AB579,3)="USD",1,IFERROR(VLOOKUP(E579&amp;"USD"&amp;RIGHT(AB579,3),$AF:$AG,2,FALSE),VLOOKUP(E579&amp;"USD"&amp;RIGHT(AJ579,3),$AN:$AO,2,FALSE)))))</f>
        <v>1</v>
      </c>
      <c r="AJ579" s="173" t="str">
        <f>IF(W579="via USD",IF(S579="EUR",S579&amp;"USD","USD"&amp;S579),IFERROR(VLOOKUP(K579&amp;S579,'FX RATES'!$H$2:$H$20,1,FALSE),S579&amp;K579))</f>
        <v>USDUSDT</v>
      </c>
      <c r="AK579" s="175">
        <f>IF(LEFT(AJ579,3)=RIGHT(AJ579,3),0,IFERROR(INDEX(CLIENTS!$A$1:$O$649,MATCH(P579,CLIENTS!$A$1:$A$649,0),MATCH(AJ579,CLIENTS!$A$1:$O$1,0)),0))</f>
        <v>0</v>
      </c>
      <c r="AL579" s="176"/>
      <c r="AM579" s="177">
        <f>IF(W579="VENDOR","",IF(AL579="",AP579+AK579,AL579+AK579))</f>
        <v>1</v>
      </c>
      <c r="AN579" s="177" t="str">
        <f>E579&amp;AJ579</f>
        <v>46070USDUSDT</v>
      </c>
      <c r="AO579" s="176">
        <v>1</v>
      </c>
      <c r="AP579" s="178">
        <f>IF(LEFT(AJ579,3)=RIGHT(AJ579,3),1,VLOOKUP(AJ579,'FX RATES'!$H$1:$I$50,2,FALSE))</f>
        <v>1</v>
      </c>
      <c r="AQ579" s="178">
        <f>IF(OR(AJ579="USDAED",LEFT(AJ579,3)=RIGHT(AJ579,3),AJ579="USDUSDT",AJ579="USDTUSD"),AP579,IF(LEFT(AJ579)="USD",AO579,IF(RIGHT(AJ579,3)="USD",1,IFERROR(VLOOKUP(E579&amp;"USD"&amp;RIGHT(AJ579,3),$AN:$AO,2,FALSE),VLOOKUP(E579&amp;"USD"&amp;RIGHT(AB579,3),$AF:$AG,2,FALSE)))))</f>
        <v>1</v>
      </c>
      <c r="AR579" s="179">
        <f>-Q579*(1-Z579)/(1+X579)*IF(W579="CLIENT",IF(S579=RIGHT(AJ579,3),1/AM579,AM579),IF(W579="VENDOR",IF(S579=RIGHT(AJ579,3),1/AE579,AE579),AE579^(VLOOKUP(AB579,'FX RATES'!$H$1:$J$26,3,FALSE))/AM579^(VLOOKUP(AJ579,'FX RATES'!$H$1:$J$26,3,FALSE))))</f>
        <v>-499000</v>
      </c>
      <c r="AS579" s="179">
        <f>-I579*(1+X579)/(1-Z579)*IF(W579="VENDOR",IF(K579=RIGHT(AB579,3),1/AE579,AE579),IF(W579="CLIENT",IF(K579=RIGHT(AB579,3),1/AM579,AM579),AM579^(VLOOKUP(AJ579,'FX RATES'!$H$1:$J$26,3,FALSE))/AE579^(VLOOKUP(AB579,'FX RATES'!$H$1:$J$26,3,FALSE))))</f>
        <v>0</v>
      </c>
      <c r="AT579" s="170">
        <f>IF(AB579&lt;&gt;AJ579,J579/IF(K579=RIGHT(AB579,3),AE579,1/AE579),IF(S579="USD",J579/IF(K579=RIGHT(AB579,3),IF(W579="CLIENT",AM579,AE579),1/IF(W579="CLIENT",AM579,AE579)),J579*VLOOKUP(K579,'FX RATES'!$E$1:$F$10,2,FALSE)))</f>
        <v>-499000</v>
      </c>
      <c r="AU579" s="170">
        <f>IF(AB579&lt;&gt;AJ579,R579/IF(S579=RIGHT(AJ579,3),AM579,1/AM579),IF(K579="USD",R579/IF(S579=RIGHT(AJ579,3),IF(W579="CLIENT",AM579,AE579),1/IF(W579="CLIENT",AM579,AE579)),R579*VLOOKUP(S579,'FX RATES'!$E$1:$F$10,2,FALSE)))</f>
        <v>500000</v>
      </c>
      <c r="AV579" s="170">
        <f>AT579+AU579</f>
        <v>1000</v>
      </c>
      <c r="AW579" s="169"/>
      <c r="AX579" s="170">
        <f>IF(AND(ISERROR(SEARCH("INVOICE",T579)),ISERROR(SEARCH("SWITCH",T579)),ISERROR(SEARCH("FOREX",T579)),ISERROR(SEARCH("REFUND",A579)),ISERROR(SEARCH("CANCELLED",A579))),IF(AW579="",-AT579*X579+AU579*Z579,AW579),0)</f>
        <v>1000</v>
      </c>
      <c r="AY579" s="170">
        <f>IF(AZ579="USD",AT579,IF(AZ579=K579,J579,-R579))</f>
        <v>-499000</v>
      </c>
      <c r="AZ579" s="170" t="str">
        <f>LEFT(AB579,3)</f>
        <v>USD</v>
      </c>
      <c r="BA579" s="542">
        <f>IF(OR(A579="REFUND",A579="CANCELLED"),0,IFERROR((IF(OR(AB579="USDAED",LEFT(AB579,3)=RIGHT(AB579,3)),AI579,AG579)-AE579)*-AY579*VLOOKUP(AB579,'FX RATES'!$H$1:$J$26,3,FALSE),0))</f>
        <v>0</v>
      </c>
      <c r="BB579" s="170" t="str">
        <f>RIGHT(AB579,3)</f>
        <v>USD</v>
      </c>
      <c r="BC579" s="542">
        <f>IF(BA579=0,0,IFERROR(BA579/IF(BB579&lt;&gt;"USD",AI579,1),"???"))</f>
        <v>0</v>
      </c>
      <c r="BD579" s="170">
        <f>IFERROR(-AC579/(IF(OR(AB579="USDAED",LEFT(AB579,3)=RIGHT(AB579,3)),AH579,AG579)-AE579)*BC579,0)</f>
        <v>0</v>
      </c>
      <c r="BE579" s="542">
        <f>BC579-BD579</f>
        <v>0</v>
      </c>
      <c r="BF579" s="170">
        <f>IF(BG579="USD",AU579,IF(BG579=S579,R579,-J579))</f>
        <v>500000</v>
      </c>
      <c r="BG579" s="170" t="str">
        <f>LEFT(AJ579,3)</f>
        <v>USD</v>
      </c>
      <c r="BH579" s="542">
        <f>IF(OR(A579="REFUND",A579="CANCELLED"),0,IFERROR((IF(OR(AJ579="USDAED",LEFT(AJ579,3)=RIGHT(AJ579,3),AJ579="USDUSDT",AJ579="USDTUSD"),AQ579,AO579)-AM579)*-BF579*VLOOKUP(AJ579,'FX RATES'!$H$1:$J$26,3,FALSE),0))</f>
        <v>0</v>
      </c>
      <c r="BI579" s="170" t="str">
        <f>RIGHT(AJ579,4)</f>
        <v>USDT</v>
      </c>
      <c r="BJ579" s="542">
        <f>IF(BH579=0,0,IFERROR(BH579/IF(BI579&lt;&gt;"USD",AQ579,1),"???"))</f>
        <v>0</v>
      </c>
      <c r="BK579" s="170">
        <f>IFERROR(-AK579/(IF(OR(AJ579="USDAED",LEFT(AJ579,3)=RIGHT(AJ579,3)),AP579,AO579)-AM579)*BJ579,0)</f>
        <v>0</v>
      </c>
      <c r="BL579" s="542">
        <f>BJ579-BK579</f>
        <v>0</v>
      </c>
      <c r="BM579" s="170">
        <f>IF(AND(ISERROR(SEARCH("REFUND",A579)),ISERROR(SEARCH("CANCELLED",A579))),BD579+BK579,0)</f>
        <v>0</v>
      </c>
      <c r="BN579" s="542">
        <f>IF(AND(ISERROR(SEARCH("REFUND",A579)),ISERROR(SEARCH("CANCELLED",A579))),BE579+BL579,0)</f>
        <v>0</v>
      </c>
    </row>
    <row r="580" spans="1:66" ht="19">
      <c r="A580" s="180"/>
      <c r="E580" s="180"/>
      <c r="F580" s="180"/>
      <c r="L580" s="180"/>
      <c r="M580" s="180"/>
      <c r="N580" s="180"/>
      <c r="O580" s="180"/>
      <c r="P580" s="180"/>
      <c r="V580" s="180"/>
      <c r="W580" s="180"/>
      <c r="BA580" s="180"/>
      <c r="BC580" s="180"/>
      <c r="BE580" s="180"/>
      <c r="BH580" s="180"/>
      <c r="BJ580" s="180"/>
      <c r="BL580" s="180"/>
      <c r="BN580" s="180"/>
    </row>
    <row r="581" spans="1:66" ht="19">
      <c r="A581" s="167" t="s">
        <v>601</v>
      </c>
      <c r="B581" s="168" t="s">
        <v>39</v>
      </c>
      <c r="C581" s="168" t="s">
        <v>367</v>
      </c>
      <c r="D581" s="168" t="s">
        <v>368</v>
      </c>
      <c r="E581" s="171">
        <v>46070</v>
      </c>
      <c r="F581" s="171" t="s">
        <v>626</v>
      </c>
      <c r="G581" s="168" t="s">
        <v>39</v>
      </c>
      <c r="H581" s="181" t="s">
        <v>407</v>
      </c>
      <c r="I581" s="169">
        <v>-9914000</v>
      </c>
      <c r="J581" s="170">
        <f>IF(I581="",AR581,I581)</f>
        <v>-9914000</v>
      </c>
      <c r="K581" s="168" t="s">
        <v>8</v>
      </c>
      <c r="L581" s="171" t="s">
        <v>15</v>
      </c>
      <c r="M581" s="168" t="s">
        <v>17</v>
      </c>
      <c r="N581" s="167" t="s">
        <v>553</v>
      </c>
      <c r="O581" s="168" t="s">
        <v>39</v>
      </c>
      <c r="P581" s="168" t="s">
        <v>408</v>
      </c>
      <c r="Q581" s="169"/>
      <c r="R581" s="170">
        <f t="shared" ref="R581:R590" si="675">IF(Q581="",AS581,Q581)</f>
        <v>207486521.35462961</v>
      </c>
      <c r="S581" s="168" t="s">
        <v>9</v>
      </c>
      <c r="T581" s="171" t="s">
        <v>409</v>
      </c>
      <c r="U581" s="168" t="s">
        <v>25</v>
      </c>
      <c r="V581" s="167" t="s">
        <v>371</v>
      </c>
      <c r="W581" s="172" t="s">
        <v>375</v>
      </c>
      <c r="X581" s="173">
        <f>IF(Y581="",VLOOKUP(H581,CLIENTS!$A$1:$O$649,5,FALSE),Y581)</f>
        <v>3.0000000000000001E-3</v>
      </c>
      <c r="Y581" s="174">
        <v>3.0000000000000001E-3</v>
      </c>
      <c r="Z581" s="173">
        <f>IF(AA581="",VLOOKUP(P581,CLIENTS!$A$1:$O$649,5,FALSE),AA581)</f>
        <v>0</v>
      </c>
      <c r="AA581" s="174">
        <v>0</v>
      </c>
      <c r="AB581" s="173" t="str">
        <f>IF(W581="via USD",IF(K581="EUR",K581&amp;"USD","USD"&amp;K581),IFERROR(VLOOKUP(K581&amp;S581,'FX RATES'!$H$2:$H$20,1,FALSE),S581&amp;K581))</f>
        <v>USDAED</v>
      </c>
      <c r="AC581" s="175">
        <f>IF(LEFT(AB581,3)=RIGHT(AB581,3),0,IFERROR(INDEX(CLIENTS!$A$1:$O$649,MATCH(H581,CLIENTS!$A$1:$A$649,0),MATCH(AB581,CLIENTS!$A$1:$O$1,0)),0))</f>
        <v>-5.0000000000000001E-4</v>
      </c>
      <c r="AD581" s="176"/>
      <c r="AE581" s="177">
        <f>IF(W581="CLIENT","",IF(AD581="",AH581+AC581,AD581+AC581))</f>
        <v>3.6719999999999997</v>
      </c>
      <c r="AF581" s="177" t="str">
        <f>E581&amp;AB581</f>
        <v>46070USDAED</v>
      </c>
      <c r="AG581" s="176"/>
      <c r="AH581" s="178">
        <f>IF(LEFT(AB581,3)=RIGHT(AB581,3),1,VLOOKUP(AB581,'FX RATES'!$H$1:$I$20,2,FALSE))</f>
        <v>3.6724999999999999</v>
      </c>
      <c r="AI581" s="178">
        <f>IF(OR(AB581="USDAED",LEFT(AB581,3)=RIGHT(AB581,3)),AH581,IF(LEFT(AB581)="USD",AG581,IF(RIGHT(AB581,3)="USD",1,IFERROR(VLOOKUP(E581&amp;"USD"&amp;RIGHT(AB581,3),$AF:$AG,2,FALSE),VLOOKUP(E581&amp;"USD"&amp;RIGHT(AJ581,3),$AN:$AO,2,FALSE)))))</f>
        <v>3.6724999999999999</v>
      </c>
      <c r="AJ581" s="173" t="str">
        <f>IF(W581="via USD",IF(S581="EUR",S581&amp;"USD","USD"&amp;S581),IFERROR(VLOOKUP(K581&amp;S581,'FX RATES'!$H$2:$H$20,1,FALSE),S581&amp;K581))</f>
        <v>USDRUB</v>
      </c>
      <c r="AK581" s="175">
        <f>IF(LEFT(AJ581,3)=RIGHT(AJ581,3),0,IFERROR(INDEX(CLIENTS!$A$1:$O$649,MATCH(P581,CLIENTS!$A$1:$A$649,0),MATCH(AJ581,CLIENTS!$A$1:$O$1,0)),0))</f>
        <v>0</v>
      </c>
      <c r="AL581" s="176">
        <v>76.620099999999994</v>
      </c>
      <c r="AM581" s="177">
        <f>IF(W581="VENDOR","",IF(AL581="",AP581+AK581,AL581+AK581))</f>
        <v>76.620099999999994</v>
      </c>
      <c r="AN581" s="177" t="str">
        <f>E581&amp;AJ581</f>
        <v>46070USDRUB</v>
      </c>
      <c r="AO581" s="176">
        <v>76.599999999999994</v>
      </c>
      <c r="AP581" s="178">
        <f ca="1">IF(LEFT(AJ581,3)=RIGHT(AJ581,3),1,VLOOKUP(AJ581,'FX RATES'!$H$1:$I$20,2,FALSE))</f>
        <v>76.720500000000001</v>
      </c>
      <c r="AQ581" s="178">
        <f t="shared" ref="AQ581:AQ590" si="676">IF(OR(AJ581="USDAED",LEFT(AJ581,3)=RIGHT(AJ581,3)),AP581,IF(LEFT(AJ581)="USD",AO581,IF(RIGHT(AJ581,3)="USD",1,IFERROR(VLOOKUP(E581&amp;"USD"&amp;RIGHT(AJ581,3),$AN:$AO,2,FALSE),VLOOKUP(E581&amp;"USD"&amp;RIGHT(AB581,3),$AF:$AG,2,FALSE)))))</f>
        <v>76.599999999999994</v>
      </c>
      <c r="AR581" s="179">
        <f>-Q581*(1-Z581)/(1+X581)*IF(W581="CLIENT",IF(S581=RIGHT(AJ581,3),1/AM581,AM581),IF(W581="VENDOR",IF(S581=RIGHT(AJ581,3),1/AE581,AE581),AE581^(VLOOKUP(AB581,'FX RATES'!$H$1:$J$26,3,FALSE))/AM581^(VLOOKUP(AJ581,'FX RATES'!$H$1:$J$26,3,FALSE))))</f>
        <v>0</v>
      </c>
      <c r="AS581" s="179">
        <f>-I581*(1+X581)/(1-Z581)*IF(W581="VENDOR",IF(K581=RIGHT(AB581,3),1/AE581,AE581),IF(W581="CLIENT",IF(K581=RIGHT(AB581,3),1/AM581,AM581),AM581^(VLOOKUP(AJ581,'FX RATES'!$H$1:$J$26,3,FALSE))/AE581^(VLOOKUP(AB581,'FX RATES'!$H$1:$J$26,3,FALSE))))</f>
        <v>207486521.35462961</v>
      </c>
      <c r="AT581" s="170">
        <f>IF(AB581&lt;&gt;AJ581,J581/IF(K581=RIGHT(AB581,3),AE581,1/AE581),IF(S581="USD",J581/IF(K581=RIGHT(AB581,3),IF(W581="CLIENT",AM581,AE581),1/IF(W581="CLIENT",AM581,AE581)),J581*VLOOKUP(K581,'FX RATES'!$E$1:$F$10,2,FALSE)))</f>
        <v>-2699891.0675381264</v>
      </c>
      <c r="AU581" s="170">
        <f>IF(AB581&lt;&gt;AJ581,R581/IF(S581=RIGHT(AJ581,3),AM581,1/AM581),IF(K581="USD",R581/IF(S581=RIGHT(AJ581,3),IF(W581="CLIENT",AM581,AE581),1/IF(W581="CLIENT",AM581,AE581)),R581*VLOOKUP(S581,'FX RATES'!$E$1:$F$10,2,FALSE)))</f>
        <v>2707990.7407407407</v>
      </c>
      <c r="AV581" s="170">
        <f>AT581+AU581</f>
        <v>8099.6732026143</v>
      </c>
      <c r="AW581" s="169"/>
      <c r="AX581" s="170">
        <f>IF(AND(ISERROR(SEARCH("INVOICE",T581)),ISERROR(SEARCH("SWITCH",T581)),ISERROR(SEARCH("FOREX",T581)),ISERROR(SEARCH("REFUND",A581)),ISERROR(SEARCH("CANCELLED",A581))),IF(AW581="",-AT581*X581+AU581*Z581,AW581),0)</f>
        <v>8099.6732026143791</v>
      </c>
      <c r="AY581" s="170">
        <f>IF(AZ581="USD",AT581,IF(AZ581=K581,J581,-R581))</f>
        <v>-2699891.0675381264</v>
      </c>
      <c r="AZ581" s="170" t="str">
        <f>LEFT(AB581,3)</f>
        <v>USD</v>
      </c>
      <c r="BA581" s="542">
        <f>IF(OR(A581="REFUND",A581="CANCELLED"),0,IFERROR((IF(OR(AB581="USDAED",LEFT(AB581,3)=RIGHT(AB581,3)),AI581,AG581)-AE581)*-AY581*VLOOKUP(AB581,'FX RATES'!$H$1:$J$26,3,FALSE),0))</f>
        <v>1349.945533769514</v>
      </c>
      <c r="BB581" s="170" t="str">
        <f>RIGHT(AB581,3)</f>
        <v>AED</v>
      </c>
      <c r="BC581" s="542">
        <f>IF(BA581=0,0,IFERROR(BA581/IF(BB581&lt;&gt;"USD",AI581,1),"???"))</f>
        <v>367.58217393315562</v>
      </c>
      <c r="BD581" s="170">
        <f>IFERROR(-AC581/(IF(OR(AB581="USDAED",LEFT(AB581,3)=RIGHT(AB581,3)),AH581,AG581)-AE581)*BC581,0)</f>
        <v>367.58217393303283</v>
      </c>
      <c r="BE581" s="542">
        <f>BC581-BD581</f>
        <v>1.2278178473934531E-10</v>
      </c>
      <c r="BF581" s="170">
        <f>IF(BG581="USD",AU581,IF(BG581=S581,R581,-J581))</f>
        <v>2707990.7407407407</v>
      </c>
      <c r="BG581" s="170" t="str">
        <f>LEFT(AJ581,3)</f>
        <v>USD</v>
      </c>
      <c r="BH581" s="542">
        <f>IF(OR(A581="REFUND",A581="CANCELLED"),0,IFERROR((IF(OR(AJ581="USDAED",LEFT(AJ581,3)=RIGHT(AJ581,3)),AQ581,AO581)-AM581)*-BF581*VLOOKUP(AJ581,'FX RATES'!$H$1:$J$26,3,FALSE),0))</f>
        <v>54430.613888887099</v>
      </c>
      <c r="BI581" s="170" t="str">
        <f>RIGHT(AJ581,3)</f>
        <v>RUB</v>
      </c>
      <c r="BJ581" s="542">
        <f>IF(BH581=0,0,IFERROR(BH581/IF(BI581&lt;&gt;"USD",AQ581,1),"???"))</f>
        <v>710.58242674787346</v>
      </c>
      <c r="BK581" s="170">
        <f>IFERROR(-AK581/(IF(OR(AJ581="USDAED",LEFT(AJ581,3)=RIGHT(AJ581,3)),AP581,AO581)-AM581)*BJ581,0)</f>
        <v>0</v>
      </c>
      <c r="BL581" s="542">
        <f>BJ581-BK581</f>
        <v>710.58242674787346</v>
      </c>
      <c r="BM581" s="170">
        <f>IF(AND(ISERROR(SEARCH("REFUND",A581)),ISERROR(SEARCH("CANCELLED",A581))),BD581+BK581,0)</f>
        <v>367.58217393303283</v>
      </c>
      <c r="BN581" s="542">
        <f>IF(AND(ISERROR(SEARCH("REFUND",A581)),ISERROR(SEARCH("CANCELLED",A581))),BE581+BL581,0)</f>
        <v>710.58242674799624</v>
      </c>
    </row>
    <row r="582" spans="1:66" ht="19">
      <c r="A582" s="167" t="s">
        <v>366</v>
      </c>
      <c r="B582" s="168" t="s">
        <v>39</v>
      </c>
      <c r="C582" s="168" t="s">
        <v>367</v>
      </c>
      <c r="D582" s="168" t="s">
        <v>368</v>
      </c>
      <c r="E582" s="171">
        <v>46070</v>
      </c>
      <c r="F582" s="171" t="s">
        <v>625</v>
      </c>
      <c r="G582" s="168" t="s">
        <v>39</v>
      </c>
      <c r="H582" s="181" t="s">
        <v>407</v>
      </c>
      <c r="I582" s="169">
        <f>-14688000-J581</f>
        <v>-4774000</v>
      </c>
      <c r="J582" s="170">
        <f>IF(I582="",AR582,I582)</f>
        <v>-4774000</v>
      </c>
      <c r="K582" s="168" t="s">
        <v>8</v>
      </c>
      <c r="L582" s="171" t="s">
        <v>15</v>
      </c>
      <c r="M582" s="168" t="s">
        <v>17</v>
      </c>
      <c r="N582" s="167" t="s">
        <v>553</v>
      </c>
      <c r="O582" s="168" t="s">
        <v>39</v>
      </c>
      <c r="P582" s="168" t="s">
        <v>408</v>
      </c>
      <c r="Q582" s="169"/>
      <c r="R582" s="170">
        <f t="shared" si="675"/>
        <v>99913319.845370352</v>
      </c>
      <c r="S582" s="168" t="s">
        <v>9</v>
      </c>
      <c r="T582" s="171" t="s">
        <v>409</v>
      </c>
      <c r="U582" s="168" t="s">
        <v>25</v>
      </c>
      <c r="V582" s="167" t="s">
        <v>371</v>
      </c>
      <c r="W582" s="172" t="s">
        <v>375</v>
      </c>
      <c r="X582" s="173">
        <f>IF(Y582="",VLOOKUP(H582,CLIENTS!$A$1:$O$649,5,FALSE),Y582)</f>
        <v>3.0000000000000001E-3</v>
      </c>
      <c r="Y582" s="174">
        <v>3.0000000000000001E-3</v>
      </c>
      <c r="Z582" s="173">
        <f>IF(AA582="",VLOOKUP(P582,CLIENTS!$A$1:$O$649,5,FALSE),AA582)</f>
        <v>0</v>
      </c>
      <c r="AA582" s="174">
        <v>0</v>
      </c>
      <c r="AB582" s="173" t="str">
        <f>IF(W582="via USD",IF(K582="EUR",K582&amp;"USD","USD"&amp;K582),IFERROR(VLOOKUP(K582&amp;S582,'FX RATES'!$H$2:$H$20,1,FALSE),S582&amp;K582))</f>
        <v>USDAED</v>
      </c>
      <c r="AC582" s="175">
        <f>IF(LEFT(AB582,3)=RIGHT(AB582,3),0,IFERROR(INDEX(CLIENTS!$A$1:$O$649,MATCH(H582,CLIENTS!$A$1:$A$649,0),MATCH(AB582,CLIENTS!$A$1:$O$1,0)),0))</f>
        <v>-5.0000000000000001E-4</v>
      </c>
      <c r="AD582" s="176"/>
      <c r="AE582" s="177">
        <f>IF(W582="CLIENT","",IF(AD582="",AH582+AC582,AD582+AC582))</f>
        <v>3.6719999999999997</v>
      </c>
      <c r="AF582" s="177" t="str">
        <f>E582&amp;AB582</f>
        <v>46070USDAED</v>
      </c>
      <c r="AG582" s="176"/>
      <c r="AH582" s="178">
        <f>IF(LEFT(AB582,3)=RIGHT(AB582,3),1,VLOOKUP(AB582,'FX RATES'!$H$1:$I$20,2,FALSE))</f>
        <v>3.6724999999999999</v>
      </c>
      <c r="AI582" s="178">
        <f>IF(OR(AB582="USDAED",LEFT(AB582,3)=RIGHT(AB582,3)),AH582,IF(LEFT(AB582)="USD",AG582,IF(RIGHT(AB582,3)="USD",1,IFERROR(VLOOKUP(E582&amp;"USD"&amp;RIGHT(AB582,3),$AF:$AG,2,FALSE),VLOOKUP(E582&amp;"USD"&amp;RIGHT(AJ582,3),$AN:$AO,2,FALSE)))))</f>
        <v>3.6724999999999999</v>
      </c>
      <c r="AJ582" s="173" t="str">
        <f>IF(W582="via USD",IF(S582="EUR",S582&amp;"USD","USD"&amp;S582),IFERROR(VLOOKUP(K582&amp;S582,'FX RATES'!$H$2:$H$20,1,FALSE),S582&amp;K582))</f>
        <v>USDRUB</v>
      </c>
      <c r="AK582" s="175">
        <f>IF(LEFT(AJ582,3)=RIGHT(AJ582,3),0,IFERROR(INDEX(CLIENTS!$A$1:$O$649,MATCH(P582,CLIENTS!$A$1:$A$649,0),MATCH(AJ582,CLIENTS!$A$1:$O$1,0)),0))</f>
        <v>0</v>
      </c>
      <c r="AL582" s="176">
        <v>76.620099999999994</v>
      </c>
      <c r="AM582" s="177">
        <f>IF(W582="VENDOR","",IF(AL582="",AP582+AK582,AL582+AK582))</f>
        <v>76.620099999999994</v>
      </c>
      <c r="AN582" s="177" t="str">
        <f>E582&amp;AJ582</f>
        <v>46070USDRUB</v>
      </c>
      <c r="AO582" s="176">
        <v>76.599999999999994</v>
      </c>
      <c r="AP582" s="178">
        <f ca="1">IF(LEFT(AJ582,3)=RIGHT(AJ582,3),1,VLOOKUP(AJ582,'FX RATES'!$H$1:$I$20,2,FALSE))</f>
        <v>76.720500000000001</v>
      </c>
      <c r="AQ582" s="178">
        <f t="shared" si="676"/>
        <v>76.599999999999994</v>
      </c>
      <c r="AR582" s="179">
        <f>-Q582*(1-Z582)/(1+X582)*IF(W582="CLIENT",IF(S582=RIGHT(AJ582,3),1/AM582,AM582),IF(W582="VENDOR",IF(S582=RIGHT(AJ582,3),1/AE582,AE582),AE582^(VLOOKUP(AB582,'FX RATES'!$H$1:$J$26,3,FALSE))/AM582^(VLOOKUP(AJ582,'FX RATES'!$H$1:$J$26,3,FALSE))))</f>
        <v>0</v>
      </c>
      <c r="AS582" s="179">
        <f>-I582*(1+X582)/(1-Z582)*IF(W582="VENDOR",IF(K582=RIGHT(AB582,3),1/AE582,AE582),IF(W582="CLIENT",IF(K582=RIGHT(AB582,3),1/AM582,AM582),AM582^(VLOOKUP(AJ582,'FX RATES'!$H$1:$J$26,3,FALSE))/AE582^(VLOOKUP(AB582,'FX RATES'!$H$1:$J$26,3,FALSE))))</f>
        <v>99913319.845370352</v>
      </c>
      <c r="AT582" s="170">
        <f>IF(AB582&lt;&gt;AJ582,J582/IF(K582=RIGHT(AB582,3),AE582,1/AE582),IF(S582="USD",J582/IF(K582=RIGHT(AB582,3),IF(W582="CLIENT",AM582,AE582),1/IF(W582="CLIENT",AM582,AE582)),J582*VLOOKUP(K582,'FX RATES'!$E$1:$F$10,2,FALSE)))</f>
        <v>-1300108.9324618736</v>
      </c>
      <c r="AU582" s="170">
        <f>IF(AB582&lt;&gt;AJ582,R582/IF(S582=RIGHT(AJ582,3),AM582,1/AM582),IF(K582="USD",R582/IF(S582=RIGHT(AJ582,3),IF(W582="CLIENT",AM582,AE582),1/IF(W582="CLIENT",AM582,AE582)),R582*VLOOKUP(S582,'FX RATES'!$E$1:$F$10,2,FALSE)))</f>
        <v>1304009.2592592591</v>
      </c>
      <c r="AV582" s="170">
        <f>AT582+AU582</f>
        <v>3900.3267973854672</v>
      </c>
      <c r="AW582" s="169"/>
      <c r="AX582" s="170">
        <f>IF(AND(ISERROR(SEARCH("INVOICE",T582)),ISERROR(SEARCH("SWITCH",T582)),ISERROR(SEARCH("FOREX",T582)),ISERROR(SEARCH("REFUND",A582)),ISERROR(SEARCH("CANCELLED",A582))),IF(AW582="",-AT582*X582+AU582*Z582,AW582),0)</f>
        <v>3900.3267973856209</v>
      </c>
      <c r="AY582" s="170">
        <f>IF(AZ582="USD",AT582,IF(AZ582=K582,J582,-R582))</f>
        <v>-1300108.9324618736</v>
      </c>
      <c r="AZ582" s="170" t="str">
        <f>LEFT(AB582,3)</f>
        <v>USD</v>
      </c>
      <c r="BA582" s="542">
        <f>IF(OR(A582="REFUND",A582="CANCELLED"),0,IFERROR((IF(OR(AB582="USDAED",LEFT(AB582,3)=RIGHT(AB582,3)),AI582,AG582)-AE582)*-AY582*VLOOKUP(AB582,'FX RATES'!$H$1:$J$26,3,FALSE),0))</f>
        <v>650.05446623115392</v>
      </c>
      <c r="BB582" s="170" t="str">
        <f>RIGHT(AB582,3)</f>
        <v>AED</v>
      </c>
      <c r="BC582" s="542">
        <f>IF(BA582=0,0,IFERROR(BA582/IF(BB582&lt;&gt;"USD",AI582,1),"???"))</f>
        <v>177.00598127465051</v>
      </c>
      <c r="BD582" s="170">
        <f>IFERROR(-AC582/(IF(OR(AB582="USDAED",LEFT(AB582,3)=RIGHT(AB582,3)),AH582,AG582)-AE582)*BC582,0)</f>
        <v>177.00598127459139</v>
      </c>
      <c r="BE582" s="542">
        <f>BC582-BD582</f>
        <v>5.9117155615240335E-11</v>
      </c>
      <c r="BF582" s="170">
        <f>IF(BG582="USD",AU582,IF(BG582=S582,R582,-J582))</f>
        <v>1304009.2592592591</v>
      </c>
      <c r="BG582" s="170" t="str">
        <f>LEFT(AJ582,3)</f>
        <v>USD</v>
      </c>
      <c r="BH582" s="542">
        <f>IF(OR(A582="REFUND",A582="CANCELLED"),0,IFERROR((IF(OR(AJ582="USDAED",LEFT(AJ582,3)=RIGHT(AJ582,3)),AQ582,AO582)-AM582)*-BF582*VLOOKUP(AJ582,'FX RATES'!$H$1:$J$26,3,FALSE),0))</f>
        <v>26210.586111110249</v>
      </c>
      <c r="BI582" s="170" t="str">
        <f>RIGHT(AJ582,3)</f>
        <v>RUB</v>
      </c>
      <c r="BJ582" s="542">
        <f>IF(BH582=0,0,IFERROR(BH582/IF(BI582&lt;&gt;"USD",AQ582,1),"???"))</f>
        <v>342.17475340875001</v>
      </c>
      <c r="BK582" s="170">
        <f>IFERROR(-AK582/(IF(OR(AJ582="USDAED",LEFT(AJ582,3)=RIGHT(AJ582,3)),AP582,AO582)-AM582)*BJ582,0)</f>
        <v>0</v>
      </c>
      <c r="BL582" s="542">
        <f>BJ582-BK582</f>
        <v>342.17475340875001</v>
      </c>
      <c r="BM582" s="170">
        <f>IF(AND(ISERROR(SEARCH("REFUND",A582)),ISERROR(SEARCH("CANCELLED",A582))),BD582+BK582,0)</f>
        <v>177.00598127459139</v>
      </c>
      <c r="BN582" s="542">
        <f>IF(AND(ISERROR(SEARCH("REFUND",A582)),ISERROR(SEARCH("CANCELLED",A582))),BE582+BL582,0)</f>
        <v>342.17475340880912</v>
      </c>
    </row>
    <row r="583" spans="1:66" ht="19">
      <c r="A583" s="167" t="s">
        <v>601</v>
      </c>
      <c r="B583" s="168" t="s">
        <v>39</v>
      </c>
      <c r="C583" s="168" t="s">
        <v>367</v>
      </c>
      <c r="D583" s="168" t="s">
        <v>368</v>
      </c>
      <c r="E583" s="171">
        <v>46070</v>
      </c>
      <c r="F583" s="171" t="s">
        <v>627</v>
      </c>
      <c r="G583" s="168" t="s">
        <v>39</v>
      </c>
      <c r="H583" s="168" t="s">
        <v>55</v>
      </c>
      <c r="I583" s="169"/>
      <c r="J583" s="170">
        <f>IF(I583="",AR583,I583)</f>
        <v>-1782694.4798044353</v>
      </c>
      <c r="K583" s="168" t="s">
        <v>5</v>
      </c>
      <c r="L583" s="168" t="s">
        <v>40</v>
      </c>
      <c r="M583" s="168" t="s">
        <v>20</v>
      </c>
      <c r="N583" s="167" t="s">
        <v>371</v>
      </c>
      <c r="O583" s="168" t="s">
        <v>39</v>
      </c>
      <c r="P583" s="168" t="s">
        <v>55</v>
      </c>
      <c r="Q583" s="169">
        <v>137000000</v>
      </c>
      <c r="R583" s="170">
        <f t="shared" si="675"/>
        <v>137000000</v>
      </c>
      <c r="S583" s="168" t="s">
        <v>9</v>
      </c>
      <c r="T583" s="171" t="s">
        <v>25</v>
      </c>
      <c r="U583" s="168" t="s">
        <v>25</v>
      </c>
      <c r="V583" s="167" t="s">
        <v>371</v>
      </c>
      <c r="W583" s="172" t="s">
        <v>375</v>
      </c>
      <c r="X583" s="173">
        <f>IF(Y583="",VLOOKUP(H583,CLIENTS!$A$1:$O$649,5,FALSE),Y583)</f>
        <v>3.0000000000000001E-3</v>
      </c>
      <c r="Y583" s="174">
        <v>3.0000000000000001E-3</v>
      </c>
      <c r="Z583" s="173">
        <f>IF(AA583="",VLOOKUP(P583,CLIENTS!$A$1:$O$649,5,FALSE),AA583)</f>
        <v>0</v>
      </c>
      <c r="AA583" s="174">
        <v>0</v>
      </c>
      <c r="AB583" s="173" t="str">
        <f>IF(W583="via USD",IF(K583="EUR",K583&amp;"USD","USD"&amp;K583),IFERROR(VLOOKUP(K583&amp;S583,'FX RATES'!$H$2:$H$20,1,FALSE),S583&amp;K583))</f>
        <v>USDUSD</v>
      </c>
      <c r="AC583" s="175">
        <f>IF(LEFT(AB583,3)=RIGHT(AB583,3),0,IFERROR(INDEX(CLIENTS!$A$1:$O$649,MATCH(H583,CLIENTS!$A$1:$A$649,0),MATCH(AB583,CLIENTS!$A$1:$O$1,0)),0))</f>
        <v>0</v>
      </c>
      <c r="AD583" s="176"/>
      <c r="AE583" s="177">
        <f>IF(W583="CLIENT","",IF(AD583="",AH583+AC583,AD583+AC583))</f>
        <v>1</v>
      </c>
      <c r="AF583" s="177" t="str">
        <f>E583&amp;AB583</f>
        <v>46070USDUSD</v>
      </c>
      <c r="AG583" s="176"/>
      <c r="AH583" s="178">
        <f>IF(LEFT(AB583,3)=RIGHT(AB583,3),1,VLOOKUP(AB583,'FX RATES'!$H$1:$I$20,2,FALSE))</f>
        <v>1</v>
      </c>
      <c r="AI583" s="178">
        <f>IF(OR(AB583="USDAED",LEFT(AB583,3)=RIGHT(AB583,3)),AH583,IF(LEFT(AB583)="USD",AG583,IF(RIGHT(AB583,3)="USD",1,IFERROR(VLOOKUP(E583&amp;"USD"&amp;RIGHT(AB583,3),$AF:$AG,2,FALSE),VLOOKUP(E583&amp;"USD"&amp;RIGHT(AJ583,3),$AN:$AO,2,FALSE)))))</f>
        <v>1</v>
      </c>
      <c r="AJ583" s="173" t="str">
        <f>IF(W583="via USD",IF(S583="EUR",S583&amp;"USD","USD"&amp;S583),IFERROR(VLOOKUP(K583&amp;S583,'FX RATES'!$H$2:$H$20,1,FALSE),S583&amp;K583))</f>
        <v>USDRUB</v>
      </c>
      <c r="AK583" s="175">
        <f>IF(LEFT(AJ583,3)=RIGHT(AJ583,3),0,IFERROR(INDEX(CLIENTS!$A$1:$O$649,MATCH(P583,CLIENTS!$A$1:$A$649,0),MATCH(AJ583,CLIENTS!$A$1:$O$1,0)),0))</f>
        <v>0</v>
      </c>
      <c r="AL583" s="176">
        <v>76.620099999999994</v>
      </c>
      <c r="AM583" s="177">
        <f>IF(W583="VENDOR","",IF(AL583="",AP583+AK583,AL583+AK583))</f>
        <v>76.620099999999994</v>
      </c>
      <c r="AN583" s="177" t="str">
        <f>E583&amp;AJ583</f>
        <v>46070USDRUB</v>
      </c>
      <c r="AO583" s="176">
        <v>76.599999999999994</v>
      </c>
      <c r="AP583" s="178">
        <f ca="1">IF(LEFT(AJ583,3)=RIGHT(AJ583,3),1,VLOOKUP(AJ583,'FX RATES'!$H$1:$I$20,2,FALSE))</f>
        <v>76.720500000000001</v>
      </c>
      <c r="AQ583" s="178">
        <f t="shared" si="676"/>
        <v>76.599999999999994</v>
      </c>
      <c r="AR583" s="179">
        <f>-Q583*(1-Z583)/(1+X583)*IF(W583="CLIENT",IF(S583=RIGHT(AJ583,3),1/AM583,AM583),IF(W583="VENDOR",IF(S583=RIGHT(AJ583,3),1/AE583,AE583),AE583^(VLOOKUP(AB583,'FX RATES'!$H$1:$J$26,3,FALSE))/AM583^(VLOOKUP(AJ583,'FX RATES'!$H$1:$J$26,3,FALSE))))</f>
        <v>-1782694.4798044353</v>
      </c>
      <c r="AS583" s="179">
        <f>-I583*(1+X583)/(1-Z583)*IF(W583="VENDOR",IF(K583=RIGHT(AB583,3),1/AE583,AE583),IF(W583="CLIENT",IF(K583=RIGHT(AB583,3),1/AM583,AM583),AM583^(VLOOKUP(AJ583,'FX RATES'!$H$1:$J$26,3,FALSE))/AE583^(VLOOKUP(AB583,'FX RATES'!$H$1:$J$26,3,FALSE))))</f>
        <v>0</v>
      </c>
      <c r="AT583" s="170">
        <f>IF(AB583&lt;&gt;AJ583,J583/IF(K583=RIGHT(AB583,3),AE583,1/AE583),IF(S583="USD",J583/IF(K583=RIGHT(AB583,3),IF(W583="CLIENT",AM583,AE583),1/IF(W583="CLIENT",AM583,AE583)),J583*VLOOKUP(K583,'FX RATES'!$E$1:$F$10,2,FALSE)))</f>
        <v>-1782694.4798044353</v>
      </c>
      <c r="AU583" s="170">
        <f>IF(AB583&lt;&gt;AJ583,R583/IF(S583=RIGHT(AJ583,3),AM583,1/AM583),IF(K583="USD",R583/IF(S583=RIGHT(AJ583,3),IF(W583="CLIENT",AM583,AE583),1/IF(W583="CLIENT",AM583,AE583)),R583*VLOOKUP(S583,'FX RATES'!$E$1:$F$10,2,FALSE)))</f>
        <v>1788042.5632438487</v>
      </c>
      <c r="AV583" s="170">
        <f>AT583+AU583</f>
        <v>5348.0834394134581</v>
      </c>
      <c r="AW583" s="169"/>
      <c r="AX583" s="170">
        <f>IF(AND(ISERROR(SEARCH("INVOICE",T583)),ISERROR(SEARCH("SWITCH",T583)),ISERROR(SEARCH("FOREX",T583)),ISERROR(SEARCH("REFUND",A583)),ISERROR(SEARCH("CANCELLED",A583))),IF(AW583="",-AT583*X583+AU583*Z583,AW583),0)</f>
        <v>5348.0834394133062</v>
      </c>
      <c r="AY583" s="170">
        <f>IF(AZ583="USD",AT583,IF(AZ583=K583,J583,-R583))</f>
        <v>-1782694.4798044353</v>
      </c>
      <c r="AZ583" s="170" t="str">
        <f>LEFT(AB583,3)</f>
        <v>USD</v>
      </c>
      <c r="BA583" s="542">
        <f>IF(OR(A583="REFUND",A583="CANCELLED"),0,IFERROR((IF(OR(AB583="USDAED",LEFT(AB583,3)=RIGHT(AB583,3)),AI583,AG583)-AE583)*-AY583*VLOOKUP(AB583,'FX RATES'!$H$1:$J$26,3,FALSE),0))</f>
        <v>0</v>
      </c>
      <c r="BB583" s="170" t="str">
        <f>RIGHT(AB583,3)</f>
        <v>USD</v>
      </c>
      <c r="BC583" s="542">
        <f>IF(BA583=0,0,IFERROR(BA583/IF(BB583&lt;&gt;"USD",AI583,1),"???"))</f>
        <v>0</v>
      </c>
      <c r="BD583" s="170">
        <f>IFERROR(-AC583/(IF(OR(AB583="USDAED",LEFT(AB583,3)=RIGHT(AB583,3)),AH583,AG583)-AE583)*BC583,0)</f>
        <v>0</v>
      </c>
      <c r="BE583" s="542">
        <f>BC583-BD583</f>
        <v>0</v>
      </c>
      <c r="BF583" s="170">
        <f>IF(BG583="USD",AU583,IF(BG583=S583,R583,-J583))</f>
        <v>1788042.5632438487</v>
      </c>
      <c r="BG583" s="170" t="str">
        <f>LEFT(AJ583,3)</f>
        <v>USD</v>
      </c>
      <c r="BH583" s="542">
        <f>IF(OR(A583="REFUND",A583="CANCELLED"),0,IFERROR((IF(OR(AJ583="USDAED",LEFT(AJ583,3)=RIGHT(AJ583,3)),AQ583,AO583)-AM583)*-BF583*VLOOKUP(AJ583,'FX RATES'!$H$1:$J$26,3,FALSE),0))</f>
        <v>35939.655521200184</v>
      </c>
      <c r="BI583" s="170" t="str">
        <f>RIGHT(AJ583,3)</f>
        <v>RUB</v>
      </c>
      <c r="BJ583" s="542">
        <f>IF(BH583=0,0,IFERROR(BH583/IF(BI583&lt;&gt;"USD",AQ583,1),"???"))</f>
        <v>469.1861034099241</v>
      </c>
      <c r="BK583" s="170">
        <f>IFERROR(-AK583/(IF(OR(AJ583="USDAED",LEFT(AJ583,3)=RIGHT(AJ583,3)),AP583,AO583)-AM583)*BJ583,0)</f>
        <v>0</v>
      </c>
      <c r="BL583" s="542">
        <f>BJ583-BK583</f>
        <v>469.1861034099241</v>
      </c>
      <c r="BM583" s="170">
        <f>IF(AND(ISERROR(SEARCH("REFUND",A583)),ISERROR(SEARCH("CANCELLED",A583))),BD583+BK583,0)</f>
        <v>0</v>
      </c>
      <c r="BN583" s="542">
        <f>IF(AND(ISERROR(SEARCH("REFUND",A583)),ISERROR(SEARCH("CANCELLED",A583))),BE583+BL583,0)</f>
        <v>469.1861034099241</v>
      </c>
    </row>
    <row r="584" spans="1:66" ht="19">
      <c r="A584" s="167" t="s">
        <v>601</v>
      </c>
      <c r="B584" s="168" t="s">
        <v>39</v>
      </c>
      <c r="C584" s="168" t="s">
        <v>367</v>
      </c>
      <c r="D584" s="168" t="s">
        <v>368</v>
      </c>
      <c r="E584" s="171">
        <v>46070</v>
      </c>
      <c r="F584" s="171" t="s">
        <v>626</v>
      </c>
      <c r="G584" s="168" t="s">
        <v>39</v>
      </c>
      <c r="H584" s="168" t="s">
        <v>578</v>
      </c>
      <c r="I584" s="169"/>
      <c r="J584" s="170">
        <f>IF(I584="",AR584,I584)</f>
        <v>-929059.49684128619</v>
      </c>
      <c r="K584" s="168" t="s">
        <v>8</v>
      </c>
      <c r="L584" s="168" t="s">
        <v>16</v>
      </c>
      <c r="M584" s="168" t="s">
        <v>17</v>
      </c>
      <c r="N584" s="167" t="s">
        <v>553</v>
      </c>
      <c r="O584" s="168" t="s">
        <v>39</v>
      </c>
      <c r="P584" s="168" t="s">
        <v>578</v>
      </c>
      <c r="Q584" s="169">
        <v>19720108</v>
      </c>
      <c r="R584" s="202">
        <f t="shared" si="675"/>
        <v>19720108</v>
      </c>
      <c r="S584" s="168" t="s">
        <v>9</v>
      </c>
      <c r="T584" s="171" t="s">
        <v>579</v>
      </c>
      <c r="U584" s="168" t="s">
        <v>25</v>
      </c>
      <c r="V584" s="167" t="s">
        <v>371</v>
      </c>
      <c r="W584" s="172" t="s">
        <v>375</v>
      </c>
      <c r="X584" s="173">
        <f>IF(Y584="",VLOOKUP(H584,CLIENTS!$A$1:$O$649,5,FALSE),Y584)</f>
        <v>0</v>
      </c>
      <c r="Y584" s="174">
        <v>0</v>
      </c>
      <c r="Z584" s="173">
        <f>IF(AA584="",VLOOKUP(P584,CLIENTS!$A$1:$O$649,5,FALSE),AA584)</f>
        <v>0.01</v>
      </c>
      <c r="AA584" s="174">
        <v>0.01</v>
      </c>
      <c r="AB584" s="173" t="str">
        <f>IF(W584="via USD",IF(K584="EUR",K584&amp;"USD","USD"&amp;K584),IFERROR(VLOOKUP(K584&amp;S584,'FX RATES'!$H$2:$H$20,1,FALSE),S584&amp;K584))</f>
        <v>USDAED</v>
      </c>
      <c r="AC584" s="175">
        <f>IF(LEFT(AB584,3)=RIGHT(AB584,3),0,IFERROR(INDEX(CLIENTS!$A$1:$O$649,MATCH(H584,CLIENTS!$A$1:$A$649,0),MATCH(AB584,CLIENTS!$A$1:$O$1,0)),0))+0.001</f>
        <v>0</v>
      </c>
      <c r="AD584" s="176">
        <v>3.67</v>
      </c>
      <c r="AE584" s="177">
        <f>IF(W584="CLIENT","",IF(AD584="",AH584+AC584,AD584+AC584))</f>
        <v>3.67</v>
      </c>
      <c r="AF584" s="177" t="str">
        <f>E584&amp;AB584</f>
        <v>46070USDAED</v>
      </c>
      <c r="AG584" s="176"/>
      <c r="AH584" s="178">
        <f>IF(LEFT(AB584,3)=RIGHT(AB584,3),1,VLOOKUP(AB584,'FX RATES'!$H$1:$I$20,2,FALSE))</f>
        <v>3.6724999999999999</v>
      </c>
      <c r="AI584" s="178">
        <f>IF(OR(AB584="USDAED",LEFT(AB584,3)=RIGHT(AB584,3)),AH584,IF(LEFT(AB584)="USD",AG584,IF(RIGHT(AB584,3)="USD",1,IFERROR(VLOOKUP(E584&amp;"USD"&amp;RIGHT(AB584,3),$AF:$AG,2,FALSE),VLOOKUP(E584&amp;"USD"&amp;RIGHT(AJ584,3),$AN:$AO,2,FALSE)))))</f>
        <v>3.6724999999999999</v>
      </c>
      <c r="AJ584" s="173" t="str">
        <f>IF(W584="via USD",IF(S584="EUR",S584&amp;"USD","USD"&amp;S584),IFERROR(VLOOKUP(K584&amp;S584,'FX RATES'!$H$2:$H$20,1,FALSE),S584&amp;K584))</f>
        <v>USDRUB</v>
      </c>
      <c r="AK584" s="175">
        <f>IF(LEFT(AJ584,3)=RIGHT(AJ584,3),0,IFERROR(INDEX(CLIENTS!$A$1:$O$649,MATCH(P584,CLIENTS!$A$1:$A$649,0),MATCH(AJ584,CLIENTS!$A$1:$O$1,0)),0))</f>
        <v>0</v>
      </c>
      <c r="AL584" s="176">
        <v>77.12</v>
      </c>
      <c r="AM584" s="177">
        <f>IF(W584="VENDOR","",IF(AL584="",AP584+AK584,AL584+AK584))</f>
        <v>77.12</v>
      </c>
      <c r="AN584" s="177" t="str">
        <f>E584&amp;AJ584</f>
        <v>46070USDRUB</v>
      </c>
      <c r="AO584" s="176">
        <v>76.599999999999994</v>
      </c>
      <c r="AP584" s="178">
        <f ca="1">IF(LEFT(AJ584,3)=RIGHT(AJ584,3),1,VLOOKUP(AJ584,'FX RATES'!$H$1:$I$20,2,FALSE))</f>
        <v>76.720500000000001</v>
      </c>
      <c r="AQ584" s="178">
        <f t="shared" si="676"/>
        <v>76.599999999999994</v>
      </c>
      <c r="AR584" s="179">
        <f>-Q584*(1-Z584)/(1+X584)*IF(W584="CLIENT",IF(S584=RIGHT(AJ584,3),1/AM584,AM584),IF(W584="VENDOR",IF(S584=RIGHT(AJ584,3),1/AE584,AE584),AE584^(VLOOKUP(AB584,'FX RATES'!$H$1:$J$26,3,FALSE))/AM584^(VLOOKUP(AJ584,'FX RATES'!$H$1:$J$26,3,FALSE))))</f>
        <v>-929059.49684128619</v>
      </c>
      <c r="AS584" s="179">
        <f>-I584*(1+X584)/(1-Z584)*IF(W584="VENDOR",IF(K584=RIGHT(AB584,3),1/AE584,AE584),IF(W584="CLIENT",IF(K584=RIGHT(AB584,3),1/AM584,AM584),AM584^(VLOOKUP(AJ584,'FX RATES'!$H$1:$J$26,3,FALSE))/AE584^(VLOOKUP(AB584,'FX RATES'!$H$1:$J$26,3,FALSE))))</f>
        <v>0</v>
      </c>
      <c r="AT584" s="170">
        <f>IF(AB584&lt;&gt;AJ584,J584/IF(K584=RIGHT(AB584,3),AE584,1/AE584),IF(S584="USD",J584/IF(K584=RIGHT(AB584,3),IF(W584="CLIENT",AM584,AE584),1/IF(W584="CLIENT",AM584,AE584)),J584*VLOOKUP(K584,'FX RATES'!$E$1:$F$10,2,FALSE)))</f>
        <v>-253149.726659751</v>
      </c>
      <c r="AU584" s="170">
        <f>IF(AB584&lt;&gt;AJ584,R584/IF(S584=RIGHT(AJ584,3),AM584,1/AM584),IF(K584="USD",R584/IF(S584=RIGHT(AJ584,3),IF(W584="CLIENT",AM584,AE584),1/IF(W584="CLIENT",AM584,AE584)),R584*VLOOKUP(S584,'FX RATES'!$E$1:$F$10,2,FALSE)))</f>
        <v>255706.79460580912</v>
      </c>
      <c r="AV584" s="170">
        <f>AT584+AU584</f>
        <v>2557.0679460581159</v>
      </c>
      <c r="AW584" s="169"/>
      <c r="AX584" s="170">
        <f>IF(AND(ISERROR(SEARCH("INVOICE",T584)),ISERROR(SEARCH("SWITCH",T584)),ISERROR(SEARCH("FOREX",T584)),ISERROR(SEARCH("REFUND",A584)),ISERROR(SEARCH("CANCELLED",A584))),IF(AW584="",-AT584*X584+AU584*Z584,AW584),0)</f>
        <v>2557.0679460580914</v>
      </c>
      <c r="AY584" s="170">
        <f>IF(AZ584="USD",AT584,IF(AZ584=K584,J584,-R584))</f>
        <v>-253149.726659751</v>
      </c>
      <c r="AZ584" s="170" t="str">
        <f>LEFT(AB584,3)</f>
        <v>USD</v>
      </c>
      <c r="BA584" s="542">
        <f>IF(OR(A584="REFUND",A584="CANCELLED"),0,IFERROR((IF(OR(AB584="USDAED",LEFT(AB584,3)=RIGHT(AB584,3)),AI584,AG584)-AE584)*-AY584*VLOOKUP(AB584,'FX RATES'!$H$1:$J$26,3,FALSE),0))</f>
        <v>632.874316649364</v>
      </c>
      <c r="BB584" s="170" t="str">
        <f>RIGHT(AB584,3)</f>
        <v>AED</v>
      </c>
      <c r="BC584" s="542">
        <f>IF(BA584=0,0,IFERROR(BA584/IF(BB584&lt;&gt;"USD",AI584,1),"???"))</f>
        <v>172.32792829118148</v>
      </c>
      <c r="BD584" s="170">
        <f>IFERROR(-AC584/(IF(OR(AB584="USDAED",LEFT(AB584,3)=RIGHT(AB584,3)),AH584,AG584)-AE584)*BC584,0)</f>
        <v>0</v>
      </c>
      <c r="BE584" s="542">
        <f>BC584-BD584</f>
        <v>172.32792829118148</v>
      </c>
      <c r="BF584" s="170">
        <f>IF(BG584="USD",AU584,IF(BG584=S584,R584,-J584))</f>
        <v>255706.79460580912</v>
      </c>
      <c r="BG584" s="170" t="str">
        <f>LEFT(AJ584,3)</f>
        <v>USD</v>
      </c>
      <c r="BH584" s="542">
        <f>IF(OR(A584="REFUND",A584="CANCELLED"),0,IFERROR((IF(OR(AJ584="USDAED",LEFT(AJ584,3)=RIGHT(AJ584,3)),AQ584,AO584)-AM584)*-BF584*VLOOKUP(AJ584,'FX RATES'!$H$1:$J$26,3,FALSE),0))</f>
        <v>132967.53319502337</v>
      </c>
      <c r="BI584" s="170" t="str">
        <f>RIGHT(AJ584,3)</f>
        <v>RUB</v>
      </c>
      <c r="BJ584" s="542">
        <f>IF(BH584=0,0,IFERROR(BH584/IF(BI584&lt;&gt;"USD",AQ584,1),"???"))</f>
        <v>1735.8685795694958</v>
      </c>
      <c r="BK584" s="170">
        <f>IFERROR(-AK584/(IF(OR(AJ584="USDAED",LEFT(AJ584,3)=RIGHT(AJ584,3)),AP584,AO584)-AM584)*BJ584,0)</f>
        <v>0</v>
      </c>
      <c r="BL584" s="542">
        <f>BJ584-BK584</f>
        <v>1735.8685795694958</v>
      </c>
      <c r="BM584" s="170">
        <f>IF(AND(ISERROR(SEARCH("REFUND",A584)),ISERROR(SEARCH("CANCELLED",A584))),BD584+BK584,0)</f>
        <v>0</v>
      </c>
      <c r="BN584" s="542">
        <f>IF(AND(ISERROR(SEARCH("REFUND",A584)),ISERROR(SEARCH("CANCELLED",A584))),BE584+BL584,0)</f>
        <v>1908.1965078606772</v>
      </c>
    </row>
    <row r="585" spans="1:66" ht="20">
      <c r="A585" s="167" t="s">
        <v>366</v>
      </c>
      <c r="B585" s="168" t="s">
        <v>34</v>
      </c>
      <c r="C585" s="168" t="s">
        <v>367</v>
      </c>
      <c r="D585" s="168" t="s">
        <v>368</v>
      </c>
      <c r="E585" s="171">
        <v>46070</v>
      </c>
      <c r="F585" s="171" t="s">
        <v>628</v>
      </c>
      <c r="G585" s="168" t="s">
        <v>34</v>
      </c>
      <c r="H585" s="348" t="s">
        <v>629</v>
      </c>
      <c r="I585" s="169">
        <v>-500000</v>
      </c>
      <c r="J585" s="170">
        <f t="shared" ref="J585" si="677">IF(I585="",AR585,I585)</f>
        <v>-500000</v>
      </c>
      <c r="K585" s="168" t="s">
        <v>5</v>
      </c>
      <c r="L585" s="349" t="s">
        <v>13</v>
      </c>
      <c r="M585" s="349" t="s">
        <v>13</v>
      </c>
      <c r="N585" s="167" t="s">
        <v>553</v>
      </c>
      <c r="O585" s="168" t="s">
        <v>52</v>
      </c>
      <c r="P585" s="168" t="s">
        <v>630</v>
      </c>
      <c r="Q585" s="169"/>
      <c r="R585" s="170">
        <f t="shared" si="675"/>
        <v>38425325.977933794</v>
      </c>
      <c r="S585" s="168" t="s">
        <v>9</v>
      </c>
      <c r="T585" s="171" t="s">
        <v>502</v>
      </c>
      <c r="U585" s="168" t="s">
        <v>25</v>
      </c>
      <c r="V585" s="167" t="s">
        <v>371</v>
      </c>
      <c r="W585" s="172" t="s">
        <v>375</v>
      </c>
      <c r="X585" s="173">
        <f>IF(Y585="",VLOOKUP(H585,CLIENTS!$A$1:$O$649,5,FALSE),Y585)</f>
        <v>0</v>
      </c>
      <c r="Y585" s="174">
        <v>0</v>
      </c>
      <c r="Z585" s="173">
        <f>IF(AA585="",VLOOKUP(P585,CLIENTS!$A$1:$O$649,5,FALSE),AA585)</f>
        <v>3.0000000000000001E-3</v>
      </c>
      <c r="AA585" s="174">
        <v>3.0000000000000001E-3</v>
      </c>
      <c r="AB585" s="173" t="str">
        <f>IF(W585="via USD",IF(K585="EUR",K585&amp;"USD","USD"&amp;K585),IFERROR(VLOOKUP(K585&amp;S585,'FX RATES'!$H$2:$H$20,1,FALSE),S585&amp;K585))</f>
        <v>USDUSD</v>
      </c>
      <c r="AC585" s="175">
        <f>IF(LEFT(AB585,3)=RIGHT(AB585,3),0,IFERROR(INDEX(CLIENTS!$A$1:$O$649,MATCH(H585,CLIENTS!$A$1:$A$649,0),MATCH(AB585,CLIENTS!$A$1:$O$1,0)),0))</f>
        <v>0</v>
      </c>
      <c r="AD585" s="176"/>
      <c r="AE585" s="177">
        <f t="shared" ref="AE585" si="678">IF(W585="CLIENT","",IF(AD585="",AH585+AC585,AD585+AC585))</f>
        <v>1</v>
      </c>
      <c r="AF585" s="177" t="str">
        <f t="shared" ref="AF585" si="679">E585&amp;AB585</f>
        <v>46070USDUSD</v>
      </c>
      <c r="AG585" s="176"/>
      <c r="AH585" s="178">
        <f>IF(LEFT(AB585,3)=RIGHT(AB585,3),1,VLOOKUP(AB585,'FX RATES'!$H$1:$I$20,2,FALSE))</f>
        <v>1</v>
      </c>
      <c r="AI585" s="178">
        <f>IF(OR(AB585="USDAED",LEFT(AB585,3)=RIGHT(AB585,3)),AH585,IF(LEFT(AB585)="USD",AG585,IF(RIGHT(AB585,3)="USD",1,IFERROR(VLOOKUP(E585&amp;"USD"&amp;RIGHT(AB585,3),$AF:$AG,2,FALSE),VLOOKUP(E585&amp;"USD"&amp;RIGHT(AJ585,3),$AN:$AO,2,FALSE)))))</f>
        <v>1</v>
      </c>
      <c r="AJ585" s="173" t="str">
        <f>IF(W585="via USD",IF(S585="EUR",S585&amp;"USD","USD"&amp;S585),IFERROR(VLOOKUP(K585&amp;S585,'FX RATES'!$H$2:$H$20,1,FALSE),S585&amp;K585))</f>
        <v>USDRUB</v>
      </c>
      <c r="AK585" s="175">
        <f>IF(LEFT(AJ585,3)=RIGHT(AJ585,3),0,IFERROR(INDEX(CLIENTS!$A$1:$O$649,MATCH(P585,CLIENTS!$A$1:$A$649,0),MATCH(AJ585,CLIENTS!$A$1:$O$1,0)),0))</f>
        <v>0</v>
      </c>
      <c r="AL585" s="176">
        <v>76.620099999999994</v>
      </c>
      <c r="AM585" s="177">
        <f t="shared" ref="AM585" si="680">IF(W585="VENDOR","",IF(AL585="",AP585+AK585,AL585+AK585))</f>
        <v>76.620099999999994</v>
      </c>
      <c r="AN585" s="177" t="str">
        <f t="shared" ref="AN585" si="681">E585&amp;AJ585</f>
        <v>46070USDRUB</v>
      </c>
      <c r="AO585" s="176">
        <v>76.599999999999994</v>
      </c>
      <c r="AP585" s="178">
        <f ca="1">IF(LEFT(AJ585,3)=RIGHT(AJ585,3),1,VLOOKUP(AJ585,'FX RATES'!$H$1:$I$20,2,FALSE))</f>
        <v>76.720500000000001</v>
      </c>
      <c r="AQ585" s="178">
        <f t="shared" si="676"/>
        <v>76.599999999999994</v>
      </c>
      <c r="AR585" s="179">
        <f>-Q585*(1-Z585)/(1+X585)*IF(W585="CLIENT",IF(S585=RIGHT(AJ585,3),1/AM585,AM585),IF(W585="VENDOR",IF(S585=RIGHT(AJ585,3),1/AE585,AE585),AE585^(VLOOKUP(AB585,'FX RATES'!$H$1:$J$26,3,FALSE))/AM585^(VLOOKUP(AJ585,'FX RATES'!$H$1:$J$26,3,FALSE))))</f>
        <v>0</v>
      </c>
      <c r="AS585" s="179">
        <f>-I585*(1+X585)/(1-Z585)*IF(W585="VENDOR",IF(K585=RIGHT(AB585,3),1/AE585,AE585),IF(W585="CLIENT",IF(K585=RIGHT(AB585,3),1/AM585,AM585),AM585^(VLOOKUP(AJ585,'FX RATES'!$H$1:$J$26,3,FALSE))/AE585^(VLOOKUP(AB585,'FX RATES'!$H$1:$J$26,3,FALSE))))</f>
        <v>38425325.977933794</v>
      </c>
      <c r="AT585" s="170">
        <f>IF(AB585&lt;&gt;AJ585,J585/IF(K585=RIGHT(AB585,3),AE585,1/AE585),IF(S585="USD",J585/IF(K585=RIGHT(AB585,3),IF(W585="CLIENT",AM585,AE585),1/IF(W585="CLIENT",AM585,AE585)),J585*VLOOKUP(K585,'FX RATES'!$E$1:$F$10,2,FALSE)))</f>
        <v>-500000</v>
      </c>
      <c r="AU585" s="170">
        <f>IF(AB585&lt;&gt;AJ585,R585/IF(S585=RIGHT(AJ585,3),AM585,1/AM585),IF(K585="USD",R585/IF(S585=RIGHT(AJ585,3),IF(W585="CLIENT",AM585,AE585),1/IF(W585="CLIENT",AM585,AE585)),R585*VLOOKUP(S585,'FX RATES'!$E$1:$F$10,2,FALSE)))</f>
        <v>501504.51354062179</v>
      </c>
      <c r="AV585" s="170">
        <f t="shared" ref="AV585" si="682">AT585+AU585</f>
        <v>1504.5135406217887</v>
      </c>
      <c r="AW585" s="169"/>
      <c r="AX585" s="170">
        <f t="shared" ref="AX585" si="683">IF(AND(ISERROR(SEARCH("INVOICE",T585)),ISERROR(SEARCH("SWITCH",T585)),ISERROR(SEARCH("FOREX",T585)),ISERROR(SEARCH("REFUND",A585)),ISERROR(SEARCH("CANCELLED",A585))),IF(AW585="",-AT585*X585+AU585*Z585,AW585),0)</f>
        <v>1504.5135406218653</v>
      </c>
      <c r="AY585" s="170">
        <f t="shared" ref="AY585" si="684">IF(AZ585="USD",AT585,IF(AZ585=K585,J585,-R585))</f>
        <v>-500000</v>
      </c>
      <c r="AZ585" s="170" t="str">
        <f t="shared" ref="AZ585" si="685">LEFT(AB585,3)</f>
        <v>USD</v>
      </c>
      <c r="BA585" s="542">
        <f>IF(OR(A585="REFUND",A585="CANCELLED"),0,IFERROR((IF(OR(AB585="USDAED",LEFT(AB585,3)=RIGHT(AB585,3)),AI585,AG585)-AE585)*-AY585*VLOOKUP(AB585,'FX RATES'!$H$1:$J$26,3,FALSE),0))</f>
        <v>0</v>
      </c>
      <c r="BB585" s="170" t="str">
        <f t="shared" ref="BB585" si="686">RIGHT(AB585,3)</f>
        <v>USD</v>
      </c>
      <c r="BC585" s="542">
        <f t="shared" ref="BC585" si="687">IF(BA585=0,0,IFERROR(BA585/IF(BB585&lt;&gt;"USD",AI585,1),"???"))</f>
        <v>0</v>
      </c>
      <c r="BD585" s="170">
        <f t="shared" ref="BD585" si="688">IFERROR(-AC585/(IF(OR(AB585="USDAED",LEFT(AB585,3)=RIGHT(AB585,3)),AH585,AG585)-AE585)*BC585,0)</f>
        <v>0</v>
      </c>
      <c r="BE585" s="542">
        <f t="shared" ref="BE585" si="689">BC585-BD585</f>
        <v>0</v>
      </c>
      <c r="BF585" s="170">
        <f t="shared" ref="BF585" si="690">IF(BG585="USD",AU585,IF(BG585=S585,R585,-J585))</f>
        <v>501504.51354062179</v>
      </c>
      <c r="BG585" s="170" t="str">
        <f t="shared" ref="BG585" si="691">LEFT(AJ585,3)</f>
        <v>USD</v>
      </c>
      <c r="BH585" s="542">
        <f>IF(OR(A585="REFUND",A585="CANCELLED"),0,IFERROR((IF(OR(AJ585="USDAED",LEFT(AJ585,3)=RIGHT(AJ585,3)),AQ585,AO585)-AM585)*-BF585*VLOOKUP(AJ585,'FX RATES'!$H$1:$J$26,3,FALSE),0))</f>
        <v>10080.240722166167</v>
      </c>
      <c r="BI585" s="170" t="str">
        <f t="shared" ref="BI585" si="692">RIGHT(AJ585,3)</f>
        <v>RUB</v>
      </c>
      <c r="BJ585" s="542">
        <f t="shared" ref="BJ585" si="693">IF(BH585=0,0,IFERROR(BH585/IF(BI585&lt;&gt;"USD",AQ585,1),"???"))</f>
        <v>131.59583188206486</v>
      </c>
      <c r="BK585" s="170">
        <f t="shared" ref="BK585" si="694">IFERROR(-AK585/(IF(OR(AJ585="USDAED",LEFT(AJ585,3)=RIGHT(AJ585,3)),AP585,AO585)-AM585)*BJ585,0)</f>
        <v>0</v>
      </c>
      <c r="BL585" s="542">
        <f t="shared" ref="BL585" si="695">BJ585-BK585</f>
        <v>131.59583188206486</v>
      </c>
      <c r="BM585" s="170">
        <f t="shared" ref="BM585" si="696">IF(AND(ISERROR(SEARCH("REFUND",A585)),ISERROR(SEARCH("CANCELLED",A585))),BD585+BK585,0)</f>
        <v>0</v>
      </c>
      <c r="BN585" s="542">
        <f t="shared" ref="BN585" si="697">IF(AND(ISERROR(SEARCH("REFUND",A585)),ISERROR(SEARCH("CANCELLED",A585))),BE585+BL585,0)</f>
        <v>131.59583188206486</v>
      </c>
    </row>
    <row r="586" spans="1:66" ht="19">
      <c r="A586" s="167" t="s">
        <v>601</v>
      </c>
      <c r="B586" s="168" t="s">
        <v>52</v>
      </c>
      <c r="C586" s="168" t="s">
        <v>367</v>
      </c>
      <c r="D586" s="168" t="s">
        <v>368</v>
      </c>
      <c r="E586" s="171">
        <v>46070</v>
      </c>
      <c r="F586" s="171" t="s">
        <v>628</v>
      </c>
      <c r="G586" s="168" t="s">
        <v>52</v>
      </c>
      <c r="H586" s="168" t="s">
        <v>560</v>
      </c>
      <c r="I586" s="169">
        <v>-500000</v>
      </c>
      <c r="J586" s="170">
        <f>IF(I586="",AR586,I586)</f>
        <v>-500000</v>
      </c>
      <c r="K586" s="168" t="s">
        <v>53</v>
      </c>
      <c r="L586" s="168" t="s">
        <v>420</v>
      </c>
      <c r="M586" s="168" t="s">
        <v>54</v>
      </c>
      <c r="N586" s="182" t="s">
        <v>553</v>
      </c>
      <c r="O586" s="168" t="s">
        <v>52</v>
      </c>
      <c r="P586" s="168" t="s">
        <v>560</v>
      </c>
      <c r="Q586" s="169"/>
      <c r="R586" s="170">
        <f t="shared" si="675"/>
        <v>38515000</v>
      </c>
      <c r="S586" s="168" t="s">
        <v>9</v>
      </c>
      <c r="T586" s="168" t="s">
        <v>617</v>
      </c>
      <c r="U586" s="168" t="s">
        <v>25</v>
      </c>
      <c r="V586" s="167" t="s">
        <v>371</v>
      </c>
      <c r="W586" s="172" t="s">
        <v>375</v>
      </c>
      <c r="X586" s="173">
        <f>IF(Y586="",VLOOKUP(H586,CLIENTS!$A$1:$O$649,5,FALSE),Y586)</f>
        <v>0</v>
      </c>
      <c r="Y586" s="174">
        <v>0</v>
      </c>
      <c r="Z586" s="173">
        <f>IF(AA586="",VLOOKUP(P586,CLIENTS!$A$1:$O$649,5,FALSE),AA586)</f>
        <v>0</v>
      </c>
      <c r="AA586" s="174">
        <v>0</v>
      </c>
      <c r="AB586" s="173" t="str">
        <f>IF(W586="via USD",IF(K586="EUR",K586&amp;"USD","USD"&amp;K586),IFERROR(VLOOKUP(K586&amp;S586,'FX RATES'!$H$2:$H$20,1,FALSE),S586&amp;K586))</f>
        <v>USDUSDT</v>
      </c>
      <c r="AC586" s="175">
        <f>IF(LEFT(AB586,3)=RIGHT(AB586,3),0,IFERROR(INDEX(CLIENTS!$A$1:$O$649,MATCH(H586,CLIENTS!$A$1:$A$649,0),MATCH(AB586,CLIENTS!$A$1:$O$1,0)),0))</f>
        <v>0</v>
      </c>
      <c r="AD586" s="176"/>
      <c r="AE586" s="177">
        <f>IF(W586="CLIENT","",IF(AD586="",AH586+AC586,AD586+AC586))</f>
        <v>1</v>
      </c>
      <c r="AF586" s="177" t="str">
        <f>E586&amp;AB586</f>
        <v>46070USDUSDT</v>
      </c>
      <c r="AG586" s="176"/>
      <c r="AH586" s="178">
        <f>IF(LEFT(AB586,3)=RIGHT(AB586,3),1,VLOOKUP(AB586,'FX RATES'!$H$1:$I$50,2,FALSE))</f>
        <v>1</v>
      </c>
      <c r="AI586" s="178">
        <f>IF(OR(AB586="USDAED",LEFT(AB586,3)=RIGHT(AB586,3),AB586="USDUSDT",AB586="USDTUSD"),AH586,IF(LEFT(AB586)="USD",AG586,IF(RIGHT(AB586,3)="USD",1,IFERROR(VLOOKUP(E586&amp;"USD"&amp;RIGHT(AB586,3),$AF:$AG,2,FALSE),VLOOKUP(E586&amp;"USD"&amp;RIGHT(AJ586,3),$AN:$AO,2,FALSE)))))</f>
        <v>1</v>
      </c>
      <c r="AJ586" s="173" t="str">
        <f>IF(W586="via USD",IF(S586="EUR",S586&amp;"USD","USD"&amp;S586),IFERROR(VLOOKUP(K586&amp;S586,'FX RATES'!$H$2:$H$20,1,FALSE),S586&amp;K586))</f>
        <v>USDRUB</v>
      </c>
      <c r="AK586" s="175">
        <f>IF(LEFT(AJ586,3)=RIGHT(AJ586,3),0,IFERROR(INDEX(CLIENTS!$A$1:$O$649,MATCH(P586,CLIENTS!$A$1:$A$649,0),MATCH(AJ586,CLIENTS!$A$1:$O$1,0)),0))</f>
        <v>0</v>
      </c>
      <c r="AL586" s="176">
        <v>77.03</v>
      </c>
      <c r="AM586" s="177">
        <f>IF(W586="VENDOR","",IF(AL586="",AP586+AK586,AL586+AK586))</f>
        <v>77.03</v>
      </c>
      <c r="AN586" s="177" t="str">
        <f>E586&amp;AJ586</f>
        <v>46070USDRUB</v>
      </c>
      <c r="AO586" s="176">
        <v>76.599999999999994</v>
      </c>
      <c r="AP586" s="178">
        <f ca="1">IF(LEFT(AJ586,3)=RIGHT(AJ586,3),1,VLOOKUP(AJ586,'FX RATES'!$H$1:$I$20,2,FALSE))</f>
        <v>76.720500000000001</v>
      </c>
      <c r="AQ586" s="178">
        <f t="shared" si="676"/>
        <v>76.599999999999994</v>
      </c>
      <c r="AR586" s="179">
        <f>-Q586*(1-Z586)/(1+X586)*IF(W586="CLIENT",IF(S586=RIGHT(AJ586,3),1/AM586,AM586),IF(W586="VENDOR",IF(S586=RIGHT(AJ586,3),1/AE586,AE586),AE586^(VLOOKUP(AB586,'FX RATES'!$H$1:$J$26,3,FALSE))/AM586^(VLOOKUP(AJ586,'FX RATES'!$H$1:$J$26,3,FALSE))))</f>
        <v>0</v>
      </c>
      <c r="AS586" s="179">
        <f>-I586*(1+X586)/(1-Z586)*IF(W586="VENDOR",IF(K586=RIGHT(AB586,3),1/AE586,AE586),IF(W586="CLIENT",IF(K586=RIGHT(AB586,3),1/AM586,AM586),AM586^(VLOOKUP(AJ586,'FX RATES'!$H$1:$J$26,3,FALSE))/AE586^(VLOOKUP(AB586,'FX RATES'!$H$1:$J$26,3,FALSE))))</f>
        <v>38515000</v>
      </c>
      <c r="AT586" s="170">
        <f>IF(AB586&lt;&gt;AJ586,J586/IF(K586=RIGHT(AB586,3),AE586,1/AE586),IF(S586="USD",J586/IF(K586=RIGHT(AB586,3),IF(W586="CLIENT",AM586,AE586),1/IF(W586="CLIENT",AM586,AE586)),J586*VLOOKUP(K586,'FX RATES'!$E$1:$F$10,2,FALSE)))</f>
        <v>-500000</v>
      </c>
      <c r="AU586" s="170">
        <f>IF(AB586&lt;&gt;AJ586,R586/IF(S586=RIGHT(AJ586,3),AM586,1/AM586),IF(K586="USD",R586/IF(S586=RIGHT(AJ586,3),IF(W586="CLIENT",AM586,AE586),1/IF(W586="CLIENT",AM586,AE586)),R586*VLOOKUP(S586,'FX RATES'!$E$1:$F$10,2,FALSE)))</f>
        <v>500000</v>
      </c>
      <c r="AV586" s="170">
        <f>AT586+AU586</f>
        <v>0</v>
      </c>
      <c r="AW586" s="169"/>
      <c r="AX586" s="170">
        <f>IF(AND(ISERROR(SEARCH("INVOICE",T586)),ISERROR(SEARCH("SWITCH",T586)),ISERROR(SEARCH("FOREX",T586)),ISERROR(SEARCH("REFUND",A586)),ISERROR(SEARCH("CANCELLED",A586))),IF(AW586="",-AT586*X586+AU586*Z586,AW586),0)</f>
        <v>0</v>
      </c>
      <c r="AY586" s="170">
        <f>IF(AZ586="USD",AT586,IF(AZ586=K586,J586,-R586))</f>
        <v>-500000</v>
      </c>
      <c r="AZ586" s="170" t="str">
        <f>LEFT(AB586,3)</f>
        <v>USD</v>
      </c>
      <c r="BA586" s="542">
        <f>IF(OR(A586="REFUND",A586="CANCELLED"),0,IFERROR((IF(OR(AB586="USDAED",LEFT(AB586,3)=RIGHT(AB586,3),AB586="USDUSDT",AB586="USDTUSD"),AI586,AG586)-AE586)*-AY586*VLOOKUP(AB586,'FX RATES'!$H$1:$J$26,3,FALSE),0))</f>
        <v>0</v>
      </c>
      <c r="BB586" s="170" t="str">
        <f>RIGHT(AB586,4)</f>
        <v>USDT</v>
      </c>
      <c r="BC586" s="542">
        <f>IF(BA586=0,0,IFERROR(BA586/IF(BB586&lt;&gt;"USD",AI586,1),"???"))</f>
        <v>0</v>
      </c>
      <c r="BD586" s="170">
        <f>IFERROR(-AC586/(IF(OR(AB586="USDAED",LEFT(AB586,3)=RIGHT(AB586,3)),AH586,AG586)-AE586)*BC586,0)</f>
        <v>0</v>
      </c>
      <c r="BE586" s="542">
        <f>BC586-BD586</f>
        <v>0</v>
      </c>
      <c r="BF586" s="170">
        <f>IF(BG586="USD",AU586,IF(BG586=S586,R586,-J586))</f>
        <v>500000</v>
      </c>
      <c r="BG586" s="170" t="str">
        <f>LEFT(AJ586,3)</f>
        <v>USD</v>
      </c>
      <c r="BH586" s="542">
        <f>IF(OR(A586="REFUND",A586="CANCELLED"),0,IFERROR((IF(OR(AJ586="USDAED",LEFT(AJ586,3)=RIGHT(AJ586,3)),AQ586,AO586)-AM586)*-BF586*VLOOKUP(AJ586,'FX RATES'!$H$1:$J$26,3,FALSE),0))</f>
        <v>215000.00000000341</v>
      </c>
      <c r="BI586" s="170" t="str">
        <f>RIGHT(AJ586,3)</f>
        <v>RUB</v>
      </c>
      <c r="BJ586" s="542">
        <f>IF(BH586=0,0,IFERROR(BH586/IF(BI586&lt;&gt;"USD",AQ586,1),"???"))</f>
        <v>2806.788511749392</v>
      </c>
      <c r="BK586" s="170">
        <f>IFERROR(-AK586/(IF(OR(AJ586="USDAED",LEFT(AJ586,3)=RIGHT(AJ586,3)),AP586,AO586)-AM586)*BJ586,0)</f>
        <v>0</v>
      </c>
      <c r="BL586" s="542">
        <f>BJ586-BK586</f>
        <v>2806.788511749392</v>
      </c>
      <c r="BM586" s="170">
        <f>IF(AND(ISERROR(SEARCH("REFUND",A586)),ISERROR(SEARCH("CANCELLED",A586))),BD586+BK586,0)</f>
        <v>0</v>
      </c>
      <c r="BN586" s="542">
        <f>IF(AND(ISERROR(SEARCH("REFUND",A586)),ISERROR(SEARCH("CANCELLED",A586))),BE586+BL586,0)</f>
        <v>2806.788511749392</v>
      </c>
    </row>
    <row r="587" spans="1:66" ht="19">
      <c r="A587" s="167" t="s">
        <v>488</v>
      </c>
      <c r="B587" s="168" t="s">
        <v>52</v>
      </c>
      <c r="C587" s="168" t="s">
        <v>489</v>
      </c>
      <c r="D587" s="168" t="s">
        <v>128</v>
      </c>
      <c r="E587" s="171">
        <v>46070</v>
      </c>
      <c r="F587" s="171"/>
      <c r="G587" s="168" t="s">
        <v>52</v>
      </c>
      <c r="H587" s="181" t="s">
        <v>52</v>
      </c>
      <c r="I587" s="169">
        <v>-8188071.7400000002</v>
      </c>
      <c r="J587" s="170">
        <f>IF(I587="",AR587,I587)</f>
        <v>-8188071.7400000002</v>
      </c>
      <c r="K587" s="168" t="s">
        <v>9</v>
      </c>
      <c r="L587" s="171"/>
      <c r="M587" s="168"/>
      <c r="N587" s="167" t="s">
        <v>371</v>
      </c>
      <c r="O587" s="168" t="s">
        <v>52</v>
      </c>
      <c r="P587" s="168" t="s">
        <v>52</v>
      </c>
      <c r="Q587" s="169"/>
      <c r="R587" s="170">
        <f t="shared" si="675"/>
        <v>106893.88694516972</v>
      </c>
      <c r="S587" s="168" t="s">
        <v>5</v>
      </c>
      <c r="T587" s="171"/>
      <c r="U587" s="168"/>
      <c r="V587" s="167" t="s">
        <v>371</v>
      </c>
      <c r="W587" s="172" t="s">
        <v>382</v>
      </c>
      <c r="X587" s="173">
        <f>IF(Y587="",VLOOKUP(H587,CLIENTS!$A$1:$O$649,5,FALSE),Y587)</f>
        <v>0</v>
      </c>
      <c r="Y587" s="174"/>
      <c r="Z587" s="173">
        <f>IF(AA587="",VLOOKUP(P587,CLIENTS!$A$1:$O$649,5,FALSE),AA587)</f>
        <v>0</v>
      </c>
      <c r="AA587" s="174"/>
      <c r="AB587" s="173" t="str">
        <f>IF(W587="via USD",IF(K587="EUR",K587&amp;"USD","USD"&amp;K587),IFERROR(VLOOKUP(K587&amp;S587,'FX RATES'!$H$2:$H$20,1,FALSE),S587&amp;K587))</f>
        <v>USDRUB</v>
      </c>
      <c r="AC587" s="175">
        <f>IF(LEFT(AB587,3)=RIGHT(AB587,3),0,IFERROR(INDEX(CLIENTS!$A$1:$O$649,MATCH(H587,CLIENTS!$A$1:$A$649,0),MATCH(AB587,CLIENTS!$A$1:$O$1,0)),0))</f>
        <v>0</v>
      </c>
      <c r="AD587" s="176">
        <v>76.599999999999994</v>
      </c>
      <c r="AE587" s="177">
        <f>IF(W587="CLIENT","",IF(AD587="",AH587+AC587,AD587+AC587))</f>
        <v>76.599999999999994</v>
      </c>
      <c r="AF587" s="177" t="str">
        <f>E587&amp;AB587</f>
        <v>46070USDRUB</v>
      </c>
      <c r="AG587" s="176">
        <v>76.599999999999994</v>
      </c>
      <c r="AH587" s="178">
        <f ca="1">IF(LEFT(AB587,3)=RIGHT(AB587,3),1,VLOOKUP(AB587,'FX RATES'!$H$1:$I$20,2,FALSE))</f>
        <v>76.720500000000001</v>
      </c>
      <c r="AI587" s="178">
        <f>IF(OR(AB587="USDAED",LEFT(AB587,3)=RIGHT(AB587,3),AB587="USDUSDT",AB587="USDTUSD"),AH587,IF(LEFT(AB587)="USD",AG587,IF(RIGHT(AB587,3)="USD",1,IFERROR(VLOOKUP(E587&amp;"USD"&amp;RIGHT(AB587,3),$AF:$AG,2,FALSE),VLOOKUP(E587&amp;"USD"&amp;RIGHT(AJ587,3),$AN:$AO,2,FALSE)))))</f>
        <v>76.599999999999994</v>
      </c>
      <c r="AJ587" s="173" t="str">
        <f>IF(W587="via USD",IF(S587="EUR",S587&amp;"USD","USD"&amp;S587),IFERROR(VLOOKUP(K587&amp;S587,'FX RATES'!$H$2:$H$20,1,FALSE),S587&amp;K587))</f>
        <v>USDRUB</v>
      </c>
      <c r="AK587" s="175">
        <f>IF(LEFT(AJ587,3)=RIGHT(AJ587,3),0,IFERROR(INDEX(CLIENTS!$A$1:$O$649,MATCH(P587,CLIENTS!$A$1:$A$649,0),MATCH(AJ587,CLIENTS!$A$1:$O$1,0)),0))</f>
        <v>0</v>
      </c>
      <c r="AL587" s="176"/>
      <c r="AM587" s="177" t="str">
        <f>IF(W587="VENDOR","",IF(AL587="",AP587+AK587,AL587+AK587))</f>
        <v/>
      </c>
      <c r="AN587" s="177" t="str">
        <f>E587&amp;AJ587</f>
        <v>46070USDRUB</v>
      </c>
      <c r="AO587" s="176">
        <v>76.599999999999994</v>
      </c>
      <c r="AP587" s="178">
        <f ca="1">IF(LEFT(AJ587,3)=RIGHT(AJ587,3),1,VLOOKUP(AJ587,'FX RATES'!$H$1:$I$20,2,FALSE))</f>
        <v>76.720500000000001</v>
      </c>
      <c r="AQ587" s="178">
        <f t="shared" si="676"/>
        <v>76.599999999999994</v>
      </c>
      <c r="AR587" s="179">
        <f>-Q587*(1-Z587)/(1+X587)*IF(W587="CLIENT",IF(S587=RIGHT(AJ587,3),1/AM587,AM587),IF(W587="VENDOR",IF(S587=RIGHT(AJ587,3),1/AE587,AE587),AE587^(VLOOKUP(AB587,'FX RATES'!$H$1:$J$26,3,FALSE))/AM587^(VLOOKUP(AJ587,'FX RATES'!$H$1:$J$26,3,FALSE))))</f>
        <v>0</v>
      </c>
      <c r="AS587" s="179">
        <f>-I587*(1+X587)/(1-Z587)*IF(W587="VENDOR",IF(K587=RIGHT(AB587,3),1/AE587,AE587),IF(W587="CLIENT",IF(K587=RIGHT(AB587,3),1/AM587,AM587),AM587^(VLOOKUP(AJ587,'FX RATES'!$H$1:$J$26,3,FALSE))/AE587^(VLOOKUP(AB587,'FX RATES'!$H$1:$J$26,3,FALSE))))</f>
        <v>106893.88694516972</v>
      </c>
      <c r="AT587" s="170">
        <f>IF(AB587&lt;&gt;AJ587,J587/IF(K587=RIGHT(AB587,3),AE587,1/AE587),IF(S587="USD",J587/IF(K587=RIGHT(AB587,3),IF(W587="CLIENT",AM587,AE587),1/IF(W587="CLIENT",AM587,AE587)),J587*VLOOKUP(K587,'FX RATES'!$E$1:$F$10,2,FALSE)))</f>
        <v>-106893.88694516972</v>
      </c>
      <c r="AU587" s="170">
        <f>IF(AB587&lt;&gt;AJ587,R587/IF(S587=RIGHT(AJ587,3),AM587,1/AM587),IF(K587="USD",R587/IF(S587=RIGHT(AJ587,3),IF(W587="CLIENT",AM587,AE587),1/IF(W587="CLIENT",AM587,AE587)),R587*VLOOKUP(S587,'FX RATES'!$E$1:$F$10,2,FALSE)))</f>
        <v>106893.88694516972</v>
      </c>
      <c r="AV587" s="170">
        <f>AT587+AU587</f>
        <v>0</v>
      </c>
      <c r="AW587" s="169"/>
      <c r="AX587" s="170">
        <f>IF(AND(ISERROR(SEARCH("INVOICE",T587)),ISERROR(SEARCH("SWITCH",T587)),ISERROR(SEARCH("FOREX",T587)),ISERROR(SEARCH("REFUND",A587)),ISERROR(SEARCH("CANCELLED",A587))),IF(AW587="",-AT587*X587+AU587*Z587,AW587),0)</f>
        <v>0</v>
      </c>
      <c r="AY587" s="170">
        <f>IF(AZ587="USD",AT587,IF(AZ587=K587,J587,-R587))</f>
        <v>-106893.88694516972</v>
      </c>
      <c r="AZ587" s="170" t="str">
        <f>LEFT(AB587,3)</f>
        <v>USD</v>
      </c>
      <c r="BA587" s="542">
        <f>IF(OR(A587="REFUND",A587="CANCELLED"),0,IFERROR((IF(OR(AB587="USDAED",LEFT(AB587,3)=RIGHT(AB587,3)),AI587,AG587)-AE587)*-AY587*VLOOKUP(AB587,'FX RATES'!$H$1:$J$26,3,FALSE),0))</f>
        <v>0</v>
      </c>
      <c r="BB587" s="170" t="str">
        <f>RIGHT(AB587,3)</f>
        <v>RUB</v>
      </c>
      <c r="BC587" s="542">
        <f>IF(BA587=0,0,IFERROR(BA587/IF(BB587&lt;&gt;"USD",AI587,1),"???"))</f>
        <v>0</v>
      </c>
      <c r="BD587" s="170">
        <f>IFERROR(-AC587/(IF(OR(AB587="USDAED",LEFT(AB587,3)=RIGHT(AB587,3)),AH587,AG587)-AE587)*BC587,0)</f>
        <v>0</v>
      </c>
      <c r="BE587" s="542">
        <f>BC587-BD587</f>
        <v>0</v>
      </c>
      <c r="BF587" s="170">
        <f>IF(BG587="USD",AU587,IF(BG587=S587,R587,-J587))</f>
        <v>106893.88694516972</v>
      </c>
      <c r="BG587" s="170" t="str">
        <f>LEFT(AJ587,3)</f>
        <v>USD</v>
      </c>
      <c r="BH587" s="542">
        <f>IF(OR(A587="REFUND",A587="CANCELLED"),0,IFERROR((IF(OR(AJ587="USDAED",LEFT(AJ587,3)=RIGHT(AJ587,3)),AQ587,AO587)-AM587)*-BF587*VLOOKUP(AJ587,'FX RATES'!$H$1:$J$26,3,FALSE),0))</f>
        <v>0</v>
      </c>
      <c r="BI587" s="170" t="str">
        <f>RIGHT(AJ587,3)</f>
        <v>RUB</v>
      </c>
      <c r="BJ587" s="542">
        <f>IF(BH587=0,0,IFERROR(BH587/IF(BI587&lt;&gt;"USD",AQ587,1),"???"))</f>
        <v>0</v>
      </c>
      <c r="BK587" s="170">
        <f>IFERROR(-AK587/(IF(OR(AJ587="USDAED",LEFT(AJ587,3)=RIGHT(AJ587,3)),AP587,AO587)-AM587)*BJ587,0)</f>
        <v>0</v>
      </c>
      <c r="BL587" s="542">
        <f>BJ587-BK587</f>
        <v>0</v>
      </c>
      <c r="BM587" s="170">
        <f>IF(AND(ISERROR(SEARCH("REFUND",A587)),ISERROR(SEARCH("CANCELLED",A587))),BD587+BK587,0)</f>
        <v>0</v>
      </c>
      <c r="BN587" s="542">
        <f>IF(AND(ISERROR(SEARCH("REFUND",A587)),ISERROR(SEARCH("CANCELLED",A587))),BE587+BL587,0)</f>
        <v>0</v>
      </c>
    </row>
    <row r="588" spans="1:66" ht="19">
      <c r="A588" s="167" t="s">
        <v>601</v>
      </c>
      <c r="B588" s="168" t="s">
        <v>34</v>
      </c>
      <c r="C588" s="168" t="s">
        <v>383</v>
      </c>
      <c r="D588" s="168" t="s">
        <v>148</v>
      </c>
      <c r="E588" s="171">
        <v>46070</v>
      </c>
      <c r="F588" s="171"/>
      <c r="G588" s="168" t="s">
        <v>39</v>
      </c>
      <c r="H588" s="168" t="s">
        <v>549</v>
      </c>
      <c r="I588" s="169">
        <f>-(R581+R582+R584)</f>
        <v>-327119949.19999993</v>
      </c>
      <c r="J588" s="170">
        <f>IF(I588="",AR588,I588)</f>
        <v>-327119949.19999993</v>
      </c>
      <c r="K588" s="168" t="s">
        <v>9</v>
      </c>
      <c r="L588" s="171" t="s">
        <v>25</v>
      </c>
      <c r="M588" s="168" t="s">
        <v>25</v>
      </c>
      <c r="N588" s="167" t="s">
        <v>553</v>
      </c>
      <c r="O588" s="168" t="s">
        <v>34</v>
      </c>
      <c r="P588" s="168" t="s">
        <v>34</v>
      </c>
      <c r="Q588" s="169"/>
      <c r="R588" s="170">
        <f t="shared" si="675"/>
        <v>4286943.6283599855</v>
      </c>
      <c r="S588" s="168" t="s">
        <v>5</v>
      </c>
      <c r="T588" s="171" t="s">
        <v>477</v>
      </c>
      <c r="U588" s="168" t="s">
        <v>25</v>
      </c>
      <c r="V588" s="167" t="s">
        <v>371</v>
      </c>
      <c r="W588" s="172" t="s">
        <v>382</v>
      </c>
      <c r="X588" s="173">
        <f>IF(Y588="",VLOOKUP(H588,CLIENTS!$A$1:$O$649,5,FALSE),Y588)</f>
        <v>0</v>
      </c>
      <c r="Y588" s="174"/>
      <c r="Z588" s="173">
        <f>IF(AA588="",VLOOKUP(P588,CLIENTS!$A$1:$O$649,5,FALSE),AA588)</f>
        <v>0</v>
      </c>
      <c r="AA588" s="174"/>
      <c r="AB588" s="173" t="str">
        <f>IF(W588="via USD",IF(K588="EUR",K588&amp;"USD","USD"&amp;K588),IFERROR(VLOOKUP(K588&amp;S588,'FX RATES'!$H$2:$H$20,1,FALSE),S588&amp;K588))</f>
        <v>USDRUB</v>
      </c>
      <c r="AC588" s="175">
        <f>IF(LEFT(AB588,3)=RIGHT(AB588,3),0,IFERROR(INDEX(CLIENTS!$A$1:$O$649,MATCH(H588,CLIENTS!$A$1:$A$649,0),MATCH(AB588,CLIENTS!$A$1:$O$1,0)),0))+0.07</f>
        <v>0</v>
      </c>
      <c r="AD588" s="176">
        <v>76.306100000000001</v>
      </c>
      <c r="AE588" s="177">
        <f>IF(W588="CLIENT","",IF(AD588="",AH588+AC588,AD588+AC588))</f>
        <v>76.306100000000001</v>
      </c>
      <c r="AF588" s="177" t="str">
        <f>E588&amp;AB588</f>
        <v>46070USDRUB</v>
      </c>
      <c r="AG588" s="176">
        <v>76.599999999999994</v>
      </c>
      <c r="AH588" s="178">
        <f ca="1">IF(LEFT(AB588,3)=RIGHT(AB588,3),1,VLOOKUP(AB588,'FX RATES'!$H$1:$I$20,2,FALSE))</f>
        <v>76.720500000000001</v>
      </c>
      <c r="AI588" s="178">
        <f>IF(OR(AB588="USDAED",LEFT(AB588,3)=RIGHT(AB588,3)),AH588,IF(LEFT(AB588)="USD",AG588,IF(RIGHT(AB588,3)="USD",1,IFERROR(VLOOKUP(E588&amp;"USD"&amp;RIGHT(AB588,3),$AF:$AG,2,FALSE),VLOOKUP(E588&amp;"USD"&amp;RIGHT(AJ588,3),$AN:$AO,2,FALSE)))))</f>
        <v>76.599999999999994</v>
      </c>
      <c r="AJ588" s="173" t="str">
        <f>IF(W588="via USD",IF(S588="EUR",S588&amp;"USD","USD"&amp;S588),IFERROR(VLOOKUP(K588&amp;S588,'FX RATES'!$H$2:$H$20,1,FALSE),S588&amp;K588))</f>
        <v>USDRUB</v>
      </c>
      <c r="AK588" s="175">
        <f>IF(LEFT(AJ588,3)=RIGHT(AJ588,3),0,IFERROR(INDEX(CLIENTS!$A$1:$O$649,MATCH(P588,CLIENTS!$A$1:$A$649,0),MATCH(AJ588,CLIENTS!$A$1:$O$1,0)),0))</f>
        <v>0</v>
      </c>
      <c r="AL588" s="176"/>
      <c r="AM588" s="177" t="str">
        <f>IF(W588="VENDOR","",IF(AL588="",AP588+AK588,AL588+AK588))</f>
        <v/>
      </c>
      <c r="AN588" s="177" t="str">
        <f>E588&amp;AJ588</f>
        <v>46070USDRUB</v>
      </c>
      <c r="AO588" s="176"/>
      <c r="AP588" s="178">
        <f ca="1">IF(LEFT(AJ588,3)=RIGHT(AJ588,3),1,VLOOKUP(AJ588,'FX RATES'!$H$1:$I$20,2,FALSE))</f>
        <v>76.720500000000001</v>
      </c>
      <c r="AQ588" s="178">
        <f t="shared" si="676"/>
        <v>76.599999999999994</v>
      </c>
      <c r="AR588" s="179">
        <f>-Q588*(1-Z588)/(1+X588)*IF(W588="CLIENT",IF(S588=RIGHT(AJ588,3),1/AM588,AM588),IF(W588="VENDOR",IF(S588=RIGHT(AJ588,3),1/AE588,AE588),AE588^(VLOOKUP(AB588,'FX RATES'!$H$1:$J$26,3,FALSE))/AM588^(VLOOKUP(AJ588,'FX RATES'!$H$1:$J$26,3,FALSE))))</f>
        <v>0</v>
      </c>
      <c r="AS588" s="179">
        <f>-I588*(1+X588)/(1-Z588)*IF(W588="VENDOR",IF(K588=RIGHT(AB588,3),1/AE588,AE588),IF(W588="CLIENT",IF(K588=RIGHT(AB588,3),1/AM588,AM588),AM588^(VLOOKUP(AJ588,'FX RATES'!$H$1:$J$26,3,FALSE))/AE588^(VLOOKUP(AB588,'FX RATES'!$H$1:$J$26,3,FALSE))))</f>
        <v>4286943.6283599855</v>
      </c>
      <c r="AT588" s="170">
        <f>IF(AB588&lt;&gt;AJ588,J588/IF(K588=RIGHT(AB588,3),AE588,1/AE588),IF(S588="USD",J588/IF(K588=RIGHT(AB588,3),IF(W588="CLIENT",AM588,AE588),1/IF(W588="CLIENT",AM588,AE588)),J588*VLOOKUP(K588,'FX RATES'!$E$1:$F$10,2,FALSE)))</f>
        <v>-4286943.6283599855</v>
      </c>
      <c r="AU588" s="170">
        <f>IF(AB588&lt;&gt;AJ588,R588/IF(S588=RIGHT(AJ588,3),AM588,1/AM588),IF(K588="USD",R588/IF(S588=RIGHT(AJ588,3),IF(W588="CLIENT",AM588,AE588),1/IF(W588="CLIENT",AM588,AE588)),R588*VLOOKUP(S588,'FX RATES'!$E$1:$F$10,2,FALSE)))</f>
        <v>4286943.6283599855</v>
      </c>
      <c r="AV588" s="170">
        <f>AT588+AU588</f>
        <v>0</v>
      </c>
      <c r="AW588" s="169"/>
      <c r="AX588" s="170">
        <f>IF(AND(ISERROR(SEARCH("INVOICE",T588)),ISERROR(SEARCH("SWITCH",T588)),ISERROR(SEARCH("FOREX",T588)),ISERROR(SEARCH("REFUND",A588)),ISERROR(SEARCH("CANCELLED",A588))),IF(AW588="",-AT588*X588+AU588*Z588,AW588),0)</f>
        <v>0</v>
      </c>
      <c r="AY588" s="170">
        <f>IF(AZ588="USD",AT588,IF(AZ588=K588,J588,-R588))</f>
        <v>-4286943.6283599855</v>
      </c>
      <c r="AZ588" s="170" t="str">
        <f>LEFT(AB588,3)</f>
        <v>USD</v>
      </c>
      <c r="BA588" s="542">
        <f>IF(OR(A588="REFUND",A588="CANCELLED"),0,IFERROR((IF(OR(AB588="USDAED",LEFT(AB588,3)=RIGHT(AB588,3)),AI588,AG588)-AE588)*-AY588*VLOOKUP(AB588,'FX RATES'!$H$1:$J$26,3,FALSE),0))</f>
        <v>1259932.7323749724</v>
      </c>
      <c r="BB588" s="170" t="str">
        <f>RIGHT(AB588,3)</f>
        <v>RUB</v>
      </c>
      <c r="BC588" s="542">
        <f>IF(BA588=0,0,IFERROR(BA588/IF(BB588&lt;&gt;"USD",AI588,1),"???"))</f>
        <v>16448.207994451339</v>
      </c>
      <c r="BD588" s="170">
        <f>IFERROR(-AC588/(IF(OR(AB588="USDAED",LEFT(AB588,3)=RIGHT(AB588,3)),AH588,AG588)-AE588)*BC588,0)</f>
        <v>0</v>
      </c>
      <c r="BE588" s="542">
        <f>BC588-BD588</f>
        <v>16448.207994451339</v>
      </c>
      <c r="BF588" s="170">
        <f>IF(BG588="USD",AU588,IF(BG588=S588,R588,-J588))</f>
        <v>4286943.6283599855</v>
      </c>
      <c r="BG588" s="170" t="str">
        <f>LEFT(AJ588,3)</f>
        <v>USD</v>
      </c>
      <c r="BH588" s="542">
        <f>IF(OR(A588="REFUND",A588="CANCELLED"),0,IFERROR((IF(OR(AJ588="USDAED",LEFT(AJ588,3)=RIGHT(AJ588,3)),AQ588,AO588)-AM588)*-BF588*VLOOKUP(AJ588,'FX RATES'!$H$1:$J$26,3,FALSE),0))</f>
        <v>0</v>
      </c>
      <c r="BI588" s="170" t="str">
        <f>RIGHT(AJ588,3)</f>
        <v>RUB</v>
      </c>
      <c r="BJ588" s="542">
        <f>IF(BH588=0,0,IFERROR(BH588/IF(BI588&lt;&gt;"USD",AQ588,1),"???"))</f>
        <v>0</v>
      </c>
      <c r="BK588" s="170">
        <f>IFERROR(-AK588/(IF(OR(AJ588="USDAED",LEFT(AJ588,3)=RIGHT(AJ588,3)),AP588,AO588)-AM588)*BJ588,0)</f>
        <v>0</v>
      </c>
      <c r="BL588" s="542">
        <f>BJ588-BK588</f>
        <v>0</v>
      </c>
      <c r="BM588" s="170">
        <f>IF(AND(ISERROR(SEARCH("REFUND",A588)),ISERROR(SEARCH("CANCELLED",A588))),BD588+BK588,0)</f>
        <v>0</v>
      </c>
      <c r="BN588" s="542">
        <f>IF(AND(ISERROR(SEARCH("REFUND",A588)),ISERROR(SEARCH("CANCELLED",A588))),BE588+BL588,0)</f>
        <v>16448.207994451339</v>
      </c>
    </row>
    <row r="589" spans="1:66" ht="19">
      <c r="A589" s="167" t="s">
        <v>601</v>
      </c>
      <c r="B589" s="168" t="s">
        <v>34</v>
      </c>
      <c r="C589" s="168" t="s">
        <v>383</v>
      </c>
      <c r="D589" s="168" t="s">
        <v>148</v>
      </c>
      <c r="E589" s="171">
        <v>46070</v>
      </c>
      <c r="F589" s="171"/>
      <c r="G589" s="168" t="s">
        <v>55</v>
      </c>
      <c r="H589" s="168" t="s">
        <v>549</v>
      </c>
      <c r="I589" s="169">
        <f>-R583</f>
        <v>-137000000</v>
      </c>
      <c r="J589" s="170">
        <f>IF(I589="",AR589,I589)</f>
        <v>-137000000</v>
      </c>
      <c r="K589" s="168" t="s">
        <v>9</v>
      </c>
      <c r="L589" s="171" t="s">
        <v>25</v>
      </c>
      <c r="M589" s="168" t="s">
        <v>25</v>
      </c>
      <c r="N589" s="167" t="s">
        <v>553</v>
      </c>
      <c r="O589" s="168" t="s">
        <v>34</v>
      </c>
      <c r="P589" s="168" t="s">
        <v>34</v>
      </c>
      <c r="Q589" s="169"/>
      <c r="R589" s="170">
        <f t="shared" si="675"/>
        <v>1795400.3677294475</v>
      </c>
      <c r="S589" s="168" t="s">
        <v>5</v>
      </c>
      <c r="T589" s="171" t="s">
        <v>477</v>
      </c>
      <c r="U589" s="168" t="s">
        <v>25</v>
      </c>
      <c r="V589" s="167" t="s">
        <v>371</v>
      </c>
      <c r="W589" s="172" t="s">
        <v>382</v>
      </c>
      <c r="X589" s="173">
        <f>IF(Y589="",VLOOKUP(H589,CLIENTS!$A$1:$O$649,5,FALSE),Y589)</f>
        <v>0</v>
      </c>
      <c r="Y589" s="174"/>
      <c r="Z589" s="173">
        <f>IF(AA589="",VLOOKUP(P589,CLIENTS!$A$1:$O$649,5,FALSE),AA589)</f>
        <v>0</v>
      </c>
      <c r="AA589" s="174"/>
      <c r="AB589" s="173" t="str">
        <f>IF(W589="via USD",IF(K589="EUR",K589&amp;"USD","USD"&amp;K589),IFERROR(VLOOKUP(K589&amp;S589,'FX RATES'!$H$2:$H$20,1,FALSE),S589&amp;K589))</f>
        <v>USDRUB</v>
      </c>
      <c r="AC589" s="175">
        <f>IF(LEFT(AB589,3)=RIGHT(AB589,3),0,IFERROR(INDEX(CLIENTS!$A$1:$O$649,MATCH(H589,CLIENTS!$A$1:$A$649,0),MATCH(AB589,CLIENTS!$A$1:$O$1,0)),0))+0.07</f>
        <v>0</v>
      </c>
      <c r="AD589" s="176">
        <v>76.306100000000001</v>
      </c>
      <c r="AE589" s="177">
        <f>IF(W589="CLIENT","",IF(AD589="",AH589+AC589,AD589+AC589))</f>
        <v>76.306100000000001</v>
      </c>
      <c r="AF589" s="177" t="str">
        <f>E589&amp;AB589</f>
        <v>46070USDRUB</v>
      </c>
      <c r="AG589" s="176">
        <v>76.599999999999994</v>
      </c>
      <c r="AH589" s="178">
        <f ca="1">IF(LEFT(AB589,3)=RIGHT(AB589,3),1,VLOOKUP(AB589,'FX RATES'!$H$1:$I$20,2,FALSE))</f>
        <v>76.720500000000001</v>
      </c>
      <c r="AI589" s="178">
        <f>IF(OR(AB589="USDAED",LEFT(AB589,3)=RIGHT(AB589,3)),AH589,IF(LEFT(AB589)="USD",AG589,IF(RIGHT(AB589,3)="USD",1,IFERROR(VLOOKUP(E589&amp;"USD"&amp;RIGHT(AB589,3),$AF:$AG,2,FALSE),VLOOKUP(E589&amp;"USD"&amp;RIGHT(AJ589,3),$AN:$AO,2,FALSE)))))</f>
        <v>76.599999999999994</v>
      </c>
      <c r="AJ589" s="173" t="str">
        <f>IF(W589="via USD",IF(S589="EUR",S589&amp;"USD","USD"&amp;S589),IFERROR(VLOOKUP(K589&amp;S589,'FX RATES'!$H$2:$H$20,1,FALSE),S589&amp;K589))</f>
        <v>USDRUB</v>
      </c>
      <c r="AK589" s="175">
        <f>IF(LEFT(AJ589,3)=RIGHT(AJ589,3),0,IFERROR(INDEX(CLIENTS!$A$1:$O$649,MATCH(P589,CLIENTS!$A$1:$A$649,0),MATCH(AJ589,CLIENTS!$A$1:$O$1,0)),0))</f>
        <v>0</v>
      </c>
      <c r="AL589" s="176"/>
      <c r="AM589" s="177" t="str">
        <f>IF(W589="VENDOR","",IF(AL589="",AP589+AK589,AL589+AK589))</f>
        <v/>
      </c>
      <c r="AN589" s="177" t="str">
        <f>E589&amp;AJ589</f>
        <v>46070USDRUB</v>
      </c>
      <c r="AO589" s="176"/>
      <c r="AP589" s="178">
        <f ca="1">IF(LEFT(AJ589,3)=RIGHT(AJ589,3),1,VLOOKUP(AJ589,'FX RATES'!$H$1:$I$20,2,FALSE))</f>
        <v>76.720500000000001</v>
      </c>
      <c r="AQ589" s="178">
        <f t="shared" si="676"/>
        <v>76.599999999999994</v>
      </c>
      <c r="AR589" s="179">
        <f>-Q589*(1-Z589)/(1+X589)*IF(W589="CLIENT",IF(S589=RIGHT(AJ589,3),1/AM589,AM589),IF(W589="VENDOR",IF(S589=RIGHT(AJ589,3),1/AE589,AE589),AE589^(VLOOKUP(AB589,'FX RATES'!$H$1:$J$26,3,FALSE))/AM589^(VLOOKUP(AJ589,'FX RATES'!$H$1:$J$26,3,FALSE))))</f>
        <v>0</v>
      </c>
      <c r="AS589" s="179">
        <f>-I589*(1+X589)/(1-Z589)*IF(W589="VENDOR",IF(K589=RIGHT(AB589,3),1/AE589,AE589),IF(W589="CLIENT",IF(K589=RIGHT(AB589,3),1/AM589,AM589),AM589^(VLOOKUP(AJ589,'FX RATES'!$H$1:$J$26,3,FALSE))/AE589^(VLOOKUP(AB589,'FX RATES'!$H$1:$J$26,3,FALSE))))</f>
        <v>1795400.3677294475</v>
      </c>
      <c r="AT589" s="170">
        <f>IF(AB589&lt;&gt;AJ589,J589/IF(K589=RIGHT(AB589,3),AE589,1/AE589),IF(S589="USD",J589/IF(K589=RIGHT(AB589,3),IF(W589="CLIENT",AM589,AE589),1/IF(W589="CLIENT",AM589,AE589)),J589*VLOOKUP(K589,'FX RATES'!$E$1:$F$10,2,FALSE)))</f>
        <v>-1795400.3677294475</v>
      </c>
      <c r="AU589" s="170">
        <f>IF(AB589&lt;&gt;AJ589,R589/IF(S589=RIGHT(AJ589,3),AM589,1/AM589),IF(K589="USD",R589/IF(S589=RIGHT(AJ589,3),IF(W589="CLIENT",AM589,AE589),1/IF(W589="CLIENT",AM589,AE589)),R589*VLOOKUP(S589,'FX RATES'!$E$1:$F$10,2,FALSE)))</f>
        <v>1795400.3677294475</v>
      </c>
      <c r="AV589" s="170">
        <f>AT589+AU589</f>
        <v>0</v>
      </c>
      <c r="AW589" s="169"/>
      <c r="AX589" s="170">
        <f>IF(AND(ISERROR(SEARCH("INVOICE",T589)),ISERROR(SEARCH("SWITCH",T589)),ISERROR(SEARCH("FOREX",T589)),ISERROR(SEARCH("REFUND",A589)),ISERROR(SEARCH("CANCELLED",A589))),IF(AW589="",-AT589*X589+AU589*Z589,AW589),0)</f>
        <v>0</v>
      </c>
      <c r="AY589" s="170">
        <f>IF(AZ589="USD",AT589,IF(AZ589=K589,J589,-R589))</f>
        <v>-1795400.3677294475</v>
      </c>
      <c r="AZ589" s="170" t="str">
        <f>LEFT(AB589,3)</f>
        <v>USD</v>
      </c>
      <c r="BA589" s="542">
        <f>IF(OR(A589="REFUND",A589="CANCELLED"),0,IFERROR((IF(OR(AB589="USDAED",LEFT(AB589,3)=RIGHT(AB589,3)),AI589,AG589)-AE589)*-AY589*VLOOKUP(AB589,'FX RATES'!$H$1:$J$26,3,FALSE),0))</f>
        <v>527668.16807567317</v>
      </c>
      <c r="BB589" s="170" t="str">
        <f>RIGHT(AB589,3)</f>
        <v>RUB</v>
      </c>
      <c r="BC589" s="542">
        <f>IF(BA589=0,0,IFERROR(BA589/IF(BB589&lt;&gt;"USD",AI589,1),"???"))</f>
        <v>6888.6183821889454</v>
      </c>
      <c r="BD589" s="170">
        <f>IFERROR(-AC589/(IF(OR(AB589="USDAED",LEFT(AB589,3)=RIGHT(AB589,3)),AH589,AG589)-AE589)*BC589,0)</f>
        <v>0</v>
      </c>
      <c r="BE589" s="542">
        <f>BC589-BD589</f>
        <v>6888.6183821889454</v>
      </c>
      <c r="BF589" s="170">
        <f>IF(BG589="USD",AU589,IF(BG589=S589,R589,-J589))</f>
        <v>1795400.3677294475</v>
      </c>
      <c r="BG589" s="170" t="str">
        <f>LEFT(AJ589,3)</f>
        <v>USD</v>
      </c>
      <c r="BH589" s="542">
        <f>IF(OR(A589="REFUND",A589="CANCELLED"),0,IFERROR((IF(OR(AJ589="USDAED",LEFT(AJ589,3)=RIGHT(AJ589,3)),AQ589,AO589)-AM589)*-BF589*VLOOKUP(AJ589,'FX RATES'!$H$1:$J$26,3,FALSE),0))</f>
        <v>0</v>
      </c>
      <c r="BI589" s="170" t="str">
        <f>RIGHT(AJ589,3)</f>
        <v>RUB</v>
      </c>
      <c r="BJ589" s="542">
        <f>IF(BH589=0,0,IFERROR(BH589/IF(BI589&lt;&gt;"USD",AQ589,1),"???"))</f>
        <v>0</v>
      </c>
      <c r="BK589" s="170">
        <f>IFERROR(-AK589/(IF(OR(AJ589="USDAED",LEFT(AJ589,3)=RIGHT(AJ589,3)),AP589,AO589)-AM589)*BJ589,0)</f>
        <v>0</v>
      </c>
      <c r="BL589" s="542">
        <f>BJ589-BK589</f>
        <v>0</v>
      </c>
      <c r="BM589" s="170">
        <f>IF(AND(ISERROR(SEARCH("REFUND",A589)),ISERROR(SEARCH("CANCELLED",A589))),BD589+BK589,0)</f>
        <v>0</v>
      </c>
      <c r="BN589" s="542">
        <f>IF(AND(ISERROR(SEARCH("REFUND",A589)),ISERROR(SEARCH("CANCELLED",A589))),BE589+BL589,0)</f>
        <v>6888.6183821889454</v>
      </c>
    </row>
    <row r="590" spans="1:66" ht="19">
      <c r="A590" s="167" t="s">
        <v>601</v>
      </c>
      <c r="B590" s="168" t="s">
        <v>34</v>
      </c>
      <c r="C590" s="168" t="s">
        <v>383</v>
      </c>
      <c r="D590" s="168" t="s">
        <v>148</v>
      </c>
      <c r="E590" s="171">
        <v>46070</v>
      </c>
      <c r="F590" s="171"/>
      <c r="G590" s="168" t="s">
        <v>52</v>
      </c>
      <c r="H590" s="168" t="s">
        <v>549</v>
      </c>
      <c r="I590" s="169">
        <f>-(R585+R586+J587)</f>
        <v>-68752254.2379338</v>
      </c>
      <c r="J590" s="170">
        <f>IF(I590="",AR590,I590)</f>
        <v>-68752254.2379338</v>
      </c>
      <c r="K590" s="168" t="s">
        <v>9</v>
      </c>
      <c r="L590" s="171" t="s">
        <v>25</v>
      </c>
      <c r="M590" s="168" t="s">
        <v>25</v>
      </c>
      <c r="N590" s="167" t="s">
        <v>553</v>
      </c>
      <c r="O590" s="168" t="s">
        <v>34</v>
      </c>
      <c r="P590" s="168" t="s">
        <v>34</v>
      </c>
      <c r="Q590" s="169"/>
      <c r="R590" s="170">
        <f t="shared" si="675"/>
        <v>901006.00394901319</v>
      </c>
      <c r="S590" s="168" t="s">
        <v>5</v>
      </c>
      <c r="T590" s="171" t="s">
        <v>477</v>
      </c>
      <c r="U590" s="168" t="s">
        <v>25</v>
      </c>
      <c r="V590" s="167" t="s">
        <v>371</v>
      </c>
      <c r="W590" s="172" t="s">
        <v>382</v>
      </c>
      <c r="X590" s="173">
        <f>IF(Y590="",VLOOKUP(H590,CLIENTS!$A$1:$O$649,5,FALSE),Y590)</f>
        <v>0</v>
      </c>
      <c r="Y590" s="174"/>
      <c r="Z590" s="173">
        <f>IF(AA590="",VLOOKUP(P590,CLIENTS!$A$1:$O$649,5,FALSE),AA590)</f>
        <v>0</v>
      </c>
      <c r="AA590" s="174"/>
      <c r="AB590" s="173" t="str">
        <f>IF(W590="via USD",IF(K590="EUR",K590&amp;"USD","USD"&amp;K590),IFERROR(VLOOKUP(K590&amp;S590,'FX RATES'!$H$2:$H$20,1,FALSE),S590&amp;K590))</f>
        <v>USDRUB</v>
      </c>
      <c r="AC590" s="175">
        <f>IF(LEFT(AB590,3)=RIGHT(AB590,3),0,IFERROR(INDEX(CLIENTS!$A$1:$O$649,MATCH(H590,CLIENTS!$A$1:$A$649,0),MATCH(AB590,CLIENTS!$A$1:$O$1,0)),0))+0.07</f>
        <v>0</v>
      </c>
      <c r="AD590" s="176">
        <v>76.306100000000001</v>
      </c>
      <c r="AE590" s="177">
        <f>IF(W590="CLIENT","",IF(AD590="",AH590+AC590,AD590+AC590))</f>
        <v>76.306100000000001</v>
      </c>
      <c r="AF590" s="177" t="str">
        <f>E590&amp;AB590</f>
        <v>46070USDRUB</v>
      </c>
      <c r="AG590" s="176">
        <v>76.599999999999994</v>
      </c>
      <c r="AH590" s="178">
        <f ca="1">IF(LEFT(AB590,3)=RIGHT(AB590,3),1,VLOOKUP(AB590,'FX RATES'!$H$1:$I$20,2,FALSE))</f>
        <v>76.720500000000001</v>
      </c>
      <c r="AI590" s="178">
        <f>IF(OR(AB590="USDAED",LEFT(AB590,3)=RIGHT(AB590,3)),AH590,IF(LEFT(AB590)="USD",AG590,IF(RIGHT(AB590,3)="USD",1,IFERROR(VLOOKUP(E590&amp;"USD"&amp;RIGHT(AB590,3),$AF:$AG,2,FALSE),VLOOKUP(E590&amp;"USD"&amp;RIGHT(AJ590,3),$AN:$AO,2,FALSE)))))</f>
        <v>76.599999999999994</v>
      </c>
      <c r="AJ590" s="173" t="str">
        <f>IF(W590="via USD",IF(S590="EUR",S590&amp;"USD","USD"&amp;S590),IFERROR(VLOOKUP(K590&amp;S590,'FX RATES'!$H$2:$H$20,1,FALSE),S590&amp;K590))</f>
        <v>USDRUB</v>
      </c>
      <c r="AK590" s="175">
        <f>IF(LEFT(AJ590,3)=RIGHT(AJ590,3),0,IFERROR(INDEX(CLIENTS!$A$1:$O$649,MATCH(P590,CLIENTS!$A$1:$A$649,0),MATCH(AJ590,CLIENTS!$A$1:$O$1,0)),0))</f>
        <v>0</v>
      </c>
      <c r="AL590" s="176"/>
      <c r="AM590" s="177" t="str">
        <f>IF(W590="VENDOR","",IF(AL590="",AP590+AK590,AL590+AK590))</f>
        <v/>
      </c>
      <c r="AN590" s="177" t="str">
        <f>E590&amp;AJ590</f>
        <v>46070USDRUB</v>
      </c>
      <c r="AO590" s="176"/>
      <c r="AP590" s="178">
        <f ca="1">IF(LEFT(AJ590,3)=RIGHT(AJ590,3),1,VLOOKUP(AJ590,'FX RATES'!$H$1:$I$20,2,FALSE))</f>
        <v>76.720500000000001</v>
      </c>
      <c r="AQ590" s="178">
        <f t="shared" si="676"/>
        <v>76.599999999999994</v>
      </c>
      <c r="AR590" s="179">
        <f>-Q590*(1-Z590)/(1+X590)*IF(W590="CLIENT",IF(S590=RIGHT(AJ590,3),1/AM590,AM590),IF(W590="VENDOR",IF(S590=RIGHT(AJ590,3),1/AE590,AE590),AE590^(VLOOKUP(AB590,'FX RATES'!$H$1:$J$26,3,FALSE))/AM590^(VLOOKUP(AJ590,'FX RATES'!$H$1:$J$26,3,FALSE))))</f>
        <v>0</v>
      </c>
      <c r="AS590" s="179">
        <f>-I590*(1+X590)/(1-Z590)*IF(W590="VENDOR",IF(K590=RIGHT(AB590,3),1/AE590,AE590),IF(W590="CLIENT",IF(K590=RIGHT(AB590,3),1/AM590,AM590),AM590^(VLOOKUP(AJ590,'FX RATES'!$H$1:$J$26,3,FALSE))/AE590^(VLOOKUP(AB590,'FX RATES'!$H$1:$J$26,3,FALSE))))</f>
        <v>901006.00394901319</v>
      </c>
      <c r="AT590" s="170">
        <f>IF(AB590&lt;&gt;AJ590,J590/IF(K590=RIGHT(AB590,3),AE590,1/AE590),IF(S590="USD",J590/IF(K590=RIGHT(AB590,3),IF(W590="CLIENT",AM590,AE590),1/IF(W590="CLIENT",AM590,AE590)),J590*VLOOKUP(K590,'FX RATES'!$E$1:$F$10,2,FALSE)))</f>
        <v>-901006.00394901319</v>
      </c>
      <c r="AU590" s="170">
        <f>IF(AB590&lt;&gt;AJ590,R590/IF(S590=RIGHT(AJ590,3),AM590,1/AM590),IF(K590="USD",R590/IF(S590=RIGHT(AJ590,3),IF(W590="CLIENT",AM590,AE590),1/IF(W590="CLIENT",AM590,AE590)),R590*VLOOKUP(S590,'FX RATES'!$E$1:$F$10,2,FALSE)))</f>
        <v>901006.00394901319</v>
      </c>
      <c r="AV590" s="170">
        <f>AT590+AU590</f>
        <v>0</v>
      </c>
      <c r="AW590" s="169"/>
      <c r="AX590" s="170">
        <f>IF(AND(ISERROR(SEARCH("INVOICE",T590)),ISERROR(SEARCH("SWITCH",T590)),ISERROR(SEARCH("FOREX",T590)),ISERROR(SEARCH("REFUND",A590)),ISERROR(SEARCH("CANCELLED",A590))),IF(AW590="",-AT590*X590+AU590*Z590,AW590),0)</f>
        <v>0</v>
      </c>
      <c r="AY590" s="170">
        <f>IF(AZ590="USD",AT590,IF(AZ590=K590,J590,-R590))</f>
        <v>-901006.00394901319</v>
      </c>
      <c r="AZ590" s="170" t="str">
        <f>LEFT(AB590,3)</f>
        <v>USD</v>
      </c>
      <c r="BA590" s="542">
        <f>IF(OR(A590="REFUND",A590="CANCELLED"),0,IFERROR((IF(OR(AB590="USDAED",LEFT(AB590,3)=RIGHT(AB590,3)),AI590,AG590)-AE590)*-AY590*VLOOKUP(AB590,'FX RATES'!$H$1:$J$26,3,FALSE),0))</f>
        <v>264805.66456060921</v>
      </c>
      <c r="BB590" s="170" t="str">
        <f>RIGHT(AB590,3)</f>
        <v>RUB</v>
      </c>
      <c r="BC590" s="542">
        <f>IF(BA590=0,0,IFERROR(BA590/IF(BB590&lt;&gt;"USD",AI590,1),"???"))</f>
        <v>3456.9930099296243</v>
      </c>
      <c r="BD590" s="170">
        <f>IFERROR(-AC590/(IF(OR(AB590="USDAED",LEFT(AB590,3)=RIGHT(AB590,3)),AH590,AG590)-AE590)*BC590,0)</f>
        <v>0</v>
      </c>
      <c r="BE590" s="542">
        <f>BC590-BD590</f>
        <v>3456.9930099296243</v>
      </c>
      <c r="BF590" s="170">
        <f>IF(BG590="USD",AU590,IF(BG590=S590,R590,-J590))</f>
        <v>901006.00394901319</v>
      </c>
      <c r="BG590" s="170" t="str">
        <f>LEFT(AJ590,3)</f>
        <v>USD</v>
      </c>
      <c r="BH590" s="542">
        <f>IF(OR(A590="REFUND",A590="CANCELLED"),0,IFERROR((IF(OR(AJ590="USDAED",LEFT(AJ590,3)=RIGHT(AJ590,3)),AQ590,AO590)-AM590)*-BF590*VLOOKUP(AJ590,'FX RATES'!$H$1:$J$26,3,FALSE),0))</f>
        <v>0</v>
      </c>
      <c r="BI590" s="170" t="str">
        <f>RIGHT(AJ590,3)</f>
        <v>RUB</v>
      </c>
      <c r="BJ590" s="542">
        <f>IF(BH590=0,0,IFERROR(BH590/IF(BI590&lt;&gt;"USD",AQ590,1),"???"))</f>
        <v>0</v>
      </c>
      <c r="BK590" s="170">
        <f>IFERROR(-AK590/(IF(OR(AJ590="USDAED",LEFT(AJ590,3)=RIGHT(AJ590,3)),AP590,AO590)-AM590)*BJ590,0)</f>
        <v>0</v>
      </c>
      <c r="BL590" s="542">
        <f>BJ590-BK590</f>
        <v>0</v>
      </c>
      <c r="BM590" s="170">
        <f>IF(AND(ISERROR(SEARCH("REFUND",A590)),ISERROR(SEARCH("CANCELLED",A590))),BD590+BK590,0)</f>
        <v>0</v>
      </c>
      <c r="BN590" s="542">
        <f>IF(AND(ISERROR(SEARCH("REFUND",A590)),ISERROR(SEARCH("CANCELLED",A590))),BE590+BL590,0)</f>
        <v>3456.9930099296243</v>
      </c>
    </row>
    <row r="591" spans="1:66" ht="19"/>
    <row r="592" spans="1:66" ht="19">
      <c r="A592" s="167" t="s">
        <v>601</v>
      </c>
      <c r="B592" s="168" t="s">
        <v>27</v>
      </c>
      <c r="C592" s="168" t="s">
        <v>367</v>
      </c>
      <c r="D592" s="168" t="s">
        <v>368</v>
      </c>
      <c r="E592" s="171">
        <v>46070</v>
      </c>
      <c r="F592" s="171" t="s">
        <v>625</v>
      </c>
      <c r="G592" s="168" t="s">
        <v>27</v>
      </c>
      <c r="H592" s="168" t="s">
        <v>614</v>
      </c>
      <c r="I592" s="169">
        <v>-95470.23</v>
      </c>
      <c r="J592" s="170">
        <f>IF(I592="",AR592,I592)</f>
        <v>-95470.23</v>
      </c>
      <c r="K592" s="168" t="s">
        <v>5</v>
      </c>
      <c r="L592" s="168" t="s">
        <v>28</v>
      </c>
      <c r="M592" s="168" t="s">
        <v>28</v>
      </c>
      <c r="N592" s="167" t="s">
        <v>553</v>
      </c>
      <c r="O592" s="168" t="s">
        <v>52</v>
      </c>
      <c r="P592" s="168" t="s">
        <v>615</v>
      </c>
      <c r="Q592" s="169"/>
      <c r="R592" s="170">
        <f>IF(Q592="",AS592,Q592)</f>
        <v>7366504.0983111775</v>
      </c>
      <c r="S592" s="168" t="s">
        <v>9</v>
      </c>
      <c r="T592" s="171" t="s">
        <v>450</v>
      </c>
      <c r="U592" s="168" t="s">
        <v>25</v>
      </c>
      <c r="V592" s="167" t="s">
        <v>371</v>
      </c>
      <c r="W592" s="172" t="s">
        <v>375</v>
      </c>
      <c r="X592" s="173">
        <v>0</v>
      </c>
      <c r="Y592" s="174">
        <v>0</v>
      </c>
      <c r="Z592" s="173">
        <f>IF(AA592="",VLOOKUP(P592,CLIENTS!$A$1:$O$649,5,FALSE),AA592)</f>
        <v>7.0000000000000001E-3</v>
      </c>
      <c r="AA592" s="174">
        <v>7.0000000000000001E-3</v>
      </c>
      <c r="AB592" s="173" t="str">
        <f>IF(W592="via USD",IF(K592="EUR",K592&amp;"USD","USD"&amp;K592),IFERROR(VLOOKUP(K592&amp;S592,'FX RATES'!$H$2:$H$20,1,FALSE),S592&amp;K592))</f>
        <v>USDUSD</v>
      </c>
      <c r="AC592" s="175">
        <f>IF(LEFT(AB592,3)=RIGHT(AB592,3),0,IFERROR(INDEX(CLIENTS!$A$1:$O$649,MATCH(H592,CLIENTS!$A$1:$A$649,0),MATCH(AB592,CLIENTS!$A$1:$O$1,0)),0))</f>
        <v>0</v>
      </c>
      <c r="AD592" s="176"/>
      <c r="AE592" s="177">
        <f>IF(W592="CLIENT","",IF(AD592="",AH592+AC592,AD592+AC592))</f>
        <v>1</v>
      </c>
      <c r="AF592" s="177" t="str">
        <f>E592&amp;AB592</f>
        <v>46070USDUSD</v>
      </c>
      <c r="AG592" s="176"/>
      <c r="AH592" s="178">
        <f>IF(LEFT(AB592,3)=RIGHT(AB592,3),1,VLOOKUP(AB592,'FX RATES'!$H$1:$I$20,2,FALSE))</f>
        <v>1</v>
      </c>
      <c r="AI592" s="178">
        <f>IF(OR(AB592="USDAED",LEFT(AB592,3)=RIGHT(AB592,3)),AH592,IF(LEFT(AB592)="USD",AG592,IF(RIGHT(AB592,3)="USD",1,IFERROR(VLOOKUP(E592&amp;"USD"&amp;RIGHT(AB592,3),$AF:$AG,2,FALSE),VLOOKUP(E592&amp;"USD"&amp;RIGHT(AJ592,3),$AN:$AO,2,FALSE)))))</f>
        <v>1</v>
      </c>
      <c r="AJ592" s="173" t="str">
        <f>IF(W592="via USD",IF(S592="EUR",S592&amp;"USD","USD"&amp;S592),IFERROR(VLOOKUP(K592&amp;S592,'FX RATES'!$H$2:$H$20,1,FALSE),S592&amp;K592))</f>
        <v>USDRUB</v>
      </c>
      <c r="AK592" s="175">
        <f>IF(LEFT(AJ592,3)=RIGHT(AJ592,3),0,IFERROR(INDEX(CLIENTS!$A$1:$O$649,MATCH(P592,CLIENTS!$A$1:$A$649,0),MATCH(AJ592,CLIENTS!$A$1:$O$1,0)),0))</f>
        <v>0</v>
      </c>
      <c r="AL592" s="176">
        <v>76.620099999999994</v>
      </c>
      <c r="AM592" s="177">
        <f>IF(W592="VENDOR","",IF(AL592="",AP592+AK592,AL592+AK592))</f>
        <v>76.620099999999994</v>
      </c>
      <c r="AN592" s="177" t="str">
        <f>E592&amp;AJ592</f>
        <v>46070USDRUB</v>
      </c>
      <c r="AO592" s="176">
        <v>76.599999999999994</v>
      </c>
      <c r="AP592" s="178">
        <f ca="1">IF(LEFT(AJ592,3)=RIGHT(AJ592,3),1,VLOOKUP(AJ592,'FX RATES'!$H$1:$I$20,2,FALSE))</f>
        <v>76.720500000000001</v>
      </c>
      <c r="AQ592" s="178">
        <f>IF(OR(AJ592="USDAED",LEFT(AJ592,3)=RIGHT(AJ592,3)),AP592,IF(LEFT(AJ592)="USD",AO592,IF(RIGHT(AJ592,3)="USD",1,IFERROR(VLOOKUP(E592&amp;"USD"&amp;RIGHT(AJ592,3),$AN:$AO,2,FALSE),VLOOKUP(E592&amp;"USD"&amp;RIGHT(AB592,3),$AF:$AG,2,FALSE)))))</f>
        <v>76.599999999999994</v>
      </c>
      <c r="AR592" s="179">
        <f>-Q592*(1-Z592)/(1+X592)*IF(W592="CLIENT",IF(S592=RIGHT(AJ592,3),1/AM592,AM592),IF(W592="VENDOR",IF(S592=RIGHT(AJ592,3),1/AE592,AE592),AE592^(VLOOKUP(AB592,'FX RATES'!$H$1:$J$26,3,FALSE))/AM592^(VLOOKUP(AJ592,'FX RATES'!$H$1:$J$26,3,FALSE))))</f>
        <v>0</v>
      </c>
      <c r="AS592" s="179">
        <f>-I592*(1+X592)/(1-Z592)*IF(W592="VENDOR",IF(K592=RIGHT(AB592,3),1/AE592,AE592),IF(W592="CLIENT",IF(K592=RIGHT(AB592,3),1/AM592,AM592),AM592^(VLOOKUP(AJ592,'FX RATES'!$H$1:$J$26,3,FALSE))/AE592^(VLOOKUP(AB592,'FX RATES'!$H$1:$J$26,3,FALSE))))</f>
        <v>7366504.0983111775</v>
      </c>
      <c r="AT592" s="170">
        <f>IF(AB592&lt;&gt;AJ592,J592/IF(K592=RIGHT(AB592,3),AE592,1/AE592),IF(S592="USD",J592/IF(K592=RIGHT(AB592,3),IF(W592="CLIENT",AM592,AE592),1/IF(W592="CLIENT",AM592,AE592)),J592*VLOOKUP(K592,'FX RATES'!$E$1:$F$10,2,FALSE)))</f>
        <v>-95470.23</v>
      </c>
      <c r="AU592" s="170">
        <f>IF(AB592&lt;&gt;AJ592,R592/IF(S592=RIGHT(AJ592,3),AM592,1/AM592),IF(K592="USD",R592/IF(S592=RIGHT(AJ592,3),IF(W592="CLIENT",AM592,AE592),1/IF(W592="CLIENT",AM592,AE592)),R592*VLOOKUP(S592,'FX RATES'!$E$1:$F$10,2,FALSE)))</f>
        <v>96143.232628398793</v>
      </c>
      <c r="AV592" s="170">
        <f>AT592+AU592</f>
        <v>673.00262839879724</v>
      </c>
      <c r="AW592" s="169"/>
      <c r="AX592" s="170">
        <f>IF(AND(ISERROR(SEARCH("INVOICE",T592)),ISERROR(SEARCH("SWITCH",T592)),ISERROR(SEARCH("FOREX",T592)),ISERROR(SEARCH("REFUND",A592)),ISERROR(SEARCH("CANCELLED",A592))),IF(AW592="",-AT592*X592+AU592*Z592,AW592),0)</f>
        <v>673.00262839879156</v>
      </c>
      <c r="AY592" s="170">
        <f>IF(AZ592="USD",AT592,IF(AZ592=K592,J592,-R592))</f>
        <v>-95470.23</v>
      </c>
      <c r="AZ592" s="170" t="str">
        <f>LEFT(AB592,3)</f>
        <v>USD</v>
      </c>
      <c r="BA592" s="542">
        <f>IF(OR(A592="REFUND",A592="CANCELLED"),0,IFERROR((IF(OR(AB592="USDAED",LEFT(AB592,3)=RIGHT(AB592,3)),AI592,AG592)-AE592)*-AY592*VLOOKUP(AB592,'FX RATES'!$H$1:$J$26,3,FALSE),0))</f>
        <v>0</v>
      </c>
      <c r="BB592" s="170" t="str">
        <f>RIGHT(AB592,3)</f>
        <v>USD</v>
      </c>
      <c r="BC592" s="542">
        <f>IF(BA592=0,0,IFERROR(BA592/IF(BB592&lt;&gt;"USD",AI592,1),"???"))</f>
        <v>0</v>
      </c>
      <c r="BD592" s="170">
        <f>IFERROR(-AC592/(IF(OR(AB592="USDAED",LEFT(AB592,3)=RIGHT(AB592,3)),AH592,AG592)-AE592)*BC592,0)</f>
        <v>0</v>
      </c>
      <c r="BE592" s="542">
        <f>BC592-BD592</f>
        <v>0</v>
      </c>
      <c r="BF592" s="170">
        <f>IF(BG592="USD",AU592,IF(BG592=S592,R592,-J592))</f>
        <v>96143.232628398793</v>
      </c>
      <c r="BG592" s="170" t="str">
        <f>LEFT(AJ592,3)</f>
        <v>USD</v>
      </c>
      <c r="BH592" s="542">
        <f>IF(OR(A592="REFUND",A592="CANCELLED"),0,IFERROR((IF(OR(AJ592="USDAED",LEFT(AJ592,3)=RIGHT(AJ592,3)),AQ592,AO592)-AM592)*-BF592*VLOOKUP(AJ592,'FX RATES'!$H$1:$J$26,3,FALSE),0))</f>
        <v>1932.4789758307525</v>
      </c>
      <c r="BI592" s="170" t="str">
        <f>RIGHT(AJ592,3)</f>
        <v>RUB</v>
      </c>
      <c r="BJ592" s="542">
        <f>IF(BH592=0,0,IFERROR(BH592/IF(BI592&lt;&gt;"USD",AQ592,1),"???"))</f>
        <v>25.228185063064654</v>
      </c>
      <c r="BK592" s="170">
        <f>IFERROR(-AK592/(IF(OR(AJ592="USDAED",LEFT(AJ592,3)=RIGHT(AJ592,3)),AP592,AO592)-AM592)*BJ592,0)</f>
        <v>0</v>
      </c>
      <c r="BL592" s="542">
        <f>BJ592-BK592</f>
        <v>25.228185063064654</v>
      </c>
      <c r="BM592" s="170">
        <f>IF(AND(ISERROR(SEARCH("REFUND",A592)),ISERROR(SEARCH("CANCELLED",A592))),BD592+BK592,0)</f>
        <v>0</v>
      </c>
      <c r="BN592" s="542">
        <f>IF(AND(ISERROR(SEARCH("REFUND",A592)),ISERROR(SEARCH("CANCELLED",A592))),BE592+BL592,0)</f>
        <v>25.228185063064654</v>
      </c>
    </row>
    <row r="593" spans="1:66" ht="19">
      <c r="A593" s="167" t="s">
        <v>601</v>
      </c>
      <c r="B593" s="168" t="s">
        <v>34</v>
      </c>
      <c r="C593" s="168" t="s">
        <v>367</v>
      </c>
      <c r="D593" s="168" t="s">
        <v>128</v>
      </c>
      <c r="E593" s="171">
        <v>46070</v>
      </c>
      <c r="F593" s="171" t="s">
        <v>625</v>
      </c>
      <c r="G593" s="168" t="s">
        <v>34</v>
      </c>
      <c r="H593" s="168" t="s">
        <v>612</v>
      </c>
      <c r="I593" s="169">
        <v>-211115</v>
      </c>
      <c r="J593" s="170">
        <f>IF(I593="",AR593,I593)</f>
        <v>-211115</v>
      </c>
      <c r="K593" s="168" t="s">
        <v>5</v>
      </c>
      <c r="L593" s="168" t="s">
        <v>13</v>
      </c>
      <c r="M593" s="168" t="s">
        <v>13</v>
      </c>
      <c r="N593" s="167" t="s">
        <v>553</v>
      </c>
      <c r="O593" s="168" t="s">
        <v>52</v>
      </c>
      <c r="P593" s="168" t="s">
        <v>615</v>
      </c>
      <c r="Q593" s="169"/>
      <c r="R593" s="170">
        <f>IF(Q593="",AS593,Q593)</f>
        <v>16289345.130522087</v>
      </c>
      <c r="S593" s="168" t="s">
        <v>9</v>
      </c>
      <c r="T593" s="168" t="s">
        <v>391</v>
      </c>
      <c r="U593" s="168" t="s">
        <v>25</v>
      </c>
      <c r="V593" s="167" t="s">
        <v>371</v>
      </c>
      <c r="W593" s="172" t="s">
        <v>375</v>
      </c>
      <c r="X593" s="173">
        <f>IF(Y593="",VLOOKUP(H593,CLIENTS!$A$1:$O$649,5,FALSE),Y593)</f>
        <v>0</v>
      </c>
      <c r="Y593" s="174">
        <v>0</v>
      </c>
      <c r="Z593" s="173">
        <f>IF(AA593="",VLOOKUP(P593,CLIENTS!$A$1:$O$649,5,FALSE),AA593)</f>
        <v>4.0000000000000001E-3</v>
      </c>
      <c r="AA593" s="174">
        <v>4.0000000000000001E-3</v>
      </c>
      <c r="AB593" s="173" t="str">
        <f>IF(W593="via USD",IF(K593="EUR",K593&amp;"USD","USD"&amp;K593),IFERROR(VLOOKUP(K593&amp;S593,'FX RATES'!$H$2:$H$20,1,FALSE),S593&amp;K593))</f>
        <v>USDUSD</v>
      </c>
      <c r="AC593" s="175">
        <f>IF(LEFT(AB593,3)=RIGHT(AB593,3),0,IFERROR(INDEX(CLIENTS!$A$1:$O$649,MATCH(H593,CLIENTS!$A$1:$A$649,0),MATCH(AB593,CLIENTS!$A$1:$O$1,0)),0))</f>
        <v>0</v>
      </c>
      <c r="AD593" s="176"/>
      <c r="AE593" s="177">
        <f>IF(W593="CLIENT","",IF(AD593="",AH593+AC593,AD593+AC593))</f>
        <v>1</v>
      </c>
      <c r="AF593" s="177" t="str">
        <f>E593&amp;AB593</f>
        <v>46070USDUSD</v>
      </c>
      <c r="AG593" s="176"/>
      <c r="AH593" s="178">
        <f>IF(LEFT(AB593,3)=RIGHT(AB593,3),1,VLOOKUP(AB593,'FX RATES'!$H$1:$I$20,2,FALSE))</f>
        <v>1</v>
      </c>
      <c r="AI593" s="178">
        <f>IF(OR(AB593="USDAED",LEFT(AB593,3)=RIGHT(AB593,3)),AH593,IF(LEFT(AB593)="USD",AG593,IF(RIGHT(AB593,3)="USD",1,IFERROR(VLOOKUP(E593&amp;"USD"&amp;RIGHT(AB593,3),$AF:$AG,2,FALSE),VLOOKUP(E593&amp;"USD"&amp;RIGHT(AJ593,3),$AN:$AO,2,FALSE)))))</f>
        <v>1</v>
      </c>
      <c r="AJ593" s="173" t="str">
        <f>IF(W593="via USD",IF(S593="EUR",S593&amp;"USD","USD"&amp;S593),IFERROR(VLOOKUP(K593&amp;S593,'FX RATES'!$H$2:$H$20,1,FALSE),S593&amp;K593))</f>
        <v>USDRUB</v>
      </c>
      <c r="AK593" s="175">
        <f>IF(LEFT(AJ593,3)=RIGHT(AJ593,3),0,IFERROR(INDEX(CLIENTS!$A$1:$O$649,MATCH(P593,CLIENTS!$A$1:$A$649,0),MATCH(AJ593,CLIENTS!$A$1:$O$1,0)),0))</f>
        <v>0</v>
      </c>
      <c r="AL593" s="176">
        <v>76.849999999999994</v>
      </c>
      <c r="AM593" s="177">
        <f>IF(W593="VENDOR","",IF(AL593="",AP593+AK593,AL593+AK593))</f>
        <v>76.849999999999994</v>
      </c>
      <c r="AN593" s="177" t="str">
        <f>E593&amp;AJ593</f>
        <v>46070USDRUB</v>
      </c>
      <c r="AO593" s="176">
        <v>76.599999999999994</v>
      </c>
      <c r="AP593" s="178">
        <f ca="1">IF(LEFT(AJ593,3)=RIGHT(AJ593,3),1,VLOOKUP(AJ593,'FX RATES'!$H$1:$I$20,2,FALSE))</f>
        <v>76.720500000000001</v>
      </c>
      <c r="AQ593" s="178">
        <f>IF(OR(AJ593="USDAED",LEFT(AJ593,3)=RIGHT(AJ593,3)),AP593,IF(LEFT(AJ593)="USD",AO593,IF(RIGHT(AJ593,3)="USD",1,IFERROR(VLOOKUP(E593&amp;"USD"&amp;RIGHT(AJ593,3),$AN:$AO,2,FALSE),VLOOKUP(E593&amp;"USD"&amp;RIGHT(AB593,3),$AF:$AG,2,FALSE)))))</f>
        <v>76.599999999999994</v>
      </c>
      <c r="AR593" s="179">
        <f>-Q593*(1-Z593)/(1+X593)*IF(W593="CLIENT",IF(S593=RIGHT(AJ593,3),1/AM593,AM593),IF(W593="VENDOR",IF(S593=RIGHT(AJ593,3),1/AE593,AE593),AE593^(VLOOKUP(AB593,'FX RATES'!$H$1:$J$26,3,FALSE))/AM593^(VLOOKUP(AJ593,'FX RATES'!$H$1:$J$26,3,FALSE))))</f>
        <v>0</v>
      </c>
      <c r="AS593" s="179">
        <f>-I593*(1+X593)/(1-Z593)*IF(W593="VENDOR",IF(K593=RIGHT(AB593,3),1/AE593,AE593),IF(W593="CLIENT",IF(K593=RIGHT(AB593,3),1/AM593,AM593),AM593^(VLOOKUP(AJ593,'FX RATES'!$H$1:$J$26,3,FALSE))/AE593^(VLOOKUP(AB593,'FX RATES'!$H$1:$J$26,3,FALSE))))</f>
        <v>16289345.130522087</v>
      </c>
      <c r="AT593" s="170">
        <f>IF(AB593&lt;&gt;AJ593,J593/IF(K593=RIGHT(AB593,3),AE593,1/AE593),IF(S593="USD",J593/IF(K593=RIGHT(AB593,3),IF(W593="CLIENT",AM593,AE593),1/IF(W593="CLIENT",AM593,AE593)),J593*VLOOKUP(K593,'FX RATES'!$E$1:$F$10,2,FALSE)))</f>
        <v>-211115</v>
      </c>
      <c r="AU593" s="170">
        <f>IF(AB593&lt;&gt;AJ593,R593/IF(S593=RIGHT(AJ593,3),AM593,1/AM593),IF(K593="USD",R593/IF(S593=RIGHT(AJ593,3),IF(W593="CLIENT",AM593,AE593),1/IF(W593="CLIENT",AM593,AE593)),R593*VLOOKUP(S593,'FX RATES'!$E$1:$F$10,2,FALSE)))</f>
        <v>211962.8514056225</v>
      </c>
      <c r="AV593" s="170">
        <f>AT593+AU593</f>
        <v>847.8514056224958</v>
      </c>
      <c r="AW593" s="169"/>
      <c r="AX593" s="170">
        <f>IF(AND(ISERROR(SEARCH("INVOICE",T593)),ISERROR(SEARCH("SWITCH",T593)),ISERROR(SEARCH("FOREX",T593)),ISERROR(SEARCH("REFUND",A593)),ISERROR(SEARCH("CANCELLED",A593))),IF(AW593="",-AT593*X593+AU593*Z593,AW593),0)</f>
        <v>847.85140562249001</v>
      </c>
      <c r="AY593" s="170">
        <f>IF(AZ593="USD",AT593,IF(AZ593=K593,J593,-R593))</f>
        <v>-211115</v>
      </c>
      <c r="AZ593" s="170" t="str">
        <f>LEFT(AB593,3)</f>
        <v>USD</v>
      </c>
      <c r="BA593" s="542">
        <f>IF(OR(A593="REFUND",A593="CANCELLED"),0,IFERROR((IF(OR(AB593="USDAED",LEFT(AB593,3)=RIGHT(AB593,3)),AI593,AG593)-AE593)*-AY593*VLOOKUP(AB593,'FX RATES'!$H$1:$J$26,3,FALSE),0))</f>
        <v>0</v>
      </c>
      <c r="BB593" s="170" t="str">
        <f>RIGHT(AB593,3)</f>
        <v>USD</v>
      </c>
      <c r="BC593" s="542">
        <f>IF(BA593=0,0,IFERROR(BA593/IF(BB593&lt;&gt;"USD",AI593,1),"???"))</f>
        <v>0</v>
      </c>
      <c r="BD593" s="170">
        <f>IFERROR(-AC593/(IF(OR(AB593="USDAED",LEFT(AB593,3)=RIGHT(AB593,3)),AH593,AG593)-AE593)*BC593,0)</f>
        <v>0</v>
      </c>
      <c r="BE593" s="542">
        <f>BC593-BD593</f>
        <v>0</v>
      </c>
      <c r="BF593" s="170">
        <f>IF(BG593="USD",AU593,IF(BG593=S593,R593,-J593))</f>
        <v>211962.8514056225</v>
      </c>
      <c r="BG593" s="170" t="str">
        <f>LEFT(AJ593,3)</f>
        <v>USD</v>
      </c>
      <c r="BH593" s="542">
        <f>IF(OR(A593="REFUND",A593="CANCELLED"),0,IFERROR((IF(OR(AJ593="USDAED",LEFT(AJ593,3)=RIGHT(AJ593,3)),AQ593,AO593)-AM593)*-BF593*VLOOKUP(AJ593,'FX RATES'!$H$1:$J$26,3,FALSE),0))</f>
        <v>52990.712851405624</v>
      </c>
      <c r="BI593" s="170" t="str">
        <f>RIGHT(AJ593,3)</f>
        <v>RUB</v>
      </c>
      <c r="BJ593" s="542">
        <f>IF(BH593=0,0,IFERROR(BH593/IF(BI593&lt;&gt;"USD",AQ593,1),"???"))</f>
        <v>691.78476307318056</v>
      </c>
      <c r="BK593" s="170">
        <f>IFERROR(-AK593/(IF(OR(AJ593="USDAED",LEFT(AJ593,3)=RIGHT(AJ593,3)),AP593,AO593)-AM593)*BJ593,0)</f>
        <v>0</v>
      </c>
      <c r="BL593" s="542">
        <f>BJ593-BK593</f>
        <v>691.78476307318056</v>
      </c>
      <c r="BM593" s="170">
        <f>IF(AND(ISERROR(SEARCH("REFUND",A593)),ISERROR(SEARCH("CANCELLED",A593))),BD593+BK593,0)</f>
        <v>0</v>
      </c>
      <c r="BN593" s="542">
        <f>IF(AND(ISERROR(SEARCH("REFUND",A593)),ISERROR(SEARCH("CANCELLED",A593))),BE593+BL593,0)</f>
        <v>691.78476307318056</v>
      </c>
    </row>
    <row r="594" spans="1:66" ht="19">
      <c r="A594" s="167" t="s">
        <v>601</v>
      </c>
      <c r="B594" s="168" t="s">
        <v>31</v>
      </c>
      <c r="C594" s="168" t="s">
        <v>367</v>
      </c>
      <c r="D594" s="168" t="s">
        <v>368</v>
      </c>
      <c r="E594" s="171">
        <v>46070</v>
      </c>
      <c r="F594" s="171" t="s">
        <v>625</v>
      </c>
      <c r="G594" s="168" t="s">
        <v>31</v>
      </c>
      <c r="H594" s="168" t="s">
        <v>605</v>
      </c>
      <c r="I594" s="169">
        <v>-586521.52</v>
      </c>
      <c r="J594" s="170">
        <f>IF(I594="",AR594,I594)</f>
        <v>-586521.52</v>
      </c>
      <c r="K594" s="168" t="s">
        <v>8</v>
      </c>
      <c r="L594" s="171" t="s">
        <v>15</v>
      </c>
      <c r="M594" s="168" t="s">
        <v>14</v>
      </c>
      <c r="N594" s="167" t="s">
        <v>553</v>
      </c>
      <c r="O594" s="168" t="s">
        <v>52</v>
      </c>
      <c r="P594" s="168" t="s">
        <v>605</v>
      </c>
      <c r="Q594" s="169">
        <v>12300000</v>
      </c>
      <c r="R594" s="170">
        <f>IF(Q594="",AS594,Q594)</f>
        <v>12300000</v>
      </c>
      <c r="S594" s="168" t="s">
        <v>9</v>
      </c>
      <c r="T594" s="171" t="s">
        <v>436</v>
      </c>
      <c r="U594" s="168" t="s">
        <v>25</v>
      </c>
      <c r="V594" s="167" t="s">
        <v>371</v>
      </c>
      <c r="W594" s="172" t="s">
        <v>375</v>
      </c>
      <c r="X594" s="173">
        <f>IF(Y594="",VLOOKUP(H594,CLIENTS!$A$1:$O$649,5,FALSE),Y594)</f>
        <v>0</v>
      </c>
      <c r="Y594" s="174">
        <v>0</v>
      </c>
      <c r="Z594" s="173">
        <f>IF(AA594="",VLOOKUP(P594,CLIENTS!$A$1:$O$649,5,FALSE),AA594)</f>
        <v>2E-3</v>
      </c>
      <c r="AA594" s="174">
        <v>2E-3</v>
      </c>
      <c r="AB594" s="173" t="str">
        <f>IF(W594="via USD",IF(K594="EUR",K594&amp;"USD","USD"&amp;K594),IFERROR(VLOOKUP(K594&amp;S594,'FX RATES'!$H$2:$H$20,1,FALSE),S594&amp;K594))</f>
        <v>USDAED</v>
      </c>
      <c r="AC594" s="175">
        <f>IF(LEFT(AB594,3)=RIGHT(AB594,3),0,IFERROR(INDEX(CLIENTS!$A$1:$O$649,MATCH(H594,CLIENTS!$A$1:$A$649,0),MATCH(AB594,CLIENTS!$A$1:$O$1,0)),0))</f>
        <v>0</v>
      </c>
      <c r="AD594" s="176">
        <v>3.67</v>
      </c>
      <c r="AE594" s="177">
        <f>IF(W594="CLIENT","",IF(AD594="",AH594+AC594,AD594+AC594))</f>
        <v>3.67</v>
      </c>
      <c r="AF594" s="177" t="str">
        <f>E594&amp;AB594</f>
        <v>46070USDAED</v>
      </c>
      <c r="AG594" s="176"/>
      <c r="AH594" s="178">
        <f>IF(LEFT(AB594,3)=RIGHT(AB594,3),1,VLOOKUP(AB594,'FX RATES'!$H$1:$I$20,2,FALSE))</f>
        <v>3.6724999999999999</v>
      </c>
      <c r="AI594" s="178">
        <f>IF(OR(AB594="USDAED",LEFT(AB594,3)=RIGHT(AB594,3)),AH594,IF(LEFT(AB594)="USD",AG594,IF(RIGHT(AB594,3)="USD",1,IFERROR(VLOOKUP(E594&amp;"USD"&amp;RIGHT(AB594,3),$AF:$AG,2,FALSE),VLOOKUP(E594&amp;"USD"&amp;RIGHT(AJ594,3),$AN:$AO,2,FALSE)))))</f>
        <v>3.6724999999999999</v>
      </c>
      <c r="AJ594" s="173" t="str">
        <f>IF(W594="via USD",IF(S594="EUR",S594&amp;"USD","USD"&amp;S594),IFERROR(VLOOKUP(K594&amp;S594,'FX RATES'!$H$2:$H$20,1,FALSE),S594&amp;K594))</f>
        <v>USDRUB</v>
      </c>
      <c r="AK594" s="175">
        <f>IF(LEFT(AJ594,3)=RIGHT(AJ594,3),0,IFERROR(INDEX(CLIENTS!$A$1:$O$649,MATCH(P594,CLIENTS!$A$1:$A$649,0),MATCH(AJ594,CLIENTS!$A$1:$O$1,0)),0))</f>
        <v>0</v>
      </c>
      <c r="AL594" s="176">
        <v>76.81</v>
      </c>
      <c r="AM594" s="177">
        <f>IF(W594="VENDOR","",IF(AL594="",AP594+AK594,AL594+AK594))</f>
        <v>76.81</v>
      </c>
      <c r="AN594" s="177" t="str">
        <f>E594&amp;AJ594</f>
        <v>46070USDRUB</v>
      </c>
      <c r="AO594" s="176">
        <v>76.599999999999994</v>
      </c>
      <c r="AP594" s="178">
        <f ca="1">IF(LEFT(AJ594,3)=RIGHT(AJ594,3),1,VLOOKUP(AJ594,'FX RATES'!$H$1:$I$20,2,FALSE))</f>
        <v>76.720500000000001</v>
      </c>
      <c r="AQ594" s="178">
        <f>IF(OR(AJ594="USDAED",LEFT(AJ594,3)=RIGHT(AJ594,3)),AP594,IF(LEFT(AJ594)="USD",AO594,IF(RIGHT(AJ594,3)="USD",1,IFERROR(VLOOKUP(E594&amp;"USD"&amp;RIGHT(AJ594,3),$AN:$AO,2,FALSE),VLOOKUP(E594&amp;"USD"&amp;RIGHT(AB594,3),$AF:$AG,2,FALSE)))))</f>
        <v>76.599999999999994</v>
      </c>
      <c r="AR594" s="179">
        <f>-Q594*(1-Z594)/(1+X594)*IF(W594="CLIENT",IF(S594=RIGHT(AJ594,3),1/AM594,AM594),IF(W594="VENDOR",IF(S594=RIGHT(AJ594,3),1/AE594,AE594),AE594^(VLOOKUP(AB594,'FX RATES'!$H$1:$J$26,3,FALSE))/AM594^(VLOOKUP(AJ594,'FX RATES'!$H$1:$J$26,3,FALSE))))</f>
        <v>-586521.52063533396</v>
      </c>
      <c r="AS594" s="179">
        <f>-I594*(1+X594)/(1-Z594)*IF(W594="VENDOR",IF(K594=RIGHT(AB594,3),1/AE594,AE594),IF(W594="CLIENT",IF(K594=RIGHT(AB594,3),1/AM594,AM594),AM594^(VLOOKUP(AJ594,'FX RATES'!$H$1:$J$26,3,FALSE))/AE594^(VLOOKUP(AB594,'FX RATES'!$H$1:$J$26,3,FALSE))))</f>
        <v>12299999.986676352</v>
      </c>
      <c r="AT594" s="170">
        <f>IF(AB594&lt;&gt;AJ594,J594/IF(K594=RIGHT(AB594,3),AE594,1/AE594),IF(S594="USD",J594/IF(K594=RIGHT(AB594,3),IF(W594="CLIENT",AM594,AE594),1/IF(W594="CLIENT",AM594,AE594)),J594*VLOOKUP(K594,'FX RATES'!$E$1:$F$10,2,FALSE)))</f>
        <v>-159815.12806539511</v>
      </c>
      <c r="AU594" s="170">
        <f>IF(AB594&lt;&gt;AJ594,R594/IF(S594=RIGHT(AJ594,3),AM594,1/AM594),IF(K594="USD",R594/IF(S594=RIGHT(AJ594,3),IF(W594="CLIENT",AM594,AE594),1/IF(W594="CLIENT",AM594,AE594)),R594*VLOOKUP(S594,'FX RATES'!$E$1:$F$10,2,FALSE)))</f>
        <v>160135.39903658378</v>
      </c>
      <c r="AV594" s="170">
        <f>AT594+AU594</f>
        <v>320.27097118867096</v>
      </c>
      <c r="AW594" s="169"/>
      <c r="AX594" s="170">
        <f>IF(AND(ISERROR(SEARCH("INVOICE",T594)),ISERROR(SEARCH("SWITCH",T594)),ISERROR(SEARCH("FOREX",T594)),ISERROR(SEARCH("REFUND",A594)),ISERROR(SEARCH("CANCELLED",A594))),IF(AW594="",-AT594*X594+AU594*Z594,AW594),0)</f>
        <v>320.27079807316755</v>
      </c>
      <c r="AY594" s="170">
        <f>IF(AZ594="USD",AT594,IF(AZ594=K594,J594,-R594))</f>
        <v>-159815.12806539511</v>
      </c>
      <c r="AZ594" s="170" t="str">
        <f>LEFT(AB594,3)</f>
        <v>USD</v>
      </c>
      <c r="BA594" s="542">
        <f>IF(OR(A594="REFUND",A594="CANCELLED"),0,IFERROR((IF(OR(AB594="USDAED",LEFT(AB594,3)=RIGHT(AB594,3)),AI594,AG594)-AE594)*-AY594*VLOOKUP(AB594,'FX RATES'!$H$1:$J$26,3,FALSE),0))</f>
        <v>399.53782016347924</v>
      </c>
      <c r="BB594" s="170" t="str">
        <f>RIGHT(AB594,3)</f>
        <v>AED</v>
      </c>
      <c r="BC594" s="542">
        <f>IF(BA594=0,0,IFERROR(BA594/IF(BB594&lt;&gt;"USD",AI594,1),"???"))</f>
        <v>108.79178220925235</v>
      </c>
      <c r="BD594" s="170">
        <f>IFERROR(-AC594/(IF(OR(AB594="USDAED",LEFT(AB594,3)=RIGHT(AB594,3)),AH594,AG594)-AE594)*BC594,0)</f>
        <v>0</v>
      </c>
      <c r="BE594" s="542">
        <f>BC594-BD594</f>
        <v>108.79178220925235</v>
      </c>
      <c r="BF594" s="170">
        <f>IF(BG594="USD",AU594,IF(BG594=S594,R594,-J594))</f>
        <v>160135.39903658378</v>
      </c>
      <c r="BG594" s="170" t="str">
        <f>LEFT(AJ594,3)</f>
        <v>USD</v>
      </c>
      <c r="BH594" s="542">
        <f>IF(OR(A594="REFUND",A594="CANCELLED"),0,IFERROR((IF(OR(AJ594="USDAED",LEFT(AJ594,3)=RIGHT(AJ594,3)),AQ594,AO594)-AM594)*-BF594*VLOOKUP(AJ594,'FX RATES'!$H$1:$J$26,3,FALSE),0))</f>
        <v>33628.433797683865</v>
      </c>
      <c r="BI594" s="170" t="str">
        <f>RIGHT(AJ594,3)</f>
        <v>RUB</v>
      </c>
      <c r="BJ594" s="542">
        <f>IF(BH594=0,0,IFERROR(BH594/IF(BI594&lt;&gt;"USD",AQ594,1),"???"))</f>
        <v>439.01349605331421</v>
      </c>
      <c r="BK594" s="170">
        <f>IFERROR(-AK594/(IF(OR(AJ594="USDAED",LEFT(AJ594,3)=RIGHT(AJ594,3)),AP594,AO594)-AM594)*BJ594,0)</f>
        <v>0</v>
      </c>
      <c r="BL594" s="542">
        <f>BJ594-BK594</f>
        <v>439.01349605331421</v>
      </c>
      <c r="BM594" s="170">
        <f>IF(AND(ISERROR(SEARCH("REFUND",A594)),ISERROR(SEARCH("CANCELLED",A594))),BD594+BK594,0)</f>
        <v>0</v>
      </c>
      <c r="BN594" s="542">
        <f>IF(AND(ISERROR(SEARCH("REFUND",A594)),ISERROR(SEARCH("CANCELLED",A594))),BE594+BL594,0)</f>
        <v>547.80527826256662</v>
      </c>
    </row>
    <row r="595" spans="1:66" ht="19">
      <c r="A595" s="167" t="s">
        <v>492</v>
      </c>
      <c r="B595" s="168" t="s">
        <v>52</v>
      </c>
      <c r="C595" s="168" t="s">
        <v>489</v>
      </c>
      <c r="D595" s="168" t="s">
        <v>128</v>
      </c>
      <c r="E595" s="171">
        <v>46070</v>
      </c>
      <c r="F595" s="171"/>
      <c r="G595" s="168" t="s">
        <v>52</v>
      </c>
      <c r="H595" s="181" t="s">
        <v>52</v>
      </c>
      <c r="I595" s="169"/>
      <c r="J595" s="170">
        <f>IF(I595="",AR595,I595)</f>
        <v>-106893.88694516972</v>
      </c>
      <c r="K595" s="168" t="s">
        <v>5</v>
      </c>
      <c r="L595" s="171"/>
      <c r="M595" s="168"/>
      <c r="N595" s="167" t="s">
        <v>371</v>
      </c>
      <c r="O595" s="168" t="s">
        <v>52</v>
      </c>
      <c r="P595" s="168" t="s">
        <v>52</v>
      </c>
      <c r="Q595" s="169">
        <f>-J587</f>
        <v>8188071.7400000002</v>
      </c>
      <c r="R595" s="170">
        <f>IF(Q595="",AS595,Q595)</f>
        <v>8188071.7400000002</v>
      </c>
      <c r="S595" s="168" t="s">
        <v>9</v>
      </c>
      <c r="T595" s="171"/>
      <c r="U595" s="168"/>
      <c r="V595" s="167" t="s">
        <v>371</v>
      </c>
      <c r="W595" s="172" t="s">
        <v>389</v>
      </c>
      <c r="X595" s="173">
        <f>IF(Y595="",VLOOKUP(H595,CLIENTS!$A$1:$O$649,5,FALSE),Y595)</f>
        <v>0</v>
      </c>
      <c r="Y595" s="174"/>
      <c r="Z595" s="173">
        <f>IF(AA595="",VLOOKUP(P595,CLIENTS!$A$1:$O$649,5,FALSE),AA595)</f>
        <v>0</v>
      </c>
      <c r="AA595" s="174"/>
      <c r="AB595" s="173" t="str">
        <f>IF(W595="via USD",IF(K595="EUR",K595&amp;"USD","USD"&amp;K595),IFERROR(VLOOKUP(K595&amp;S595,'FX RATES'!$H$2:$H$20,1,FALSE),S595&amp;K595))</f>
        <v>USDRUB</v>
      </c>
      <c r="AC595" s="175">
        <f>IF(LEFT(AB595,3)=RIGHT(AB595,3),0,IFERROR(INDEX(CLIENTS!$A$1:$O$649,MATCH(H595,CLIENTS!$A$1:$A$649,0),MATCH(AB595,CLIENTS!$A$1:$O$1,0)),0))</f>
        <v>0</v>
      </c>
      <c r="AD595" s="176"/>
      <c r="AE595" s="177" t="str">
        <f>IF(W595="CLIENT","",IF(AD595="",AH595+AC595,AD595+AC595))</f>
        <v/>
      </c>
      <c r="AF595" s="177" t="str">
        <f>E595&amp;AB595</f>
        <v>46070USDRUB</v>
      </c>
      <c r="AG595" s="176">
        <v>76.599999999999994</v>
      </c>
      <c r="AH595" s="178">
        <f ca="1">IF(LEFT(AB595,3)=RIGHT(AB595,3),1,VLOOKUP(AB595,'FX RATES'!$H$1:$I$20,2,FALSE))</f>
        <v>76.720500000000001</v>
      </c>
      <c r="AI595" s="178">
        <f>IF(OR(AB595="USDAED",LEFT(AB595,3)=RIGHT(AB595,3),AB595="USDUSDT",AB595="USDTUSD"),AH595,IF(LEFT(AB595)="USD",AG595,IF(RIGHT(AB595,3)="USD",1,IFERROR(VLOOKUP(E595&amp;"USD"&amp;RIGHT(AB595,3),$AF:$AG,2,FALSE),VLOOKUP(E595&amp;"USD"&amp;RIGHT(AJ595,3),$AN:$AO,2,FALSE)))))</f>
        <v>76.599999999999994</v>
      </c>
      <c r="AJ595" s="173" t="str">
        <f>IF(W595="via USD",IF(S595="EUR",S595&amp;"USD","USD"&amp;S595),IFERROR(VLOOKUP(K595&amp;S595,'FX RATES'!$H$2:$H$20,1,FALSE),S595&amp;K595))</f>
        <v>USDRUB</v>
      </c>
      <c r="AK595" s="175">
        <f>IF(LEFT(AJ595,3)=RIGHT(AJ595,3),0,IFERROR(INDEX(CLIENTS!$A$1:$O$649,MATCH(P595,CLIENTS!$A$1:$A$649,0),MATCH(AJ595,CLIENTS!$A$1:$O$1,0)),0))</f>
        <v>0</v>
      </c>
      <c r="AL595" s="176">
        <v>76.599999999999994</v>
      </c>
      <c r="AM595" s="177">
        <f>IF(W595="VENDOR","",IF(AL595="",AP595+AK595,AL595+AK595))</f>
        <v>76.599999999999994</v>
      </c>
      <c r="AN595" s="177" t="str">
        <f>E595&amp;AJ595</f>
        <v>46070USDRUB</v>
      </c>
      <c r="AO595" s="176">
        <v>76.599999999999994</v>
      </c>
      <c r="AP595" s="178">
        <f ca="1">IF(LEFT(AJ595,3)=RIGHT(AJ595,3),1,VLOOKUP(AJ595,'FX RATES'!$H$1:$I$20,2,FALSE))</f>
        <v>76.720500000000001</v>
      </c>
      <c r="AQ595" s="178">
        <f>IF(OR(AJ595="USDAED",LEFT(AJ595,3)=RIGHT(AJ595,3)),AP595,IF(LEFT(AJ595)="USD",AO595,IF(RIGHT(AJ595,3)="USD",1,IFERROR(VLOOKUP(E595&amp;"USD"&amp;RIGHT(AJ595,3),$AN:$AO,2,FALSE),VLOOKUP(E595&amp;"USD"&amp;RIGHT(AB595,3),$AF:$AG,2,FALSE)))))</f>
        <v>76.599999999999994</v>
      </c>
      <c r="AR595" s="179">
        <f>-Q595*(1-Z595)/(1+X595)*IF(W595="CLIENT",IF(S595=RIGHT(AJ595,3),1/AM595,AM595),IF(W595="VENDOR",IF(S595=RIGHT(AJ595,3),1/AE595,AE595),AE595^(VLOOKUP(AB595,'FX RATES'!$H$1:$J$26,3,FALSE))/AM595^(VLOOKUP(AJ595,'FX RATES'!$H$1:$J$26,3,FALSE))))</f>
        <v>-106893.88694516972</v>
      </c>
      <c r="AS595" s="179">
        <f>-I595*(1+X595)/(1-Z595)*IF(W595="VENDOR",IF(K595=RIGHT(AB595,3),1/AE595,AE595),IF(W595="CLIENT",IF(K595=RIGHT(AB595,3),1/AM595,AM595),AM595^(VLOOKUP(AJ595,'FX RATES'!$H$1:$J$26,3,FALSE))/AE595^(VLOOKUP(AB595,'FX RATES'!$H$1:$J$26,3,FALSE))))</f>
        <v>0</v>
      </c>
      <c r="AT595" s="170">
        <f>IF(AB595&lt;&gt;AJ595,J595/IF(K595=RIGHT(AB595,3),AE595,1/AE595),IF(S595="USD",J595/IF(K595=RIGHT(AB595,3),IF(W595="CLIENT",AM595,AE595),1/IF(W595="CLIENT",AM595,AE595)),J595*VLOOKUP(K595,'FX RATES'!$E$1:$F$10,2,FALSE)))</f>
        <v>-106893.88694516972</v>
      </c>
      <c r="AU595" s="170">
        <f>IF(AB595&lt;&gt;AJ595,R595/IF(S595=RIGHT(AJ595,3),AM595,1/AM595),IF(K595="USD",R595/IF(S595=RIGHT(AJ595,3),IF(W595="CLIENT",AM595,AE595),1/IF(W595="CLIENT",AM595,AE595)),R595*VLOOKUP(S595,'FX RATES'!$E$1:$F$10,2,FALSE)))</f>
        <v>106893.88694516972</v>
      </c>
      <c r="AV595" s="170">
        <f>AT595+AU595</f>
        <v>0</v>
      </c>
      <c r="AW595" s="169"/>
      <c r="AX595" s="170">
        <f>IF(AND(ISERROR(SEARCH("INVOICE",T595)),ISERROR(SEARCH("SWITCH",T595)),ISERROR(SEARCH("FOREX",T595)),ISERROR(SEARCH("REFUND",A595)),ISERROR(SEARCH("CANCELLED",A595))),IF(AW595="",-AT595*X595+AU595*Z595,AW595),0)</f>
        <v>0</v>
      </c>
      <c r="AY595" s="170">
        <f>IF(AZ595="USD",AT595,IF(AZ595=K595,J595,-R595))</f>
        <v>-106893.88694516972</v>
      </c>
      <c r="AZ595" s="170" t="str">
        <f>LEFT(AB595,3)</f>
        <v>USD</v>
      </c>
      <c r="BA595" s="542">
        <f>IF(OR(A595="REFUND",A595="CANCELLED"),0,IFERROR((IF(OR(AB595="USDAED",LEFT(AB595,3)=RIGHT(AB595,3)),AI595,AG595)-AE595)*-AY595*VLOOKUP(AB595,'FX RATES'!$H$1:$J$26,3,FALSE),0))</f>
        <v>0</v>
      </c>
      <c r="BB595" s="170" t="str">
        <f>RIGHT(AB595,3)</f>
        <v>RUB</v>
      </c>
      <c r="BC595" s="542">
        <f>IF(BA595=0,0,IFERROR(BA595/IF(BB595&lt;&gt;"USD",AI595,1),"???"))</f>
        <v>0</v>
      </c>
      <c r="BD595" s="170">
        <f>IFERROR(-AC595/(IF(OR(AB595="USDAED",LEFT(AB595,3)=RIGHT(AB595,3)),AH595,AG595)-AE595)*BC595,0)</f>
        <v>0</v>
      </c>
      <c r="BE595" s="542">
        <f>BC595-BD595</f>
        <v>0</v>
      </c>
      <c r="BF595" s="170">
        <f>IF(BG595="USD",AU595,IF(BG595=S595,R595,-J595))</f>
        <v>106893.88694516972</v>
      </c>
      <c r="BG595" s="170" t="str">
        <f>LEFT(AJ595,3)</f>
        <v>USD</v>
      </c>
      <c r="BH595" s="542">
        <f>IF(OR(A595="REFUND",A595="CANCELLED"),0,IFERROR((IF(OR(AJ595="USDAED",LEFT(AJ595,3)=RIGHT(AJ595,3)),AQ595,AO595)-AM595)*-BF595*VLOOKUP(AJ595,'FX RATES'!$H$1:$J$26,3,FALSE),0))</f>
        <v>0</v>
      </c>
      <c r="BI595" s="170" t="str">
        <f>RIGHT(AJ595,3)</f>
        <v>RUB</v>
      </c>
      <c r="BJ595" s="542">
        <f>IF(BH595=0,0,IFERROR(BH595/IF(BI595&lt;&gt;"USD",AQ595,1),"???"))</f>
        <v>0</v>
      </c>
      <c r="BK595" s="170">
        <f>IFERROR(-AK595/(IF(OR(AJ595="USDAED",LEFT(AJ595,3)=RIGHT(AJ595,3)),AP595,AO595)-AM595)*BJ595,0)</f>
        <v>0</v>
      </c>
      <c r="BL595" s="542">
        <f>BJ595-BK595</f>
        <v>0</v>
      </c>
      <c r="BM595" s="170">
        <f>IF(AND(ISERROR(SEARCH("REFUND",A595)),ISERROR(SEARCH("CANCELLED",A595))),BD595+BK595,0)</f>
        <v>0</v>
      </c>
      <c r="BN595" s="542">
        <f>IF(AND(ISERROR(SEARCH("REFUND",A595)),ISERROR(SEARCH("CANCELLED",A595))),BE595+BL595,0)</f>
        <v>0</v>
      </c>
    </row>
    <row r="596" spans="1:66" ht="19">
      <c r="A596" s="167" t="s">
        <v>601</v>
      </c>
      <c r="B596" s="168" t="s">
        <v>31</v>
      </c>
      <c r="C596" s="168" t="s">
        <v>383</v>
      </c>
      <c r="D596" s="168" t="s">
        <v>121</v>
      </c>
      <c r="E596" s="171">
        <v>46070</v>
      </c>
      <c r="F596" s="171" t="s">
        <v>625</v>
      </c>
      <c r="G596" s="168" t="s">
        <v>52</v>
      </c>
      <c r="H596" s="181" t="s">
        <v>476</v>
      </c>
      <c r="I596" s="169">
        <f>-(R592+R593+R594+R595)</f>
        <v>-44143920.968833268</v>
      </c>
      <c r="J596" s="170">
        <f>IF(I596="",AR596,I596)</f>
        <v>-44143920.968833268</v>
      </c>
      <c r="K596" s="168" t="s">
        <v>9</v>
      </c>
      <c r="L596" s="171" t="s">
        <v>25</v>
      </c>
      <c r="M596" s="168" t="s">
        <v>25</v>
      </c>
      <c r="N596" s="167" t="s">
        <v>553</v>
      </c>
      <c r="O596" s="168" t="s">
        <v>31</v>
      </c>
      <c r="P596" s="168" t="s">
        <v>31</v>
      </c>
      <c r="Q596" s="169"/>
      <c r="R596" s="170">
        <f t="shared" ref="R596" si="698">IF(Q596="",AS596,Q596)</f>
        <v>579523.41214755492</v>
      </c>
      <c r="S596" s="168" t="s">
        <v>5</v>
      </c>
      <c r="T596" s="171" t="s">
        <v>477</v>
      </c>
      <c r="U596" s="168" t="s">
        <v>14</v>
      </c>
      <c r="V596" s="167" t="s">
        <v>371</v>
      </c>
      <c r="W596" s="172" t="s">
        <v>382</v>
      </c>
      <c r="X596" s="173">
        <f>IF(Y596="",VLOOKUP(H596,CLIENTS!$A$1:$O$649,5,FALSE),Y596)</f>
        <v>0</v>
      </c>
      <c r="Y596" s="174"/>
      <c r="Z596" s="173">
        <f>IF(AA596="",VLOOKUP(P596,CLIENTS!$A$1:$O$649,5,FALSE),AA596)</f>
        <v>0</v>
      </c>
      <c r="AA596" s="174"/>
      <c r="AB596" s="173" t="str">
        <f>IF(W596="via USD",IF(K596="EUR",K596&amp;"USD","USD"&amp;K596),IFERROR(VLOOKUP(K596&amp;S596,'FX RATES'!$H$2:$H$20,1,FALSE),S596&amp;K596))</f>
        <v>USDRUB</v>
      </c>
      <c r="AC596" s="175">
        <f>IF(LEFT(AB596,3)=RIGHT(AB596,3),0,IFERROR(INDEX(CLIENTS!$A$1:$O$649,MATCH(H596,CLIENTS!$A$1:$A$649,0),MATCH(AB596,CLIENTS!$A$1:$O$1,0)),0))+0.07</f>
        <v>0</v>
      </c>
      <c r="AD596" s="176">
        <v>76.172799999999995</v>
      </c>
      <c r="AE596" s="177">
        <f>IF(W596="CLIENT","",IF(AD596="",AH596+AC596,AD596+AC596))</f>
        <v>76.172799999999995</v>
      </c>
      <c r="AF596" s="177" t="str">
        <f>E596&amp;AB596</f>
        <v>46070USDRUB</v>
      </c>
      <c r="AG596" s="176">
        <v>76.599999999999994</v>
      </c>
      <c r="AH596" s="178">
        <f ca="1">IF(LEFT(AB596,3)=RIGHT(AB596,3),1,VLOOKUP(AB596,'FX RATES'!$H$1:$I$20,2,FALSE))</f>
        <v>76.720500000000001</v>
      </c>
      <c r="AI596" s="178">
        <f>IF(OR(AB596="USDAED",LEFT(AB596,3)=RIGHT(AB596,3)),AH596,IF(LEFT(AB596)="USD",AG596,IF(RIGHT(AB596,3)="USD",1,IFERROR(VLOOKUP(E596&amp;"USD"&amp;RIGHT(AB596,3),$AF:$AG,2,FALSE),VLOOKUP(E596&amp;"USD"&amp;RIGHT(AJ596,3),$AN:$AO,2,FALSE)))))</f>
        <v>76.599999999999994</v>
      </c>
      <c r="AJ596" s="173" t="str">
        <f>IF(W596="via USD",IF(S596="EUR",S596&amp;"USD","USD"&amp;S596),IFERROR(VLOOKUP(K596&amp;S596,'FX RATES'!$H$2:$H$20,1,FALSE),S596&amp;K596))</f>
        <v>USDRUB</v>
      </c>
      <c r="AK596" s="175">
        <f>IF(LEFT(AJ596,3)=RIGHT(AJ596,3),0,IFERROR(INDEX(CLIENTS!$A$1:$O$649,MATCH(P596,CLIENTS!$A$1:$A$649,0),MATCH(AJ596,CLIENTS!$A$1:$O$1,0)),0))</f>
        <v>0</v>
      </c>
      <c r="AL596" s="176"/>
      <c r="AM596" s="177" t="str">
        <f>IF(W596="VENDOR","",IF(AL596="",AP596+AK596,AL596+AK596))</f>
        <v/>
      </c>
      <c r="AN596" s="177" t="str">
        <f>E596&amp;AJ596</f>
        <v>46070USDRUB</v>
      </c>
      <c r="AO596" s="176"/>
      <c r="AP596" s="178">
        <f ca="1">IF(LEFT(AJ596,3)=RIGHT(AJ596,3),1,VLOOKUP(AJ596,'FX RATES'!$H$1:$I$20,2,FALSE))</f>
        <v>76.720500000000001</v>
      </c>
      <c r="AQ596" s="178">
        <f>IF(OR(AJ596="USDAED",LEFT(AJ596,3)=RIGHT(AJ596,3)),AP596,IF(LEFT(AJ596)="USD",AO596,IF(RIGHT(AJ596,3)="USD",1,IFERROR(VLOOKUP(E596&amp;"USD"&amp;RIGHT(AJ596,3),$AN:$AO,2,FALSE),VLOOKUP(E596&amp;"USD"&amp;RIGHT(AB596,3),$AF:$AG,2,FALSE)))))</f>
        <v>76.599999999999994</v>
      </c>
      <c r="AR596" s="179">
        <f>-Q596*(1-Z596)/(1+X596)*IF(W596="CLIENT",IF(S596=RIGHT(AJ596,3),1/AM596,AM596),IF(W596="VENDOR",IF(S596=RIGHT(AJ596,3),1/AE596,AE596),AE596^(VLOOKUP(AB596,'FX RATES'!$H$1:$J$26,3,FALSE))/AM596^(VLOOKUP(AJ596,'FX RATES'!$H$1:$J$26,3,FALSE))))</f>
        <v>0</v>
      </c>
      <c r="AS596" s="179">
        <f>-I596*(1+X596)/(1-Z596)*IF(W596="VENDOR",IF(K596=RIGHT(AB596,3),1/AE596,AE596),IF(W596="CLIENT",IF(K596=RIGHT(AB596,3),1/AM596,AM596),AM596^(VLOOKUP(AJ596,'FX RATES'!$H$1:$J$26,3,FALSE))/AE596^(VLOOKUP(AB596,'FX RATES'!$H$1:$J$26,3,FALSE))))</f>
        <v>579523.41214755492</v>
      </c>
      <c r="AT596" s="170">
        <f>IF(AB596&lt;&gt;AJ596,J596/IF(K596=RIGHT(AB596,3),AE596,1/AE596),IF(S596="USD",J596/IF(K596=RIGHT(AB596,3),IF(W596="CLIENT",AM596,AE596),1/IF(W596="CLIENT",AM596,AE596)),J596*VLOOKUP(K596,'FX RATES'!$E$1:$F$10,2,FALSE)))</f>
        <v>-579523.41214755492</v>
      </c>
      <c r="AU596" s="170">
        <f>IF(AB596&lt;&gt;AJ596,R596/IF(S596=RIGHT(AJ596,3),AM596,1/AM596),IF(K596="USD",R596/IF(S596=RIGHT(AJ596,3),IF(W596="CLIENT",AM596,AE596),1/IF(W596="CLIENT",AM596,AE596)),R596*VLOOKUP(S596,'FX RATES'!$E$1:$F$10,2,FALSE)))</f>
        <v>579523.41214755492</v>
      </c>
      <c r="AV596" s="170">
        <f>AT596+AU596</f>
        <v>0</v>
      </c>
      <c r="AW596" s="169"/>
      <c r="AX596" s="170">
        <f>IF(AND(ISERROR(SEARCH("INVOICE",T596)),ISERROR(SEARCH("SWITCH",T596)),ISERROR(SEARCH("FOREX",T596)),ISERROR(SEARCH("REFUND",A596)),ISERROR(SEARCH("CANCELLED",A596))),IF(AW596="",-AT596*X596+AU596*Z596,AW596),0)</f>
        <v>0</v>
      </c>
      <c r="AY596" s="170">
        <f>IF(AZ596="USD",AT596,IF(AZ596=K596,J596,-R596))</f>
        <v>-579523.41214755492</v>
      </c>
      <c r="AZ596" s="170" t="str">
        <f>LEFT(AB596,3)</f>
        <v>USD</v>
      </c>
      <c r="BA596" s="542">
        <f>IF(OR(A596="REFUND",A596="CANCELLED"),0,IFERROR((IF(OR(AB596="USDAED",LEFT(AB596,3)=RIGHT(AB596,3)),AI596,AG596)-AE596)*-AY596*VLOOKUP(AB596,'FX RATES'!$H$1:$J$26,3,FALSE),0))</f>
        <v>247572.40166943497</v>
      </c>
      <c r="BB596" s="170" t="str">
        <f>RIGHT(AB596,3)</f>
        <v>RUB</v>
      </c>
      <c r="BC596" s="542">
        <f>IF(BA596=0,0,IFERROR(BA596/IF(BB596&lt;&gt;"USD",AI596,1),"???"))</f>
        <v>3232.015687590535</v>
      </c>
      <c r="BD596" s="170">
        <f>IFERROR(-AC596/(IF(OR(AB596="USDAED",LEFT(AB596,3)=RIGHT(AB596,3)),AH596,AG596)-AE596)*BC596,0)</f>
        <v>0</v>
      </c>
      <c r="BE596" s="542">
        <f>BC596-BD596</f>
        <v>3232.015687590535</v>
      </c>
      <c r="BF596" s="170">
        <f>IF(BG596="USD",AU596,IF(BG596=S596,R596,-J596))</f>
        <v>579523.41214755492</v>
      </c>
      <c r="BG596" s="170" t="str">
        <f>LEFT(AJ596,3)</f>
        <v>USD</v>
      </c>
      <c r="BH596" s="542">
        <f>IF(OR(A596="REFUND",A596="CANCELLED"),0,IFERROR((IF(OR(AJ596="USDAED",LEFT(AJ596,3)=RIGHT(AJ596,3)),AQ596,AO596)-AM596)*-BF596*VLOOKUP(AJ596,'FX RATES'!$H$1:$J$26,3,FALSE),0))</f>
        <v>0</v>
      </c>
      <c r="BI596" s="170" t="str">
        <f>RIGHT(AJ596,3)</f>
        <v>RUB</v>
      </c>
      <c r="BJ596" s="542">
        <f>IF(BH596=0,0,IFERROR(BH596/IF(BI596&lt;&gt;"USD",AQ596,1),"???"))</f>
        <v>0</v>
      </c>
      <c r="BK596" s="170">
        <f>IFERROR(-AK596/(IF(OR(AJ596="USDAED",LEFT(AJ596,3)=RIGHT(AJ596,3)),AP596,AO596)-AM596)*BJ596,0)</f>
        <v>0</v>
      </c>
      <c r="BL596" s="542">
        <f>BJ596-BK596</f>
        <v>0</v>
      </c>
      <c r="BM596" s="170">
        <f>IF(AND(ISERROR(SEARCH("REFUND",A596)),ISERROR(SEARCH("CANCELLED",A596))),BD596+BK596,0)</f>
        <v>0</v>
      </c>
      <c r="BN596" s="542">
        <f>IF(AND(ISERROR(SEARCH("REFUND",A596)),ISERROR(SEARCH("CANCELLED",A596))),BE596+BL596,0)</f>
        <v>3232.015687590535</v>
      </c>
    </row>
    <row r="597" spans="1:66" ht="19">
      <c r="A597" s="180"/>
      <c r="E597" s="180"/>
      <c r="F597" s="180"/>
      <c r="L597" s="180"/>
      <c r="M597" s="180"/>
      <c r="N597" s="180"/>
      <c r="O597" s="180"/>
      <c r="P597" s="180"/>
      <c r="V597" s="180"/>
      <c r="W597" s="180"/>
      <c r="BA597" s="180"/>
      <c r="BC597" s="180"/>
      <c r="BE597" s="180"/>
      <c r="BH597" s="180"/>
      <c r="BJ597" s="180"/>
      <c r="BL597" s="180"/>
      <c r="BN597" s="180"/>
    </row>
    <row r="598" spans="1:66" ht="19">
      <c r="A598" s="167" t="s">
        <v>601</v>
      </c>
      <c r="B598" s="168" t="s">
        <v>39</v>
      </c>
      <c r="C598" s="168" t="s">
        <v>367</v>
      </c>
      <c r="D598" s="168" t="s">
        <v>368</v>
      </c>
      <c r="E598" s="171">
        <v>46071</v>
      </c>
      <c r="F598" s="171" t="s">
        <v>625</v>
      </c>
      <c r="G598" s="168" t="s">
        <v>39</v>
      </c>
      <c r="H598" s="181" t="s">
        <v>407</v>
      </c>
      <c r="I598" s="169">
        <v>-9245169.5</v>
      </c>
      <c r="J598" s="170">
        <f>IF(I598="",AR598,I598)</f>
        <v>-9245169.5</v>
      </c>
      <c r="K598" s="168" t="s">
        <v>8</v>
      </c>
      <c r="L598" s="171" t="s">
        <v>15</v>
      </c>
      <c r="M598" s="168" t="s">
        <v>17</v>
      </c>
      <c r="N598" s="167" t="s">
        <v>553</v>
      </c>
      <c r="O598" s="168" t="s">
        <v>39</v>
      </c>
      <c r="P598" s="168" t="s">
        <v>408</v>
      </c>
      <c r="Q598" s="169"/>
      <c r="R598" s="170">
        <f>IF(Q598="",AS598,Q598)</f>
        <v>193788815.40217334</v>
      </c>
      <c r="S598" s="168" t="s">
        <v>9</v>
      </c>
      <c r="T598" s="171" t="s">
        <v>409</v>
      </c>
      <c r="U598" s="168" t="s">
        <v>374</v>
      </c>
      <c r="V598" s="167" t="s">
        <v>371</v>
      </c>
      <c r="W598" s="172" t="s">
        <v>375</v>
      </c>
      <c r="X598" s="173">
        <f>IF(Y598="",VLOOKUP(H598,CLIENTS!$A$1:$O$649,5,FALSE),Y598)</f>
        <v>3.0000000000000001E-3</v>
      </c>
      <c r="Y598" s="174">
        <v>3.0000000000000001E-3</v>
      </c>
      <c r="Z598" s="173">
        <f>IF(AA598="",VLOOKUP(P598,CLIENTS!$A$1:$O$649,5,FALSE),AA598)</f>
        <v>0</v>
      </c>
      <c r="AA598" s="174">
        <v>0</v>
      </c>
      <c r="AB598" s="173" t="str">
        <f>IF(W598="via USD",IF(K598="EUR",K598&amp;"USD","USD"&amp;K598),IFERROR(VLOOKUP(K598&amp;S598,'FX RATES'!$H$2:$H$20,1,FALSE),S598&amp;K598))</f>
        <v>USDAED</v>
      </c>
      <c r="AC598" s="175">
        <f>IF(LEFT(AB598,3)=RIGHT(AB598,3),0,IFERROR(INDEX(CLIENTS!$A$1:$O$649,MATCH(H598,CLIENTS!$A$1:$A$649,0),MATCH(AB598,CLIENTS!$A$1:$O$1,0)),0))</f>
        <v>-5.0000000000000001E-4</v>
      </c>
      <c r="AD598" s="176"/>
      <c r="AE598" s="177">
        <f>IF(W598="CLIENT","",IF(AD598="",AH598+AC598,AD598+AC598))</f>
        <v>3.6719999999999997</v>
      </c>
      <c r="AF598" s="177" t="str">
        <f>E598&amp;AB598</f>
        <v>46071USDAED</v>
      </c>
      <c r="AG598" s="176"/>
      <c r="AH598" s="178">
        <f>IF(LEFT(AB598,3)=RIGHT(AB598,3),1,VLOOKUP(AB598,'FX RATES'!$H$1:$I$20,2,FALSE))</f>
        <v>3.6724999999999999</v>
      </c>
      <c r="AI598" s="178">
        <f>IF(OR(AB598="USDAED",LEFT(AB598,3)=RIGHT(AB598,3)),AH598,IF(LEFT(AB598)="USD",AG598,IF(RIGHT(AB598,3)="USD",1,IFERROR(VLOOKUP(E598&amp;"USD"&amp;RIGHT(AB598,3),$AF:$AG,2,FALSE),VLOOKUP(E598&amp;"USD"&amp;RIGHT(AJ598,3),$AN:$AO,2,FALSE)))))</f>
        <v>3.6724999999999999</v>
      </c>
      <c r="AJ598" s="173" t="str">
        <f>IF(W598="via USD",IF(S598="EUR",S598&amp;"USD","USD"&amp;S598),IFERROR(VLOOKUP(K598&amp;S598,'FX RATES'!$H$2:$H$20,1,FALSE),S598&amp;K598))</f>
        <v>USDRUB</v>
      </c>
      <c r="AK598" s="175">
        <f>IF(LEFT(AJ598,3)=RIGHT(AJ598,3),0,IFERROR(INDEX(CLIENTS!$A$1:$O$649,MATCH(P598,CLIENTS!$A$1:$A$649,0),MATCH(AJ598,CLIENTS!$A$1:$O$1,0)),0))</f>
        <v>0</v>
      </c>
      <c r="AL598" s="176">
        <v>76.738900000000001</v>
      </c>
      <c r="AM598" s="177">
        <f>IF(W598="VENDOR","",IF(AL598="",AP598+AK598,AL598+AK598))</f>
        <v>76.738900000000001</v>
      </c>
      <c r="AN598" s="177" t="str">
        <f>E598&amp;AJ598</f>
        <v>46071USDRUB</v>
      </c>
      <c r="AO598" s="176">
        <v>76.400000000000006</v>
      </c>
      <c r="AP598" s="178">
        <f ca="1">IF(LEFT(AJ598,3)=RIGHT(AJ598,3),1,VLOOKUP(AJ598,'FX RATES'!$H$1:$I$20,2,FALSE))</f>
        <v>76.720500000000001</v>
      </c>
      <c r="AQ598" s="178">
        <f>IF(OR(AJ598="USDAED",LEFT(AJ598,3)=RIGHT(AJ598,3)),AP598,IF(LEFT(AJ598)="USD",AO598,IF(RIGHT(AJ598,3)="USD",1,IFERROR(VLOOKUP(E598&amp;"USD"&amp;RIGHT(AJ598,3),$AN:$AO,2,FALSE),VLOOKUP(E598&amp;"USD"&amp;RIGHT(AB598,3),$AF:$AG,2,FALSE)))))</f>
        <v>76.400000000000006</v>
      </c>
      <c r="AR598" s="179">
        <f>-Q598*(1-Z598)/(1+X598)*IF(W598="CLIENT",IF(S598=RIGHT(AJ598,3),1/AM598,AM598),IF(W598="VENDOR",IF(S598=RIGHT(AJ598,3),1/AE598,AE598),AE598^(VLOOKUP(AB598,'FX RATES'!$H$1:$J$26,3,FALSE))/AM598^(VLOOKUP(AJ598,'FX RATES'!$H$1:$J$26,3,FALSE))))</f>
        <v>0</v>
      </c>
      <c r="AS598" s="179">
        <f>-I598*(1+X598)/(1-Z598)*IF(W598="VENDOR",IF(K598=RIGHT(AB598,3),1/AE598,AE598),IF(W598="CLIENT",IF(K598=RIGHT(AB598,3),1/AM598,AM598),AM598^(VLOOKUP(AJ598,'FX RATES'!$H$1:$J$26,3,FALSE))/AE598^(VLOOKUP(AB598,'FX RATES'!$H$1:$J$26,3,FALSE))))</f>
        <v>193788815.40217334</v>
      </c>
      <c r="AT598" s="170">
        <f>IF(AB598&lt;&gt;AJ598,J598/IF(K598=RIGHT(AB598,3),AE598,1/AE598),IF(S598="USD",J598/IF(K598=RIGHT(AB598,3),IF(W598="CLIENT",AM598,AE598),1/IF(W598="CLIENT",AM598,AE598)),J598*VLOOKUP(K598,'FX RATES'!$E$1:$F$10,2,FALSE)))</f>
        <v>-2517747.6851851852</v>
      </c>
      <c r="AU598" s="170">
        <f>IF(AB598&lt;&gt;AJ598,R598/IF(S598=RIGHT(AJ598,3),AM598,1/AM598),IF(K598="USD",R598/IF(S598=RIGHT(AJ598,3),IF(W598="CLIENT",AM598,AE598),1/IF(W598="CLIENT",AM598,AE598)),R598*VLOOKUP(S598,'FX RATES'!$E$1:$F$10,2,FALSE)))</f>
        <v>2525300.9282407402</v>
      </c>
      <c r="AV598" s="170">
        <f>AT598+AU598</f>
        <v>7553.2430555550382</v>
      </c>
      <c r="AW598" s="169"/>
      <c r="AX598" s="170">
        <f>IF(AND(ISERROR(SEARCH("INVOICE",T598)),ISERROR(SEARCH("SWITCH",T598)),ISERROR(SEARCH("FOREX",T598)),ISERROR(SEARCH("REFUND",A598)),ISERROR(SEARCH("CANCELLED",A598))),IF(AW598="",-AT598*X598+AU598*Z598,AW598),0)</f>
        <v>7553.2430555555557</v>
      </c>
      <c r="AY598" s="170">
        <f>IF(AZ598="USD",AT598,IF(AZ598=K598,J598,-R598))</f>
        <v>-2517747.6851851852</v>
      </c>
      <c r="AZ598" s="170" t="str">
        <f>LEFT(AB598,3)</f>
        <v>USD</v>
      </c>
      <c r="BA598" s="542">
        <f>IF(OR(A598="REFUND",A598="CANCELLED"),0,IFERROR((IF(OR(AB598="USDAED",LEFT(AB598,3)=RIGHT(AB598,3)),AI598,AG598)-AE598)*-AY598*VLOOKUP(AB598,'FX RATES'!$H$1:$J$26,3,FALSE),0))</f>
        <v>1258.873842593013</v>
      </c>
      <c r="BB598" s="170" t="str">
        <f>RIGHT(AB598,3)</f>
        <v>AED</v>
      </c>
      <c r="BC598" s="542">
        <f>IF(BA598=0,0,IFERROR(BA598/IF(BB598&lt;&gt;"USD",AI598,1),"???"))</f>
        <v>342.78389178843105</v>
      </c>
      <c r="BD598" s="170">
        <f>IFERROR(-AC598/(IF(OR(AB598="USDAED",LEFT(AB598,3)=RIGHT(AB598,3)),AH598,AG598)-AE598)*BC598,0)</f>
        <v>342.78389178831657</v>
      </c>
      <c r="BE598" s="542">
        <f>BC598-BD598</f>
        <v>1.1448264558566734E-10</v>
      </c>
      <c r="BF598" s="170">
        <f>IF(BG598="USD",AU598,IF(BG598=S598,R598,-J598))</f>
        <v>2525300.9282407402</v>
      </c>
      <c r="BG598" s="170" t="str">
        <f>LEFT(AJ598,3)</f>
        <v>USD</v>
      </c>
      <c r="BH598" s="542">
        <f>IF(OR(A598="REFUND",A598="CANCELLED"),0,IFERROR((IF(OR(AJ598="USDAED",LEFT(AJ598,3)=RIGHT(AJ598,3)),AQ598,AO598)-AM598)*-BF598*VLOOKUP(AJ598,'FX RATES'!$H$1:$J$26,3,FALSE),0))</f>
        <v>855824.48458077502</v>
      </c>
      <c r="BI598" s="170" t="str">
        <f>RIGHT(AJ598,3)</f>
        <v>RUB</v>
      </c>
      <c r="BJ598" s="542">
        <f>IF(BH598=0,0,IFERROR(BH598/IF(BI598&lt;&gt;"USD",AQ598,1),"???"))</f>
        <v>11201.891159434228</v>
      </c>
      <c r="BK598" s="170">
        <f>IFERROR(-AK598/(IF(OR(AJ598="USDAED",LEFT(AJ598,3)=RIGHT(AJ598,3)),AP598,AO598)-AM598)*BJ598,0)</f>
        <v>0</v>
      </c>
      <c r="BL598" s="542">
        <f>BJ598-BK598</f>
        <v>11201.891159434228</v>
      </c>
      <c r="BM598" s="170">
        <f>IF(AND(ISERROR(SEARCH("REFUND",A598)),ISERROR(SEARCH("CANCELLED",A598))),BD598+BK598,0)</f>
        <v>342.78389178831657</v>
      </c>
      <c r="BN598" s="542">
        <f>IF(AND(ISERROR(SEARCH("REFUND",A598)),ISERROR(SEARCH("CANCELLED",A598))),BE598+BL598,0)</f>
        <v>11201.891159434343</v>
      </c>
    </row>
    <row r="599" spans="1:66" ht="19.5" customHeight="1">
      <c r="A599" s="167" t="s">
        <v>601</v>
      </c>
      <c r="B599" s="168" t="s">
        <v>39</v>
      </c>
      <c r="C599" s="168" t="s">
        <v>383</v>
      </c>
      <c r="D599" s="168" t="s">
        <v>128</v>
      </c>
      <c r="E599" s="171">
        <v>46071</v>
      </c>
      <c r="F599" s="171" t="s">
        <v>625</v>
      </c>
      <c r="G599" s="168" t="s">
        <v>39</v>
      </c>
      <c r="H599" s="168" t="s">
        <v>384</v>
      </c>
      <c r="I599" s="169">
        <v>-193788500</v>
      </c>
      <c r="J599" s="170">
        <f>IF(I599="",AR599,I599)</f>
        <v>-193788500</v>
      </c>
      <c r="K599" s="168" t="s">
        <v>9</v>
      </c>
      <c r="L599" s="171" t="s">
        <v>374</v>
      </c>
      <c r="M599" s="168" t="s">
        <v>374</v>
      </c>
      <c r="N599" s="167" t="s">
        <v>553</v>
      </c>
      <c r="O599" s="168" t="s">
        <v>39</v>
      </c>
      <c r="P599" s="349" t="s">
        <v>384</v>
      </c>
      <c r="Q599" s="169"/>
      <c r="R599" s="170">
        <f>IF(Q599="",AS599,Q599)</f>
        <v>9298872.3608445302</v>
      </c>
      <c r="S599" s="168" t="s">
        <v>8</v>
      </c>
      <c r="T599" s="171" t="s">
        <v>385</v>
      </c>
      <c r="U599" s="168" t="s">
        <v>20</v>
      </c>
      <c r="V599" s="167" t="s">
        <v>371</v>
      </c>
      <c r="W599" s="172" t="s">
        <v>382</v>
      </c>
      <c r="X599" s="173">
        <f>IF(Y599="",VLOOKUP(H599,CLIENTS!$A$1:$O$649,5,FALSE),Y599)</f>
        <v>0</v>
      </c>
      <c r="Y599" s="174">
        <v>0</v>
      </c>
      <c r="Z599" s="173">
        <f>IF(AA599="",VLOOKUP(P599,CLIENTS!$A$1:$O$649,5,FALSE),AA599)</f>
        <v>0</v>
      </c>
      <c r="AA599" s="174">
        <v>0</v>
      </c>
      <c r="AB599" s="173" t="str">
        <f>IF(W599="via USD",IF(K599="EUR",K599&amp;"USD","USD"&amp;K599),IFERROR(VLOOKUP(K599&amp;S599,'FX RATES'!$H$2:$H$20,1,FALSE),S599&amp;K599))</f>
        <v>AEDRUB</v>
      </c>
      <c r="AC599" s="175">
        <f>IF(LEFT(AB599,3)=RIGHT(AB599,3),0,IFERROR(INDEX(CLIENTS!$A$1:$O$649,MATCH(H599,CLIENTS!$A$1:$A$649,0),MATCH(AB599,CLIENTS!$A$1:$O$1,0)),0))</f>
        <v>0</v>
      </c>
      <c r="AD599" s="176">
        <v>20.84</v>
      </c>
      <c r="AE599" s="177">
        <f>IF(W599="CLIENT","",IF(AD599="",AH599+AC599,AD599+AC599))</f>
        <v>20.84</v>
      </c>
      <c r="AF599" s="177" t="str">
        <f>E599&amp;AB599</f>
        <v>46071AEDRUB</v>
      </c>
      <c r="AG599" s="176">
        <v>20.8032</v>
      </c>
      <c r="AH599" s="178">
        <f ca="1">IF(LEFT(AB599,3)=RIGHT(AB599,3),1,VLOOKUP(AB599,'FX RATES'!$H$1:$I$20,2,FALSE))</f>
        <v>20.8843</v>
      </c>
      <c r="AI599" s="178">
        <f>IF(OR(AB599="USDAED",LEFT(AB599,3)=RIGHT(AB599,3)),AH599,IF(LEFT(AB599)="USD",AG599,IF(RIGHT(AB599,3)="USD",1,IFERROR(VLOOKUP(E599&amp;"USD"&amp;RIGHT(AB599,3),$AF:$AG,2,FALSE),VLOOKUP(E599&amp;"USD"&amp;RIGHT(AJ599,3),$AN:$AO,2,FALSE)))))</f>
        <v>76.400000000000006</v>
      </c>
      <c r="AJ599" s="173" t="str">
        <f>IF(W599="via USD",IF(S599="EUR",S599&amp;"USD","USD"&amp;S599),IFERROR(VLOOKUP(K599&amp;S599,'FX RATES'!$H$2:$H$20,1,FALSE),S599&amp;K599))</f>
        <v>AEDRUB</v>
      </c>
      <c r="AK599" s="175">
        <f>IF(LEFT(AJ599,3)=RIGHT(AJ599,3),0,IFERROR(INDEX(CLIENTS!$A$1:$O$649,MATCH(P599,CLIENTS!$A$1:$A$649,0),MATCH(AJ599,CLIENTS!$A$1:$O$1,0)),0))</f>
        <v>0</v>
      </c>
      <c r="AL599" s="176"/>
      <c r="AM599" s="177" t="str">
        <f>IF(W599="VENDOR","",IF(AL599="",AP599+AK599,AL599+AK599))</f>
        <v/>
      </c>
      <c r="AN599" s="177" t="str">
        <f>E599&amp;AJ599</f>
        <v>46071AEDRUB</v>
      </c>
      <c r="AO599" s="176"/>
      <c r="AP599" s="178">
        <f ca="1">IF(LEFT(AJ599,3)=RIGHT(AJ599,3),1,VLOOKUP(AJ599,'FX RATES'!$H$1:$I$20,2,FALSE))</f>
        <v>20.8843</v>
      </c>
      <c r="AQ599" s="178">
        <f>IF(OR(AJ599="USDAED",LEFT(AJ599,3)=RIGHT(AJ599,3)),AP599,IF(LEFT(AJ599)="USD",AO599,IF(RIGHT(AJ599,3)="USD",1,IFERROR(VLOOKUP(E599&amp;"USD"&amp;RIGHT(AJ599,3),$AN:$AO,2,FALSE),VLOOKUP(E599&amp;"USD"&amp;RIGHT(AB599,3),$AF:$AG,2,FALSE)))))</f>
        <v>76.400000000000006</v>
      </c>
      <c r="AR599" s="179">
        <f>-Q599*(1-Z599)/(1+X599)*IF(W599="CLIENT",IF(S599=RIGHT(AJ599,3),1/AM599,AM599),IF(W599="VENDOR",IF(S599=RIGHT(AJ599,3),1/AE599,AE599),AE599^(VLOOKUP(AB599,'FX RATES'!$H$1:$J$26,3,FALSE))/AM599^(VLOOKUP(AJ599,'FX RATES'!$H$1:$J$26,3,FALSE))))</f>
        <v>0</v>
      </c>
      <c r="AS599" s="179">
        <f>-I599*(1+X599)/(1-Z599)*IF(W599="VENDOR",IF(K599=RIGHT(AB599,3),1/AE599,AE599),IF(W599="CLIENT",IF(K599=RIGHT(AB599,3),1/AM599,AM599),AM599^(VLOOKUP(AJ599,'FX RATES'!$H$1:$J$26,3,FALSE))/AE599^(VLOOKUP(AB599,'FX RATES'!$H$1:$J$26,3,FALSE))))</f>
        <v>9298872.3608445302</v>
      </c>
      <c r="AT599" s="170">
        <f ca="1">IF(AB599&lt;&gt;AJ599,J599/IF(K599=RIGHT(AB599,3),AE599,1/AE599),IF(S599="USD",J599/IF(K599=RIGHT(AB599,3),IF(W599="CLIENT",AM599,AE599),1/IF(W599="CLIENT",AM599,AE599)),J599*VLOOKUP(K599,'FX RATES'!$E$1:$F$10,2,FALSE)))</f>
        <v>-2525902.4641393106</v>
      </c>
      <c r="AU599" s="170">
        <f ca="1">IF(AB599&lt;&gt;AJ599,R599/IF(S599=RIGHT(AJ599,3),AM599,1/AM599),IF(K599="USD",R599/IF(S599=RIGHT(AJ599,3),IF(W599="CLIENT",AM599,AE599),1/IF(W599="CLIENT",AM599,AE599)),R599*VLOOKUP(S599,'FX RATES'!$E$1:$F$10,2,FALSE)))</f>
        <v>2531958.928509647</v>
      </c>
      <c r="AV599" s="170">
        <f ca="1">AT599+AU599</f>
        <v>6056.4643703363836</v>
      </c>
      <c r="AW599" s="169"/>
      <c r="AX599" s="170">
        <f ca="1">IF(AND(ISERROR(SEARCH("INVOICE",T599)),ISERROR(SEARCH("SWITCH",T599)),ISERROR(SEARCH("FOREX",T599)),ISERROR(SEARCH("REFUND",A599)),ISERROR(SEARCH("CANCELLED",A599))),IF(AW599="",-AT599*X599+AU599*Z599,AW599),0)</f>
        <v>0</v>
      </c>
      <c r="AY599" s="170">
        <f>IF(AZ599="USD",AT599,IF(AZ599=K599,J599,-R599))</f>
        <v>-9298872.3608445302</v>
      </c>
      <c r="AZ599" s="170" t="str">
        <f>LEFT(AB599,3)</f>
        <v>AED</v>
      </c>
      <c r="BA599" s="542">
        <f>IF(OR(A599="REFUND",A599="CANCELLED"),0,IFERROR((IF(OR(AB599="USDAED",LEFT(AB599,3)=RIGHT(AB599,3)),AI599,AG599)-AE599)*-AY599*VLOOKUP(AB599,'FX RATES'!$H$1:$J$26,3,FALSE),0))</f>
        <v>-342198.50287907408</v>
      </c>
      <c r="BB599" s="170" t="str">
        <f>RIGHT(AB599,3)</f>
        <v>RUB</v>
      </c>
      <c r="BC599" s="542">
        <f>IF(BA599=0,0,IFERROR(BA599/IF(BB599&lt;&gt;"USD",AI599,1),"???"))</f>
        <v>-4479.0379957993982</v>
      </c>
      <c r="BD599" s="170">
        <f>IFERROR(-AC599/(IF(OR(AB599="USDAED",LEFT(AB599,3)=RIGHT(AB599,3)),AH599,AG599)-AE599)*BC599,0)</f>
        <v>0</v>
      </c>
      <c r="BE599" s="542">
        <f>BC599-BD599</f>
        <v>-4479.0379957993982</v>
      </c>
      <c r="BF599" s="170">
        <f>IF(BG599="USD",AU599,IF(BG599=S599,R599,-J599))</f>
        <v>9298872.3608445302</v>
      </c>
      <c r="BG599" s="170" t="str">
        <f>LEFT(AJ599,3)</f>
        <v>AED</v>
      </c>
      <c r="BH599" s="542">
        <f>IF(OR(A599="REFUND",A599="CANCELLED"),0,IFERROR((IF(OR(AJ599="USDAED",LEFT(AJ599,3)=RIGHT(AJ599,3)),AQ599,AO599)-AM599)*-BF599*VLOOKUP(AJ599,'FX RATES'!$H$1:$J$26,3,FALSE),0))</f>
        <v>0</v>
      </c>
      <c r="BI599" s="170" t="str">
        <f>RIGHT(AJ599,3)</f>
        <v>RUB</v>
      </c>
      <c r="BJ599" s="542">
        <f>IF(BH599=0,0,IFERROR(BH599/IF(BI599&lt;&gt;"USD",AQ599,1),"???"))</f>
        <v>0</v>
      </c>
      <c r="BK599" s="170">
        <f>IFERROR(-AK599/(IF(OR(AJ599="USDAED",LEFT(AJ599,3)=RIGHT(AJ599,3)),AP599,AO599)-AM599)*BJ599,0)</f>
        <v>0</v>
      </c>
      <c r="BL599" s="542">
        <f>BJ599-BK599</f>
        <v>0</v>
      </c>
      <c r="BM599" s="170">
        <f>IF(AND(ISERROR(SEARCH("REFUND",A599)),ISERROR(SEARCH("CANCELLED",A599))),BD599+BK599,0)</f>
        <v>0</v>
      </c>
      <c r="BN599" s="542">
        <f>IF(AND(ISERROR(SEARCH("REFUND",A599)),ISERROR(SEARCH("CANCELLED",A599))),BE599+BL599,0)</f>
        <v>-4479.0379957993982</v>
      </c>
    </row>
    <row r="600" spans="1:66" ht="19.5" customHeight="1">
      <c r="A600" s="180"/>
      <c r="E600" s="180"/>
      <c r="F600" s="180"/>
      <c r="L600" s="180"/>
      <c r="M600" s="180"/>
      <c r="N600" s="180"/>
      <c r="O600" s="180"/>
      <c r="P600" s="180"/>
      <c r="V600" s="180"/>
      <c r="W600" s="180"/>
      <c r="BA600" s="180"/>
      <c r="BC600" s="180"/>
      <c r="BE600" s="180"/>
      <c r="BH600" s="180"/>
      <c r="BJ600" s="180"/>
      <c r="BL600" s="180"/>
      <c r="BN600" s="180"/>
    </row>
    <row r="601" spans="1:66" ht="19.5" customHeight="1">
      <c r="A601" s="167" t="s">
        <v>601</v>
      </c>
      <c r="B601" s="168" t="s">
        <v>39</v>
      </c>
      <c r="C601" s="168" t="s">
        <v>367</v>
      </c>
      <c r="D601" s="168" t="s">
        <v>368</v>
      </c>
      <c r="E601" s="171">
        <v>46071</v>
      </c>
      <c r="F601" s="171" t="s">
        <v>627</v>
      </c>
      <c r="G601" s="168" t="s">
        <v>39</v>
      </c>
      <c r="H601" s="181" t="s">
        <v>407</v>
      </c>
      <c r="I601" s="169">
        <v>-9245169.5</v>
      </c>
      <c r="J601" s="170">
        <f>IF(I601="",AR601,I601)</f>
        <v>-9245169.5</v>
      </c>
      <c r="K601" s="168" t="s">
        <v>8</v>
      </c>
      <c r="L601" s="171" t="s">
        <v>15</v>
      </c>
      <c r="M601" s="168" t="s">
        <v>20</v>
      </c>
      <c r="N601" s="167" t="s">
        <v>553</v>
      </c>
      <c r="O601" s="168" t="s">
        <v>39</v>
      </c>
      <c r="P601" s="168" t="s">
        <v>408</v>
      </c>
      <c r="Q601" s="169"/>
      <c r="R601" s="170">
        <f>IF(Q601="",AS601,Q601)</f>
        <v>193788815.40217334</v>
      </c>
      <c r="S601" s="168" t="s">
        <v>9</v>
      </c>
      <c r="T601" s="171" t="s">
        <v>409</v>
      </c>
      <c r="U601" s="168" t="s">
        <v>374</v>
      </c>
      <c r="V601" s="167" t="s">
        <v>371</v>
      </c>
      <c r="W601" s="172" t="s">
        <v>375</v>
      </c>
      <c r="X601" s="173">
        <f>IF(Y601="",VLOOKUP(H601,CLIENTS!$A$1:$O$649,5,FALSE),Y601)</f>
        <v>3.0000000000000001E-3</v>
      </c>
      <c r="Y601" s="174">
        <v>3.0000000000000001E-3</v>
      </c>
      <c r="Z601" s="173">
        <f>IF(AA601="",VLOOKUP(P601,CLIENTS!$A$1:$O$649,5,FALSE),AA601)</f>
        <v>0</v>
      </c>
      <c r="AA601" s="174">
        <v>0</v>
      </c>
      <c r="AB601" s="173" t="str">
        <f>IF(W601="via USD",IF(K601="EUR",K601&amp;"USD","USD"&amp;K601),IFERROR(VLOOKUP(K601&amp;S601,'FX RATES'!$H$2:$H$20,1,FALSE),S601&amp;K601))</f>
        <v>USDAED</v>
      </c>
      <c r="AC601" s="175">
        <f>IF(LEFT(AB601,3)=RIGHT(AB601,3),0,IFERROR(INDEX(CLIENTS!$A$1:$O$649,MATCH(H601,CLIENTS!$A$1:$A$649,0),MATCH(AB601,CLIENTS!$A$1:$O$1,0)),0))</f>
        <v>-5.0000000000000001E-4</v>
      </c>
      <c r="AD601" s="176"/>
      <c r="AE601" s="177">
        <f>IF(W601="CLIENT","",IF(AD601="",AH601+AC601,AD601+AC601))</f>
        <v>3.6719999999999997</v>
      </c>
      <c r="AF601" s="177" t="str">
        <f>E601&amp;AB601</f>
        <v>46071USDAED</v>
      </c>
      <c r="AG601" s="176"/>
      <c r="AH601" s="178">
        <f>IF(LEFT(AB601,3)=RIGHT(AB601,3),1,VLOOKUP(AB601,'FX RATES'!$H$1:$I$20,2,FALSE))</f>
        <v>3.6724999999999999</v>
      </c>
      <c r="AI601" s="178">
        <f>IF(OR(AB601="USDAED",LEFT(AB601,3)=RIGHT(AB601,3)),AH601,IF(LEFT(AB601)="USD",AG601,IF(RIGHT(AB601,3)="USD",1,IFERROR(VLOOKUP(E601&amp;"USD"&amp;RIGHT(AB601,3),$AF:$AG,2,FALSE),VLOOKUP(E601&amp;"USD"&amp;RIGHT(AJ601,3),$AN:$AO,2,FALSE)))))</f>
        <v>3.6724999999999999</v>
      </c>
      <c r="AJ601" s="173" t="str">
        <f>IF(W601="via USD",IF(S601="EUR",S601&amp;"USD","USD"&amp;S601),IFERROR(VLOOKUP(K601&amp;S601,'FX RATES'!$H$2:$H$20,1,FALSE),S601&amp;K601))</f>
        <v>USDRUB</v>
      </c>
      <c r="AK601" s="175">
        <f>IF(LEFT(AJ601,3)=RIGHT(AJ601,3),0,IFERROR(INDEX(CLIENTS!$A$1:$O$649,MATCH(P601,CLIENTS!$A$1:$A$649,0),MATCH(AJ601,CLIENTS!$A$1:$O$1,0)),0))</f>
        <v>0</v>
      </c>
      <c r="AL601" s="176">
        <v>76.738900000000001</v>
      </c>
      <c r="AM601" s="177">
        <f>IF(W601="VENDOR","",IF(AL601="",AP601+AK601,AL601+AK601))</f>
        <v>76.738900000000001</v>
      </c>
      <c r="AN601" s="177" t="str">
        <f>E601&amp;AJ601</f>
        <v>46071USDRUB</v>
      </c>
      <c r="AO601" s="176">
        <v>76.400000000000006</v>
      </c>
      <c r="AP601" s="178">
        <f ca="1">IF(LEFT(AJ601,3)=RIGHT(AJ601,3),1,VLOOKUP(AJ601,'FX RATES'!$H$1:$I$20,2,FALSE))</f>
        <v>76.720500000000001</v>
      </c>
      <c r="AQ601" s="178">
        <f>IF(OR(AJ601="USDAED",LEFT(AJ601,3)=RIGHT(AJ601,3)),AP601,IF(LEFT(AJ601)="USD",AO601,IF(RIGHT(AJ601,3)="USD",1,IFERROR(VLOOKUP(E601&amp;"USD"&amp;RIGHT(AJ601,3),$AN:$AO,2,FALSE),VLOOKUP(E601&amp;"USD"&amp;RIGHT(AB601,3),$AF:$AG,2,FALSE)))))</f>
        <v>76.400000000000006</v>
      </c>
      <c r="AR601" s="179">
        <f>-Q601*(1-Z601)/(1+X601)*IF(W601="CLIENT",IF(S601=RIGHT(AJ601,3),1/AM601,AM601),IF(W601="VENDOR",IF(S601=RIGHT(AJ601,3),1/AE601,AE601),AE601^(VLOOKUP(AB601,'FX RATES'!$H$1:$J$26,3,FALSE))/AM601^(VLOOKUP(AJ601,'FX RATES'!$H$1:$J$26,3,FALSE))))</f>
        <v>0</v>
      </c>
      <c r="AS601" s="179">
        <f>-I601*(1+X601)/(1-Z601)*IF(W601="VENDOR",IF(K601=RIGHT(AB601,3),1/AE601,AE601),IF(W601="CLIENT",IF(K601=RIGHT(AB601,3),1/AM601,AM601),AM601^(VLOOKUP(AJ601,'FX RATES'!$H$1:$J$26,3,FALSE))/AE601^(VLOOKUP(AB601,'FX RATES'!$H$1:$J$26,3,FALSE))))</f>
        <v>193788815.40217334</v>
      </c>
      <c r="AT601" s="170">
        <f>IF(AB601&lt;&gt;AJ601,J601/IF(K601=RIGHT(AB601,3),AE601,1/AE601),IF(S601="USD",J601/IF(K601=RIGHT(AB601,3),IF(W601="CLIENT",AM601,AE601),1/IF(W601="CLIENT",AM601,AE601)),J601*VLOOKUP(K601,'FX RATES'!$E$1:$F$10,2,FALSE)))</f>
        <v>-2517747.6851851852</v>
      </c>
      <c r="AU601" s="170">
        <f>IF(AB601&lt;&gt;AJ601,R601/IF(S601=RIGHT(AJ601,3),AM601,1/AM601),IF(K601="USD",R601/IF(S601=RIGHT(AJ601,3),IF(W601="CLIENT",AM601,AE601),1/IF(W601="CLIENT",AM601,AE601)),R601*VLOOKUP(S601,'FX RATES'!$E$1:$F$10,2,FALSE)))</f>
        <v>2525300.9282407402</v>
      </c>
      <c r="AV601" s="170">
        <f>AT601+AU601</f>
        <v>7553.2430555550382</v>
      </c>
      <c r="AW601" s="169"/>
      <c r="AX601" s="170">
        <f>IF(AND(ISERROR(SEARCH("INVOICE",T601)),ISERROR(SEARCH("SWITCH",T601)),ISERROR(SEARCH("FOREX",T601)),ISERROR(SEARCH("REFUND",A601)),ISERROR(SEARCH("CANCELLED",A601))),IF(AW601="",-AT601*X601+AU601*Z601,AW601),0)</f>
        <v>7553.2430555555557</v>
      </c>
      <c r="AY601" s="170">
        <f>IF(AZ601="USD",AT601,IF(AZ601=K601,J601,-R601))</f>
        <v>-2517747.6851851852</v>
      </c>
      <c r="AZ601" s="170" t="str">
        <f>LEFT(AB601,3)</f>
        <v>USD</v>
      </c>
      <c r="BA601" s="542">
        <f>IF(OR(A601="REFUND",A601="CANCELLED"),0,IFERROR((IF(OR(AB601="USDAED",LEFT(AB601,3)=RIGHT(AB601,3)),AI601,AG601)-AE601)*-AY601*VLOOKUP(AB601,'FX RATES'!$H$1:$J$26,3,FALSE),0))</f>
        <v>1258.873842593013</v>
      </c>
      <c r="BB601" s="170" t="str">
        <f>RIGHT(AB601,3)</f>
        <v>AED</v>
      </c>
      <c r="BC601" s="542">
        <f>IF(BA601=0,0,IFERROR(BA601/IF(BB601&lt;&gt;"USD",AI601,1),"???"))</f>
        <v>342.78389178843105</v>
      </c>
      <c r="BD601" s="170">
        <f>IFERROR(-AC601/(IF(OR(AB601="USDAED",LEFT(AB601,3)=RIGHT(AB601,3)),AH601,AG601)-AE601)*BC601,0)</f>
        <v>342.78389178831657</v>
      </c>
      <c r="BE601" s="542">
        <f>BC601-BD601</f>
        <v>1.1448264558566734E-10</v>
      </c>
      <c r="BF601" s="170">
        <f>IF(BG601="USD",AU601,IF(BG601=S601,R601,-J601))</f>
        <v>2525300.9282407402</v>
      </c>
      <c r="BG601" s="170" t="str">
        <f>LEFT(AJ601,3)</f>
        <v>USD</v>
      </c>
      <c r="BH601" s="542">
        <f>IF(OR(A601="REFUND",A601="CANCELLED"),0,IFERROR((IF(OR(AJ601="USDAED",LEFT(AJ601,3)=RIGHT(AJ601,3)),AQ601,AO601)-AM601)*-BF601*VLOOKUP(AJ601,'FX RATES'!$H$1:$J$26,3,FALSE),0))</f>
        <v>855824.48458077502</v>
      </c>
      <c r="BI601" s="170" t="str">
        <f>RIGHT(AJ601,3)</f>
        <v>RUB</v>
      </c>
      <c r="BJ601" s="542">
        <f>IF(BH601=0,0,IFERROR(BH601/IF(BI601&lt;&gt;"USD",AQ601,1),"???"))</f>
        <v>11201.891159434228</v>
      </c>
      <c r="BK601" s="170">
        <f>IFERROR(-AK601/(IF(OR(AJ601="USDAED",LEFT(AJ601,3)=RIGHT(AJ601,3)),AP601,AO601)-AM601)*BJ601,0)</f>
        <v>0</v>
      </c>
      <c r="BL601" s="542">
        <f>BJ601-BK601</f>
        <v>11201.891159434228</v>
      </c>
      <c r="BM601" s="170">
        <f>IF(AND(ISERROR(SEARCH("REFUND",A601)),ISERROR(SEARCH("CANCELLED",A601))),BD601+BK601,0)</f>
        <v>342.78389178831657</v>
      </c>
      <c r="BN601" s="542">
        <f>IF(AND(ISERROR(SEARCH("REFUND",A601)),ISERROR(SEARCH("CANCELLED",A601))),BE601+BL601,0)</f>
        <v>11201.891159434343</v>
      </c>
    </row>
    <row r="602" spans="1:66" ht="19.5" customHeight="1">
      <c r="A602" s="167" t="s">
        <v>601</v>
      </c>
      <c r="B602" s="168" t="s">
        <v>39</v>
      </c>
      <c r="C602" s="168" t="s">
        <v>383</v>
      </c>
      <c r="D602" s="168" t="s">
        <v>128</v>
      </c>
      <c r="E602" s="171">
        <v>46071</v>
      </c>
      <c r="F602" s="171" t="s">
        <v>625</v>
      </c>
      <c r="G602" s="168" t="s">
        <v>39</v>
      </c>
      <c r="H602" s="168" t="s">
        <v>384</v>
      </c>
      <c r="I602" s="169">
        <v>-193788500</v>
      </c>
      <c r="J602" s="170">
        <f>IF(I602="",AR602,I602)</f>
        <v>-193788500</v>
      </c>
      <c r="K602" s="168" t="s">
        <v>9</v>
      </c>
      <c r="L602" s="171" t="s">
        <v>374</v>
      </c>
      <c r="M602" s="168" t="s">
        <v>374</v>
      </c>
      <c r="N602" s="167" t="s">
        <v>553</v>
      </c>
      <c r="O602" s="168" t="s">
        <v>39</v>
      </c>
      <c r="P602" s="349" t="s">
        <v>384</v>
      </c>
      <c r="Q602" s="169"/>
      <c r="R602" s="170">
        <f>IF(Q602="",AS602,Q602)</f>
        <v>9298872.3608445302</v>
      </c>
      <c r="S602" s="168" t="s">
        <v>8</v>
      </c>
      <c r="T602" s="171" t="s">
        <v>385</v>
      </c>
      <c r="U602" s="168" t="s">
        <v>20</v>
      </c>
      <c r="V602" s="167" t="s">
        <v>371</v>
      </c>
      <c r="W602" s="172" t="s">
        <v>382</v>
      </c>
      <c r="X602" s="173">
        <f>IF(Y602="",VLOOKUP(H602,CLIENTS!$A$1:$O$649,5,FALSE),Y602)</f>
        <v>0</v>
      </c>
      <c r="Y602" s="174">
        <v>0</v>
      </c>
      <c r="Z602" s="173">
        <f>IF(AA602="",VLOOKUP(P602,CLIENTS!$A$1:$O$649,5,FALSE),AA602)</f>
        <v>0</v>
      </c>
      <c r="AA602" s="174">
        <v>0</v>
      </c>
      <c r="AB602" s="173" t="str">
        <f>IF(W602="via USD",IF(K602="EUR",K602&amp;"USD","USD"&amp;K602),IFERROR(VLOOKUP(K602&amp;S602,'FX RATES'!$H$2:$H$20,1,FALSE),S602&amp;K602))</f>
        <v>AEDRUB</v>
      </c>
      <c r="AC602" s="175">
        <f>IF(LEFT(AB602,3)=RIGHT(AB602,3),0,IFERROR(INDEX(CLIENTS!$A$1:$O$649,MATCH(H602,CLIENTS!$A$1:$A$649,0),MATCH(AB602,CLIENTS!$A$1:$O$1,0)),0))</f>
        <v>0</v>
      </c>
      <c r="AD602" s="176">
        <v>20.84</v>
      </c>
      <c r="AE602" s="177">
        <f>IF(W602="CLIENT","",IF(AD602="",AH602+AC602,AD602+AC602))</f>
        <v>20.84</v>
      </c>
      <c r="AF602" s="177" t="str">
        <f>E602&amp;AB602</f>
        <v>46071AEDRUB</v>
      </c>
      <c r="AG602" s="176">
        <v>20.8032</v>
      </c>
      <c r="AH602" s="178">
        <f ca="1">IF(LEFT(AB602,3)=RIGHT(AB602,3),1,VLOOKUP(AB602,'FX RATES'!$H$1:$I$20,2,FALSE))</f>
        <v>20.8843</v>
      </c>
      <c r="AI602" s="178">
        <f>IF(OR(AB602="USDAED",LEFT(AB602,3)=RIGHT(AB602,3)),AH602,IF(LEFT(AB602)="USD",AG602,IF(RIGHT(AB602,3)="USD",1,IFERROR(VLOOKUP(E602&amp;"USD"&amp;RIGHT(AB602,3),$AF:$AG,2,FALSE),VLOOKUP(E602&amp;"USD"&amp;RIGHT(AJ602,3),$AN:$AO,2,FALSE)))))</f>
        <v>76.400000000000006</v>
      </c>
      <c r="AJ602" s="173" t="str">
        <f>IF(W602="via USD",IF(S602="EUR",S602&amp;"USD","USD"&amp;S602),IFERROR(VLOOKUP(K602&amp;S602,'FX RATES'!$H$2:$H$20,1,FALSE),S602&amp;K602))</f>
        <v>AEDRUB</v>
      </c>
      <c r="AK602" s="175">
        <f>IF(LEFT(AJ602,3)=RIGHT(AJ602,3),0,IFERROR(INDEX(CLIENTS!$A$1:$O$649,MATCH(P602,CLIENTS!$A$1:$A$649,0),MATCH(AJ602,CLIENTS!$A$1:$O$1,0)),0))</f>
        <v>0</v>
      </c>
      <c r="AL602" s="176"/>
      <c r="AM602" s="177" t="str">
        <f>IF(W602="VENDOR","",IF(AL602="",AP602+AK602,AL602+AK602))</f>
        <v/>
      </c>
      <c r="AN602" s="177" t="str">
        <f>E602&amp;AJ602</f>
        <v>46071AEDRUB</v>
      </c>
      <c r="AO602" s="176"/>
      <c r="AP602" s="178">
        <f ca="1">IF(LEFT(AJ602,3)=RIGHT(AJ602,3),1,VLOOKUP(AJ602,'FX RATES'!$H$1:$I$20,2,FALSE))</f>
        <v>20.8843</v>
      </c>
      <c r="AQ602" s="178">
        <f>IF(OR(AJ602="USDAED",LEFT(AJ602,3)=RIGHT(AJ602,3)),AP602,IF(LEFT(AJ602)="USD",AO602,IF(RIGHT(AJ602,3)="USD",1,IFERROR(VLOOKUP(E602&amp;"USD"&amp;RIGHT(AJ602,3),$AN:$AO,2,FALSE),VLOOKUP(E602&amp;"USD"&amp;RIGHT(AB602,3),$AF:$AG,2,FALSE)))))</f>
        <v>76.400000000000006</v>
      </c>
      <c r="AR602" s="179">
        <f>-Q602*(1-Z602)/(1+X602)*IF(W602="CLIENT",IF(S602=RIGHT(AJ602,3),1/AM602,AM602),IF(W602="VENDOR",IF(S602=RIGHT(AJ602,3),1/AE602,AE602),AE602^(VLOOKUP(AB602,'FX RATES'!$H$1:$J$26,3,FALSE))/AM602^(VLOOKUP(AJ602,'FX RATES'!$H$1:$J$26,3,FALSE))))</f>
        <v>0</v>
      </c>
      <c r="AS602" s="179">
        <f>-I602*(1+X602)/(1-Z602)*IF(W602="VENDOR",IF(K602=RIGHT(AB602,3),1/AE602,AE602),IF(W602="CLIENT",IF(K602=RIGHT(AB602,3),1/AM602,AM602),AM602^(VLOOKUP(AJ602,'FX RATES'!$H$1:$J$26,3,FALSE))/AE602^(VLOOKUP(AB602,'FX RATES'!$H$1:$J$26,3,FALSE))))</f>
        <v>9298872.3608445302</v>
      </c>
      <c r="AT602" s="170">
        <f ca="1">IF(AB602&lt;&gt;AJ602,J602/IF(K602=RIGHT(AB602,3),AE602,1/AE602),IF(S602="USD",J602/IF(K602=RIGHT(AB602,3),IF(W602="CLIENT",AM602,AE602),1/IF(W602="CLIENT",AM602,AE602)),J602*VLOOKUP(K602,'FX RATES'!$E$1:$F$10,2,FALSE)))</f>
        <v>-2525902.4641393106</v>
      </c>
      <c r="AU602" s="170">
        <f ca="1">IF(AB602&lt;&gt;AJ602,R602/IF(S602=RIGHT(AJ602,3),AM602,1/AM602),IF(K602="USD",R602/IF(S602=RIGHT(AJ602,3),IF(W602="CLIENT",AM602,AE602),1/IF(W602="CLIENT",AM602,AE602)),R602*VLOOKUP(S602,'FX RATES'!$E$1:$F$10,2,FALSE)))</f>
        <v>2531958.928509647</v>
      </c>
      <c r="AV602" s="170">
        <f ca="1">AT602+AU602</f>
        <v>6056.4643703363836</v>
      </c>
      <c r="AW602" s="169"/>
      <c r="AX602" s="170">
        <f ca="1">IF(AND(ISERROR(SEARCH("INVOICE",T602)),ISERROR(SEARCH("SWITCH",T602)),ISERROR(SEARCH("FOREX",T602)),ISERROR(SEARCH("REFUND",A602)),ISERROR(SEARCH("CANCELLED",A602))),IF(AW602="",-AT602*X602+AU602*Z602,AW602),0)</f>
        <v>0</v>
      </c>
      <c r="AY602" s="170">
        <f>IF(AZ602="USD",AT602,IF(AZ602=K602,J602,-R602))</f>
        <v>-9298872.3608445302</v>
      </c>
      <c r="AZ602" s="170" t="str">
        <f>LEFT(AB602,3)</f>
        <v>AED</v>
      </c>
      <c r="BA602" s="542">
        <f>IF(OR(A602="REFUND",A602="CANCELLED"),0,IFERROR((IF(OR(AB602="USDAED",LEFT(AB602,3)=RIGHT(AB602,3)),AI602,AG602)-AE602)*-AY602*VLOOKUP(AB602,'FX RATES'!$H$1:$J$26,3,FALSE),0))</f>
        <v>-342198.50287907408</v>
      </c>
      <c r="BB602" s="170" t="str">
        <f>RIGHT(AB602,3)</f>
        <v>RUB</v>
      </c>
      <c r="BC602" s="542">
        <f>IF(BA602=0,0,IFERROR(BA602/IF(BB602&lt;&gt;"USD",AI602,1),"???"))</f>
        <v>-4479.0379957993982</v>
      </c>
      <c r="BD602" s="170">
        <f>IFERROR(-AC602/(IF(OR(AB602="USDAED",LEFT(AB602,3)=RIGHT(AB602,3)),AH602,AG602)-AE602)*BC602,0)</f>
        <v>0</v>
      </c>
      <c r="BE602" s="542">
        <f>BC602-BD602</f>
        <v>-4479.0379957993982</v>
      </c>
      <c r="BF602" s="170">
        <f>IF(BG602="USD",AU602,IF(BG602=S602,R602,-J602))</f>
        <v>9298872.3608445302</v>
      </c>
      <c r="BG602" s="170" t="str">
        <f>LEFT(AJ602,3)</f>
        <v>AED</v>
      </c>
      <c r="BH602" s="542">
        <f>IF(OR(A602="REFUND",A602="CANCELLED"),0,IFERROR((IF(OR(AJ602="USDAED",LEFT(AJ602,3)=RIGHT(AJ602,3)),AQ602,AO602)-AM602)*-BF602*VLOOKUP(AJ602,'FX RATES'!$H$1:$J$26,3,FALSE),0))</f>
        <v>0</v>
      </c>
      <c r="BI602" s="170" t="str">
        <f>RIGHT(AJ602,3)</f>
        <v>RUB</v>
      </c>
      <c r="BJ602" s="542">
        <f>IF(BH602=0,0,IFERROR(BH602/IF(BI602&lt;&gt;"USD",AQ602,1),"???"))</f>
        <v>0</v>
      </c>
      <c r="BK602" s="170">
        <f>IFERROR(-AK602/(IF(OR(AJ602="USDAED",LEFT(AJ602,3)=RIGHT(AJ602,3)),AP602,AO602)-AM602)*BJ602,0)</f>
        <v>0</v>
      </c>
      <c r="BL602" s="542">
        <f>BJ602-BK602</f>
        <v>0</v>
      </c>
      <c r="BM602" s="170">
        <f>IF(AND(ISERROR(SEARCH("REFUND",A602)),ISERROR(SEARCH("CANCELLED",A602))),BD602+BK602,0)</f>
        <v>0</v>
      </c>
      <c r="BN602" s="542">
        <f>IF(AND(ISERROR(SEARCH("REFUND",A602)),ISERROR(SEARCH("CANCELLED",A602))),BE602+BL602,0)</f>
        <v>-4479.0379957993982</v>
      </c>
    </row>
    <row r="603" spans="1:66" ht="19.5" customHeight="1">
      <c r="A603" s="180"/>
      <c r="E603" s="180"/>
      <c r="F603" s="180"/>
      <c r="L603" s="180"/>
      <c r="M603" s="180"/>
      <c r="N603" s="180"/>
      <c r="O603" s="180"/>
      <c r="P603" s="180"/>
      <c r="V603" s="180"/>
      <c r="W603" s="180"/>
      <c r="BA603" s="180"/>
      <c r="BC603" s="180"/>
      <c r="BE603" s="180"/>
      <c r="BH603" s="180"/>
      <c r="BJ603" s="180"/>
      <c r="BL603" s="180"/>
      <c r="BN603" s="180"/>
    </row>
    <row r="604" spans="1:66" ht="19.5" customHeight="1">
      <c r="A604" s="167" t="s">
        <v>601</v>
      </c>
      <c r="B604" s="181" t="s">
        <v>34</v>
      </c>
      <c r="C604" s="181" t="s">
        <v>367</v>
      </c>
      <c r="D604" s="181" t="s">
        <v>368</v>
      </c>
      <c r="E604" s="171">
        <v>46071</v>
      </c>
      <c r="F604" s="171" t="s">
        <v>628</v>
      </c>
      <c r="G604" s="181" t="s">
        <v>34</v>
      </c>
      <c r="H604" s="168" t="s">
        <v>631</v>
      </c>
      <c r="I604" s="169">
        <v>-5100000</v>
      </c>
      <c r="J604" s="170">
        <f>IF(I604="",AR604,I604)</f>
        <v>-5100000</v>
      </c>
      <c r="K604" s="168" t="s">
        <v>632</v>
      </c>
      <c r="L604" s="168" t="s">
        <v>13</v>
      </c>
      <c r="M604" s="168" t="s">
        <v>13</v>
      </c>
      <c r="N604" s="167" t="s">
        <v>553</v>
      </c>
      <c r="O604" s="168" t="s">
        <v>52</v>
      </c>
      <c r="P604" s="168" t="s">
        <v>555</v>
      </c>
      <c r="Q604" s="169"/>
      <c r="R604" s="170">
        <f>IF(Q604="",AS604,Q604)</f>
        <v>117983.45455554938</v>
      </c>
      <c r="S604" s="168" t="s">
        <v>53</v>
      </c>
      <c r="T604" s="168" t="s">
        <v>420</v>
      </c>
      <c r="U604" s="168" t="s">
        <v>54</v>
      </c>
      <c r="V604" s="167" t="s">
        <v>371</v>
      </c>
      <c r="W604" s="172" t="s">
        <v>375</v>
      </c>
      <c r="X604" s="173">
        <f>IF(Y604="",VLOOKUP(H604,CLIENTS!$A$1:$O$649,5,FALSE),Y604)</f>
        <v>0</v>
      </c>
      <c r="Y604" s="174">
        <v>0</v>
      </c>
      <c r="Z604" s="173">
        <f>IF(AA604="",VLOOKUP(P604,CLIENTS!$A$1:$O$649,5,FALSE),AA604)</f>
        <v>4.0000000000000001E-3</v>
      </c>
      <c r="AA604" s="174">
        <v>4.0000000000000001E-3</v>
      </c>
      <c r="AB604" s="173" t="str">
        <f>IF(W604="via USD",IF(K604="EUR",K604&amp;"USD","USD"&amp;K604),IFERROR(VLOOKUP(K604&amp;S604,'FX RATES'!$H$2:$H$20,1,FALSE),S604&amp;K604))</f>
        <v>USDTRY</v>
      </c>
      <c r="AC604" s="175">
        <f>IF(LEFT(AB604,3)=RIGHT(AB604,3),0,IFERROR(INDEX(CLIENTS!$A$1:$O$649,MATCH(H604,CLIENTS!$A$1:$A$649,0),MATCH(AB604,CLIENTS!$A$1:$O$1,0)),0))</f>
        <v>0</v>
      </c>
      <c r="AD604" s="176">
        <v>43.4</v>
      </c>
      <c r="AE604" s="177">
        <f>IF(W604="CLIENT","",IF(AD604="",AH604+AC604,AD604+AC604))</f>
        <v>43.4</v>
      </c>
      <c r="AF604" s="177" t="str">
        <f>E604&amp;AB604</f>
        <v>46071USDTRY</v>
      </c>
      <c r="AG604" s="176">
        <v>43.710999999999999</v>
      </c>
      <c r="AH604" s="178">
        <f ca="1">IF(LEFT(AB604,3)=RIGHT(AB604,3),1,VLOOKUP(AB604,'FX RATES'!$H$1:$I$20,2,FALSE))</f>
        <v>43.816800000000001</v>
      </c>
      <c r="AI604" s="178">
        <f>IF(OR(AB604="USDAED",LEFT(AB604,3)=RIGHT(AB604,3)),AH604,IF(LEFT(AB604)="USD",AG604,IF(RIGHT(AB604,3)="USD",1,IFERROR(VLOOKUP(E604&amp;"USD"&amp;RIGHT(AB604,3),$AF:$AG,2,FALSE),VLOOKUP(E604&amp;"USD"&amp;RIGHT(AJ604,3),$AN:$AO,2,FALSE)))))</f>
        <v>43.710999999999999</v>
      </c>
      <c r="AJ604" s="173" t="str">
        <f>IF(W604="via USD",IF(S604="EUR",S604&amp;"USD","USD"&amp;S604),IFERROR(VLOOKUP(K604&amp;S604,'FX RATES'!$H$2:$H$20,1,FALSE),S604&amp;K604))</f>
        <v>USDUSDT</v>
      </c>
      <c r="AK604" s="175">
        <f>IF(LEFT(AJ604,3)=RIGHT(AJ604,3),0,IFERROR(INDEX(CLIENTS!$A$1:$O$649,MATCH(P604,CLIENTS!$A$1:$A$649,0),MATCH(AJ604,CLIENTS!$A$1:$O$1,0)),0))</f>
        <v>0</v>
      </c>
      <c r="AL604" s="176"/>
      <c r="AM604" s="177">
        <f>IF(W604="VENDOR","",IF(AL604="",AP604+AK604,AL604+AK604))</f>
        <v>1</v>
      </c>
      <c r="AN604" s="177" t="str">
        <f>E604&amp;AJ604</f>
        <v>46071USDUSDT</v>
      </c>
      <c r="AO604" s="176">
        <v>1</v>
      </c>
      <c r="AP604" s="178">
        <f>IF(LEFT(AJ604,3)=RIGHT(AJ604,3),1,VLOOKUP(AJ604,'FX RATES'!$H$1:$I$50,2,FALSE))</f>
        <v>1</v>
      </c>
      <c r="AQ604" s="178">
        <f>IF(OR(AJ604="USDAED",LEFT(AJ604,3)=RIGHT(AJ604,3),AJ604="USDUSDT",AJ604="USDTUSD"),AP604,IF(LEFT(AJ604)="USD",AO604,IF(RIGHT(AJ604,3)="USD",1,IFERROR(VLOOKUP(E604&amp;"USD"&amp;RIGHT(AJ604,3),$AN:$AO,2,FALSE),VLOOKUP(E604&amp;"USD"&amp;RIGHT(AB604,3),$AF:$AG,2,FALSE)))))</f>
        <v>1</v>
      </c>
      <c r="AR604" s="179">
        <f>-Q604*(1-Z604)/(1+X604)*IF(W604="CLIENT",IF(S604=RIGHT(AJ604,3),1/AM604,AM604),IF(W604="VENDOR",IF(S604=RIGHT(AJ604,3),1/AE604,AE604),AE604^(VLOOKUP(AB604,'FX RATES'!$H$1:$J$26,3,FALSE))/AM604^(VLOOKUP(AJ604,'FX RATES'!$H$1:$J$26,3,FALSE))))</f>
        <v>0</v>
      </c>
      <c r="AS604" s="179">
        <f>-I604*(1+X604)/(1-Z604)*IF(W604="VENDOR",IF(K604=RIGHT(AB604,3),1/AE604,AE604),IF(W604="CLIENT",IF(K604=RIGHT(AB604,3),1/AM604,AM604),AM604^(VLOOKUP(AJ604,'FX RATES'!$H$1:$J$26,3,FALSE))/AE604^(VLOOKUP(AB604,'FX RATES'!$H$1:$J$26,3,FALSE))))</f>
        <v>117983.45455554938</v>
      </c>
      <c r="AT604" s="170">
        <f>IF(AB604&lt;&gt;AJ604,J604/IF(K604=RIGHT(AB604,3),AE604,1/AE604),IF(S604="USD",J604/IF(K604=RIGHT(AB604,3),IF(W604="CLIENT",AM604,AE604),1/IF(W604="CLIENT",AM604,AE604)),J604*VLOOKUP(K604,'FX RATES'!$E$1:$F$10,2,FALSE)))</f>
        <v>-117511.5207373272</v>
      </c>
      <c r="AU604" s="170">
        <f>IF(AB604&lt;&gt;AJ604,R604/IF(S604=RIGHT(AJ604,3),AM604,1/AM604),IF(K604="USD",R604/IF(S604=RIGHT(AJ604,3),IF(W604="CLIENT",AM604,AE604),1/IF(W604="CLIENT",AM604,AE604)),R604*VLOOKUP(S604,'FX RATES'!$E$1:$F$10,2,FALSE)))</f>
        <v>117983.45455554938</v>
      </c>
      <c r="AV604" s="170">
        <f>AT604+AU604</f>
        <v>471.93381822218362</v>
      </c>
      <c r="AW604" s="169"/>
      <c r="AX604" s="170">
        <f>IF(AND(ISERROR(SEARCH("INVOICE",T604)),ISERROR(SEARCH("SWITCH",T604)),ISERROR(SEARCH("FOREX",T604)),ISERROR(SEARCH("REFUND",A604)),ISERROR(SEARCH("CANCELLED",A604))),IF(AW604="",-AT604*X604+AU604*Z604,AW604),0)</f>
        <v>471.93381822219754</v>
      </c>
      <c r="AY604" s="170">
        <f>IF(AZ604="USD",AT604,IF(AZ604=K604,J604,-R604))</f>
        <v>-117511.5207373272</v>
      </c>
      <c r="AZ604" s="170" t="str">
        <f>LEFT(AB604,3)</f>
        <v>USD</v>
      </c>
      <c r="BA604" s="542">
        <f>IF(OR(A604="REFUND",A604="CANCELLED"),0,IFERROR((IF(OR(AB604="USDAED",LEFT(AB604,3)=RIGHT(AB604,3)),AI604,AG604)-AE604)*-AY604*VLOOKUP(AB604,'FX RATES'!$H$1:$J$26,3,FALSE),0))</f>
        <v>36546.082949308751</v>
      </c>
      <c r="BB604" s="170" t="str">
        <f>RIGHT(AB604,3)</f>
        <v>TRY</v>
      </c>
      <c r="BC604" s="542">
        <f>IF(BA604=0,0,IFERROR(BA604/IF(BB604&lt;&gt;"USD",AI604,1),"???"))</f>
        <v>836.08434831755744</v>
      </c>
      <c r="BD604" s="170">
        <f>IFERROR(-AC604/(IF(OR(AB604="USDAED",LEFT(AB604,3)=RIGHT(AB604,3)),AH604,AG604)-AE604)*BC604,0)</f>
        <v>0</v>
      </c>
      <c r="BE604" s="542">
        <f>BC604-BD604</f>
        <v>836.08434831755744</v>
      </c>
      <c r="BF604" s="170">
        <f>IF(BG604="USD",AU604,IF(BG604=S604,R604,-J604))</f>
        <v>117983.45455554938</v>
      </c>
      <c r="BG604" s="170" t="str">
        <f>LEFT(AJ604,3)</f>
        <v>USD</v>
      </c>
      <c r="BH604" s="542">
        <f>IF(OR(A604="REFUND",A604="CANCELLED"),0,IFERROR((IF(OR(AJ604="USDAED",LEFT(AJ604,3)=RIGHT(AJ604,3),AJ604="USDUSDT",AJ604="USDTUSD"),AQ604,AO604)-AM604)*-BF604*VLOOKUP(AJ604,'FX RATES'!$H$1:$J$26,3,FALSE),0))</f>
        <v>0</v>
      </c>
      <c r="BI604" s="170" t="str">
        <f>RIGHT(AJ604,4)</f>
        <v>USDT</v>
      </c>
      <c r="BJ604" s="542">
        <f>IF(BH604=0,0,IFERROR(BH604/IF(BI604&lt;&gt;"USD",AQ604,1),"???"))</f>
        <v>0</v>
      </c>
      <c r="BK604" s="170">
        <f>IFERROR(-AK604/(IF(OR(AJ604="USDAED",LEFT(AJ604,3)=RIGHT(AJ604,3)),AP604,AO604)-AM604)*BJ604,0)</f>
        <v>0</v>
      </c>
      <c r="BL604" s="542">
        <f>BJ604-BK604</f>
        <v>0</v>
      </c>
      <c r="BM604" s="170">
        <f>IF(AND(ISERROR(SEARCH("REFUND",A604)),ISERROR(SEARCH("CANCELLED",A604))),BD604+BK604,0)</f>
        <v>0</v>
      </c>
      <c r="BN604" s="542">
        <f>IF(AND(ISERROR(SEARCH("REFUND",A604)),ISERROR(SEARCH("CANCELLED",A604))),BE604+BL604,0)</f>
        <v>836.08434831755744</v>
      </c>
    </row>
    <row r="605" spans="1:66" ht="19.5" customHeight="1">
      <c r="A605" s="180"/>
      <c r="E605" s="180"/>
      <c r="F605" s="180"/>
      <c r="L605" s="180"/>
      <c r="M605" s="180"/>
      <c r="N605" s="180"/>
      <c r="O605" s="180"/>
      <c r="P605" s="180"/>
      <c r="V605" s="180"/>
      <c r="W605" s="180"/>
      <c r="BA605" s="180"/>
      <c r="BC605" s="180"/>
      <c r="BE605" s="180"/>
      <c r="BH605" s="180"/>
      <c r="BJ605" s="180"/>
      <c r="BL605" s="180"/>
      <c r="BN605" s="180"/>
    </row>
    <row r="606" spans="1:66" ht="19.5" customHeight="1">
      <c r="A606" s="167" t="s">
        <v>601</v>
      </c>
      <c r="B606" s="181" t="s">
        <v>27</v>
      </c>
      <c r="C606" s="181" t="s">
        <v>367</v>
      </c>
      <c r="D606" s="181" t="s">
        <v>418</v>
      </c>
      <c r="E606" s="171">
        <v>46071</v>
      </c>
      <c r="F606" s="171" t="s">
        <v>628</v>
      </c>
      <c r="G606" s="181" t="s">
        <v>27</v>
      </c>
      <c r="H606" s="168" t="s">
        <v>633</v>
      </c>
      <c r="I606" s="169"/>
      <c r="J606" s="398">
        <f>IF(I606="",AR606,I606)</f>
        <v>-200897.4</v>
      </c>
      <c r="K606" s="168" t="s">
        <v>5</v>
      </c>
      <c r="L606" s="168" t="s">
        <v>634</v>
      </c>
      <c r="M606" s="168" t="s">
        <v>28</v>
      </c>
      <c r="N606" s="418" t="s">
        <v>553</v>
      </c>
      <c r="O606" s="168" t="s">
        <v>52</v>
      </c>
      <c r="P606" s="168" t="s">
        <v>428</v>
      </c>
      <c r="Q606" s="169">
        <v>201300</v>
      </c>
      <c r="R606" s="170">
        <f>IF(Q606="",AS606,Q606)</f>
        <v>201300</v>
      </c>
      <c r="S606" s="168" t="s">
        <v>53</v>
      </c>
      <c r="T606" s="168" t="s">
        <v>420</v>
      </c>
      <c r="U606" s="168" t="s">
        <v>54</v>
      </c>
      <c r="V606" s="167" t="s">
        <v>371</v>
      </c>
      <c r="W606" s="172" t="s">
        <v>375</v>
      </c>
      <c r="X606" s="173">
        <f>IF(Y606="",VLOOKUP(H606,CLIENTS!$A$1:$O$649,5,FALSE),Y606)</f>
        <v>0</v>
      </c>
      <c r="Y606" s="174">
        <v>0</v>
      </c>
      <c r="Z606" s="173">
        <f>IF(AA606="",VLOOKUP(P606,CLIENTS!$A$1:$O$649,5,FALSE),AA606)</f>
        <v>2E-3</v>
      </c>
      <c r="AA606" s="174">
        <v>2E-3</v>
      </c>
      <c r="AB606" s="173" t="str">
        <f>IF(W606="via USD",IF(K606="EUR",K606&amp;"USD","USD"&amp;K606),IFERROR(VLOOKUP(K606&amp;S606,'FX RATES'!$H$2:$H$20,1,FALSE),S606&amp;K606))</f>
        <v>USDUSD</v>
      </c>
      <c r="AC606" s="175">
        <f>IF(LEFT(AB606,3)=RIGHT(AB606,3),0,IFERROR(INDEX(CLIENTS!$A$1:$O$649,MATCH(H606,CLIENTS!$A$1:$A$649,0),MATCH(AB606,CLIENTS!$A$1:$O$1,0)),0))</f>
        <v>0</v>
      </c>
      <c r="AD606" s="176"/>
      <c r="AE606" s="177">
        <f>IF(W606="CLIENT","",IF(AD606="",AH606+AC606,AD606+AC606))</f>
        <v>1</v>
      </c>
      <c r="AF606" s="177" t="str">
        <f>E606&amp;AB606</f>
        <v>46071USDUSD</v>
      </c>
      <c r="AG606" s="176"/>
      <c r="AH606" s="178">
        <f>IF(LEFT(AB606,3)=RIGHT(AB606,3),1,VLOOKUP(AB606,'FX RATES'!$H$1:$I$20,2,FALSE))</f>
        <v>1</v>
      </c>
      <c r="AI606" s="178">
        <f>IF(OR(AB606="USDAED",LEFT(AB606,3)=RIGHT(AB606,3)),AH606,IF(LEFT(AB606)="USD",AG606,IF(RIGHT(AB606,3)="USD",1,IFERROR(VLOOKUP(E606&amp;"USD"&amp;RIGHT(AB606,3),$AF:$AG,2,FALSE),VLOOKUP(E606&amp;"USD"&amp;RIGHT(AJ606,3),$AN:$AO,2,FALSE)))))</f>
        <v>1</v>
      </c>
      <c r="AJ606" s="173" t="str">
        <f>IF(W606="via USD",IF(S606="EUR",S606&amp;"USD","USD"&amp;S606),IFERROR(VLOOKUP(K606&amp;S606,'FX RATES'!$H$2:$H$20,1,FALSE),S606&amp;K606))</f>
        <v>USDUSDT</v>
      </c>
      <c r="AK606" s="175">
        <f>IF(LEFT(AJ606,3)=RIGHT(AJ606,3),0,IFERROR(INDEX(CLIENTS!$A$1:$O$649,MATCH(P606,CLIENTS!$A$1:$A$649,0),MATCH(AJ606,CLIENTS!$A$1:$O$1,0)),0))</f>
        <v>0</v>
      </c>
      <c r="AL606" s="176"/>
      <c r="AM606" s="177">
        <f>IF(W606="VENDOR","",IF(AL606="",AP606+AK606,AL606+AK606))</f>
        <v>1</v>
      </c>
      <c r="AN606" s="177" t="str">
        <f>E606&amp;AJ606</f>
        <v>46071USDUSDT</v>
      </c>
      <c r="AO606" s="176">
        <v>1</v>
      </c>
      <c r="AP606" s="178">
        <f>IF(LEFT(AJ606,3)=RIGHT(AJ606,3),1,VLOOKUP(AJ606,'FX RATES'!$H$1:$I$50,2,FALSE))</f>
        <v>1</v>
      </c>
      <c r="AQ606" s="178">
        <f>IF(OR(AJ606="USDAED",LEFT(AJ606,3)=RIGHT(AJ606,3),AJ606="USDUSDT",AJ606="USDTUSD"),AP606,IF(LEFT(AJ606)="USD",AO606,IF(RIGHT(AJ606,3)="USD",1,IFERROR(VLOOKUP(E606&amp;"USD"&amp;RIGHT(AJ606,3),$AN:$AO,2,FALSE),VLOOKUP(E606&amp;"USD"&amp;RIGHT(AB606,3),$AF:$AG,2,FALSE)))))</f>
        <v>1</v>
      </c>
      <c r="AR606" s="179">
        <f>-Q606*(1-Z606)/(1+X606)*IF(W606="CLIENT",IF(S606=RIGHT(AJ606,3),1/AM606,AM606),IF(W606="VENDOR",IF(S606=RIGHT(AJ606,3),1/AE606,AE606),AE606^(VLOOKUP(AB606,'FX RATES'!$H$1:$J$26,3,FALSE))/AM606^(VLOOKUP(AJ606,'FX RATES'!$H$1:$J$26,3,FALSE))))</f>
        <v>-200897.4</v>
      </c>
      <c r="AS606" s="179">
        <f>-I606*(1+X606)/(1-Z606)*IF(W606="VENDOR",IF(K606=RIGHT(AB606,3),1/AE606,AE606),IF(W606="CLIENT",IF(K606=RIGHT(AB606,3),1/AM606,AM606),AM606^(VLOOKUP(AJ606,'FX RATES'!$H$1:$J$26,3,FALSE))/AE606^(VLOOKUP(AB606,'FX RATES'!$H$1:$J$26,3,FALSE))))</f>
        <v>0</v>
      </c>
      <c r="AT606" s="170">
        <f>IF(AB606&lt;&gt;AJ606,J606/IF(K606=RIGHT(AB606,3),AE606,1/AE606),IF(S606="USD",J606/IF(K606=RIGHT(AB606,3),IF(W606="CLIENT",AM606,AE606),1/IF(W606="CLIENT",AM606,AE606)),J606*VLOOKUP(K606,'FX RATES'!$E$1:$F$10,2,FALSE)))</f>
        <v>-200897.4</v>
      </c>
      <c r="AU606" s="170">
        <f>IF(AB606&lt;&gt;AJ606,R606/IF(S606=RIGHT(AJ606,3),AM606,1/AM606),IF(K606="USD",R606/IF(S606=RIGHT(AJ606,3),IF(W606="CLIENT",AM606,AE606),1/IF(W606="CLIENT",AM606,AE606)),R606*VLOOKUP(S606,'FX RATES'!$E$1:$F$10,2,FALSE)))</f>
        <v>201300</v>
      </c>
      <c r="AV606" s="170">
        <f>AT606+AU606</f>
        <v>402.60000000000582</v>
      </c>
      <c r="AW606" s="169"/>
      <c r="AX606" s="170">
        <f>IF(AND(ISERROR(SEARCH("INVOICE",T606)),ISERROR(SEARCH("SWITCH",T606)),ISERROR(SEARCH("FOREX",T606)),ISERROR(SEARCH("REFUND",A606)),ISERROR(SEARCH("CANCELLED",A606))),IF(AW606="",-AT606*X606+AU606*Z606,AW606),0)</f>
        <v>402.6</v>
      </c>
      <c r="AY606" s="170">
        <f>IF(AZ606="USD",AT606,IF(AZ606=K606,J606,-R606))</f>
        <v>-200897.4</v>
      </c>
      <c r="AZ606" s="170" t="str">
        <f>LEFT(AB606,3)</f>
        <v>USD</v>
      </c>
      <c r="BA606" s="542">
        <f>IF(OR(A606="REFUND",A606="CANCELLED"),0,IFERROR((IF(OR(AB606="USDAED",LEFT(AB606,3)=RIGHT(AB606,3)),AI606,AG606)-AE606)*-AY606*VLOOKUP(AB606,'FX RATES'!$H$1:$J$26,3,FALSE),0))</f>
        <v>0</v>
      </c>
      <c r="BB606" s="170" t="str">
        <f>RIGHT(AB606,3)</f>
        <v>USD</v>
      </c>
      <c r="BC606" s="542">
        <f>IF(BA606=0,0,IFERROR(BA606/IF(BB606&lt;&gt;"USD",AI606,1),"???"))</f>
        <v>0</v>
      </c>
      <c r="BD606" s="170">
        <f>IFERROR(-AC606/(IF(OR(AB606="USDAED",LEFT(AB606,3)=RIGHT(AB606,3)),AH606,AG606)-AE606)*BC606,0)</f>
        <v>0</v>
      </c>
      <c r="BE606" s="542">
        <f>BC606-BD606</f>
        <v>0</v>
      </c>
      <c r="BF606" s="170">
        <f>IF(BG606="USD",AU606,IF(BG606=S606,R606,-J606))</f>
        <v>201300</v>
      </c>
      <c r="BG606" s="170" t="str">
        <f>LEFT(AJ606,3)</f>
        <v>USD</v>
      </c>
      <c r="BH606" s="542">
        <f>IF(OR(A606="REFUND",A606="CANCELLED"),0,IFERROR((IF(OR(AJ606="USDAED",LEFT(AJ606,3)=RIGHT(AJ606,3),AJ606="USDUSDT",AJ606="USDTUSD"),AQ606,AO606)-AM606)*-BF606*VLOOKUP(AJ606,'FX RATES'!$H$1:$J$26,3,FALSE),0))</f>
        <v>0</v>
      </c>
      <c r="BI606" s="170" t="str">
        <f>RIGHT(AJ606,4)</f>
        <v>USDT</v>
      </c>
      <c r="BJ606" s="542">
        <f>IF(BH606=0,0,IFERROR(BH606/IF(BI606&lt;&gt;"USD",AQ606,1),"???"))</f>
        <v>0</v>
      </c>
      <c r="BK606" s="170">
        <f>IFERROR(-AK606/(IF(OR(AJ606="USDAED",LEFT(AJ606,3)=RIGHT(AJ606,3)),AP606,AO606)-AM606)*BJ606,0)</f>
        <v>0</v>
      </c>
      <c r="BL606" s="542">
        <f>BJ606-BK606</f>
        <v>0</v>
      </c>
      <c r="BM606" s="170">
        <f>IF(AND(ISERROR(SEARCH("REFUND",A606)),ISERROR(SEARCH("CANCELLED",A606))),BD606+BK606,0)</f>
        <v>0</v>
      </c>
      <c r="BN606" s="542">
        <f>IF(AND(ISERROR(SEARCH("REFUND",A606)),ISERROR(SEARCH("CANCELLED",A606))),BE606+BL606,0)</f>
        <v>0</v>
      </c>
    </row>
    <row r="607" spans="1:66" ht="19.5" customHeight="1">
      <c r="A607" s="180"/>
      <c r="E607" s="180"/>
      <c r="F607" s="180"/>
      <c r="L607" s="180"/>
      <c r="M607" s="180"/>
      <c r="N607" s="180"/>
      <c r="O607" s="180"/>
      <c r="P607" s="180"/>
      <c r="V607" s="180"/>
      <c r="W607" s="180"/>
      <c r="BA607" s="180"/>
      <c r="BC607" s="180"/>
      <c r="BE607" s="180"/>
      <c r="BH607" s="180"/>
      <c r="BJ607" s="180"/>
      <c r="BL607" s="180"/>
      <c r="BN607" s="180"/>
    </row>
    <row r="608" spans="1:66" ht="19.5" customHeight="1">
      <c r="A608" s="167" t="s">
        <v>601</v>
      </c>
      <c r="B608" s="168" t="s">
        <v>45</v>
      </c>
      <c r="C608" s="168" t="s">
        <v>367</v>
      </c>
      <c r="D608" s="168" t="s">
        <v>418</v>
      </c>
      <c r="E608" s="171">
        <v>46071</v>
      </c>
      <c r="F608" s="171" t="s">
        <v>625</v>
      </c>
      <c r="G608" s="168" t="s">
        <v>45</v>
      </c>
      <c r="H608" s="181" t="s">
        <v>635</v>
      </c>
      <c r="I608" s="169">
        <v>-80000</v>
      </c>
      <c r="J608" s="170">
        <f>IF(I608="",AR608,I608)</f>
        <v>-80000</v>
      </c>
      <c r="K608" s="168" t="s">
        <v>5</v>
      </c>
      <c r="L608" s="171" t="s">
        <v>636</v>
      </c>
      <c r="M608" s="168" t="s">
        <v>49</v>
      </c>
      <c r="N608" s="167" t="s">
        <v>553</v>
      </c>
      <c r="O608" s="168" t="s">
        <v>52</v>
      </c>
      <c r="P608" s="168" t="s">
        <v>468</v>
      </c>
      <c r="Q608" s="169"/>
      <c r="R608" s="170">
        <f>IF(Q608="",AS608,Q608)</f>
        <v>6235939.0862944163</v>
      </c>
      <c r="S608" s="168" t="s">
        <v>9</v>
      </c>
      <c r="T608" s="171" t="s">
        <v>469</v>
      </c>
      <c r="U608" s="168" t="s">
        <v>25</v>
      </c>
      <c r="V608" s="167" t="s">
        <v>371</v>
      </c>
      <c r="W608" s="172" t="s">
        <v>375</v>
      </c>
      <c r="X608" s="173">
        <f>IF(Y608="",VLOOKUP(H608,CLIENTS!$A$1:$O$649,5,FALSE),Y608)</f>
        <v>0</v>
      </c>
      <c r="Y608" s="174">
        <v>0</v>
      </c>
      <c r="Z608" s="173">
        <f>IF(AA608="",VLOOKUP(P608,CLIENTS!$A$1:$O$649,5,FALSE),AA608)</f>
        <v>1.4999999999999999E-2</v>
      </c>
      <c r="AA608" s="174">
        <v>1.4999999999999999E-2</v>
      </c>
      <c r="AB608" s="173" t="str">
        <f>IF(W608="via USD",IF(K608="EUR",K608&amp;"USD","USD"&amp;K608),IFERROR(VLOOKUP(K608&amp;S608,'FX RATES'!$H$2:$H$20,1,FALSE),S608&amp;K608))</f>
        <v>USDUSD</v>
      </c>
      <c r="AC608" s="175">
        <f>IF(LEFT(AB608,3)=RIGHT(AB608,3),0,IFERROR(INDEX(CLIENTS!$A$1:$O$649,MATCH(H608,CLIENTS!$A$1:$A$649,0),MATCH(AB608,CLIENTS!$A$1:$O$1,0)),0))</f>
        <v>0</v>
      </c>
      <c r="AD608" s="176"/>
      <c r="AE608" s="177">
        <f>IF(W608="CLIENT","",IF(AD608="",AH608+AC608,AD608+AC608))</f>
        <v>1</v>
      </c>
      <c r="AF608" s="177" t="str">
        <f>E608&amp;AB608</f>
        <v>46071USDUSD</v>
      </c>
      <c r="AG608" s="176"/>
      <c r="AH608" s="178">
        <f>IF(LEFT(AB608,3)=RIGHT(AB608,3),1,VLOOKUP(AB608,'FX RATES'!$H$1:$I$20,2,FALSE))</f>
        <v>1</v>
      </c>
      <c r="AI608" s="178">
        <f>IF(OR(AB608="USDAED",LEFT(AB608,3)=RIGHT(AB608,3)),AH608,IF(LEFT(AB608)="USD",AG608,IF(RIGHT(AB608,3)="USD",1,IFERROR(VLOOKUP(E608&amp;"USD"&amp;RIGHT(AB608,3),$AF:$AG,2,FALSE),VLOOKUP(E608&amp;"USD"&amp;RIGHT(AJ608,3),$AN:$AO,2,FALSE)))))</f>
        <v>1</v>
      </c>
      <c r="AJ608" s="173" t="str">
        <f>IF(W608="via USD",IF(S608="EUR",S608&amp;"USD","USD"&amp;S608),IFERROR(VLOOKUP(K608&amp;S608,'FX RATES'!$H$2:$H$20,1,FALSE),S608&amp;K608))</f>
        <v>USDRUB</v>
      </c>
      <c r="AK608" s="175">
        <f>IF(LEFT(AJ608,3)=RIGHT(AJ608,3),0,IFERROR(INDEX(CLIENTS!$A$1:$O$649,MATCH(P608,CLIENTS!$A$1:$A$649,0),MATCH(AJ608,CLIENTS!$A$1:$O$1,0)),0))-0.2</f>
        <v>0</v>
      </c>
      <c r="AL608" s="176">
        <v>76.78</v>
      </c>
      <c r="AM608" s="177">
        <f>IF(W608="VENDOR","",IF(AL608="",AP608+AK608,AL608+AK608))</f>
        <v>76.78</v>
      </c>
      <c r="AN608" s="177" t="str">
        <f>E608&amp;AJ608</f>
        <v>46071USDRUB</v>
      </c>
      <c r="AO608" s="176">
        <v>76.400000000000006</v>
      </c>
      <c r="AP608" s="178">
        <f ca="1">IF(LEFT(AJ608,3)=RIGHT(AJ608,3),1,VLOOKUP(AJ608,'FX RATES'!$H$1:$I$20,2,FALSE))</f>
        <v>76.720500000000001</v>
      </c>
      <c r="AQ608" s="178">
        <f t="shared" ref="AQ608:AQ618" si="699">IF(OR(AJ608="USDAED",LEFT(AJ608,3)=RIGHT(AJ608,3)),AP608,IF(LEFT(AJ608)="USD",AO608,IF(RIGHT(AJ608,3)="USD",1,IFERROR(VLOOKUP(E608&amp;"USD"&amp;RIGHT(AJ608,3),$AN:$AO,2,FALSE),VLOOKUP(E608&amp;"USD"&amp;RIGHT(AB608,3),$AF:$AG,2,FALSE)))))</f>
        <v>76.400000000000006</v>
      </c>
      <c r="AR608" s="179">
        <f>-Q608*(1-Z608)/(1+X608)*IF(W608="CLIENT",IF(S608=RIGHT(AJ608,3),1/AM608,AM608),IF(W608="VENDOR",IF(S608=RIGHT(AJ608,3),1/AE608,AE608),AE608^(VLOOKUP(AB608,'FX RATES'!$H$1:$J$26,3,FALSE))/AM608^(VLOOKUP(AJ608,'FX RATES'!$H$1:$J$26,3,FALSE))))</f>
        <v>0</v>
      </c>
      <c r="AS608" s="179">
        <f>-I608*(1+X608)/(1-Z608)*IF(W608="VENDOR",IF(K608=RIGHT(AB608,3),1/AE608,AE608),IF(W608="CLIENT",IF(K608=RIGHT(AB608,3),1/AM608,AM608),AM608^(VLOOKUP(AJ608,'FX RATES'!$H$1:$J$26,3,FALSE))/AE608^(VLOOKUP(AB608,'FX RATES'!$H$1:$J$26,3,FALSE))))</f>
        <v>6235939.0862944163</v>
      </c>
      <c r="AT608" s="170">
        <f>IF(AB608&lt;&gt;AJ608,J608/IF(K608=RIGHT(AB608,3),AE608,1/AE608),IF(S608="USD",J608/IF(K608=RIGHT(AB608,3),IF(W608="CLIENT",AM608,AE608),1/IF(W608="CLIENT",AM608,AE608)),J608*VLOOKUP(K608,'FX RATES'!$E$1:$F$10,2,FALSE)))</f>
        <v>-80000</v>
      </c>
      <c r="AU608" s="170">
        <f>IF(AB608&lt;&gt;AJ608,R608/IF(S608=RIGHT(AJ608,3),AM608,1/AM608),IF(K608="USD",R608/IF(S608=RIGHT(AJ608,3),IF(W608="CLIENT",AM608,AE608),1/IF(W608="CLIENT",AM608,AE608)),R608*VLOOKUP(S608,'FX RATES'!$E$1:$F$10,2,FALSE)))</f>
        <v>81218.274111675128</v>
      </c>
      <c r="AV608" s="170">
        <f>AT608+AU608</f>
        <v>1218.2741116751276</v>
      </c>
      <c r="AW608" s="169"/>
      <c r="AX608" s="170">
        <f>IF(AND(ISERROR(SEARCH("INVOICE",T608)),ISERROR(SEARCH("SWITCH",T608)),ISERROR(SEARCH("FOREX",T608)),ISERROR(SEARCH("REFUND",A608)),ISERROR(SEARCH("CANCELLED",A608))),IF(AW608="",-AT608*X608+AU608*Z608,AW608),0)</f>
        <v>1218.274111675127</v>
      </c>
      <c r="AY608" s="170">
        <f>IF(AZ608="USD",AT608,IF(AZ608=K608,J608,-R608))</f>
        <v>-80000</v>
      </c>
      <c r="AZ608" s="170" t="str">
        <f>LEFT(AB608,3)</f>
        <v>USD</v>
      </c>
      <c r="BA608" s="542">
        <f>IF(OR(A608="REFUND",A608="CANCELLED"),0,IFERROR((IF(OR(AB608="USDAED",LEFT(AB608,3)=RIGHT(AB608,3)),AI608,AG608)-AE608)*-AY608*VLOOKUP(AB608,'FX RATES'!$H$1:$J$26,3,FALSE),0))</f>
        <v>0</v>
      </c>
      <c r="BB608" s="170" t="str">
        <f>RIGHT(AB608,3)</f>
        <v>USD</v>
      </c>
      <c r="BC608" s="542">
        <f>IF(BA608=0,0,IFERROR(BA608/IF(BB608&lt;&gt;"USD",AI608,1),"???"))</f>
        <v>0</v>
      </c>
      <c r="BD608" s="170">
        <f>IFERROR(-AC608/(IF(OR(AB608="USDAED",LEFT(AB608,3)=RIGHT(AB608,3)),AH608,AG608)-AE608)*BC608,0)</f>
        <v>0</v>
      </c>
      <c r="BE608" s="542">
        <f>BC608-BD608</f>
        <v>0</v>
      </c>
      <c r="BF608" s="170">
        <f>IF(BG608="USD",AU608,IF(BG608=S608,R608,-J608))</f>
        <v>81218.274111675128</v>
      </c>
      <c r="BG608" s="170" t="str">
        <f>LEFT(AJ608,3)</f>
        <v>USD</v>
      </c>
      <c r="BH608" s="542">
        <f>IF(OR(A608="REFUND",A608="CANCELLED"),0,IFERROR((IF(OR(AJ608="USDAED",LEFT(AJ608,3)=RIGHT(AJ608,3)),AQ608,AO608)-AM608)*-BF608*VLOOKUP(AJ608,'FX RATES'!$H$1:$J$26,3,FALSE),0))</f>
        <v>30862.944162436179</v>
      </c>
      <c r="BI608" s="170" t="str">
        <f>RIGHT(AJ608,3)</f>
        <v>RUB</v>
      </c>
      <c r="BJ608" s="542">
        <f>IF(BH608=0,0,IFERROR(BH608/IF(BI608&lt;&gt;"USD",AQ608,1),"???"))</f>
        <v>403.96523772822223</v>
      </c>
      <c r="BK608" s="170">
        <f>IFERROR(-AK608/(IF(OR(AJ608="USDAED",LEFT(AJ608,3)=RIGHT(AJ608,3)),AP608,AO608)-AM608)*BJ608,0)</f>
        <v>0</v>
      </c>
      <c r="BL608" s="542">
        <f>BJ608-BK608</f>
        <v>403.96523772822223</v>
      </c>
      <c r="BM608" s="170">
        <f>IF(AND(ISERROR(SEARCH("REFUND",A608)),ISERROR(SEARCH("CANCELLED",A608))),BD608+BK608,0)</f>
        <v>0</v>
      </c>
      <c r="BN608" s="542">
        <f>IF(AND(ISERROR(SEARCH("REFUND",A608)),ISERROR(SEARCH("CANCELLED",A608))),BE608+BL608,0)</f>
        <v>403.96523772822223</v>
      </c>
    </row>
    <row r="609" spans="1:66" ht="19.5" customHeight="1">
      <c r="A609" s="167" t="s">
        <v>601</v>
      </c>
      <c r="B609" s="168" t="s">
        <v>45</v>
      </c>
      <c r="C609" s="168" t="s">
        <v>367</v>
      </c>
      <c r="D609" s="168" t="s">
        <v>418</v>
      </c>
      <c r="E609" s="171">
        <v>46071</v>
      </c>
      <c r="F609" s="171" t="s">
        <v>625</v>
      </c>
      <c r="G609" s="168" t="s">
        <v>45</v>
      </c>
      <c r="H609" s="181" t="s">
        <v>637</v>
      </c>
      <c r="I609" s="169">
        <v>-23083.35</v>
      </c>
      <c r="J609" s="170">
        <f>IF(I609="",AR609,I609)</f>
        <v>-23083.35</v>
      </c>
      <c r="K609" s="168" t="s">
        <v>5</v>
      </c>
      <c r="L609" s="171" t="s">
        <v>636</v>
      </c>
      <c r="M609" s="168" t="s">
        <v>49</v>
      </c>
      <c r="N609" s="167" t="s">
        <v>553</v>
      </c>
      <c r="O609" s="168" t="s">
        <v>52</v>
      </c>
      <c r="P609" s="168" t="s">
        <v>468</v>
      </c>
      <c r="Q609" s="169"/>
      <c r="R609" s="170">
        <f>IF(Q609="",AS609,Q609)</f>
        <v>1799329.5563451776</v>
      </c>
      <c r="S609" s="168" t="s">
        <v>9</v>
      </c>
      <c r="T609" s="171" t="s">
        <v>469</v>
      </c>
      <c r="U609" s="168" t="s">
        <v>25</v>
      </c>
      <c r="V609" s="167" t="s">
        <v>371</v>
      </c>
      <c r="W609" s="172" t="s">
        <v>375</v>
      </c>
      <c r="X609" s="173">
        <f>IF(Y609="",VLOOKUP(H609,CLIENTS!$A$1:$O$649,5,FALSE),Y609)</f>
        <v>0</v>
      </c>
      <c r="Y609" s="174">
        <v>0</v>
      </c>
      <c r="Z609" s="173">
        <f>IF(AA609="",VLOOKUP(P609,CLIENTS!$A$1:$O$649,5,FALSE),AA609)</f>
        <v>1.4999999999999999E-2</v>
      </c>
      <c r="AA609" s="174">
        <v>1.4999999999999999E-2</v>
      </c>
      <c r="AB609" s="173" t="str">
        <f>IF(W609="via USD",IF(K609="EUR",K609&amp;"USD","USD"&amp;K609),IFERROR(VLOOKUP(K609&amp;S609,'FX RATES'!$H$2:$H$20,1,FALSE),S609&amp;K609))</f>
        <v>USDUSD</v>
      </c>
      <c r="AC609" s="175">
        <f>IF(LEFT(AB609,3)=RIGHT(AB609,3),0,IFERROR(INDEX(CLIENTS!$A$1:$O$649,MATCH(H609,CLIENTS!$A$1:$A$649,0),MATCH(AB609,CLIENTS!$A$1:$O$1,0)),0))</f>
        <v>0</v>
      </c>
      <c r="AD609" s="176"/>
      <c r="AE609" s="177">
        <f>IF(W609="CLIENT","",IF(AD609="",AH609+AC609,AD609+AC609))</f>
        <v>1</v>
      </c>
      <c r="AF609" s="177" t="str">
        <f>E609&amp;AB609</f>
        <v>46071USDUSD</v>
      </c>
      <c r="AG609" s="176"/>
      <c r="AH609" s="178">
        <f>IF(LEFT(AB609,3)=RIGHT(AB609,3),1,VLOOKUP(AB609,'FX RATES'!$H$1:$I$20,2,FALSE))</f>
        <v>1</v>
      </c>
      <c r="AI609" s="178">
        <f>IF(OR(AB609="USDAED",LEFT(AB609,3)=RIGHT(AB609,3)),AH609,IF(LEFT(AB609)="USD",AG609,IF(RIGHT(AB609,3)="USD",1,IFERROR(VLOOKUP(E609&amp;"USD"&amp;RIGHT(AB609,3),$AF:$AG,2,FALSE),VLOOKUP(E609&amp;"USD"&amp;RIGHT(AJ609,3),$AN:$AO,2,FALSE)))))</f>
        <v>1</v>
      </c>
      <c r="AJ609" s="173" t="str">
        <f>IF(W609="via USD",IF(S609="EUR",S609&amp;"USD","USD"&amp;S609),IFERROR(VLOOKUP(K609&amp;S609,'FX RATES'!$H$2:$H$20,1,FALSE),S609&amp;K609))</f>
        <v>USDRUB</v>
      </c>
      <c r="AK609" s="175">
        <f>IF(LEFT(AJ609,3)=RIGHT(AJ609,3),0,IFERROR(INDEX(CLIENTS!$A$1:$O$649,MATCH(P609,CLIENTS!$A$1:$A$649,0),MATCH(AJ609,CLIENTS!$A$1:$O$1,0)),0))-0.2</f>
        <v>0</v>
      </c>
      <c r="AL609" s="176">
        <v>76.78</v>
      </c>
      <c r="AM609" s="177">
        <f>IF(W609="VENDOR","",IF(AL609="",AP609+AK609,AL609+AK609))</f>
        <v>76.78</v>
      </c>
      <c r="AN609" s="177" t="str">
        <f>E609&amp;AJ609</f>
        <v>46071USDRUB</v>
      </c>
      <c r="AO609" s="176">
        <v>76.400000000000006</v>
      </c>
      <c r="AP609" s="178">
        <f ca="1">IF(LEFT(AJ609,3)=RIGHT(AJ609,3),1,VLOOKUP(AJ609,'FX RATES'!$H$1:$I$20,2,FALSE))</f>
        <v>76.720500000000001</v>
      </c>
      <c r="AQ609" s="178">
        <f t="shared" si="699"/>
        <v>76.400000000000006</v>
      </c>
      <c r="AR609" s="179">
        <f>-Q609*(1-Z609)/(1+X609)*IF(W609="CLIENT",IF(S609=RIGHT(AJ609,3),1/AM609,AM609),IF(W609="VENDOR",IF(S609=RIGHT(AJ609,3),1/AE609,AE609),AE609^(VLOOKUP(AB609,'FX RATES'!$H$1:$J$26,3,FALSE))/AM609^(VLOOKUP(AJ609,'FX RATES'!$H$1:$J$26,3,FALSE))))</f>
        <v>0</v>
      </c>
      <c r="AS609" s="179">
        <f>-I609*(1+X609)/(1-Z609)*IF(W609="VENDOR",IF(K609=RIGHT(AB609,3),1/AE609,AE609),IF(W609="CLIENT",IF(K609=RIGHT(AB609,3),1/AM609,AM609),AM609^(VLOOKUP(AJ609,'FX RATES'!$H$1:$J$26,3,FALSE))/AE609^(VLOOKUP(AB609,'FX RATES'!$H$1:$J$26,3,FALSE))))</f>
        <v>1799329.5563451776</v>
      </c>
      <c r="AT609" s="170">
        <f>IF(AB609&lt;&gt;AJ609,J609/IF(K609=RIGHT(AB609,3),AE609,1/AE609),IF(S609="USD",J609/IF(K609=RIGHT(AB609,3),IF(W609="CLIENT",AM609,AE609),1/IF(W609="CLIENT",AM609,AE609)),J609*VLOOKUP(K609,'FX RATES'!$E$1:$F$10,2,FALSE)))</f>
        <v>-23083.35</v>
      </c>
      <c r="AU609" s="170">
        <f>IF(AB609&lt;&gt;AJ609,R609/IF(S609=RIGHT(AJ609,3),AM609,1/AM609),IF(K609="USD",R609/IF(S609=RIGHT(AJ609,3),IF(W609="CLIENT",AM609,AE609),1/IF(W609="CLIENT",AM609,AE609)),R609*VLOOKUP(S609,'FX RATES'!$E$1:$F$10,2,FALSE)))</f>
        <v>23434.873096446699</v>
      </c>
      <c r="AV609" s="170">
        <f>AT609+AU609</f>
        <v>351.52309644670095</v>
      </c>
      <c r="AW609" s="169"/>
      <c r="AX609" s="170">
        <f>IF(AND(ISERROR(SEARCH("INVOICE",T609)),ISERROR(SEARCH("SWITCH",T609)),ISERROR(SEARCH("FOREX",T609)),ISERROR(SEARCH("REFUND",A609)),ISERROR(SEARCH("CANCELLED",A609))),IF(AW609="",-AT609*X609+AU609*Z609,AW609),0)</f>
        <v>351.52309644670049</v>
      </c>
      <c r="AY609" s="170">
        <f>IF(AZ609="USD",AT609,IF(AZ609=K609,J609,-R609))</f>
        <v>-23083.35</v>
      </c>
      <c r="AZ609" s="170" t="str">
        <f>LEFT(AB609,3)</f>
        <v>USD</v>
      </c>
      <c r="BA609" s="542">
        <f>IF(OR(A609="REFUND",A609="CANCELLED"),0,IFERROR((IF(OR(AB609="USDAED",LEFT(AB609,3)=RIGHT(AB609,3)),AI609,AG609)-AE609)*-AY609*VLOOKUP(AB609,'FX RATES'!$H$1:$J$26,3,FALSE),0))</f>
        <v>0</v>
      </c>
      <c r="BB609" s="170" t="str">
        <f>RIGHT(AB609,3)</f>
        <v>USD</v>
      </c>
      <c r="BC609" s="542">
        <f>IF(BA609=0,0,IFERROR(BA609/IF(BB609&lt;&gt;"USD",AI609,1),"???"))</f>
        <v>0</v>
      </c>
      <c r="BD609" s="170">
        <f>IFERROR(-AC609/(IF(OR(AB609="USDAED",LEFT(AB609,3)=RIGHT(AB609,3)),AH609,AG609)-AE609)*BC609,0)</f>
        <v>0</v>
      </c>
      <c r="BE609" s="542">
        <f>BC609-BD609</f>
        <v>0</v>
      </c>
      <c r="BF609" s="170">
        <f>IF(BG609="USD",AU609,IF(BG609=S609,R609,-J609))</f>
        <v>23434.873096446699</v>
      </c>
      <c r="BG609" s="170" t="str">
        <f>LEFT(AJ609,3)</f>
        <v>USD</v>
      </c>
      <c r="BH609" s="542">
        <f>IF(OR(A609="REFUND",A609="CANCELLED"),0,IFERROR((IF(OR(AJ609="USDAED",LEFT(AJ609,3)=RIGHT(AJ609,3)),AQ609,AO609)-AM609)*-BF609*VLOOKUP(AJ609,'FX RATES'!$H$1:$J$26,3,FALSE),0))</f>
        <v>8905.2517766496385</v>
      </c>
      <c r="BI609" s="170" t="str">
        <f>RIGHT(AJ609,3)</f>
        <v>RUB</v>
      </c>
      <c r="BJ609" s="542">
        <f>IF(BH609=0,0,IFERROR(BH609/IF(BI609&lt;&gt;"USD",AQ609,1),"???"))</f>
        <v>116.56088712892196</v>
      </c>
      <c r="BK609" s="170">
        <f>IFERROR(-AK609/(IF(OR(AJ609="USDAED",LEFT(AJ609,3)=RIGHT(AJ609,3)),AP609,AO609)-AM609)*BJ609,0)</f>
        <v>0</v>
      </c>
      <c r="BL609" s="542">
        <f>BJ609-BK609</f>
        <v>116.56088712892196</v>
      </c>
      <c r="BM609" s="170">
        <f>IF(AND(ISERROR(SEARCH("REFUND",A609)),ISERROR(SEARCH("CANCELLED",A609))),BD609+BK609,0)</f>
        <v>0</v>
      </c>
      <c r="BN609" s="542">
        <f>IF(AND(ISERROR(SEARCH("REFUND",A609)),ISERROR(SEARCH("CANCELLED",A609))),BE609+BL609,0)</f>
        <v>116.56088712892196</v>
      </c>
    </row>
    <row r="610" spans="1:66" ht="19.5" customHeight="1">
      <c r="A610" s="167" t="s">
        <v>601</v>
      </c>
      <c r="B610" s="168" t="s">
        <v>39</v>
      </c>
      <c r="C610" s="168" t="s">
        <v>367</v>
      </c>
      <c r="D610" s="168" t="s">
        <v>418</v>
      </c>
      <c r="E610" s="171">
        <v>46071</v>
      </c>
      <c r="F610" s="171" t="s">
        <v>625</v>
      </c>
      <c r="G610" s="168" t="s">
        <v>39</v>
      </c>
      <c r="H610" s="181" t="s">
        <v>467</v>
      </c>
      <c r="I610" s="169">
        <v>-111470.89</v>
      </c>
      <c r="J610" s="170">
        <f>IF(I610="",AR610,I610)</f>
        <v>-111470.89</v>
      </c>
      <c r="K610" s="168" t="s">
        <v>8</v>
      </c>
      <c r="L610" s="171" t="s">
        <v>36</v>
      </c>
      <c r="M610" s="168" t="s">
        <v>17</v>
      </c>
      <c r="N610" s="167" t="s">
        <v>553</v>
      </c>
      <c r="O610" s="168" t="s">
        <v>52</v>
      </c>
      <c r="P610" s="168" t="s">
        <v>468</v>
      </c>
      <c r="Q610" s="169"/>
      <c r="R610" s="170">
        <f>IF(Q610="",AS610,Q610)</f>
        <v>2345838.6800000002</v>
      </c>
      <c r="S610" s="168" t="s">
        <v>9</v>
      </c>
      <c r="T610" s="171" t="s">
        <v>469</v>
      </c>
      <c r="U610" s="168" t="s">
        <v>25</v>
      </c>
      <c r="V610" s="167" t="s">
        <v>371</v>
      </c>
      <c r="W610" s="172" t="s">
        <v>375</v>
      </c>
      <c r="X610" s="173">
        <f>IF(Y610="",VLOOKUP(H610,CLIENTS!$A$1:$O$649,5,FALSE),Y610)</f>
        <v>0</v>
      </c>
      <c r="Y610" s="174">
        <v>0</v>
      </c>
      <c r="Z610" s="173">
        <f>IF(AA610="",VLOOKUP(P610,CLIENTS!$A$1:$O$649,5,FALSE),AA610)</f>
        <v>5.8649883195572849E-3</v>
      </c>
      <c r="AA610" s="174">
        <v>5.8649883195572849E-3</v>
      </c>
      <c r="AB610" s="173" t="str">
        <f>IF(W610="via USD",IF(K610="EUR",K610&amp;"USD","USD"&amp;K610),IFERROR(VLOOKUP(K610&amp;S610,'FX RATES'!$H$2:$H$20,1,FALSE),S610&amp;K610))</f>
        <v>USDAED</v>
      </c>
      <c r="AC610" s="175">
        <f>IF(LEFT(AB610,3)=RIGHT(AB610,3),0,IFERROR(INDEX(CLIENTS!$A$1:$O$649,MATCH(H610,CLIENTS!$A$1:$A$649,0),MATCH(AB610,CLIENTS!$A$1:$O$1,0)),0))</f>
        <v>-2.5000000000000001E-3</v>
      </c>
      <c r="AD610" s="176"/>
      <c r="AE610" s="177">
        <f>IF(W610="CLIENT","",IF(AD610="",AH610+AC610,AD610+AC610))</f>
        <v>3.67</v>
      </c>
      <c r="AF610" s="177" t="str">
        <f>E610&amp;AB610</f>
        <v>46071USDAED</v>
      </c>
      <c r="AG610" s="176"/>
      <c r="AH610" s="178">
        <f>IF(LEFT(AB610,3)=RIGHT(AB610,3),1,VLOOKUP(AB610,'FX RATES'!$H$1:$I$20,2,FALSE))</f>
        <v>3.6724999999999999</v>
      </c>
      <c r="AI610" s="178">
        <f>IF(OR(AB610="USDAED",LEFT(AB610,3)=RIGHT(AB610,3)),AH610,IF(LEFT(AB610)="USD",AG610,IF(RIGHT(AB610,3)="USD",1,IFERROR(VLOOKUP(E610&amp;"USD"&amp;RIGHT(AB610,3),$AF:$AG,2,FALSE),VLOOKUP(E610&amp;"USD"&amp;RIGHT(AJ610,3),$AN:$AO,2,FALSE)))))</f>
        <v>3.6724999999999999</v>
      </c>
      <c r="AJ610" s="173" t="str">
        <f>IF(W610="via USD",IF(S610="EUR",S610&amp;"USD","USD"&amp;S610),IFERROR(VLOOKUP(K610&amp;S610,'FX RATES'!$H$2:$H$20,1,FALSE),S610&amp;K610))</f>
        <v>USDRUB</v>
      </c>
      <c r="AK610" s="175">
        <f>IF(LEFT(AJ610,3)=RIGHT(AJ610,3),0,IFERROR(INDEX(CLIENTS!$A$1:$O$649,MATCH(P610,CLIENTS!$A$1:$A$649,0),MATCH(AJ610,CLIENTS!$A$1:$O$1,0)),0))-0.2</f>
        <v>0</v>
      </c>
      <c r="AL610" s="176">
        <v>76.78</v>
      </c>
      <c r="AM610" s="177">
        <f>IF(W610="VENDOR","",IF(AL610="",AP610+AK610,AL610+AK610))</f>
        <v>76.78</v>
      </c>
      <c r="AN610" s="177" t="str">
        <f>E610&amp;AJ610</f>
        <v>46071USDRUB</v>
      </c>
      <c r="AO610" s="176">
        <v>76.400000000000006</v>
      </c>
      <c r="AP610" s="178">
        <f ca="1">IF(LEFT(AJ610,3)=RIGHT(AJ610,3),1,VLOOKUP(AJ610,'FX RATES'!$H$1:$I$20,2,FALSE))</f>
        <v>76.720500000000001</v>
      </c>
      <c r="AQ610" s="178">
        <f t="shared" si="699"/>
        <v>76.400000000000006</v>
      </c>
      <c r="AR610" s="179">
        <f>-Q610*(1-Z610)/(1+X610)*IF(W610="CLIENT",IF(S610=RIGHT(AJ610,3),1/AM610,AM610),IF(W610="VENDOR",IF(S610=RIGHT(AJ610,3),1/AE610,AE610),AE610^(VLOOKUP(AB610,'FX RATES'!$H$1:$J$26,3,FALSE))/AM610^(VLOOKUP(AJ610,'FX RATES'!$H$1:$J$26,3,FALSE))))</f>
        <v>0</v>
      </c>
      <c r="AS610" s="179">
        <f>-I610*(1+X610)/(1-Z610)*IF(W610="VENDOR",IF(K610=RIGHT(AB610,3),1/AE610,AE610),IF(W610="CLIENT",IF(K610=RIGHT(AB610,3),1/AM610,AM610),AM610^(VLOOKUP(AJ610,'FX RATES'!$H$1:$J$26,3,FALSE))/AE610^(VLOOKUP(AB610,'FX RATES'!$H$1:$J$26,3,FALSE))))</f>
        <v>2345838.6800000002</v>
      </c>
      <c r="AT610" s="170">
        <f>IF(AB610&lt;&gt;AJ610,J610/IF(K610=RIGHT(AB610,3),AE610,1/AE610),IF(S610="USD",J610/IF(K610=RIGHT(AB610,3),IF(W610="CLIENT",AM610,AE610),1/IF(W610="CLIENT",AM610,AE610)),J610*VLOOKUP(K610,'FX RATES'!$E$1:$F$10,2,FALSE)))</f>
        <v>-30373.539509536786</v>
      </c>
      <c r="AU610" s="170">
        <f>IF(AB610&lt;&gt;AJ610,R610/IF(S610=RIGHT(AJ610,3),AM610,1/AM610),IF(K610="USD",R610/IF(S610=RIGHT(AJ610,3),IF(W610="CLIENT",AM610,AE610),1/IF(W610="CLIENT",AM610,AE610)),R610*VLOOKUP(S610,'FX RATES'!$E$1:$F$10,2,FALSE)))</f>
        <v>30552.73091951029</v>
      </c>
      <c r="AV610" s="170">
        <f>AT610+AU610</f>
        <v>179.19140997350405</v>
      </c>
      <c r="AW610" s="169"/>
      <c r="AX610" s="170">
        <f>IF(AND(ISERROR(SEARCH("INVOICE",T610)),ISERROR(SEARCH("SWITCH",T610)),ISERROR(SEARCH("FOREX",T610)),ISERROR(SEARCH("REFUND",A610)),ISERROR(SEARCH("CANCELLED",A610))),IF(AW610="",-AT610*X610+AU610*Z610,AW610),0)</f>
        <v>179.19140997350456</v>
      </c>
      <c r="AY610" s="170">
        <f>IF(AZ610="USD",AT610,IF(AZ610=K610,J610,-R610))</f>
        <v>-30373.539509536786</v>
      </c>
      <c r="AZ610" s="170" t="str">
        <f>LEFT(AB610,3)</f>
        <v>USD</v>
      </c>
      <c r="BA610" s="542">
        <f>IF(OR(A610="REFUND",A610="CANCELLED"),0,IFERROR((IF(OR(AB610="USDAED",LEFT(AB610,3)=RIGHT(AB610,3)),AI610,AG610)-AE610)*-AY610*VLOOKUP(AB610,'FX RATES'!$H$1:$J$26,3,FALSE),0))</f>
        <v>75.933848773840339</v>
      </c>
      <c r="BB610" s="170" t="str">
        <f>RIGHT(AB610,3)</f>
        <v>AED</v>
      </c>
      <c r="BC610" s="542">
        <f>IF(BA610=0,0,IFERROR(BA610/IF(BB610&lt;&gt;"USD",AI610,1),"???"))</f>
        <v>20.676337310780216</v>
      </c>
      <c r="BD610" s="170">
        <f>IFERROR(-AC610/(IF(OR(AB610="USDAED",LEFT(AB610,3)=RIGHT(AB610,3)),AH610,AG610)-AE610)*BC610,0)</f>
        <v>20.676337310780657</v>
      </c>
      <c r="BE610" s="542">
        <f>BC610-BD610</f>
        <v>-4.4053649617126212E-13</v>
      </c>
      <c r="BF610" s="170">
        <f>IF(BG610="USD",AU610,IF(BG610=S610,R610,-J610))</f>
        <v>30552.73091951029</v>
      </c>
      <c r="BG610" s="170" t="str">
        <f>LEFT(AJ610,3)</f>
        <v>USD</v>
      </c>
      <c r="BH610" s="542">
        <f>IF(OR(A610="REFUND",A610="CANCELLED"),0,IFERROR((IF(OR(AJ610="USDAED",LEFT(AJ610,3)=RIGHT(AJ610,3)),AQ610,AO610)-AM610)*-BF610*VLOOKUP(AJ610,'FX RATES'!$H$1:$J$26,3,FALSE),0))</f>
        <v>11610.037749413772</v>
      </c>
      <c r="BI610" s="170" t="str">
        <f>RIGHT(AJ610,3)</f>
        <v>RUB</v>
      </c>
      <c r="BJ610" s="542">
        <f>IF(BH610=0,0,IFERROR(BH610/IF(BI610&lt;&gt;"USD",AQ610,1),"???"))</f>
        <v>151.96384488761481</v>
      </c>
      <c r="BK610" s="170">
        <f>IFERROR(-AK610/(IF(OR(AJ610="USDAED",LEFT(AJ610,3)=RIGHT(AJ610,3)),AP610,AO610)-AM610)*BJ610,0)</f>
        <v>0</v>
      </c>
      <c r="BL610" s="542">
        <f>BJ610-BK610</f>
        <v>151.96384488761481</v>
      </c>
      <c r="BM610" s="170">
        <f>IF(AND(ISERROR(SEARCH("REFUND",A610)),ISERROR(SEARCH("CANCELLED",A610))),BD610+BK610,0)</f>
        <v>20.676337310780657</v>
      </c>
      <c r="BN610" s="542">
        <f>IF(AND(ISERROR(SEARCH("REFUND",A610)),ISERROR(SEARCH("CANCELLED",A610))),BE610+BL610,0)</f>
        <v>151.96384488761436</v>
      </c>
    </row>
    <row r="611" spans="1:66" ht="19.5" customHeight="1">
      <c r="A611" s="167" t="s">
        <v>601</v>
      </c>
      <c r="B611" s="168" t="s">
        <v>39</v>
      </c>
      <c r="C611" s="168" t="s">
        <v>367</v>
      </c>
      <c r="D611" s="168" t="s">
        <v>368</v>
      </c>
      <c r="E611" s="171">
        <v>46071</v>
      </c>
      <c r="F611" s="171" t="s">
        <v>626</v>
      </c>
      <c r="G611" s="168" t="s">
        <v>39</v>
      </c>
      <c r="H611" s="168" t="s">
        <v>55</v>
      </c>
      <c r="I611" s="169">
        <v>-8814800.6099999994</v>
      </c>
      <c r="J611" s="170">
        <f>IF(I611="",AR611,I611)</f>
        <v>-8814800.6099999994</v>
      </c>
      <c r="K611" s="168" t="s">
        <v>8</v>
      </c>
      <c r="L611" s="168" t="s">
        <v>40</v>
      </c>
      <c r="M611" s="168" t="s">
        <v>20</v>
      </c>
      <c r="N611" s="167" t="s">
        <v>371</v>
      </c>
      <c r="O611" s="168" t="s">
        <v>39</v>
      </c>
      <c r="P611" s="168" t="s">
        <v>55</v>
      </c>
      <c r="Q611" s="169"/>
      <c r="R611" s="170">
        <f>IF(Q611="",AS611,Q611)</f>
        <v>184189666.14625499</v>
      </c>
      <c r="S611" s="168" t="s">
        <v>9</v>
      </c>
      <c r="T611" s="171" t="s">
        <v>25</v>
      </c>
      <c r="U611" s="168" t="s">
        <v>25</v>
      </c>
      <c r="V611" s="167" t="s">
        <v>371</v>
      </c>
      <c r="W611" s="172" t="s">
        <v>389</v>
      </c>
      <c r="X611" s="173">
        <f>IF(Y611="",VLOOKUP(H611,CLIENTS!$A$1:$O$649,5,FALSE),Y611)</f>
        <v>0</v>
      </c>
      <c r="Y611" s="174">
        <v>0</v>
      </c>
      <c r="Z611" s="173">
        <f>IF(AA611="",VLOOKUP(P611,CLIENTS!$A$1:$O$649,5,FALSE),AA611)</f>
        <v>0</v>
      </c>
      <c r="AA611" s="174">
        <v>0</v>
      </c>
      <c r="AB611" s="173" t="str">
        <f>IF(W611="via USD",IF(K611="EUR",K611&amp;"USD","USD"&amp;K611),IFERROR(VLOOKUP(K611&amp;S611,'FX RATES'!$H$2:$H$20,1,FALSE),S611&amp;K611))</f>
        <v>AEDRUB</v>
      </c>
      <c r="AC611" s="175">
        <f>IF(LEFT(AB611,3)=RIGHT(AB611,3),0,IFERROR(INDEX(CLIENTS!$A$1:$O$649,MATCH(H611,CLIENTS!$A$1:$A$649,0),MATCH(AB611,CLIENTS!$A$1:$O$1,0)),0))</f>
        <v>0</v>
      </c>
      <c r="AD611" s="176"/>
      <c r="AE611" s="177" t="str">
        <f>IF(W611="CLIENT","",IF(AD611="",AH611+AC611,AD611+AC611))</f>
        <v/>
      </c>
      <c r="AF611" s="177" t="str">
        <f>E611&amp;AB611</f>
        <v>46071AEDRUB</v>
      </c>
      <c r="AG611" s="176"/>
      <c r="AH611" s="178">
        <f ca="1">IF(LEFT(AB611,3)=RIGHT(AB611,3),1,VLOOKUP(AB611,'FX RATES'!$H$1:$I$20,2,FALSE))</f>
        <v>20.8843</v>
      </c>
      <c r="AI611" s="178">
        <f>IF(OR(AB611="USDAED",LEFT(AB611,3)=RIGHT(AB611,3)),AH611,IF(LEFT(AB611)="USD",AG611,IF(RIGHT(AB611,3)="USD",1,IFERROR(VLOOKUP(E611&amp;"USD"&amp;RIGHT(AB611,3),$AF:$AG,2,FALSE),VLOOKUP(E611&amp;"USD"&amp;RIGHT(AJ611,3),$AN:$AO,2,FALSE)))))</f>
        <v>76.400000000000006</v>
      </c>
      <c r="AJ611" s="173" t="str">
        <f>IF(W611="via USD",IF(S611="EUR",S611&amp;"USD","USD"&amp;S611),IFERROR(VLOOKUP(K611&amp;S611,'FX RATES'!$H$2:$H$20,1,FALSE),S611&amp;K611))</f>
        <v>AEDRUB</v>
      </c>
      <c r="AK611" s="175">
        <f>IF(LEFT(AJ611,3)=RIGHT(AJ611,3),0,IFERROR(INDEX(CLIENTS!$A$1:$O$649,MATCH(P611,CLIENTS!$A$1:$A$649,0),MATCH(AJ611,CLIENTS!$A$1:$O$1,0)),0))</f>
        <v>0</v>
      </c>
      <c r="AL611" s="176">
        <v>20.895499999999998</v>
      </c>
      <c r="AM611" s="177">
        <f>IF(W611="VENDOR","",IF(AL611="",AP611+AK611,AL611+AK611))</f>
        <v>20.895499999999998</v>
      </c>
      <c r="AN611" s="177" t="str">
        <f>E611&amp;AJ611</f>
        <v>46071AEDRUB</v>
      </c>
      <c r="AO611" s="176">
        <v>20.8032</v>
      </c>
      <c r="AP611" s="178">
        <f ca="1">IF(LEFT(AJ611,3)=RIGHT(AJ611,3),1,VLOOKUP(AJ611,'FX RATES'!$H$1:$I$20,2,FALSE))</f>
        <v>20.8843</v>
      </c>
      <c r="AQ611" s="178">
        <f t="shared" si="699"/>
        <v>76.400000000000006</v>
      </c>
      <c r="AR611" s="179">
        <f>-Q611*(1-Z611)/(1+X611)*IF(W611="CLIENT",IF(S611=RIGHT(AJ611,3),1/AM611,AM611),IF(W611="VENDOR",IF(S611=RIGHT(AJ611,3),1/AE611,AE611),AE611^(VLOOKUP(AB611,'FX RATES'!$H$1:$J$26,3,FALSE))/AM611^(VLOOKUP(AJ611,'FX RATES'!$H$1:$J$26,3,FALSE))))</f>
        <v>0</v>
      </c>
      <c r="AS611" s="179">
        <f>-I611*(1+X611)/(1-Z611)*IF(W611="VENDOR",IF(K611=RIGHT(AB611,3),1/AE611,AE611),IF(W611="CLIENT",IF(K611=RIGHT(AB611,3),1/AM611,AM611),AM611^(VLOOKUP(AJ611,'FX RATES'!$H$1:$J$26,3,FALSE))/AE611^(VLOOKUP(AB611,'FX RATES'!$H$1:$J$26,3,FALSE))))</f>
        <v>184189666.14625499</v>
      </c>
      <c r="AT611" s="170">
        <f ca="1">IF(AB611&lt;&gt;AJ611,J611/IF(K611=RIGHT(AB611,3),AE611,1/AE611),IF(S611="USD",J611/IF(K611=RIGHT(AB611,3),IF(W611="CLIENT",AM611,AE611),1/IF(W611="CLIENT",AM611,AE611)),J611*VLOOKUP(K611,'FX RATES'!$E$1:$F$10,2,FALSE)))</f>
        <v>-2400152.6466263682</v>
      </c>
      <c r="AU611" s="170">
        <f ca="1">IF(AB611&lt;&gt;AJ611,R611/IF(S611=RIGHT(AJ611,3),AM611,1/AM611),IF(K611="USD",R611/IF(S611=RIGHT(AJ611,3),IF(W611="CLIENT",AM611,AE611),1/IF(W611="CLIENT",AM611,AE611)),R611*VLOOKUP(S611,'FX RATES'!$E$1:$F$10,2,FALSE)))</f>
        <v>2400788.1354560382</v>
      </c>
      <c r="AV611" s="170">
        <f ca="1">AT611+AU611</f>
        <v>635.48882967000827</v>
      </c>
      <c r="AW611" s="169"/>
      <c r="AX611" s="170">
        <f ca="1">IF(AND(ISERROR(SEARCH("INVOICE",T611)),ISERROR(SEARCH("SWITCH",T611)),ISERROR(SEARCH("FOREX",T611)),ISERROR(SEARCH("REFUND",A611)),ISERROR(SEARCH("CANCELLED",A611))),IF(AW611="",-AT611*X611+AU611*Z611,AW611),0)</f>
        <v>0</v>
      </c>
      <c r="AY611" s="170">
        <f>IF(AZ611="USD",AT611,IF(AZ611=K611,J611,-R611))</f>
        <v>-8814800.6099999994</v>
      </c>
      <c r="AZ611" s="170" t="str">
        <f>LEFT(AB611,3)</f>
        <v>AED</v>
      </c>
      <c r="BA611" s="542">
        <f>IF(OR(A611="REFUND",A611="CANCELLED"),0,IFERROR((IF(OR(AB611="USDAED",LEFT(AB611,3)=RIGHT(AB611,3)),AI611,AG611)-AE611)*-AY611*VLOOKUP(AB611,'FX RATES'!$H$1:$J$26,3,FALSE),0))</f>
        <v>0</v>
      </c>
      <c r="BB611" s="170" t="str">
        <f>RIGHT(AB611,3)</f>
        <v>RUB</v>
      </c>
      <c r="BC611" s="542">
        <f>IF(BA611=0,0,IFERROR(BA611/IF(BB611&lt;&gt;"USD",AI611,1),"???"))</f>
        <v>0</v>
      </c>
      <c r="BD611" s="170">
        <f>IFERROR(-AC611/(IF(OR(AB611="USDAED",LEFT(AB611,3)=RIGHT(AB611,3)),AH611,AG611)-AE611)*BC611,0)</f>
        <v>0</v>
      </c>
      <c r="BE611" s="542">
        <f>BC611-BD611</f>
        <v>0</v>
      </c>
      <c r="BF611" s="170">
        <f>IF(BG611="USD",AU611,IF(BG611=S611,R611,-J611))</f>
        <v>8814800.6099999994</v>
      </c>
      <c r="BG611" s="170" t="str">
        <f>LEFT(AJ611,3)</f>
        <v>AED</v>
      </c>
      <c r="BH611" s="542">
        <f>IF(OR(A611="REFUND",A611="CANCELLED"),0,IFERROR((IF(OR(AJ611="USDAED",LEFT(AJ611,3)=RIGHT(AJ611,3)),AQ611,AO611)-AM611)*-BF611*VLOOKUP(AJ611,'FX RATES'!$H$1:$J$26,3,FALSE),0))</f>
        <v>813606.09630298277</v>
      </c>
      <c r="BI611" s="170" t="str">
        <f>RIGHT(AJ611,3)</f>
        <v>RUB</v>
      </c>
      <c r="BJ611" s="542">
        <f>IF(BH611=0,0,IFERROR(BH611/IF(BI611&lt;&gt;"USD",AQ611,1),"???"))</f>
        <v>10649.294454227522</v>
      </c>
      <c r="BK611" s="170">
        <f>IFERROR(-AK611/(IF(OR(AJ611="USDAED",LEFT(AJ611,3)=RIGHT(AJ611,3)),AP611,AO611)-AM611)*BJ611,0)</f>
        <v>0</v>
      </c>
      <c r="BL611" s="542">
        <f>BJ611-BK611</f>
        <v>10649.294454227522</v>
      </c>
      <c r="BM611" s="170">
        <f>IF(AND(ISERROR(SEARCH("REFUND",A611)),ISERROR(SEARCH("CANCELLED",A611))),BD611+BK611,0)</f>
        <v>0</v>
      </c>
      <c r="BN611" s="542">
        <f>IF(AND(ISERROR(SEARCH("REFUND",A611)),ISERROR(SEARCH("CANCELLED",A611))),BE611+BL611,0)</f>
        <v>10649.294454227522</v>
      </c>
    </row>
    <row r="612" spans="1:66" ht="19.5" customHeight="1">
      <c r="A612" s="167" t="s">
        <v>601</v>
      </c>
      <c r="B612" s="168" t="s">
        <v>27</v>
      </c>
      <c r="C612" s="168" t="s">
        <v>367</v>
      </c>
      <c r="D612" s="168" t="s">
        <v>368</v>
      </c>
      <c r="E612" s="171">
        <v>46071</v>
      </c>
      <c r="F612" s="171" t="s">
        <v>625</v>
      </c>
      <c r="G612" s="168" t="s">
        <v>27</v>
      </c>
      <c r="H612" s="168" t="s">
        <v>506</v>
      </c>
      <c r="I612" s="169">
        <v>-330000</v>
      </c>
      <c r="J612" s="398">
        <f>IF(I612="",AR612,I612)</f>
        <v>-330000</v>
      </c>
      <c r="K612" s="168" t="s">
        <v>5</v>
      </c>
      <c r="L612" s="171" t="s">
        <v>638</v>
      </c>
      <c r="M612" s="168" t="s">
        <v>28</v>
      </c>
      <c r="N612" s="418" t="s">
        <v>553</v>
      </c>
      <c r="O612" s="168" t="s">
        <v>52</v>
      </c>
      <c r="P612" s="168" t="s">
        <v>506</v>
      </c>
      <c r="Q612" s="169"/>
      <c r="R612" s="170">
        <f>IF(Q612="",AS612,Q612)</f>
        <v>25451092.462311558</v>
      </c>
      <c r="S612" s="168" t="s">
        <v>9</v>
      </c>
      <c r="T612" s="171" t="s">
        <v>439</v>
      </c>
      <c r="U612" s="168" t="s">
        <v>25</v>
      </c>
      <c r="V612" s="167" t="s">
        <v>371</v>
      </c>
      <c r="W612" s="172" t="s">
        <v>389</v>
      </c>
      <c r="X612" s="173">
        <f>IF(Y612="",VLOOKUP(H612,CLIENTS!$A$1:$O$649,5,FALSE),Y612)</f>
        <v>0</v>
      </c>
      <c r="Y612" s="174">
        <v>0</v>
      </c>
      <c r="Z612" s="173">
        <f>IF(AA612="",VLOOKUP(P612,CLIENTS!$A$1:$O$649,5,FALSE),AA612)</f>
        <v>5.0000000000000001E-3</v>
      </c>
      <c r="AA612" s="174">
        <v>5.0000000000000001E-3</v>
      </c>
      <c r="AB612" s="173" t="str">
        <f>IF(W612="via USD",IF(K612="EUR",K612&amp;"USD","USD"&amp;K612),IFERROR(VLOOKUP(K612&amp;S612,'FX RATES'!$H$2:$H$20,1,FALSE),S612&amp;K612))</f>
        <v>USDRUB</v>
      </c>
      <c r="AC612" s="175">
        <f>IF(LEFT(AB612,3)=RIGHT(AB612,3),0,IFERROR(INDEX(CLIENTS!$A$1:$O$649,MATCH(H612,CLIENTS!$A$1:$A$649,0),MATCH(AB612,CLIENTS!$A$1:$O$1,0)),0))</f>
        <v>0</v>
      </c>
      <c r="AD612" s="176"/>
      <c r="AE612" s="177" t="str">
        <f>IF(W612="CLIENT","",IF(AD612="",AH612+AC612,AD612+AC612))</f>
        <v/>
      </c>
      <c r="AF612" s="177" t="str">
        <f>E612&amp;AB612</f>
        <v>46071USDRUB</v>
      </c>
      <c r="AG612" s="176">
        <v>76.400000000000006</v>
      </c>
      <c r="AH612" s="178">
        <f ca="1">IF(LEFT(AB612,3)=RIGHT(AB612,3),1,VLOOKUP(AB612,'FX RATES'!$H$1:$I$20,2,FALSE))</f>
        <v>76.720500000000001</v>
      </c>
      <c r="AI612" s="178">
        <f>IF(OR(AB612="USDAED",LEFT(AB612,3)=RIGHT(AB612,3)),AH612,IF(LEFT(AB612)="USD",AG612,IF(RIGHT(AB612,3)="USD",1,IFERROR(VLOOKUP(E612&amp;"USD"&amp;RIGHT(AB612,3),$AF:$AG,2,FALSE),VLOOKUP(E612&amp;"USD"&amp;RIGHT(AJ612,3),$AN:$AO,2,FALSE)))))</f>
        <v>76.400000000000006</v>
      </c>
      <c r="AJ612" s="173" t="str">
        <f>IF(W612="via USD",IF(S612="EUR",S612&amp;"USD","USD"&amp;S612),IFERROR(VLOOKUP(K612&amp;S612,'FX RATES'!$H$2:$H$20,1,FALSE),S612&amp;K612))</f>
        <v>USDRUB</v>
      </c>
      <c r="AK612" s="175">
        <f>IF(LEFT(AJ612,3)=RIGHT(AJ612,3),0,IFERROR(INDEX(CLIENTS!$A$1:$O$649,MATCH(P612,CLIENTS!$A$1:$A$649,0),MATCH(AJ612,CLIENTS!$A$1:$O$1,0)),0))</f>
        <v>0</v>
      </c>
      <c r="AL612" s="176">
        <v>76.738900000000001</v>
      </c>
      <c r="AM612" s="177">
        <f>IF(W612="VENDOR","",IF(AL612="",AP612+AK612,AL612+AK612))</f>
        <v>76.738900000000001</v>
      </c>
      <c r="AN612" s="177" t="str">
        <f>E612&amp;AJ612</f>
        <v>46071USDRUB</v>
      </c>
      <c r="AO612" s="176">
        <v>76.400000000000006</v>
      </c>
      <c r="AP612" s="178">
        <f ca="1">IF(LEFT(AJ612,3)=RIGHT(AJ612,3),1,VLOOKUP(AJ612,'FX RATES'!$H$1:$I$20,2,FALSE))</f>
        <v>76.720500000000001</v>
      </c>
      <c r="AQ612" s="178">
        <f t="shared" si="699"/>
        <v>76.400000000000006</v>
      </c>
      <c r="AR612" s="179">
        <f>-Q612*(1-Z612)/(1+X612)*IF(W612="CLIENT",IF(S612=RIGHT(AJ612,3),1/AM612,AM612),IF(W612="VENDOR",IF(S612=RIGHT(AJ612,3),1/AE612,AE612),AE612^(VLOOKUP(AB612,'FX RATES'!$H$1:$J$26,3,FALSE))/AM612^(VLOOKUP(AJ612,'FX RATES'!$H$1:$J$26,3,FALSE))))</f>
        <v>0</v>
      </c>
      <c r="AS612" s="179">
        <f>-I612*(1+X612)/(1-Z612)*IF(W612="VENDOR",IF(K612=RIGHT(AB612,3),1/AE612,AE612),IF(W612="CLIENT",IF(K612=RIGHT(AB612,3),1/AM612,AM612),AM612^(VLOOKUP(AJ612,'FX RATES'!$H$1:$J$26,3,FALSE))/AE612^(VLOOKUP(AB612,'FX RATES'!$H$1:$J$26,3,FALSE))))</f>
        <v>25451092.462311558</v>
      </c>
      <c r="AT612" s="170">
        <f>IF(AB612&lt;&gt;AJ612,J612/IF(K612=RIGHT(AB612,3),AE612,1/AE612),IF(S612="USD",J612/IF(K612=RIGHT(AB612,3),IF(W612="CLIENT",AM612,AE612),1/IF(W612="CLIENT",AM612,AE612)),J612*VLOOKUP(K612,'FX RATES'!$E$1:$F$10,2,FALSE)))</f>
        <v>-330000</v>
      </c>
      <c r="AU612" s="170">
        <f>IF(AB612&lt;&gt;AJ612,R612/IF(S612=RIGHT(AJ612,3),AM612,1/AM612),IF(K612="USD",R612/IF(S612=RIGHT(AJ612,3),IF(W612="CLIENT",AM612,AE612),1/IF(W612="CLIENT",AM612,AE612)),R612*VLOOKUP(S612,'FX RATES'!$E$1:$F$10,2,FALSE)))</f>
        <v>331658.29145728645</v>
      </c>
      <c r="AV612" s="170">
        <f>AT612+AU612</f>
        <v>1658.2914572864538</v>
      </c>
      <c r="AW612" s="169"/>
      <c r="AX612" s="170">
        <f>IF(AND(ISERROR(SEARCH("INVOICE",T612)),ISERROR(SEARCH("SWITCH",T612)),ISERROR(SEARCH("FOREX",T612)),ISERROR(SEARCH("REFUND",A612)),ISERROR(SEARCH("CANCELLED",A612))),IF(AW612="",-AT612*X612+AU612*Z612,AW612),0)</f>
        <v>1658.2914572864322</v>
      </c>
      <c r="AY612" s="170">
        <f>IF(AZ612="USD",AT612,IF(AZ612=K612,J612,-R612))</f>
        <v>-330000</v>
      </c>
      <c r="AZ612" s="170" t="str">
        <f>LEFT(AB612,3)</f>
        <v>USD</v>
      </c>
      <c r="BA612" s="542">
        <f>IF(OR(A612="REFUND",A612="CANCELLED"),0,IFERROR((IF(OR(AB612="USDAED",LEFT(AB612,3)=RIGHT(AB612,3)),AI612,AG612)-AE612)*-AY612*VLOOKUP(AB612,'FX RATES'!$H$1:$J$26,3,FALSE),0))</f>
        <v>0</v>
      </c>
      <c r="BB612" s="170" t="str">
        <f>RIGHT(AB612,3)</f>
        <v>RUB</v>
      </c>
      <c r="BC612" s="542">
        <f>IF(BA612=0,0,IFERROR(BA612/IF(BB612&lt;&gt;"USD",AI612,1),"???"))</f>
        <v>0</v>
      </c>
      <c r="BD612" s="170">
        <f>IFERROR(-AC612/(IF(OR(AB612="USDAED",LEFT(AB612,3)=RIGHT(AB612,3)),AH612,AG612)-AE612)*BC612,0)</f>
        <v>0</v>
      </c>
      <c r="BE612" s="542">
        <f>BC612-BD612</f>
        <v>0</v>
      </c>
      <c r="BF612" s="170">
        <f>IF(BG612="USD",AU612,IF(BG612=S612,R612,-J612))</f>
        <v>331658.29145728645</v>
      </c>
      <c r="BG612" s="170" t="str">
        <f>LEFT(AJ612,3)</f>
        <v>USD</v>
      </c>
      <c r="BH612" s="542">
        <f>IF(OR(A612="REFUND",A612="CANCELLED"),0,IFERROR((IF(OR(AJ612="USDAED",LEFT(AJ612,3)=RIGHT(AJ612,3)),AQ612,AO612)-AM612)*-BF612*VLOOKUP(AJ612,'FX RATES'!$H$1:$J$26,3,FALSE),0))</f>
        <v>112398.99497487282</v>
      </c>
      <c r="BI612" s="170" t="str">
        <f>RIGHT(AJ612,3)</f>
        <v>RUB</v>
      </c>
      <c r="BJ612" s="542">
        <f>IF(BH612=0,0,IFERROR(BH612/IF(BI612&lt;&gt;"USD",AQ612,1),"???"))</f>
        <v>1471.1910337025238</v>
      </c>
      <c r="BK612" s="170">
        <f>IFERROR(-AK612/(IF(OR(AJ612="USDAED",LEFT(AJ612,3)=RIGHT(AJ612,3)),AP612,AO612)-AM612)*BJ612,0)</f>
        <v>0</v>
      </c>
      <c r="BL612" s="542">
        <f>BJ612-BK612</f>
        <v>1471.1910337025238</v>
      </c>
      <c r="BM612" s="170">
        <f>IF(AND(ISERROR(SEARCH("REFUND",A612)),ISERROR(SEARCH("CANCELLED",A612))),BD612+BK612,0)</f>
        <v>0</v>
      </c>
      <c r="BN612" s="542">
        <f>IF(AND(ISERROR(SEARCH("REFUND",A612)),ISERROR(SEARCH("CANCELLED",A612))),BE612+BL612,0)</f>
        <v>1471.1910337025238</v>
      </c>
    </row>
    <row r="613" spans="1:66" ht="19.5" customHeight="1">
      <c r="A613" s="167" t="s">
        <v>601</v>
      </c>
      <c r="B613" s="168" t="s">
        <v>52</v>
      </c>
      <c r="C613" s="168" t="s">
        <v>367</v>
      </c>
      <c r="D613" s="168" t="s">
        <v>368</v>
      </c>
      <c r="E613" s="171">
        <v>46071</v>
      </c>
      <c r="F613" s="171" t="s">
        <v>628</v>
      </c>
      <c r="G613" s="168" t="s">
        <v>52</v>
      </c>
      <c r="H613" s="168" t="s">
        <v>560</v>
      </c>
      <c r="I613" s="169">
        <v>-300000</v>
      </c>
      <c r="J613" s="170">
        <f t="shared" ref="J613" si="700">IF(I613="",AR613,I613)</f>
        <v>-300000</v>
      </c>
      <c r="K613" s="168" t="s">
        <v>53</v>
      </c>
      <c r="L613" s="168" t="s">
        <v>420</v>
      </c>
      <c r="M613" s="168" t="s">
        <v>54</v>
      </c>
      <c r="N613" s="182" t="s">
        <v>553</v>
      </c>
      <c r="O613" s="168" t="s">
        <v>52</v>
      </c>
      <c r="P613" s="168" t="s">
        <v>560</v>
      </c>
      <c r="Q613" s="169"/>
      <c r="R613" s="170">
        <f t="shared" ref="R613" si="701">IF(Q613="",AS613,Q613)</f>
        <v>23010000</v>
      </c>
      <c r="S613" s="168" t="s">
        <v>9</v>
      </c>
      <c r="T613" s="168" t="s">
        <v>617</v>
      </c>
      <c r="U613" s="168" t="s">
        <v>25</v>
      </c>
      <c r="V613" s="167" t="s">
        <v>371</v>
      </c>
      <c r="W613" s="172" t="s">
        <v>375</v>
      </c>
      <c r="X613" s="173">
        <f>IF(Y613="",VLOOKUP(H613,CLIENTS!$A$1:$O$649,5,FALSE),Y613)</f>
        <v>0</v>
      </c>
      <c r="Y613" s="174">
        <v>0</v>
      </c>
      <c r="Z613" s="173">
        <f>IF(AA613="",VLOOKUP(P613,CLIENTS!$A$1:$O$649,5,FALSE),AA613)</f>
        <v>0</v>
      </c>
      <c r="AA613" s="174">
        <v>0</v>
      </c>
      <c r="AB613" s="173" t="str">
        <f>IF(W613="via USD",IF(K613="EUR",K613&amp;"USD","USD"&amp;K613),IFERROR(VLOOKUP(K613&amp;S613,'FX RATES'!$H$2:$H$20,1,FALSE),S613&amp;K613))</f>
        <v>USDUSDT</v>
      </c>
      <c r="AC613" s="175">
        <f>IF(LEFT(AB613,3)=RIGHT(AB613,3),0,IFERROR(INDEX(CLIENTS!$A$1:$O$649,MATCH(H613,CLIENTS!$A$1:$A$649,0),MATCH(AB613,CLIENTS!$A$1:$O$1,0)),0))</f>
        <v>0</v>
      </c>
      <c r="AD613" s="176"/>
      <c r="AE613" s="177">
        <f t="shared" ref="AE613" si="702">IF(W613="CLIENT","",IF(AD613="",AH613+AC613,AD613+AC613))</f>
        <v>1</v>
      </c>
      <c r="AF613" s="177" t="str">
        <f t="shared" ref="AF613" si="703">E613&amp;AB613</f>
        <v>46071USDUSDT</v>
      </c>
      <c r="AG613" s="176"/>
      <c r="AH613" s="178">
        <f>IF(LEFT(AB613,3)=RIGHT(AB613,3),1,VLOOKUP(AB613,'FX RATES'!$H$1:$I$50,2,FALSE))</f>
        <v>1</v>
      </c>
      <c r="AI613" s="178">
        <f>IF(OR(AB613="USDAED",LEFT(AB613,3)=RIGHT(AB613,3),AB613="USDUSDT",AB613="USDTUSD"),AH613,IF(LEFT(AB613)="USD",AG613,IF(RIGHT(AB613,3)="USD",1,IFERROR(VLOOKUP(E613&amp;"USD"&amp;RIGHT(AB613,3),$AF:$AG,2,FALSE),VLOOKUP(E613&amp;"USD"&amp;RIGHT(AJ613,3),$AN:$AO,2,FALSE)))))</f>
        <v>1</v>
      </c>
      <c r="AJ613" s="173" t="str">
        <f>IF(W613="via USD",IF(S613="EUR",S613&amp;"USD","USD"&amp;S613),IFERROR(VLOOKUP(K613&amp;S613,'FX RATES'!$H$2:$H$20,1,FALSE),S613&amp;K613))</f>
        <v>USDRUB</v>
      </c>
      <c r="AK613" s="175">
        <f>IF(LEFT(AJ613,3)=RIGHT(AJ613,3),0,IFERROR(INDEX(CLIENTS!$A$1:$O$649,MATCH(P613,CLIENTS!$A$1:$A$649,0),MATCH(AJ613,CLIENTS!$A$1:$O$1,0)),0))</f>
        <v>0</v>
      </c>
      <c r="AL613" s="176">
        <v>76.7</v>
      </c>
      <c r="AM613" s="177">
        <f t="shared" ref="AM613" si="704">IF(W613="VENDOR","",IF(AL613="",AP613+AK613,AL613+AK613))</f>
        <v>76.7</v>
      </c>
      <c r="AN613" s="177" t="str">
        <f t="shared" ref="AN613" si="705">E613&amp;AJ613</f>
        <v>46071USDRUB</v>
      </c>
      <c r="AO613" s="176">
        <v>76.400000000000006</v>
      </c>
      <c r="AP613" s="178">
        <f ca="1">IF(LEFT(AJ613,3)=RIGHT(AJ613,3),1,VLOOKUP(AJ613,'FX RATES'!$H$1:$I$20,2,FALSE))</f>
        <v>76.720500000000001</v>
      </c>
      <c r="AQ613" s="178">
        <f t="shared" si="699"/>
        <v>76.400000000000006</v>
      </c>
      <c r="AR613" s="179">
        <f>-Q613*(1-Z613)/(1+X613)*IF(W613="CLIENT",IF(S613=RIGHT(AJ613,3),1/AM613,AM613),IF(W613="VENDOR",IF(S613=RIGHT(AJ613,3),1/AE613,AE613),AE613^(VLOOKUP(AB613,'FX RATES'!$H$1:$J$26,3,FALSE))/AM613^(VLOOKUP(AJ613,'FX RATES'!$H$1:$J$26,3,FALSE))))</f>
        <v>0</v>
      </c>
      <c r="AS613" s="179">
        <f>-I613*(1+X613)/(1-Z613)*IF(W613="VENDOR",IF(K613=RIGHT(AB613,3),1/AE613,AE613),IF(W613="CLIENT",IF(K613=RIGHT(AB613,3),1/AM613,AM613),AM613^(VLOOKUP(AJ613,'FX RATES'!$H$1:$J$26,3,FALSE))/AE613^(VLOOKUP(AB613,'FX RATES'!$H$1:$J$26,3,FALSE))))</f>
        <v>23010000</v>
      </c>
      <c r="AT613" s="170">
        <f>IF(AB613&lt;&gt;AJ613,J613/IF(K613=RIGHT(AB613,3),AE613,1/AE613),IF(S613="USD",J613/IF(K613=RIGHT(AB613,3),IF(W613="CLIENT",AM613,AE613),1/IF(W613="CLIENT",AM613,AE613)),J613*VLOOKUP(K613,'FX RATES'!$E$1:$F$10,2,FALSE)))</f>
        <v>-300000</v>
      </c>
      <c r="AU613" s="170">
        <f>IF(AB613&lt;&gt;AJ613,R613/IF(S613=RIGHT(AJ613,3),AM613,1/AM613),IF(K613="USD",R613/IF(S613=RIGHT(AJ613,3),IF(W613="CLIENT",AM613,AE613),1/IF(W613="CLIENT",AM613,AE613)),R613*VLOOKUP(S613,'FX RATES'!$E$1:$F$10,2,FALSE)))</f>
        <v>300000</v>
      </c>
      <c r="AV613" s="170">
        <f t="shared" ref="AV613" si="706">AT613+AU613</f>
        <v>0</v>
      </c>
      <c r="AW613" s="169"/>
      <c r="AX613" s="170">
        <f t="shared" ref="AX613" si="707">IF(AND(ISERROR(SEARCH("INVOICE",T613)),ISERROR(SEARCH("SWITCH",T613)),ISERROR(SEARCH("FOREX",T613)),ISERROR(SEARCH("REFUND",A613)),ISERROR(SEARCH("CANCELLED",A613))),IF(AW613="",-AT613*X613+AU613*Z613,AW613),0)</f>
        <v>0</v>
      </c>
      <c r="AY613" s="170">
        <f t="shared" ref="AY613" si="708">IF(AZ613="USD",AT613,IF(AZ613=K613,J613,-R613))</f>
        <v>-300000</v>
      </c>
      <c r="AZ613" s="170" t="str">
        <f t="shared" ref="AZ613" si="709">LEFT(AB613,3)</f>
        <v>USD</v>
      </c>
      <c r="BA613" s="542">
        <f>IF(OR(A613="REFUND",A613="CANCELLED"),0,IFERROR((IF(OR(AB613="USDAED",LEFT(AB613,3)=RIGHT(AB613,3),AB613="USDUSDT",AB613="USDTUSD"),AI613,AG613)-AE613)*-AY613*VLOOKUP(AB613,'FX RATES'!$H$1:$J$26,3,FALSE),0))</f>
        <v>0</v>
      </c>
      <c r="BB613" s="170" t="str">
        <f>RIGHT(AB613,4)</f>
        <v>USDT</v>
      </c>
      <c r="BC613" s="542">
        <f t="shared" ref="BC613" si="710">IF(BA613=0,0,IFERROR(BA613/IF(BB613&lt;&gt;"USD",AI613,1),"???"))</f>
        <v>0</v>
      </c>
      <c r="BD613" s="170">
        <f t="shared" ref="BD613" si="711">IFERROR(-AC613/(IF(OR(AB613="USDAED",LEFT(AB613,3)=RIGHT(AB613,3)),AH613,AG613)-AE613)*BC613,0)</f>
        <v>0</v>
      </c>
      <c r="BE613" s="542">
        <f t="shared" ref="BE613" si="712">BC613-BD613</f>
        <v>0</v>
      </c>
      <c r="BF613" s="170">
        <f t="shared" ref="BF613" si="713">IF(BG613="USD",AU613,IF(BG613=S613,R613,-J613))</f>
        <v>300000</v>
      </c>
      <c r="BG613" s="170" t="str">
        <f t="shared" ref="BG613" si="714">LEFT(AJ613,3)</f>
        <v>USD</v>
      </c>
      <c r="BH613" s="542">
        <f>IF(OR(A613="REFUND",A613="CANCELLED"),0,IFERROR((IF(OR(AJ613="USDAED",LEFT(AJ613,3)=RIGHT(AJ613,3)),AQ613,AO613)-AM613)*-BF613*VLOOKUP(AJ613,'FX RATES'!$H$1:$J$26,3,FALSE),0))</f>
        <v>89999.999999999141</v>
      </c>
      <c r="BI613" s="170" t="str">
        <f t="shared" ref="BI613" si="715">RIGHT(AJ613,3)</f>
        <v>RUB</v>
      </c>
      <c r="BJ613" s="542">
        <f t="shared" ref="BJ613" si="716">IF(BH613=0,0,IFERROR(BH613/IF(BI613&lt;&gt;"USD",AQ613,1),"???"))</f>
        <v>1178.0104712041771</v>
      </c>
      <c r="BK613" s="170">
        <f t="shared" ref="BK613" si="717">IFERROR(-AK613/(IF(OR(AJ613="USDAED",LEFT(AJ613,3)=RIGHT(AJ613,3)),AP613,AO613)-AM613)*BJ613,0)</f>
        <v>0</v>
      </c>
      <c r="BL613" s="542">
        <f t="shared" ref="BL613" si="718">BJ613-BK613</f>
        <v>1178.0104712041771</v>
      </c>
      <c r="BM613" s="170">
        <f t="shared" ref="BM613" si="719">IF(AND(ISERROR(SEARCH("REFUND",A613)),ISERROR(SEARCH("CANCELLED",A613))),BD613+BK613,0)</f>
        <v>0</v>
      </c>
      <c r="BN613" s="542">
        <f t="shared" ref="BN613" si="720">IF(AND(ISERROR(SEARCH("REFUND",A613)),ISERROR(SEARCH("CANCELLED",A613))),BE613+BL613,0)</f>
        <v>1178.0104712041771</v>
      </c>
    </row>
    <row r="614" spans="1:66" ht="19.5" customHeight="1">
      <c r="A614" s="167" t="s">
        <v>601</v>
      </c>
      <c r="B614" s="168" t="s">
        <v>39</v>
      </c>
      <c r="C614" s="168" t="s">
        <v>367</v>
      </c>
      <c r="D614" s="181" t="s">
        <v>368</v>
      </c>
      <c r="E614" s="171">
        <v>46071</v>
      </c>
      <c r="F614" s="171" t="s">
        <v>626</v>
      </c>
      <c r="G614" s="168" t="s">
        <v>39</v>
      </c>
      <c r="H614" s="181" t="s">
        <v>622</v>
      </c>
      <c r="I614" s="169">
        <v>-42537.5</v>
      </c>
      <c r="J614" s="398">
        <f>IF(I614="",AR614,I614)</f>
        <v>-42537.5</v>
      </c>
      <c r="K614" s="168" t="s">
        <v>5</v>
      </c>
      <c r="L614" s="168" t="s">
        <v>623</v>
      </c>
      <c r="M614" s="168" t="s">
        <v>17</v>
      </c>
      <c r="N614" s="167" t="s">
        <v>639</v>
      </c>
      <c r="O614" s="168" t="s">
        <v>52</v>
      </c>
      <c r="P614" s="349" t="s">
        <v>624</v>
      </c>
      <c r="Q614" s="169"/>
      <c r="R614" s="170">
        <f>IF(Q614="",AS614,Q614)</f>
        <v>3313990.8210659898</v>
      </c>
      <c r="S614" s="168" t="s">
        <v>9</v>
      </c>
      <c r="T614" s="171" t="s">
        <v>391</v>
      </c>
      <c r="U614" s="168" t="s">
        <v>25</v>
      </c>
      <c r="V614" s="167" t="s">
        <v>371</v>
      </c>
      <c r="W614" s="172" t="s">
        <v>375</v>
      </c>
      <c r="X614" s="173">
        <f>IF(Y614="",VLOOKUP(H614,CLIENTS!$A$1:$O$649,5,FALSE),Y614)</f>
        <v>0</v>
      </c>
      <c r="Y614" s="174">
        <v>0</v>
      </c>
      <c r="Z614" s="173">
        <f>IF(AA614="",VLOOKUP(P614,CLIENTS!$A$1:$O$649,5,FALSE),AA614)</f>
        <v>1.4999999999999999E-2</v>
      </c>
      <c r="AA614" s="174">
        <v>1.4999999999999999E-2</v>
      </c>
      <c r="AB614" s="173" t="str">
        <f>IF(W614="via USD",IF(K614="EUR",K614&amp;"USD","USD"&amp;K614),IFERROR(VLOOKUP(K614&amp;S614,'FX RATES'!$H$2:$H$20,1,FALSE),S614&amp;K614))</f>
        <v>USDUSD</v>
      </c>
      <c r="AC614" s="175">
        <f>IF(LEFT(AB614,3)=RIGHT(AB614,3),0,IFERROR(INDEX(CLIENTS!$A$1:$O$649,MATCH(H614,CLIENTS!$A$1:$A$649,0),MATCH(AB614,CLIENTS!$A$1:$O$1,0)),0))</f>
        <v>0</v>
      </c>
      <c r="AD614" s="176"/>
      <c r="AE614" s="177">
        <f>IF(W614="CLIENT","",IF(AD614="",AH614+AC614,AD614+AC614))</f>
        <v>1</v>
      </c>
      <c r="AF614" s="177" t="str">
        <f>E614&amp;AB614</f>
        <v>46071USDUSD</v>
      </c>
      <c r="AG614" s="176"/>
      <c r="AH614" s="178">
        <f>IF(LEFT(AB614,3)=RIGHT(AB614,3),1,VLOOKUP(AB614,'FX RATES'!$H$1:$I$20,2,FALSE))</f>
        <v>1</v>
      </c>
      <c r="AI614" s="178">
        <f>IF(OR(AB614="USDAED",LEFT(AB614,3)=RIGHT(AB614,3)),AH614,IF(LEFT(AB614)="USD",AG614,IF(RIGHT(AB614,3)="USD",1,IFERROR(VLOOKUP(E614&amp;"USD"&amp;RIGHT(AB614,3),$AF:$AG,2,FALSE),VLOOKUP(E614&amp;"USD"&amp;RIGHT(AJ614,3),$AN:$AO,2,FALSE)))))</f>
        <v>1</v>
      </c>
      <c r="AJ614" s="173" t="str">
        <f>IF(W614="via USD",IF(S614="EUR",S614&amp;"USD","USD"&amp;S614),IFERROR(VLOOKUP(K614&amp;S614,'FX RATES'!$H$2:$H$20,1,FALSE),S614&amp;K614))</f>
        <v>USDRUB</v>
      </c>
      <c r="AK614" s="175">
        <f>IF(LEFT(AJ614,3)=RIGHT(AJ614,3),0,IFERROR(INDEX(CLIENTS!$A$1:$O$649,MATCH(P614,CLIENTS!$A$1:$A$649,0),MATCH(AJ614,CLIENTS!$A$1:$O$1,0)),0))</f>
        <v>0</v>
      </c>
      <c r="AL614" s="176">
        <v>76.738900000000001</v>
      </c>
      <c r="AM614" s="177">
        <f>IF(W614="VENDOR","",IF(AL614="",AP614+AK614,AL614+AK614))</f>
        <v>76.738900000000001</v>
      </c>
      <c r="AN614" s="177" t="str">
        <f>E614&amp;AJ614</f>
        <v>46071USDRUB</v>
      </c>
      <c r="AO614" s="176">
        <v>76.400000000000006</v>
      </c>
      <c r="AP614" s="178">
        <f ca="1">IF(LEFT(AJ614,3)=RIGHT(AJ614,3),1,VLOOKUP(AJ614,'FX RATES'!$H$1:$I$20,2,FALSE))</f>
        <v>76.720500000000001</v>
      </c>
      <c r="AQ614" s="178">
        <f t="shared" si="699"/>
        <v>76.400000000000006</v>
      </c>
      <c r="AR614" s="179">
        <f>-Q614*(1-Z614)/(1+X614)*IF(W614="CLIENT",IF(S614=RIGHT(AJ614,3),1/AM614,AM614),IF(W614="VENDOR",IF(S614=RIGHT(AJ614,3),1/AE614,AE614),AE614^(VLOOKUP(AB614,'FX RATES'!$H$1:$J$26,3,FALSE))/AM614^(VLOOKUP(AJ614,'FX RATES'!$H$1:$J$26,3,FALSE))))</f>
        <v>0</v>
      </c>
      <c r="AS614" s="179">
        <f>-I614*(1+X614)/(1-Z614)*IF(W614="VENDOR",IF(K614=RIGHT(AB614,3),1/AE614,AE614),IF(W614="CLIENT",IF(K614=RIGHT(AB614,3),1/AM614,AM614),AM614^(VLOOKUP(AJ614,'FX RATES'!$H$1:$J$26,3,FALSE))/AE614^(VLOOKUP(AB614,'FX RATES'!$H$1:$J$26,3,FALSE))))</f>
        <v>3313990.8210659898</v>
      </c>
      <c r="AT614" s="170">
        <f>IF(AB614&lt;&gt;AJ614,J614/IF(K614=RIGHT(AB614,3),AE614,1/AE614),IF(S614="USD",J614/IF(K614=RIGHT(AB614,3),IF(W614="CLIENT",AM614,AE614),1/IF(W614="CLIENT",AM614,AE614)),J614*VLOOKUP(K614,'FX RATES'!$E$1:$F$10,2,FALSE)))</f>
        <v>-42537.5</v>
      </c>
      <c r="AU614" s="170">
        <f>IF(AB614&lt;&gt;AJ614,R614/IF(S614=RIGHT(AJ614,3),AM614,1/AM614),IF(K614="USD",R614/IF(S614=RIGHT(AJ614,3),IF(W614="CLIENT",AM614,AE614),1/IF(W614="CLIENT",AM614,AE614)),R614*VLOOKUP(S614,'FX RATES'!$E$1:$F$10,2,FALSE)))</f>
        <v>43185.279187817257</v>
      </c>
      <c r="AV614" s="170">
        <f>AT614+AU614</f>
        <v>647.77918781725748</v>
      </c>
      <c r="AW614" s="169"/>
      <c r="AX614" s="170">
        <f>IF(AND(ISERROR(SEARCH("INVOICE",T614)),ISERROR(SEARCH("SWITCH",T614)),ISERROR(SEARCH("FOREX",T614)),ISERROR(SEARCH("REFUND",A614)),ISERROR(SEARCH("CANCELLED",A614))),IF(AW614="",-AT614*X614+AU614*Z614,AW614),0)</f>
        <v>647.77918781725884</v>
      </c>
      <c r="AY614" s="170">
        <f>IF(AZ614="USD",AT614,IF(AZ614=K614,J614,-R614))</f>
        <v>-42537.5</v>
      </c>
      <c r="AZ614" s="170" t="str">
        <f>LEFT(AB614,3)</f>
        <v>USD</v>
      </c>
      <c r="BA614" s="542">
        <f>IF(OR(A614="REFUND",A614="CANCELLED"),0,IFERROR((IF(OR(AB614="USDAED",LEFT(AB614,3)=RIGHT(AB614,3)),AI614,AG614)-AE614)*-AY614*VLOOKUP(AB614,'FX RATES'!$H$1:$J$26,3,FALSE),0))</f>
        <v>0</v>
      </c>
      <c r="BB614" s="170" t="str">
        <f>RIGHT(AB614,3)</f>
        <v>USD</v>
      </c>
      <c r="BC614" s="542">
        <f>IF(BA614=0,0,IFERROR(BA614/IF(BB614&lt;&gt;"USD",AI614,1),"???"))</f>
        <v>0</v>
      </c>
      <c r="BD614" s="170">
        <f>IFERROR(-AC614/(IF(OR(AB614="USDAED",LEFT(AB614,3)=RIGHT(AB614,3)),AH614,AG614)-AE614)*BC614,0)</f>
        <v>0</v>
      </c>
      <c r="BE614" s="542">
        <f>BC614-BD614</f>
        <v>0</v>
      </c>
      <c r="BF614" s="170">
        <f>IF(BG614="USD",AU614,IF(BG614=S614,R614,-J614))</f>
        <v>43185.279187817257</v>
      </c>
      <c r="BG614" s="170" t="str">
        <f>LEFT(AJ614,3)</f>
        <v>USD</v>
      </c>
      <c r="BH614" s="542">
        <f>IF(OR(A614="REFUND",A614="CANCELLED"),0,IFERROR((IF(OR(AJ614="USDAED",LEFT(AJ614,3)=RIGHT(AJ614,3)),AQ614,AO614)-AM614)*-BF614*VLOOKUP(AJ614,'FX RATES'!$H$1:$J$26,3,FALSE),0))</f>
        <v>14635.491116751065</v>
      </c>
      <c r="BI614" s="170" t="str">
        <f>RIGHT(AJ614,3)</f>
        <v>RUB</v>
      </c>
      <c r="BJ614" s="542">
        <f>IF(BH614=0,0,IFERROR(BH614/IF(BI614&lt;&gt;"USD",AQ614,1),"???"))</f>
        <v>191.56401985276261</v>
      </c>
      <c r="BK614" s="170">
        <f>IFERROR(-AK614/(IF(OR(AJ614="USDAED",LEFT(AJ614,3)=RIGHT(AJ614,3)),AP614,AO614)-AM614)*BJ614,0)</f>
        <v>0</v>
      </c>
      <c r="BL614" s="542">
        <f>BJ614-BK614</f>
        <v>191.56401985276261</v>
      </c>
      <c r="BM614" s="170">
        <f>IF(AND(ISERROR(SEARCH("REFUND",A614)),ISERROR(SEARCH("CANCELLED",A614))),BD614+BK614,0)</f>
        <v>0</v>
      </c>
      <c r="BN614" s="542">
        <f>IF(AND(ISERROR(SEARCH("REFUND",A614)),ISERROR(SEARCH("CANCELLED",A614))),BE614+BL614,0)</f>
        <v>191.56401985276261</v>
      </c>
    </row>
    <row r="615" spans="1:66" ht="19.5" customHeight="1">
      <c r="A615" s="167" t="s">
        <v>601</v>
      </c>
      <c r="B615" s="168" t="s">
        <v>39</v>
      </c>
      <c r="C615" s="168" t="s">
        <v>367</v>
      </c>
      <c r="D615" s="181" t="s">
        <v>368</v>
      </c>
      <c r="E615" s="171">
        <v>46071</v>
      </c>
      <c r="F615" s="171" t="s">
        <v>625</v>
      </c>
      <c r="G615" s="168" t="s">
        <v>39</v>
      </c>
      <c r="H615" s="181" t="s">
        <v>640</v>
      </c>
      <c r="I615" s="169">
        <v>-100194</v>
      </c>
      <c r="J615" s="170">
        <f>IF(I615="",AR615,I615)</f>
        <v>-100194</v>
      </c>
      <c r="K615" s="168" t="s">
        <v>5</v>
      </c>
      <c r="L615" s="168" t="s">
        <v>641</v>
      </c>
      <c r="M615" s="168" t="s">
        <v>20</v>
      </c>
      <c r="N615" s="167" t="s">
        <v>553</v>
      </c>
      <c r="O615" s="168" t="s">
        <v>52</v>
      </c>
      <c r="P615" s="349" t="s">
        <v>379</v>
      </c>
      <c r="Q615" s="169"/>
      <c r="R615" s="170">
        <f>IF(Q615="",AS615,Q615)</f>
        <v>7727414.418693468</v>
      </c>
      <c r="S615" s="168" t="s">
        <v>9</v>
      </c>
      <c r="T615" s="171" t="s">
        <v>380</v>
      </c>
      <c r="U615" s="171" t="s">
        <v>25</v>
      </c>
      <c r="V615" s="167" t="s">
        <v>371</v>
      </c>
      <c r="W615" s="172" t="s">
        <v>375</v>
      </c>
      <c r="X615" s="173">
        <f>IF(Y615="",VLOOKUP(H615,CLIENTS!$A$1:$O$649,5,FALSE),Y615)</f>
        <v>0</v>
      </c>
      <c r="Y615" s="174">
        <v>0</v>
      </c>
      <c r="Z615" s="173">
        <f>IF(AA615="",VLOOKUP(P615,CLIENTS!$A$1:$O$649,5,FALSE),AA615)</f>
        <v>5.0000000000000001E-3</v>
      </c>
      <c r="AA615" s="174">
        <v>5.0000000000000001E-3</v>
      </c>
      <c r="AB615" s="173" t="str">
        <f>IF(W615="via USD",IF(K615="EUR",K615&amp;"USD","USD"&amp;K615),IFERROR(VLOOKUP(K615&amp;S615,'FX RATES'!$H$2:$H$20,1,FALSE),S615&amp;K615))</f>
        <v>USDUSD</v>
      </c>
      <c r="AC615" s="175">
        <f>IF(LEFT(AB615,3)=RIGHT(AB615,3),0,IFERROR(INDEX(CLIENTS!$A$1:$O$649,MATCH(H615,CLIENTS!$A$1:$A$649,0),MATCH(AB615,CLIENTS!$A$1:$O$1,0)),0))</f>
        <v>0</v>
      </c>
      <c r="AD615" s="176"/>
      <c r="AE615" s="177">
        <f>IF(W615="CLIENT","",IF(AD615="",AH615+AC615,AD615+AC615))</f>
        <v>1</v>
      </c>
      <c r="AF615" s="177" t="str">
        <f>E615&amp;AB615</f>
        <v>46071USDUSD</v>
      </c>
      <c r="AG615" s="176"/>
      <c r="AH615" s="178">
        <f>IF(LEFT(AB615,3)=RIGHT(AB615,3),1,VLOOKUP(AB615,'FX RATES'!$H$1:$I$20,2,FALSE))</f>
        <v>1</v>
      </c>
      <c r="AI615" s="178">
        <f>IF(OR(AB615="USDAED",LEFT(AB615,3)=RIGHT(AB615,3)),AH615,IF(LEFT(AB615)="USD",AG615,IF(RIGHT(AB615,3)="USD",1,IFERROR(VLOOKUP(E615&amp;"USD"&amp;RIGHT(AB615,3),$AF:$AG,2,FALSE),VLOOKUP(E615&amp;"USD"&amp;RIGHT(AJ615,3),$AN:$AO,2,FALSE)))))</f>
        <v>1</v>
      </c>
      <c r="AJ615" s="173" t="str">
        <f>IF(W615="via USD",IF(S615="EUR",S615&amp;"USD","USD"&amp;S615),IFERROR(VLOOKUP(K615&amp;S615,'FX RATES'!$H$2:$H$20,1,FALSE),S615&amp;K615))</f>
        <v>USDRUB</v>
      </c>
      <c r="AK615" s="175">
        <f>IF(LEFT(AJ615,3)=RIGHT(AJ615,3),0,IFERROR(INDEX(CLIENTS!$A$1:$O$649,MATCH(P615,CLIENTS!$A$1:$A$649,0),MATCH(AJ615,CLIENTS!$A$1:$O$1,0)),0))</f>
        <v>0</v>
      </c>
      <c r="AL615" s="176">
        <v>76.738900000000001</v>
      </c>
      <c r="AM615" s="177">
        <f>IF(W615="VENDOR","",IF(AL615="",AP615+AK615,AL615+AK615))</f>
        <v>76.738900000000001</v>
      </c>
      <c r="AN615" s="177" t="str">
        <f>E615&amp;AJ615</f>
        <v>46071USDRUB</v>
      </c>
      <c r="AO615" s="176">
        <v>76.400000000000006</v>
      </c>
      <c r="AP615" s="178">
        <f ca="1">IF(LEFT(AJ615,3)=RIGHT(AJ615,3),1,VLOOKUP(AJ615,'FX RATES'!$H$1:$I$20,2,FALSE))</f>
        <v>76.720500000000001</v>
      </c>
      <c r="AQ615" s="178">
        <f t="shared" si="699"/>
        <v>76.400000000000006</v>
      </c>
      <c r="AR615" s="179">
        <f>-Q615*(1-Z615)/(1+X615)*IF(W615="CLIENT",IF(S615=RIGHT(AJ615,3),1/AM615,AM615),IF(W615="VENDOR",IF(S615=RIGHT(AJ615,3),1/AE615,AE615),AE615^(VLOOKUP(AB615,'FX RATES'!$H$1:$J$26,3,FALSE))/AM615^(VLOOKUP(AJ615,'FX RATES'!$H$1:$J$26,3,FALSE))))</f>
        <v>0</v>
      </c>
      <c r="AS615" s="179">
        <f>-I615*(1+X615)/(1-Z615)*IF(W615="VENDOR",IF(K615=RIGHT(AB615,3),1/AE615,AE615),IF(W615="CLIENT",IF(K615=RIGHT(AB615,3),1/AM615,AM615),AM615^(VLOOKUP(AJ615,'FX RATES'!$H$1:$J$26,3,FALSE))/AE615^(VLOOKUP(AB615,'FX RATES'!$H$1:$J$26,3,FALSE))))</f>
        <v>7727414.418693468</v>
      </c>
      <c r="AT615" s="170">
        <f>IF(AB615&lt;&gt;AJ615,J615/IF(K615=RIGHT(AB615,3),AE615,1/AE615),IF(S615="USD",J615/IF(K615=RIGHT(AB615,3),IF(W615="CLIENT",AM615,AE615),1/IF(W615="CLIENT",AM615,AE615)),J615*VLOOKUP(K615,'FX RATES'!$E$1:$F$10,2,FALSE)))</f>
        <v>-100194</v>
      </c>
      <c r="AU615" s="170">
        <f>IF(AB615&lt;&gt;AJ615,R615/IF(S615=RIGHT(AJ615,3),AM615,1/AM615),IF(K615="USD",R615/IF(S615=RIGHT(AJ615,3),IF(W615="CLIENT",AM615,AE615),1/IF(W615="CLIENT",AM615,AE615)),R615*VLOOKUP(S615,'FX RATES'!$E$1:$F$10,2,FALSE)))</f>
        <v>100697.48743718593</v>
      </c>
      <c r="AV615" s="170">
        <f>AT615+AU615</f>
        <v>503.48743718593323</v>
      </c>
      <c r="AW615" s="169"/>
      <c r="AX615" s="170">
        <f>IF(AND(ISERROR(SEARCH("INVOICE",T615)),ISERROR(SEARCH("SWITCH",T615)),ISERROR(SEARCH("FOREX",T615)),ISERROR(SEARCH("REFUND",A615)),ISERROR(SEARCH("CANCELLED",A615))),IF(AW615="",-AT615*X615+AU615*Z615,AW615),0)</f>
        <v>503.48743718592965</v>
      </c>
      <c r="AY615" s="170">
        <f>IF(AZ615="USD",AT615,IF(AZ615=K615,J615,-R615))</f>
        <v>-100194</v>
      </c>
      <c r="AZ615" s="170" t="str">
        <f>LEFT(AB615,3)</f>
        <v>USD</v>
      </c>
      <c r="BA615" s="542">
        <f>IF(OR(A615="REFUND",A615="CANCELLED"),0,IFERROR((IF(OR(AB615="USDAED",LEFT(AB615,3)=RIGHT(AB615,3)),AI615,AG615)-AE615)*-AY615*VLOOKUP(AB615,'FX RATES'!$H$1:$J$26,3,FALSE),0))</f>
        <v>0</v>
      </c>
      <c r="BB615" s="170" t="str">
        <f>RIGHT(AB615,3)</f>
        <v>USD</v>
      </c>
      <c r="BC615" s="542">
        <f>IF(BA615=0,0,IFERROR(BA615/IF(BB615&lt;&gt;"USD",AI615,1),"???"))</f>
        <v>0</v>
      </c>
      <c r="BD615" s="170">
        <f>IFERROR(-AC615/(IF(OR(AB615="USDAED",LEFT(AB615,3)=RIGHT(AB615,3)),AH615,AG615)-AE615)*BC615,0)</f>
        <v>0</v>
      </c>
      <c r="BE615" s="542">
        <f>BC615-BD615</f>
        <v>0</v>
      </c>
      <c r="BF615" s="170">
        <f>IF(BG615="USD",AU615,IF(BG615=S615,R615,-J615))</f>
        <v>100697.48743718593</v>
      </c>
      <c r="BG615" s="170" t="str">
        <f>LEFT(AJ615,3)</f>
        <v>USD</v>
      </c>
      <c r="BH615" s="542">
        <f>IF(OR(A615="REFUND",A615="CANCELLED"),0,IFERROR((IF(OR(AJ615="USDAED",LEFT(AJ615,3)=RIGHT(AJ615,3)),AQ615,AO615)-AM615)*-BF615*VLOOKUP(AJ615,'FX RATES'!$H$1:$J$26,3,FALSE),0))</f>
        <v>34126.378492461838</v>
      </c>
      <c r="BI615" s="170" t="str">
        <f>RIGHT(AJ615,3)</f>
        <v>RUB</v>
      </c>
      <c r="BJ615" s="542">
        <f>IF(BH615=0,0,IFERROR(BH615/IF(BI615&lt;&gt;"USD",AQ615,1),"???"))</f>
        <v>446.68034675997166</v>
      </c>
      <c r="BK615" s="170">
        <f>IFERROR(-AK615/(IF(OR(AJ615="USDAED",LEFT(AJ615,3)=RIGHT(AJ615,3)),AP615,AO615)-AM615)*BJ615,0)</f>
        <v>0</v>
      </c>
      <c r="BL615" s="542">
        <f>BJ615-BK615</f>
        <v>446.68034675997166</v>
      </c>
      <c r="BM615" s="170">
        <f>IF(AND(ISERROR(SEARCH("REFUND",A615)),ISERROR(SEARCH("CANCELLED",A615))),BD615+BK615,0)</f>
        <v>0</v>
      </c>
      <c r="BN615" s="542">
        <f>IF(AND(ISERROR(SEARCH("REFUND",A615)),ISERROR(SEARCH("CANCELLED",A615))),BE615+BL615,0)</f>
        <v>446.68034675997166</v>
      </c>
    </row>
    <row r="616" spans="1:66" ht="19.5" customHeight="1">
      <c r="A616" s="167" t="s">
        <v>601</v>
      </c>
      <c r="B616" s="168" t="s">
        <v>52</v>
      </c>
      <c r="C616" s="168" t="s">
        <v>484</v>
      </c>
      <c r="D616" s="168" t="s">
        <v>368</v>
      </c>
      <c r="E616" s="171">
        <v>46071</v>
      </c>
      <c r="F616" s="171" t="s">
        <v>625</v>
      </c>
      <c r="G616" s="168" t="s">
        <v>52</v>
      </c>
      <c r="H616" s="181" t="s">
        <v>379</v>
      </c>
      <c r="I616" s="169"/>
      <c r="J616" s="170">
        <f>IF(I616="",AR616,I616)</f>
        <v>-1598293.2946665778</v>
      </c>
      <c r="K616" s="168" t="s">
        <v>9</v>
      </c>
      <c r="L616" s="168" t="s">
        <v>380</v>
      </c>
      <c r="M616" s="168" t="s">
        <v>25</v>
      </c>
      <c r="O616" s="168" t="s">
        <v>39</v>
      </c>
      <c r="P616" s="168" t="s">
        <v>582</v>
      </c>
      <c r="Q616" s="169">
        <v>17642.53</v>
      </c>
      <c r="R616" s="202">
        <f>IF(Q616="",AS616,Q616)</f>
        <v>17642.53</v>
      </c>
      <c r="S616" s="168" t="s">
        <v>6</v>
      </c>
      <c r="T616" s="171" t="s">
        <v>380</v>
      </c>
      <c r="U616" s="168" t="s">
        <v>14</v>
      </c>
      <c r="V616" s="167" t="s">
        <v>371</v>
      </c>
      <c r="W616" s="172" t="s">
        <v>382</v>
      </c>
      <c r="X616" s="173">
        <f>IF(Y616="",VLOOKUP(H616,CLIENTS!$A$1:$O$649,5,FALSE),Y616)</f>
        <v>0</v>
      </c>
      <c r="Y616" s="174">
        <v>0</v>
      </c>
      <c r="Z616" s="173">
        <f>IF(AA616="",VLOOKUP(P616,CLIENTS!$A$1:$O$649,5,FALSE),AA616)</f>
        <v>3.0000000000000001E-3</v>
      </c>
      <c r="AA616" s="174">
        <v>3.0000000000000001E-3</v>
      </c>
      <c r="AB616" s="173" t="str">
        <f>IF(W616="via USD",IF(K616="EUR",K616&amp;"USD","USD"&amp;K616),IFERROR(VLOOKUP(K616&amp;S616,'FX RATES'!$H$2:$H$20,1,FALSE),S616&amp;K616))</f>
        <v>EURRUB</v>
      </c>
      <c r="AC616" s="175">
        <f>IF(LEFT(AB616,3)=RIGHT(AB616,3),0,IFERROR(INDEX(CLIENTS!$A$1:$O$649,MATCH(H616,CLIENTS!$A$1:$A$649,0),MATCH(AB616,CLIENTS!$A$1:$O$1,0)),0))</f>
        <v>0</v>
      </c>
      <c r="AD616" s="176">
        <v>90.865799999999993</v>
      </c>
      <c r="AE616" s="177">
        <f>IF(W616="CLIENT","",IF(AD616="",AH616+AC616,AD616+AC616))</f>
        <v>90.865799999999993</v>
      </c>
      <c r="AF616" s="177" t="str">
        <f>E616&amp;AB616</f>
        <v>46071EURRUB</v>
      </c>
      <c r="AG616" s="176">
        <v>90.865799999999993</v>
      </c>
      <c r="AH616" s="178">
        <f ca="1">IF(LEFT(AB616,3)=RIGHT(AB616,3),1,VLOOKUP(AB616,'FX RATES'!$H$1:$I$20,2,FALSE))</f>
        <v>90.3767</v>
      </c>
      <c r="AI616" s="178">
        <f>IF(OR(AB616="USDAED",LEFT(AB616,3)=RIGHT(AB616,3)),AH616,IF(LEFT(AB616)="USD",AG616,IF(RIGHT(AB616,3)="USD",1,IFERROR(VLOOKUP(E616&amp;"USD"&amp;RIGHT(AB616,3),$AF:$AG,2,FALSE),VLOOKUP(E616&amp;"USD"&amp;RIGHT(AJ616,3),$AN:$AO,2,FALSE)))))</f>
        <v>76.400000000000006</v>
      </c>
      <c r="AJ616" s="173" t="str">
        <f>IF(W616="via USD",IF(S616="EUR",S616&amp;"USD","USD"&amp;S616),IFERROR(VLOOKUP(K616&amp;S616,'FX RATES'!$H$2:$H$20,1,FALSE),S616&amp;K616))</f>
        <v>EURRUB</v>
      </c>
      <c r="AK616" s="175">
        <f>IF(LEFT(AJ616,3)=RIGHT(AJ616,3),0,IFERROR(INDEX(CLIENTS!$A$1:$O$649,MATCH(P616,CLIENTS!$A$1:$A$649,0),MATCH(AJ616,CLIENTS!$A$1:$O$1,0)),0))</f>
        <v>0</v>
      </c>
      <c r="AL616" s="176"/>
      <c r="AM616" s="177" t="str">
        <f>IF(W616="VENDOR","",IF(AL616="",AP616+AK616,AL616+AK616))</f>
        <v/>
      </c>
      <c r="AN616" s="177" t="str">
        <f>E616&amp;AJ616</f>
        <v>46071EURRUB</v>
      </c>
      <c r="AO616" s="176"/>
      <c r="AP616" s="178">
        <f ca="1">IF(LEFT(AJ616,3)=RIGHT(AJ616,3),1,VLOOKUP(AJ616,'FX RATES'!$H$1:$I$20,2,FALSE))</f>
        <v>90.3767</v>
      </c>
      <c r="AQ616" s="178">
        <f t="shared" si="699"/>
        <v>76.400000000000006</v>
      </c>
      <c r="AR616" s="179">
        <f>-Q616*(1-Z616)/(1+X616)*IF(W616="CLIENT",IF(S616=RIGHT(AJ616,3),1/AM616,AM616),IF(W616="VENDOR",IF(S616=RIGHT(AJ616,3),1/AE616,AE616),AE616^(VLOOKUP(AB616,'FX RATES'!$H$1:$J$26,3,FALSE))/AM616^(VLOOKUP(AJ616,'FX RATES'!$H$1:$J$26,3,FALSE))))</f>
        <v>-1598293.2946665778</v>
      </c>
      <c r="AS616" s="179">
        <f>-I616*(1+X616)/(1-Z616)*IF(W616="VENDOR",IF(K616=RIGHT(AB616,3),1/AE616,AE616),IF(W616="CLIENT",IF(K616=RIGHT(AB616,3),1/AM616,AM616),AM616^(VLOOKUP(AJ616,'FX RATES'!$H$1:$J$26,3,FALSE))/AE616^(VLOOKUP(AB616,'FX RATES'!$H$1:$J$26,3,FALSE))))</f>
        <v>0</v>
      </c>
      <c r="AT616" s="170">
        <f ca="1">IF(AB616&lt;&gt;AJ616,J616/IF(K616=RIGHT(AB616,3),AE616,1/AE616),IF(S616="USD",J616/IF(K616=RIGHT(AB616,3),IF(W616="CLIENT",AM616,AE616),1/IF(W616="CLIENT",AM616,AE616)),J616*VLOOKUP(K616,'FX RATES'!$E$1:$F$10,2,FALSE)))</f>
        <v>-20832.675682074256</v>
      </c>
      <c r="AU616" s="170">
        <f ca="1">IF(AB616&lt;&gt;AJ616,R616/IF(S616=RIGHT(AJ616,3),AM616,1/AM616),IF(K616="USD",R616/IF(S616=RIGHT(AJ616,3),IF(W616="CLIENT",AM616,AE616),1/IF(W616="CLIENT",AM616,AE616)),R616*VLOOKUP(S616,'FX RATES'!$E$1:$F$10,2,FALSE)))</f>
        <v>20782.900339999997</v>
      </c>
      <c r="AV616" s="170">
        <f ca="1">AT616+AU616</f>
        <v>-49.775342074259243</v>
      </c>
      <c r="AW616" s="169"/>
      <c r="AX616" s="170">
        <f ca="1">IF(AND(ISERROR(SEARCH("INVOICE",T616)),ISERROR(SEARCH("SWITCH",T616)),ISERROR(SEARCH("FOREX",T616)),ISERROR(SEARCH("REFUND",A616)),ISERROR(SEARCH("CANCELLED",A616))),IF(AW616="",-AT616*X616+AU616*Z616,AW616),0)</f>
        <v>62.348701019999993</v>
      </c>
      <c r="AY616" s="170">
        <f>IF(AZ616="USD",AT616,IF(AZ616=K616,J616,-R616))</f>
        <v>-17642.53</v>
      </c>
      <c r="AZ616" s="170" t="str">
        <f>LEFT(AB616,3)</f>
        <v>EUR</v>
      </c>
      <c r="BA616" s="542">
        <f>IF(OR(A616="REFUND",A616="CANCELLED"),0,IFERROR((IF(OR(AB616="USDAED",LEFT(AB616,3)=RIGHT(AB616,3)),AI616,AG616)-AE616)*-AY616*VLOOKUP(AB616,'FX RATES'!$H$1:$J$26,3,FALSE),0))</f>
        <v>0</v>
      </c>
      <c r="BB616" s="170" t="str">
        <f>RIGHT(AB616,3)</f>
        <v>RUB</v>
      </c>
      <c r="BC616" s="542">
        <f>IF(BA616=0,0,IFERROR(BA616/IF(BB616&lt;&gt;"USD",AI616,1),"???"))</f>
        <v>0</v>
      </c>
      <c r="BD616" s="170">
        <f>IFERROR(-AC616/(IF(OR(AB616="USDAED",LEFT(AB616,3)=RIGHT(AB616,3)),AH616,AG616)-AE616)*BC616,0)</f>
        <v>0</v>
      </c>
      <c r="BE616" s="542">
        <f>BC616-BD616</f>
        <v>0</v>
      </c>
      <c r="BF616" s="170">
        <f>IF(BG616="USD",AU616,IF(BG616=S616,R616,-J616))</f>
        <v>17642.53</v>
      </c>
      <c r="BG616" s="170" t="str">
        <f>LEFT(AJ616,3)</f>
        <v>EUR</v>
      </c>
      <c r="BH616" s="542">
        <f>IF(OR(A616="REFUND",A616="CANCELLED"),0,IFERROR((IF(OR(AJ616="USDAED",LEFT(AJ616,3)=RIGHT(AJ616,3)),AQ616,AO616)-AM616)*-BF616*VLOOKUP(AJ616,'FX RATES'!$H$1:$J$26,3,FALSE),0))</f>
        <v>0</v>
      </c>
      <c r="BI616" s="170" t="str">
        <f>RIGHT(AJ616,3)</f>
        <v>RUB</v>
      </c>
      <c r="BJ616" s="542">
        <f>IF(BH616=0,0,IFERROR(BH616/IF(BI616&lt;&gt;"USD",AQ616,1),"???"))</f>
        <v>0</v>
      </c>
      <c r="BK616" s="170">
        <f>IFERROR(-AK616/(IF(OR(AJ616="USDAED",LEFT(AJ616,3)=RIGHT(AJ616,3)),AP616,AO616)-AM616)*BJ616,0)</f>
        <v>0</v>
      </c>
      <c r="BL616" s="542">
        <f>BJ616-BK616</f>
        <v>0</v>
      </c>
      <c r="BM616" s="170">
        <f>IF(AND(ISERROR(SEARCH("REFUND",A616)),ISERROR(SEARCH("CANCELLED",A616))),BD616+BK616,0)</f>
        <v>0</v>
      </c>
      <c r="BN616" s="542">
        <f>IF(AND(ISERROR(SEARCH("REFUND",A616)),ISERROR(SEARCH("CANCELLED",A616))),BE616+BL616,0)</f>
        <v>0</v>
      </c>
    </row>
    <row r="617" spans="1:66" ht="19.5" customHeight="1">
      <c r="A617" s="167" t="s">
        <v>601</v>
      </c>
      <c r="B617" s="168" t="s">
        <v>31</v>
      </c>
      <c r="C617" s="168" t="s">
        <v>383</v>
      </c>
      <c r="D617" s="168" t="s">
        <v>121</v>
      </c>
      <c r="E617" s="171">
        <v>46071</v>
      </c>
      <c r="F617" s="171" t="s">
        <v>625</v>
      </c>
      <c r="G617" s="168" t="s">
        <v>52</v>
      </c>
      <c r="H617" s="181" t="s">
        <v>476</v>
      </c>
      <c r="I617" s="169">
        <f>-(R608+R609+R610+R612+R613+R615+J616)</f>
        <v>-64971320.908978038</v>
      </c>
      <c r="J617" s="170">
        <f>IF(I617="",AR617,I617)</f>
        <v>-64971320.908978038</v>
      </c>
      <c r="K617" s="168" t="s">
        <v>9</v>
      </c>
      <c r="L617" s="171" t="s">
        <v>25</v>
      </c>
      <c r="M617" s="168" t="s">
        <v>25</v>
      </c>
      <c r="N617" s="167" t="s">
        <v>553</v>
      </c>
      <c r="O617" s="168" t="s">
        <v>31</v>
      </c>
      <c r="P617" s="168" t="s">
        <v>31</v>
      </c>
      <c r="Q617" s="169"/>
      <c r="R617" s="170">
        <f t="shared" ref="R617" si="721">IF(Q617="",AS617,Q617)</f>
        <v>853957.68426654767</v>
      </c>
      <c r="S617" s="168" t="s">
        <v>5</v>
      </c>
      <c r="T617" s="171" t="s">
        <v>477</v>
      </c>
      <c r="U617" s="168" t="s">
        <v>14</v>
      </c>
      <c r="V617" s="167" t="s">
        <v>371</v>
      </c>
      <c r="W617" s="172" t="s">
        <v>382</v>
      </c>
      <c r="X617" s="173">
        <f>IF(Y617="",VLOOKUP(H617,CLIENTS!$A$1:$O$649,5,FALSE),Y617)</f>
        <v>0</v>
      </c>
      <c r="Y617" s="174"/>
      <c r="Z617" s="173">
        <f>IF(AA617="",VLOOKUP(P617,CLIENTS!$A$1:$O$649,5,FALSE),AA617)</f>
        <v>0</v>
      </c>
      <c r="AA617" s="174"/>
      <c r="AB617" s="173" t="str">
        <f>IF(W617="via USD",IF(K617="EUR",K617&amp;"USD","USD"&amp;K617),IFERROR(VLOOKUP(K617&amp;S617,'FX RATES'!$H$2:$H$20,1,FALSE),S617&amp;K617))</f>
        <v>USDRUB</v>
      </c>
      <c r="AC617" s="175">
        <f>IF(LEFT(AB617,3)=RIGHT(AB617,3),0,IFERROR(INDEX(CLIENTS!$A$1:$O$649,MATCH(H617,CLIENTS!$A$1:$A$649,0),MATCH(AB617,CLIENTS!$A$1:$O$1,0)),0))+0.07</f>
        <v>0</v>
      </c>
      <c r="AD617" s="176">
        <v>76.082599999999999</v>
      </c>
      <c r="AE617" s="177">
        <f>IF(W617="CLIENT","",IF(AD617="",AH617+AC617,AD617+AC617))</f>
        <v>76.082599999999999</v>
      </c>
      <c r="AF617" s="177" t="str">
        <f>E617&amp;AB617</f>
        <v>46071USDRUB</v>
      </c>
      <c r="AG617" s="176">
        <v>76.400000000000006</v>
      </c>
      <c r="AH617" s="178">
        <f ca="1">IF(LEFT(AB617,3)=RIGHT(AB617,3),1,VLOOKUP(AB617,'FX RATES'!$H$1:$I$20,2,FALSE))</f>
        <v>76.720500000000001</v>
      </c>
      <c r="AI617" s="178">
        <f>IF(OR(AB617="USDAED",LEFT(AB617,3)=RIGHT(AB617,3)),AH617,IF(LEFT(AB617)="USD",AG617,IF(RIGHT(AB617,3)="USD",1,IFERROR(VLOOKUP(E617&amp;"USD"&amp;RIGHT(AB617,3),$AF:$AG,2,FALSE),VLOOKUP(E617&amp;"USD"&amp;RIGHT(AJ617,3),$AN:$AO,2,FALSE)))))</f>
        <v>76.400000000000006</v>
      </c>
      <c r="AJ617" s="173" t="str">
        <f>IF(W617="via USD",IF(S617="EUR",S617&amp;"USD","USD"&amp;S617),IFERROR(VLOOKUP(K617&amp;S617,'FX RATES'!$H$2:$H$20,1,FALSE),S617&amp;K617))</f>
        <v>USDRUB</v>
      </c>
      <c r="AK617" s="175">
        <f>IF(LEFT(AJ617,3)=RIGHT(AJ617,3),0,IFERROR(INDEX(CLIENTS!$A$1:$O$649,MATCH(P617,CLIENTS!$A$1:$A$649,0),MATCH(AJ617,CLIENTS!$A$1:$O$1,0)),0))</f>
        <v>0</v>
      </c>
      <c r="AL617" s="176"/>
      <c r="AM617" s="177" t="str">
        <f>IF(W617="VENDOR","",IF(AL617="",AP617+AK617,AL617+AK617))</f>
        <v/>
      </c>
      <c r="AN617" s="177" t="str">
        <f>E617&amp;AJ617</f>
        <v>46071USDRUB</v>
      </c>
      <c r="AO617" s="176"/>
      <c r="AP617" s="178">
        <f ca="1">IF(LEFT(AJ617,3)=RIGHT(AJ617,3),1,VLOOKUP(AJ617,'FX RATES'!$H$1:$I$20,2,FALSE))</f>
        <v>76.720500000000001</v>
      </c>
      <c r="AQ617" s="178">
        <f t="shared" si="699"/>
        <v>76.400000000000006</v>
      </c>
      <c r="AR617" s="179">
        <f>-Q617*(1-Z617)/(1+X617)*IF(W617="CLIENT",IF(S617=RIGHT(AJ617,3),1/AM617,AM617),IF(W617="VENDOR",IF(S617=RIGHT(AJ617,3),1/AE617,AE617),AE617^(VLOOKUP(AB617,'FX RATES'!$H$1:$J$26,3,FALSE))/AM617^(VLOOKUP(AJ617,'FX RATES'!$H$1:$J$26,3,FALSE))))</f>
        <v>0</v>
      </c>
      <c r="AS617" s="179">
        <f>-I617*(1+X617)/(1-Z617)*IF(W617="VENDOR",IF(K617=RIGHT(AB617,3),1/AE617,AE617),IF(W617="CLIENT",IF(K617=RIGHT(AB617,3),1/AM617,AM617),AM617^(VLOOKUP(AJ617,'FX RATES'!$H$1:$J$26,3,FALSE))/AE617^(VLOOKUP(AB617,'FX RATES'!$H$1:$J$26,3,FALSE))))</f>
        <v>853957.68426654767</v>
      </c>
      <c r="AT617" s="170">
        <f>IF(AB617&lt;&gt;AJ617,J617/IF(K617=RIGHT(AB617,3),AE617,1/AE617),IF(S617="USD",J617/IF(K617=RIGHT(AB617,3),IF(W617="CLIENT",AM617,AE617),1/IF(W617="CLIENT",AM617,AE617)),J617*VLOOKUP(K617,'FX RATES'!$E$1:$F$10,2,FALSE)))</f>
        <v>-853957.68426654767</v>
      </c>
      <c r="AU617" s="170">
        <f>IF(AB617&lt;&gt;AJ617,R617/IF(S617=RIGHT(AJ617,3),AM617,1/AM617),IF(K617="USD",R617/IF(S617=RIGHT(AJ617,3),IF(W617="CLIENT",AM617,AE617),1/IF(W617="CLIENT",AM617,AE617)),R617*VLOOKUP(S617,'FX RATES'!$E$1:$F$10,2,FALSE)))</f>
        <v>853957.68426654767</v>
      </c>
      <c r="AV617" s="170">
        <f>AT617+AU617</f>
        <v>0</v>
      </c>
      <c r="AW617" s="169"/>
      <c r="AX617" s="170">
        <f>IF(AND(ISERROR(SEARCH("INVOICE",T617)),ISERROR(SEARCH("SWITCH",T617)),ISERROR(SEARCH("FOREX",T617)),ISERROR(SEARCH("REFUND",A617)),ISERROR(SEARCH("CANCELLED",A617))),IF(AW617="",-AT617*X617+AU617*Z617,AW617),0)</f>
        <v>0</v>
      </c>
      <c r="AY617" s="170">
        <f>IF(AZ617="USD",AT617,IF(AZ617=K617,J617,-R617))</f>
        <v>-853957.68426654767</v>
      </c>
      <c r="AZ617" s="170" t="str">
        <f>LEFT(AB617,3)</f>
        <v>USD</v>
      </c>
      <c r="BA617" s="542">
        <f>IF(OR(A617="REFUND",A617="CANCELLED"),0,IFERROR((IF(OR(AB617="USDAED",LEFT(AB617,3)=RIGHT(AB617,3)),AI617,AG617)-AE617)*-AY617*VLOOKUP(AB617,'FX RATES'!$H$1:$J$26,3,FALSE),0))</f>
        <v>271046.16898620763</v>
      </c>
      <c r="BB617" s="170" t="str">
        <f>RIGHT(AB617,3)</f>
        <v>RUB</v>
      </c>
      <c r="BC617" s="542">
        <f>IF(BA617=0,0,IFERROR(BA617/IF(BB617&lt;&gt;"USD",AI617,1),"???"))</f>
        <v>3547.7247249503612</v>
      </c>
      <c r="BD617" s="170">
        <f>IFERROR(-AC617/(IF(OR(AB617="USDAED",LEFT(AB617,3)=RIGHT(AB617,3)),AH617,AG617)-AE617)*BC617,0)</f>
        <v>0</v>
      </c>
      <c r="BE617" s="542">
        <f>BC617-BD617</f>
        <v>3547.7247249503612</v>
      </c>
      <c r="BF617" s="170">
        <f>IF(BG617="USD",AU617,IF(BG617=S617,R617,-J617))</f>
        <v>853957.68426654767</v>
      </c>
      <c r="BG617" s="170" t="str">
        <f>LEFT(AJ617,3)</f>
        <v>USD</v>
      </c>
      <c r="BH617" s="542">
        <f>IF(OR(A617="REFUND",A617="CANCELLED"),0,IFERROR((IF(OR(AJ617="USDAED",LEFT(AJ617,3)=RIGHT(AJ617,3)),AQ617,AO617)-AM617)*-BF617*VLOOKUP(AJ617,'FX RATES'!$H$1:$J$26,3,FALSE),0))</f>
        <v>0</v>
      </c>
      <c r="BI617" s="170" t="str">
        <f>RIGHT(AJ617,3)</f>
        <v>RUB</v>
      </c>
      <c r="BJ617" s="542">
        <f>IF(BH617=0,0,IFERROR(BH617/IF(BI617&lt;&gt;"USD",AQ617,1),"???"))</f>
        <v>0</v>
      </c>
      <c r="BK617" s="170">
        <f>IFERROR(-AK617/(IF(OR(AJ617="USDAED",LEFT(AJ617,3)=RIGHT(AJ617,3)),AP617,AO617)-AM617)*BJ617,0)</f>
        <v>0</v>
      </c>
      <c r="BL617" s="542">
        <f>BJ617-BK617</f>
        <v>0</v>
      </c>
      <c r="BM617" s="170">
        <f>IF(AND(ISERROR(SEARCH("REFUND",A617)),ISERROR(SEARCH("CANCELLED",A617))),BD617+BK617,0)</f>
        <v>0</v>
      </c>
      <c r="BN617" s="542">
        <f>IF(AND(ISERROR(SEARCH("REFUND",A617)),ISERROR(SEARCH("CANCELLED",A617))),BE617+BL617,0)</f>
        <v>3547.7247249503612</v>
      </c>
    </row>
    <row r="618" spans="1:66" ht="19.5" customHeight="1">
      <c r="A618" s="167" t="s">
        <v>601</v>
      </c>
      <c r="B618" s="168" t="s">
        <v>31</v>
      </c>
      <c r="C618" s="168" t="s">
        <v>383</v>
      </c>
      <c r="D618" s="168" t="s">
        <v>121</v>
      </c>
      <c r="E618" s="171">
        <v>46071</v>
      </c>
      <c r="F618" s="171" t="s">
        <v>625</v>
      </c>
      <c r="G618" s="168" t="s">
        <v>39</v>
      </c>
      <c r="H618" s="181" t="s">
        <v>476</v>
      </c>
      <c r="I618" s="169">
        <f>-(R611+R614)</f>
        <v>-187503656.96732098</v>
      </c>
      <c r="J618" s="170">
        <f>IF(I618="",AR618,I618)</f>
        <v>-187503656.96732098</v>
      </c>
      <c r="K618" s="168" t="s">
        <v>9</v>
      </c>
      <c r="L618" s="171" t="s">
        <v>25</v>
      </c>
      <c r="M618" s="168" t="s">
        <v>25</v>
      </c>
      <c r="N618" s="167" t="s">
        <v>553</v>
      </c>
      <c r="O618" s="168" t="s">
        <v>31</v>
      </c>
      <c r="P618" s="168" t="s">
        <v>31</v>
      </c>
      <c r="Q618" s="169"/>
      <c r="R618" s="170">
        <f>IF(Q618="",AS618,Q618)</f>
        <v>2464474.8860754101</v>
      </c>
      <c r="S618" s="168" t="s">
        <v>5</v>
      </c>
      <c r="T618" s="171" t="s">
        <v>477</v>
      </c>
      <c r="U618" s="168" t="s">
        <v>14</v>
      </c>
      <c r="V618" s="167" t="s">
        <v>371</v>
      </c>
      <c r="W618" s="172" t="s">
        <v>382</v>
      </c>
      <c r="X618" s="173">
        <f>IF(Y618="",VLOOKUP(H618,CLIENTS!$A$1:$O$649,5,FALSE),Y618)</f>
        <v>0</v>
      </c>
      <c r="Y618" s="174"/>
      <c r="Z618" s="173">
        <f>IF(AA618="",VLOOKUP(P618,CLIENTS!$A$1:$O$649,5,FALSE),AA618)</f>
        <v>0</v>
      </c>
      <c r="AA618" s="174"/>
      <c r="AB618" s="173" t="str">
        <f>IF(W618="via USD",IF(K618="EUR",K618&amp;"USD","USD"&amp;K618),IFERROR(VLOOKUP(K618&amp;S618,'FX RATES'!$H$2:$H$20,1,FALSE),S618&amp;K618))</f>
        <v>USDRUB</v>
      </c>
      <c r="AC618" s="175">
        <f>IF(LEFT(AB618,3)=RIGHT(AB618,3),0,IFERROR(INDEX(CLIENTS!$A$1:$O$649,MATCH(H618,CLIENTS!$A$1:$A$649,0),MATCH(AB618,CLIENTS!$A$1:$O$1,0)),0))+0.07</f>
        <v>0</v>
      </c>
      <c r="AD618" s="176">
        <v>76.082599999999999</v>
      </c>
      <c r="AE618" s="177">
        <f>IF(W618="CLIENT","",IF(AD618="",AH618+AC618,AD618+AC618))</f>
        <v>76.082599999999999</v>
      </c>
      <c r="AF618" s="177" t="str">
        <f>E618&amp;AB618</f>
        <v>46071USDRUB</v>
      </c>
      <c r="AG618" s="176">
        <v>76.400000000000006</v>
      </c>
      <c r="AH618" s="178">
        <f ca="1">IF(LEFT(AB618,3)=RIGHT(AB618,3),1,VLOOKUP(AB618,'FX RATES'!$H$1:$I$20,2,FALSE))</f>
        <v>76.720500000000001</v>
      </c>
      <c r="AI618" s="178">
        <f>IF(OR(AB618="USDAED",LEFT(AB618,3)=RIGHT(AB618,3)),AH618,IF(LEFT(AB618)="USD",AG618,IF(RIGHT(AB618,3)="USD",1,IFERROR(VLOOKUP(E618&amp;"USD"&amp;RIGHT(AB618,3),$AF:$AG,2,FALSE),VLOOKUP(E618&amp;"USD"&amp;RIGHT(AJ618,3),$AN:$AO,2,FALSE)))))</f>
        <v>76.400000000000006</v>
      </c>
      <c r="AJ618" s="173" t="str">
        <f>IF(W618="via USD",IF(S618="EUR",S618&amp;"USD","USD"&amp;S618),IFERROR(VLOOKUP(K618&amp;S618,'FX RATES'!$H$2:$H$20,1,FALSE),S618&amp;K618))</f>
        <v>USDRUB</v>
      </c>
      <c r="AK618" s="175">
        <f>IF(LEFT(AJ618,3)=RIGHT(AJ618,3),0,IFERROR(INDEX(CLIENTS!$A$1:$O$649,MATCH(P618,CLIENTS!$A$1:$A$649,0),MATCH(AJ618,CLIENTS!$A$1:$O$1,0)),0))</f>
        <v>0</v>
      </c>
      <c r="AL618" s="176"/>
      <c r="AM618" s="177" t="str">
        <f>IF(W618="VENDOR","",IF(AL618="",AP618+AK618,AL618+AK618))</f>
        <v/>
      </c>
      <c r="AN618" s="177" t="str">
        <f>E618&amp;AJ618</f>
        <v>46071USDRUB</v>
      </c>
      <c r="AO618" s="176"/>
      <c r="AP618" s="178">
        <f ca="1">IF(LEFT(AJ618,3)=RIGHT(AJ618,3),1,VLOOKUP(AJ618,'FX RATES'!$H$1:$I$20,2,FALSE))</f>
        <v>76.720500000000001</v>
      </c>
      <c r="AQ618" s="178">
        <f t="shared" si="699"/>
        <v>76.400000000000006</v>
      </c>
      <c r="AR618" s="179">
        <f>-Q618*(1-Z618)/(1+X618)*IF(W618="CLIENT",IF(S618=RIGHT(AJ618,3),1/AM618,AM618),IF(W618="VENDOR",IF(S618=RIGHT(AJ618,3),1/AE618,AE618),AE618^(VLOOKUP(AB618,'FX RATES'!$H$1:$J$26,3,FALSE))/AM618^(VLOOKUP(AJ618,'FX RATES'!$H$1:$J$26,3,FALSE))))</f>
        <v>0</v>
      </c>
      <c r="AS618" s="179">
        <f>-I618*(1+X618)/(1-Z618)*IF(W618="VENDOR",IF(K618=RIGHT(AB618,3),1/AE618,AE618),IF(W618="CLIENT",IF(K618=RIGHT(AB618,3),1/AM618,AM618),AM618^(VLOOKUP(AJ618,'FX RATES'!$H$1:$J$26,3,FALSE))/AE618^(VLOOKUP(AB618,'FX RATES'!$H$1:$J$26,3,FALSE))))</f>
        <v>2464474.8860754101</v>
      </c>
      <c r="AT618" s="170">
        <f>IF(AB618&lt;&gt;AJ618,J618/IF(K618=RIGHT(AB618,3),AE618,1/AE618),IF(S618="USD",J618/IF(K618=RIGHT(AB618,3),IF(W618="CLIENT",AM618,AE618),1/IF(W618="CLIENT",AM618,AE618)),J618*VLOOKUP(K618,'FX RATES'!$E$1:$F$10,2,FALSE)))</f>
        <v>-2464474.8860754101</v>
      </c>
      <c r="AU618" s="170">
        <f>IF(AB618&lt;&gt;AJ618,R618/IF(S618=RIGHT(AJ618,3),AM618,1/AM618),IF(K618="USD",R618/IF(S618=RIGHT(AJ618,3),IF(W618="CLIENT",AM618,AE618),1/IF(W618="CLIENT",AM618,AE618)),R618*VLOOKUP(S618,'FX RATES'!$E$1:$F$10,2,FALSE)))</f>
        <v>2464474.8860754101</v>
      </c>
      <c r="AV618" s="170">
        <f>AT618+AU618</f>
        <v>0</v>
      </c>
      <c r="AW618" s="169"/>
      <c r="AX618" s="170">
        <f>IF(AND(ISERROR(SEARCH("INVOICE",T618)),ISERROR(SEARCH("SWITCH",T618)),ISERROR(SEARCH("FOREX",T618)),ISERROR(SEARCH("REFUND",A618)),ISERROR(SEARCH("CANCELLED",A618))),IF(AW618="",-AT618*X618+AU618*Z618,AW618),0)</f>
        <v>0</v>
      </c>
      <c r="AY618" s="170">
        <f>IF(AZ618="USD",AT618,IF(AZ618=K618,J618,-R618))</f>
        <v>-2464474.8860754101</v>
      </c>
      <c r="AZ618" s="170" t="str">
        <f>LEFT(AB618,3)</f>
        <v>USD</v>
      </c>
      <c r="BA618" s="542">
        <f>IF(OR(A618="REFUND",A618="CANCELLED"),0,IFERROR((IF(OR(AB618="USDAED",LEFT(AB618,3)=RIGHT(AB618,3)),AI618,AG618)-AE618)*-AY618*VLOOKUP(AB618,'FX RATES'!$H$1:$J$26,3,FALSE),0))</f>
        <v>782224.32884035073</v>
      </c>
      <c r="BB618" s="170" t="str">
        <f>RIGHT(AB618,3)</f>
        <v>RUB</v>
      </c>
      <c r="BC618" s="542">
        <f>IF(BA618=0,0,IFERROR(BA618/IF(BB618&lt;&gt;"USD",AI618,1),"???"))</f>
        <v>10238.538335606685</v>
      </c>
      <c r="BD618" s="170">
        <f>IFERROR(-AC618/(IF(OR(AB618="USDAED",LEFT(AB618,3)=RIGHT(AB618,3)),AH618,AG618)-AE618)*BC618,0)</f>
        <v>0</v>
      </c>
      <c r="BE618" s="542">
        <f>BC618-BD618</f>
        <v>10238.538335606685</v>
      </c>
      <c r="BF618" s="170">
        <f>IF(BG618="USD",AU618,IF(BG618=S618,R618,-J618))</f>
        <v>2464474.8860754101</v>
      </c>
      <c r="BG618" s="170" t="str">
        <f>LEFT(AJ618,3)</f>
        <v>USD</v>
      </c>
      <c r="BH618" s="542">
        <f>IF(OR(A618="REFUND",A618="CANCELLED"),0,IFERROR((IF(OR(AJ618="USDAED",LEFT(AJ618,3)=RIGHT(AJ618,3)),AQ618,AO618)-AM618)*-BF618*VLOOKUP(AJ618,'FX RATES'!$H$1:$J$26,3,FALSE),0))</f>
        <v>0</v>
      </c>
      <c r="BI618" s="170" t="str">
        <f>RIGHT(AJ618,3)</f>
        <v>RUB</v>
      </c>
      <c r="BJ618" s="542">
        <f>IF(BH618=0,0,IFERROR(BH618/IF(BI618&lt;&gt;"USD",AQ618,1),"???"))</f>
        <v>0</v>
      </c>
      <c r="BK618" s="170">
        <f>IFERROR(-AK618/(IF(OR(AJ618="USDAED",LEFT(AJ618,3)=RIGHT(AJ618,3)),AP618,AO618)-AM618)*BJ618,0)</f>
        <v>0</v>
      </c>
      <c r="BL618" s="542">
        <f>BJ618-BK618</f>
        <v>0</v>
      </c>
      <c r="BM618" s="170">
        <f>IF(AND(ISERROR(SEARCH("REFUND",A618)),ISERROR(SEARCH("CANCELLED",A618))),BD618+BK618,0)</f>
        <v>0</v>
      </c>
      <c r="BN618" s="542">
        <f>IF(AND(ISERROR(SEARCH("REFUND",A618)),ISERROR(SEARCH("CANCELLED",A618))),BE618+BL618,0)</f>
        <v>10238.538335606685</v>
      </c>
    </row>
    <row r="619" spans="1:66" ht="19.5" customHeight="1">
      <c r="A619" s="167"/>
      <c r="B619" s="182"/>
      <c r="C619" s="182"/>
      <c r="D619" s="183"/>
      <c r="E619" s="184"/>
      <c r="F619" s="184"/>
      <c r="G619" s="182"/>
      <c r="H619" s="183"/>
      <c r="I619" s="170"/>
      <c r="J619" s="170"/>
      <c r="K619" s="182"/>
      <c r="L619" s="182"/>
      <c r="M619" s="182"/>
      <c r="O619" s="182"/>
      <c r="P619" s="444"/>
      <c r="Q619" s="170"/>
      <c r="R619" s="170"/>
      <c r="S619" s="182"/>
      <c r="T619" s="184"/>
      <c r="U619" s="184"/>
      <c r="X619" s="173"/>
      <c r="Y619" s="173"/>
      <c r="Z619" s="173"/>
      <c r="AA619" s="173"/>
      <c r="AB619" s="173"/>
      <c r="AC619" s="175"/>
      <c r="AD619" s="177"/>
      <c r="AE619" s="177"/>
      <c r="AF619" s="177"/>
      <c r="AG619" s="177"/>
      <c r="AH619" s="178"/>
      <c r="AI619" s="178"/>
      <c r="AJ619" s="173"/>
      <c r="AK619" s="175"/>
      <c r="AL619" s="177"/>
      <c r="AM619" s="177"/>
      <c r="AN619" s="177"/>
      <c r="AO619" s="177"/>
      <c r="AP619" s="178"/>
      <c r="AQ619" s="178"/>
      <c r="AR619" s="185"/>
      <c r="AS619" s="185"/>
      <c r="AT619" s="170"/>
      <c r="AU619" s="170"/>
      <c r="AV619" s="170"/>
      <c r="AW619" s="170"/>
      <c r="AX619" s="170"/>
      <c r="AY619" s="170"/>
      <c r="AZ619" s="170"/>
      <c r="BA619" s="542"/>
      <c r="BB619" s="170"/>
      <c r="BC619" s="542"/>
      <c r="BD619" s="170"/>
      <c r="BE619" s="542"/>
      <c r="BF619" s="170"/>
      <c r="BG619" s="170"/>
      <c r="BH619" s="542"/>
      <c r="BI619" s="170"/>
      <c r="BJ619" s="542"/>
      <c r="BK619" s="170"/>
      <c r="BL619" s="542"/>
      <c r="BM619" s="170"/>
      <c r="BN619" s="542"/>
    </row>
    <row r="620" spans="1:66" ht="19.5" customHeight="1">
      <c r="A620" s="167" t="s">
        <v>601</v>
      </c>
      <c r="B620" s="168" t="s">
        <v>45</v>
      </c>
      <c r="C620" s="168" t="s">
        <v>367</v>
      </c>
      <c r="D620" s="168" t="s">
        <v>368</v>
      </c>
      <c r="E620" s="171">
        <v>46071</v>
      </c>
      <c r="F620" s="171" t="s">
        <v>625</v>
      </c>
      <c r="G620" s="168" t="s">
        <v>45</v>
      </c>
      <c r="H620" s="181" t="s">
        <v>642</v>
      </c>
      <c r="I620" s="169">
        <v>-72041.100000000006</v>
      </c>
      <c r="J620" s="170">
        <f>IF(I620="",AR620,I620)</f>
        <v>-72041.100000000006</v>
      </c>
      <c r="K620" s="168" t="s">
        <v>6</v>
      </c>
      <c r="L620" s="168" t="s">
        <v>643</v>
      </c>
      <c r="M620" s="168" t="s">
        <v>49</v>
      </c>
      <c r="N620" s="167" t="s">
        <v>553</v>
      </c>
      <c r="O620" s="168" t="s">
        <v>39</v>
      </c>
      <c r="P620" s="168" t="s">
        <v>582</v>
      </c>
      <c r="Q620" s="169"/>
      <c r="R620" s="202">
        <f>IF(Q620="",AS620,Q620)</f>
        <v>72257.873620862592</v>
      </c>
      <c r="S620" s="168" t="s">
        <v>6</v>
      </c>
      <c r="T620" s="171" t="s">
        <v>380</v>
      </c>
      <c r="U620" s="168" t="s">
        <v>14</v>
      </c>
      <c r="V620" s="167" t="s">
        <v>371</v>
      </c>
      <c r="W620" s="172" t="s">
        <v>382</v>
      </c>
      <c r="X620" s="173">
        <f>IF(Y620="",VLOOKUP(H620,CLIENTS!$A$1:$O$649,5,FALSE),Y620)</f>
        <v>0</v>
      </c>
      <c r="Y620" s="174">
        <v>0</v>
      </c>
      <c r="Z620" s="173">
        <f>IF(AA620="",VLOOKUP(P620,CLIENTS!$A$1:$O$649,5,FALSE),AA620)</f>
        <v>3.0000000000000001E-3</v>
      </c>
      <c r="AA620" s="174">
        <v>3.0000000000000001E-3</v>
      </c>
      <c r="AB620" s="173" t="str">
        <f>IF(W620="via USD",IF(K620="EUR",K620&amp;"USD","USD"&amp;K620),IFERROR(VLOOKUP(K620&amp;S620,'FX RATES'!$H$2:$H$20,1,FALSE),S620&amp;K620))</f>
        <v>EUREUR</v>
      </c>
      <c r="AC620" s="175">
        <f>IF(LEFT(AB620,3)=RIGHT(AB620,3),0,IFERROR(INDEX(CLIENTS!$A$1:$O$649,MATCH(H620,CLIENTS!$A$1:$A$649,0),MATCH(AB620,CLIENTS!$A$1:$O$1,0)),0))</f>
        <v>0</v>
      </c>
      <c r="AD620" s="176"/>
      <c r="AE620" s="177">
        <f>IF(W620="CLIENT","",IF(AD620="",AH620+AC620,AD620+AC620))</f>
        <v>1</v>
      </c>
      <c r="AF620" s="177" t="str">
        <f>E620&amp;AB620</f>
        <v>46071EUREUR</v>
      </c>
      <c r="AG620" s="176"/>
      <c r="AH620" s="178">
        <f>IF(LEFT(AB620,3)=RIGHT(AB620,3),1,VLOOKUP(AB620,'FX RATES'!$H$1:$I$20,2,FALSE))</f>
        <v>1</v>
      </c>
      <c r="AI620" s="178">
        <f>IF(OR(AB620="USDAED",LEFT(AB620,3)=RIGHT(AB620,3)),AH620,IF(LEFT(AB620)="USD",AG620,IF(RIGHT(AB620,3)="USD",1,IFERROR(VLOOKUP(E620&amp;"USD"&amp;RIGHT(AB620,3),$AF:$AG,2,FALSE),VLOOKUP(E620&amp;"USD"&amp;RIGHT(AJ620,3),$AN:$AO,2,FALSE)))))</f>
        <v>1</v>
      </c>
      <c r="AJ620" s="173" t="str">
        <f>IF(W620="via USD",IF(S620="EUR",S620&amp;"USD","USD"&amp;S620),IFERROR(VLOOKUP(K620&amp;S620,'FX RATES'!$H$2:$H$20,1,FALSE),S620&amp;K620))</f>
        <v>EUREUR</v>
      </c>
      <c r="AK620" s="175">
        <f>IF(LEFT(AJ620,3)=RIGHT(AJ620,3),0,IFERROR(INDEX(CLIENTS!$A$1:$O$649,MATCH(P620,CLIENTS!$A$1:$A$649,0),MATCH(AJ620,CLIENTS!$A$1:$O$1,0)),0))</f>
        <v>0</v>
      </c>
      <c r="AL620" s="176"/>
      <c r="AM620" s="177" t="str">
        <f>IF(W620="VENDOR","",IF(AL620="",AP620+AK620,AL620+AK620))</f>
        <v/>
      </c>
      <c r="AN620" s="177" t="str">
        <f>E620&amp;AJ620</f>
        <v>46071EUREUR</v>
      </c>
      <c r="AO620" s="176"/>
      <c r="AP620" s="178">
        <f>IF(LEFT(AJ620,3)=RIGHT(AJ620,3),1,VLOOKUP(AJ620,'FX RATES'!$H$1:$I$20,2,FALSE))</f>
        <v>1</v>
      </c>
      <c r="AQ620" s="178">
        <f>IF(OR(AJ620="USDAED",LEFT(AJ620,3)=RIGHT(AJ620,3)),AP620,IF(LEFT(AJ620)="USD",AO620,IF(RIGHT(AJ620,3)="USD",1,IFERROR(VLOOKUP(E620&amp;"USD"&amp;RIGHT(AJ620,3),$AN:$AO,2,FALSE),VLOOKUP(E620&amp;"USD"&amp;RIGHT(AB620,3),$AF:$AG,2,FALSE)))))</f>
        <v>1</v>
      </c>
      <c r="AR620" s="179">
        <f>-Q620*(1-Z620)/(1+X620)*IF(W620="CLIENT",IF(S620=RIGHT(AJ620,3),1/AM620,AM620),IF(W620="VENDOR",IF(S620=RIGHT(AJ620,3),1/AE620,AE620),AE620^(VLOOKUP(AB620,'FX RATES'!$H$1:$J$26,3,FALSE))/AM620^(VLOOKUP(AJ620,'FX RATES'!$H$1:$J$26,3,FALSE))))</f>
        <v>0</v>
      </c>
      <c r="AS620" s="179">
        <f>-I620*(1+X620)/(1-Z620)*IF(W620="VENDOR",IF(K620=RIGHT(AB620,3),1/AE620,AE620),IF(W620="CLIENT",IF(K620=RIGHT(AB620,3),1/AM620,AM620),AM620^(VLOOKUP(AJ620,'FX RATES'!$H$1:$J$26,3,FALSE))/AE620^(VLOOKUP(AB620,'FX RATES'!$H$1:$J$26,3,FALSE))))</f>
        <v>72257.873620862592</v>
      </c>
      <c r="AT620" s="170">
        <f ca="1">IF(AB620&lt;&gt;AJ620,J620/IF(K620=RIGHT(AB620,3),AE620,1/AE620),IF(S620="USD",J620/IF(K620=RIGHT(AB620,3),IF(W620="CLIENT",AM620,AE620),1/IF(W620="CLIENT",AM620,AE620)),J620*VLOOKUP(K620,'FX RATES'!$E$1:$F$10,2,FALSE)))</f>
        <v>-84864.415800000002</v>
      </c>
      <c r="AU620" s="170">
        <f ca="1">IF(AB620&lt;&gt;AJ620,R620/IF(S620=RIGHT(AJ620,3),AM620,1/AM620),IF(K620="USD",R620/IF(S620=RIGHT(AJ620,3),IF(W620="CLIENT",AM620,AE620),1/IF(W620="CLIENT",AM620,AE620)),R620*VLOOKUP(S620,'FX RATES'!$E$1:$F$10,2,FALSE)))</f>
        <v>85119.775125376123</v>
      </c>
      <c r="AV620" s="170">
        <f ca="1">AT620+AU620</f>
        <v>255.35932537612098</v>
      </c>
      <c r="AW620" s="169"/>
      <c r="AX620" s="170">
        <f ca="1">IF(AND(ISERROR(SEARCH("INVOICE",T620)),ISERROR(SEARCH("SWITCH",T620)),ISERROR(SEARCH("FOREX",T620)),ISERROR(SEARCH("REFUND",A620)),ISERROR(SEARCH("CANCELLED",A620))),IF(AW620="",-AT620*X620+AU620*Z620,AW620),0)</f>
        <v>255.35932537612837</v>
      </c>
      <c r="AY620" s="170">
        <f>IF(AZ620="USD",AT620,IF(AZ620=K620,J620,-R620))</f>
        <v>-72041.100000000006</v>
      </c>
      <c r="AZ620" s="170" t="str">
        <f>LEFT(AB620,3)</f>
        <v>EUR</v>
      </c>
      <c r="BA620" s="542">
        <f>IF(OR(A620="REFUND",A620="CANCELLED"),0,IFERROR((IF(OR(AB620="USDAED",LEFT(AB620,3)=RIGHT(AB620,3)),AI620,AG620)-AE620)*-AY620*VLOOKUP(AB620,'FX RATES'!$H$1:$J$26,3,FALSE),0))</f>
        <v>0</v>
      </c>
      <c r="BB620" s="170" t="str">
        <f>RIGHT(AB620,3)</f>
        <v>EUR</v>
      </c>
      <c r="BC620" s="542">
        <f>IF(BA620=0,0,IFERROR(BA620/IF(BB620&lt;&gt;"USD",AI620,1),"???"))</f>
        <v>0</v>
      </c>
      <c r="BD620" s="170">
        <f>IFERROR(-AC620/(IF(OR(AB620="USDAED",LEFT(AB620,3)=RIGHT(AB620,3)),AH620,AG620)-AE620)*BC620,0)</f>
        <v>0</v>
      </c>
      <c r="BE620" s="542">
        <f>BC620-BD620</f>
        <v>0</v>
      </c>
      <c r="BF620" s="170">
        <f>IF(BG620="USD",AU620,IF(BG620=S620,R620,-J620))</f>
        <v>72257.873620862592</v>
      </c>
      <c r="BG620" s="170" t="str">
        <f>LEFT(AJ620,3)</f>
        <v>EUR</v>
      </c>
      <c r="BH620" s="542">
        <f>IF(OR(A620="REFUND",A620="CANCELLED"),0,IFERROR((IF(OR(AJ620="USDAED",LEFT(AJ620,3)=RIGHT(AJ620,3)),AQ620,AO620)-AM620)*-BF620*VLOOKUP(AJ620,'FX RATES'!$H$1:$J$26,3,FALSE),0))</f>
        <v>0</v>
      </c>
      <c r="BI620" s="170" t="str">
        <f>RIGHT(AJ620,3)</f>
        <v>EUR</v>
      </c>
      <c r="BJ620" s="542">
        <f>IF(BH620=0,0,IFERROR(BH620/IF(BI620&lt;&gt;"USD",AQ620,1),"???"))</f>
        <v>0</v>
      </c>
      <c r="BK620" s="170">
        <f>IFERROR(-AK620/(IF(OR(AJ620="USDAED",LEFT(AJ620,3)=RIGHT(AJ620,3)),AP620,AO620)-AM620)*BJ620,0)</f>
        <v>0</v>
      </c>
      <c r="BL620" s="542">
        <f>BJ620-BK620</f>
        <v>0</v>
      </c>
      <c r="BM620" s="170">
        <f>IF(AND(ISERROR(SEARCH("REFUND",A620)),ISERROR(SEARCH("CANCELLED",A620))),BD620+BK620,0)</f>
        <v>0</v>
      </c>
      <c r="BN620" s="542">
        <f>IF(AND(ISERROR(SEARCH("REFUND",A620)),ISERROR(SEARCH("CANCELLED",A620))),BE620+BL620,0)</f>
        <v>0</v>
      </c>
    </row>
    <row r="621" spans="1:66" ht="19.5" customHeight="1">
      <c r="A621" s="180"/>
      <c r="E621" s="180"/>
      <c r="F621" s="180"/>
      <c r="L621" s="180"/>
      <c r="M621" s="180"/>
      <c r="N621" s="180"/>
      <c r="O621" s="180"/>
      <c r="P621" s="180"/>
      <c r="V621" s="180"/>
      <c r="W621" s="180"/>
      <c r="BA621" s="180"/>
      <c r="BC621" s="180"/>
      <c r="BE621" s="180"/>
      <c r="BH621" s="180"/>
      <c r="BJ621" s="180"/>
      <c r="BL621" s="180"/>
      <c r="BN621" s="180"/>
    </row>
    <row r="622" spans="1:66" ht="19.5" customHeight="1">
      <c r="A622" s="167" t="s">
        <v>601</v>
      </c>
      <c r="B622" s="168" t="s">
        <v>39</v>
      </c>
      <c r="C622" s="168" t="s">
        <v>367</v>
      </c>
      <c r="D622" s="168" t="s">
        <v>368</v>
      </c>
      <c r="E622" s="171">
        <v>46072</v>
      </c>
      <c r="F622" s="171" t="s">
        <v>625</v>
      </c>
      <c r="G622" s="168" t="s">
        <v>39</v>
      </c>
      <c r="H622" s="168" t="s">
        <v>393</v>
      </c>
      <c r="I622" s="169"/>
      <c r="J622" s="170">
        <f t="shared" ref="J622:J627" si="722">IF(I622="",AR622,I622)</f>
        <v>-138404.89624502999</v>
      </c>
      <c r="K622" s="168" t="s">
        <v>5</v>
      </c>
      <c r="L622" s="171" t="s">
        <v>378</v>
      </c>
      <c r="M622" s="168" t="s">
        <v>20</v>
      </c>
      <c r="N622" s="167" t="s">
        <v>639</v>
      </c>
      <c r="O622" s="168" t="s">
        <v>52</v>
      </c>
      <c r="P622" s="168" t="s">
        <v>427</v>
      </c>
      <c r="Q622" s="169">
        <v>10614164.17</v>
      </c>
      <c r="R622" s="170">
        <f>IF(Q622="",AS622,Q622)</f>
        <v>10614164.17</v>
      </c>
      <c r="S622" s="168" t="s">
        <v>9</v>
      </c>
      <c r="T622" s="171" t="s">
        <v>25</v>
      </c>
      <c r="U622" s="168" t="s">
        <v>25</v>
      </c>
      <c r="V622" s="167" t="s">
        <v>371</v>
      </c>
      <c r="W622" s="172" t="s">
        <v>389</v>
      </c>
      <c r="X622" s="173">
        <f>IF(Y622="",VLOOKUP(H622,CLIENTS!$A$1:$O$649,5,FALSE),Y622)</f>
        <v>0</v>
      </c>
      <c r="Y622" s="174">
        <v>0</v>
      </c>
      <c r="Z622" s="173">
        <f>IF(AA622="",VLOOKUP(P622,CLIENTS!$A$1:$O$649,5,FALSE),AA622)</f>
        <v>5.0753489056135637E-3</v>
      </c>
      <c r="AA622" s="174">
        <v>5.0753489056135637E-3</v>
      </c>
      <c r="AB622" s="173" t="str">
        <f>IF(W622="via USD",IF(K622="EUR",K622&amp;"USD","USD"&amp;K622),IFERROR(VLOOKUP(K622&amp;S622,'FX RATES'!$H$2:$H$20,1,FALSE),S622&amp;K622))</f>
        <v>USDRUB</v>
      </c>
      <c r="AC622" s="175">
        <f>IF(LEFT(AB622,3)=RIGHT(AB622,3),0,IFERROR(INDEX(CLIENTS!$A$1:$O$649,MATCH(H622,CLIENTS!$A$1:$A$649,0),MATCH(AB622,CLIENTS!$A$1:$O$1,0)),0))</f>
        <v>0</v>
      </c>
      <c r="AD622" s="176"/>
      <c r="AE622" s="177" t="str">
        <f t="shared" ref="AE622:AE627" si="723">IF(W622="CLIENT","",IF(AD622="",AH622+AC622,AD622+AC622))</f>
        <v/>
      </c>
      <c r="AF622" s="177" t="str">
        <f t="shared" ref="AF622:AF627" si="724">E622&amp;AB622</f>
        <v>46072USDRUB</v>
      </c>
      <c r="AG622" s="176">
        <v>76.599999999999994</v>
      </c>
      <c r="AH622" s="178">
        <f ca="1">IF(LEFT(AB622,3)=RIGHT(AB622,3),1,VLOOKUP(AB622,'FX RATES'!$H$1:$I$20,2,FALSE))</f>
        <v>76.720500000000001</v>
      </c>
      <c r="AI622" s="178">
        <f>IF(OR(AB622="USDAED",LEFT(AB622,3)=RIGHT(AB622,3)),AH622,IF(LEFT(AB622)="USD",AG622,IF(RIGHT(AB622,3)="USD",1,IFERROR(VLOOKUP(E622&amp;"USD"&amp;RIGHT(AB622,3),$AF:$AG,2,FALSE),VLOOKUP(E622&amp;"USD"&amp;RIGHT(AJ622,3),$AN:$AO,2,FALSE)))))</f>
        <v>76.599999999999994</v>
      </c>
      <c r="AJ622" s="173" t="str">
        <f>IF(W622="via USD",IF(S622="EUR",S622&amp;"USD","USD"&amp;S622),IFERROR(VLOOKUP(K622&amp;S622,'FX RATES'!$H$2:$H$20,1,FALSE),S622&amp;K622))</f>
        <v>USDRUB</v>
      </c>
      <c r="AK622" s="175">
        <f>IF(LEFT(AJ622,3)=RIGHT(AJ622,3),0,IFERROR(INDEX(CLIENTS!$A$1:$O$649,MATCH(P622,CLIENTS!$A$1:$A$649,0),MATCH(AJ622,CLIENTS!$A$1:$O$1,0)),0))</f>
        <v>0</v>
      </c>
      <c r="AL622" s="176">
        <v>76.3</v>
      </c>
      <c r="AM622" s="177">
        <f t="shared" ref="AM622:AM627" si="725">IF(W622="VENDOR","",IF(AL622="",AP622+AK622,AL622+AK622))</f>
        <v>76.3</v>
      </c>
      <c r="AN622" s="177" t="str">
        <f t="shared" ref="AN622:AN627" si="726">E622&amp;AJ622</f>
        <v>46072USDRUB</v>
      </c>
      <c r="AO622" s="176">
        <v>76.599999999999994</v>
      </c>
      <c r="AP622" s="178">
        <f ca="1">IF(LEFT(AJ622,3)=RIGHT(AJ622,3),1,VLOOKUP(AJ622,'FX RATES'!$H$1:$I$20,2,FALSE))</f>
        <v>76.720500000000001</v>
      </c>
      <c r="AQ622" s="178">
        <f t="shared" ref="AQ622:AQ627" si="727">IF(OR(AJ622="USDAED",LEFT(AJ622,3)=RIGHT(AJ622,3)),AP622,IF(LEFT(AJ622)="USD",AO622,IF(RIGHT(AJ622,3)="USD",1,IFERROR(VLOOKUP(E622&amp;"USD"&amp;RIGHT(AJ622,3),$AN:$AO,2,FALSE),VLOOKUP(E622&amp;"USD"&amp;RIGHT(AB622,3),$AF:$AG,2,FALSE)))))</f>
        <v>76.599999999999994</v>
      </c>
      <c r="AR622" s="179">
        <f>-Q622*(1-Z622)/(1+X622)*IF(W622="CLIENT",IF(S622=RIGHT(AJ622,3),1/AM622,AM622),IF(W622="VENDOR",IF(S622=RIGHT(AJ622,3),1/AE622,AE622),AE622^(VLOOKUP(AB622,'FX RATES'!$H$1:$J$26,3,FALSE))/AM622^(VLOOKUP(AJ622,'FX RATES'!$H$1:$J$26,3,FALSE))))</f>
        <v>-138404.89624502999</v>
      </c>
      <c r="AS622" s="179">
        <f>-I622*(1+X622)/(1-Z622)*IF(W622="VENDOR",IF(K622=RIGHT(AB622,3),1/AE622,AE622),IF(W622="CLIENT",IF(K622=RIGHT(AB622,3),1/AM622,AM622),AM622^(VLOOKUP(AJ622,'FX RATES'!$H$1:$J$26,3,FALSE))/AE622^(VLOOKUP(AB622,'FX RATES'!$H$1:$J$26,3,FALSE))))</f>
        <v>0</v>
      </c>
      <c r="AT622" s="170">
        <f>IF(AB622&lt;&gt;AJ622,J622/IF(K622=RIGHT(AB622,3),AE622,1/AE622),IF(S622="USD",J622/IF(K622=RIGHT(AB622,3),IF(W622="CLIENT",AM622,AE622),1/IF(W622="CLIENT",AM622,AE622)),J622*VLOOKUP(K622,'FX RATES'!$E$1:$F$10,2,FALSE)))</f>
        <v>-138404.89624502999</v>
      </c>
      <c r="AU622" s="170">
        <f>IF(AB622&lt;&gt;AJ622,R622/IF(S622=RIGHT(AJ622,3),AM622,1/AM622),IF(K622="USD",R622/IF(S622=RIGHT(AJ622,3),IF(W622="CLIENT",AM622,AE622),1/IF(W622="CLIENT",AM622,AE622)),R622*VLOOKUP(S622,'FX RATES'!$E$1:$F$10,2,FALSE)))</f>
        <v>139110.93276539975</v>
      </c>
      <c r="AV622" s="170">
        <f t="shared" ref="AV622:AV627" si="728">AT622+AU622</f>
        <v>706.03652036975836</v>
      </c>
      <c r="AW622" s="169"/>
      <c r="AX622" s="170">
        <f t="shared" ref="AX622:AX627" si="729">IF(AND(ISERROR(SEARCH("INVOICE",T622)),ISERROR(SEARCH("SWITCH",T622)),ISERROR(SEARCH("FOREX",T622)),ISERROR(SEARCH("REFUND",A622)),ISERROR(SEARCH("CANCELLED",A622))),IF(AW622="",-AT622*X622+AU622*Z622,AW622),0)</f>
        <v>706.03652036975359</v>
      </c>
      <c r="AY622" s="170">
        <f t="shared" ref="AY622:AY627" si="730">IF(AZ622="USD",AT622,IF(AZ622=K622,J622,-R622))</f>
        <v>-138404.89624502999</v>
      </c>
      <c r="AZ622" s="170" t="str">
        <f t="shared" ref="AZ622:AZ627" si="731">LEFT(AB622,3)</f>
        <v>USD</v>
      </c>
      <c r="BA622" s="542">
        <f>IF(OR(A622="REFUND",A622="CANCELLED"),0,IFERROR((IF(OR(AB622="USDAED",LEFT(AB622,3)=RIGHT(AB622,3)),AI622,AG622)-AE622)*-AY622*VLOOKUP(AB622,'FX RATES'!$H$1:$J$26,3,FALSE),0))</f>
        <v>0</v>
      </c>
      <c r="BB622" s="170" t="str">
        <f t="shared" ref="BB622:BB627" si="732">RIGHT(AB622,3)</f>
        <v>RUB</v>
      </c>
      <c r="BC622" s="542">
        <f t="shared" ref="BC622:BC627" si="733">IF(BA622=0,0,IFERROR(BA622/IF(BB622&lt;&gt;"USD",AI622,1),"???"))</f>
        <v>0</v>
      </c>
      <c r="BD622" s="170">
        <f t="shared" ref="BD622:BD627" si="734">IFERROR(-AC622/(IF(OR(AB622="USDAED",LEFT(AB622,3)=RIGHT(AB622,3)),AH622,AG622)-AE622)*BC622,0)</f>
        <v>0</v>
      </c>
      <c r="BE622" s="542">
        <f t="shared" ref="BE622:BE627" si="735">BC622-BD622</f>
        <v>0</v>
      </c>
      <c r="BF622" s="170">
        <f t="shared" ref="BF622:BF627" si="736">IF(BG622="USD",AU622,IF(BG622=S622,R622,-J622))</f>
        <v>139110.93276539975</v>
      </c>
      <c r="BG622" s="170" t="str">
        <f t="shared" ref="BG622:BG627" si="737">LEFT(AJ622,3)</f>
        <v>USD</v>
      </c>
      <c r="BH622" s="542">
        <f>IF(OR(A622="REFUND",A622="CANCELLED"),0,IFERROR((IF(OR(AJ622="USDAED",LEFT(AJ622,3)=RIGHT(AJ622,3)),AQ622,AO622)-AM622)*-BF622*VLOOKUP(AJ622,'FX RATES'!$H$1:$J$26,3,FALSE),0))</f>
        <v>-41733.279829619525</v>
      </c>
      <c r="BI622" s="170" t="str">
        <f t="shared" ref="BI622:BI627" si="738">RIGHT(AJ622,3)</f>
        <v>RUB</v>
      </c>
      <c r="BJ622" s="542">
        <f t="shared" ref="BJ622:BJ627" si="739">IF(BH622=0,0,IFERROR(BH622/IF(BI622&lt;&gt;"USD",AQ622,1),"???"))</f>
        <v>-544.82088550417143</v>
      </c>
      <c r="BK622" s="170">
        <f t="shared" ref="BK622:BK627" si="740">IFERROR(-AK622/(IF(OR(AJ622="USDAED",LEFT(AJ622,3)=RIGHT(AJ622,3)),AP622,AO622)-AM622)*BJ622,0)</f>
        <v>0</v>
      </c>
      <c r="BL622" s="542">
        <f t="shared" ref="BL622:BL627" si="741">BJ622-BK622</f>
        <v>-544.82088550417143</v>
      </c>
      <c r="BM622" s="170">
        <f t="shared" ref="BM622:BM627" si="742">IF(AND(ISERROR(SEARCH("REFUND",A622)),ISERROR(SEARCH("CANCELLED",A622))),BD622+BK622,0)</f>
        <v>0</v>
      </c>
      <c r="BN622" s="542">
        <f t="shared" ref="BN622:BN627" si="743">IF(AND(ISERROR(SEARCH("REFUND",A622)),ISERROR(SEARCH("CANCELLED",A622))),BE622+BL622,0)</f>
        <v>-544.82088550417143</v>
      </c>
    </row>
    <row r="623" spans="1:66" ht="19.5" customHeight="1">
      <c r="A623" s="167" t="s">
        <v>601</v>
      </c>
      <c r="B623" s="168" t="s">
        <v>39</v>
      </c>
      <c r="C623" s="168" t="s">
        <v>367</v>
      </c>
      <c r="D623" s="181" t="s">
        <v>368</v>
      </c>
      <c r="E623" s="171">
        <v>46072</v>
      </c>
      <c r="F623" s="171" t="s">
        <v>625</v>
      </c>
      <c r="G623" s="168" t="s">
        <v>39</v>
      </c>
      <c r="H623" s="181" t="s">
        <v>538</v>
      </c>
      <c r="I623" s="169">
        <v>-1402961.85</v>
      </c>
      <c r="J623" s="170">
        <f t="shared" si="722"/>
        <v>-1402961.85</v>
      </c>
      <c r="K623" s="168" t="s">
        <v>5</v>
      </c>
      <c r="L623" s="168" t="s">
        <v>426</v>
      </c>
      <c r="M623" s="168" t="s">
        <v>20</v>
      </c>
      <c r="N623" s="167" t="s">
        <v>639</v>
      </c>
      <c r="O623" s="168" t="s">
        <v>52</v>
      </c>
      <c r="P623" s="349" t="s">
        <v>379</v>
      </c>
      <c r="Q623" s="169"/>
      <c r="R623" s="170">
        <f>IF(Q623="",AS623,Q623)</f>
        <v>107375790.94064322</v>
      </c>
      <c r="S623" s="168" t="s">
        <v>9</v>
      </c>
      <c r="T623" s="171" t="s">
        <v>380</v>
      </c>
      <c r="U623" s="171" t="s">
        <v>25</v>
      </c>
      <c r="V623" s="167" t="s">
        <v>371</v>
      </c>
      <c r="W623" s="172" t="s">
        <v>375</v>
      </c>
      <c r="X623" s="173">
        <f>IF(Y623="",VLOOKUP(H623,CLIENTS!$A$1:$O$649,5,FALSE),Y623)</f>
        <v>0</v>
      </c>
      <c r="Y623" s="174">
        <v>0</v>
      </c>
      <c r="Z623" s="173">
        <f>IF(AA623="",VLOOKUP(P623,CLIENTS!$A$1:$O$649,5,FALSE),AA623)</f>
        <v>5.0000000000000001E-3</v>
      </c>
      <c r="AA623" s="174">
        <v>5.0000000000000001E-3</v>
      </c>
      <c r="AB623" s="173" t="str">
        <f>IF(W623="via USD",IF(K623="EUR",K623&amp;"USD","USD"&amp;K623),IFERROR(VLOOKUP(K623&amp;S623,'FX RATES'!$H$2:$H$20,1,FALSE),S623&amp;K623))</f>
        <v>USDUSD</v>
      </c>
      <c r="AC623" s="175">
        <f>IF(LEFT(AB623,3)=RIGHT(AB623,3),0,IFERROR(INDEX(CLIENTS!$A$1:$O$649,MATCH(H623,CLIENTS!$A$1:$A$649,0),MATCH(AB623,CLIENTS!$A$1:$O$1,0)),0))</f>
        <v>0</v>
      </c>
      <c r="AD623" s="176"/>
      <c r="AE623" s="177">
        <f t="shared" si="723"/>
        <v>1</v>
      </c>
      <c r="AF623" s="177" t="str">
        <f t="shared" si="724"/>
        <v>46072USDUSD</v>
      </c>
      <c r="AG623" s="176"/>
      <c r="AH623" s="178">
        <f>IF(LEFT(AB623,3)=RIGHT(AB623,3),1,VLOOKUP(AB623,'FX RATES'!$H$1:$I$20,2,FALSE))</f>
        <v>1</v>
      </c>
      <c r="AI623" s="178">
        <f>IF(OR(AB623="USDAED",LEFT(AB623,3)=RIGHT(AB623,3)),AH623,IF(LEFT(AB623)="USD",AG623,IF(RIGHT(AB623,3)="USD",1,IFERROR(VLOOKUP(E623&amp;"USD"&amp;RIGHT(AB623,3),$AF:$AG,2,FALSE),VLOOKUP(E623&amp;"USD"&amp;RIGHT(AJ623,3),$AN:$AO,2,FALSE)))))</f>
        <v>1</v>
      </c>
      <c r="AJ623" s="173" t="str">
        <f>IF(W623="via USD",IF(S623="EUR",S623&amp;"USD","USD"&amp;S623),IFERROR(VLOOKUP(K623&amp;S623,'FX RATES'!$H$2:$H$20,1,FALSE),S623&amp;K623))</f>
        <v>USDRUB</v>
      </c>
      <c r="AK623" s="175">
        <f>IF(LEFT(AJ623,3)=RIGHT(AJ623,3),0,IFERROR(INDEX(CLIENTS!$A$1:$O$649,MATCH(P623,CLIENTS!$A$1:$A$649,0),MATCH(AJ623,CLIENTS!$A$1:$O$1,0)),0))</f>
        <v>0</v>
      </c>
      <c r="AL623" s="176">
        <v>76.1524</v>
      </c>
      <c r="AM623" s="177">
        <f t="shared" si="725"/>
        <v>76.1524</v>
      </c>
      <c r="AN623" s="177" t="str">
        <f t="shared" si="726"/>
        <v>46072USDRUB</v>
      </c>
      <c r="AO623" s="176">
        <v>76.599999999999994</v>
      </c>
      <c r="AP623" s="178">
        <f ca="1">IF(LEFT(AJ623,3)=RIGHT(AJ623,3),1,VLOOKUP(AJ623,'FX RATES'!$H$1:$I$20,2,FALSE))</f>
        <v>76.720500000000001</v>
      </c>
      <c r="AQ623" s="178">
        <f t="shared" si="727"/>
        <v>76.599999999999994</v>
      </c>
      <c r="AR623" s="179">
        <f>-Q623*(1-Z623)/(1+X623)*IF(W623="CLIENT",IF(S623=RIGHT(AJ623,3),1/AM623,AM623),IF(W623="VENDOR",IF(S623=RIGHT(AJ623,3),1/AE623,AE623),AE623^(VLOOKUP(AB623,'FX RATES'!$H$1:$J$26,3,FALSE))/AM623^(VLOOKUP(AJ623,'FX RATES'!$H$1:$J$26,3,FALSE))))</f>
        <v>0</v>
      </c>
      <c r="AS623" s="179">
        <f>-I623*(1+X623)/(1-Z623)*IF(W623="VENDOR",IF(K623=RIGHT(AB623,3),1/AE623,AE623),IF(W623="CLIENT",IF(K623=RIGHT(AB623,3),1/AM623,AM623),AM623^(VLOOKUP(AJ623,'FX RATES'!$H$1:$J$26,3,FALSE))/AE623^(VLOOKUP(AB623,'FX RATES'!$H$1:$J$26,3,FALSE))))</f>
        <v>107375790.94064322</v>
      </c>
      <c r="AT623" s="170">
        <f>IF(AB623&lt;&gt;AJ623,J623/IF(K623=RIGHT(AB623,3),AE623,1/AE623),IF(S623="USD",J623/IF(K623=RIGHT(AB623,3),IF(W623="CLIENT",AM623,AE623),1/IF(W623="CLIENT",AM623,AE623)),J623*VLOOKUP(K623,'FX RATES'!$E$1:$F$10,2,FALSE)))</f>
        <v>-1402961.85</v>
      </c>
      <c r="AU623" s="170">
        <f>IF(AB623&lt;&gt;AJ623,R623/IF(S623=RIGHT(AJ623,3),AM623,1/AM623),IF(K623="USD",R623/IF(S623=RIGHT(AJ623,3),IF(W623="CLIENT",AM623,AE623),1/IF(W623="CLIENT",AM623,AE623)),R623*VLOOKUP(S623,'FX RATES'!$E$1:$F$10,2,FALSE)))</f>
        <v>1410011.9095477387</v>
      </c>
      <c r="AV623" s="170">
        <f t="shared" si="728"/>
        <v>7050.0595477386378</v>
      </c>
      <c r="AW623" s="169"/>
      <c r="AX623" s="170">
        <f t="shared" si="729"/>
        <v>7050.0595477386942</v>
      </c>
      <c r="AY623" s="170">
        <f t="shared" si="730"/>
        <v>-1402961.85</v>
      </c>
      <c r="AZ623" s="170" t="str">
        <f t="shared" si="731"/>
        <v>USD</v>
      </c>
      <c r="BA623" s="542">
        <f>IF(OR(A623="REFUND",A623="CANCELLED"),0,IFERROR((IF(OR(AB623="USDAED",LEFT(AB623,3)=RIGHT(AB623,3)),AI623,AG623)-AE623)*-AY623*VLOOKUP(AB623,'FX RATES'!$H$1:$J$26,3,FALSE),0))</f>
        <v>0</v>
      </c>
      <c r="BB623" s="170" t="str">
        <f t="shared" si="732"/>
        <v>USD</v>
      </c>
      <c r="BC623" s="542">
        <f t="shared" si="733"/>
        <v>0</v>
      </c>
      <c r="BD623" s="170">
        <f t="shared" si="734"/>
        <v>0</v>
      </c>
      <c r="BE623" s="542">
        <f t="shared" si="735"/>
        <v>0</v>
      </c>
      <c r="BF623" s="170">
        <f t="shared" si="736"/>
        <v>1410011.9095477387</v>
      </c>
      <c r="BG623" s="170" t="str">
        <f t="shared" si="737"/>
        <v>USD</v>
      </c>
      <c r="BH623" s="542">
        <f>IF(OR(A623="REFUND",A623="CANCELLED"),0,IFERROR((IF(OR(AJ623="USDAED",LEFT(AJ623,3)=RIGHT(AJ623,3)),AQ623,AO623)-AM623)*-BF623*VLOOKUP(AJ623,'FX RATES'!$H$1:$J$26,3,FALSE),0))</f>
        <v>-631121.33071355976</v>
      </c>
      <c r="BI623" s="170" t="str">
        <f t="shared" si="738"/>
        <v>RUB</v>
      </c>
      <c r="BJ623" s="542">
        <f t="shared" si="739"/>
        <v>-8239.181863101303</v>
      </c>
      <c r="BK623" s="170">
        <f t="shared" si="740"/>
        <v>0</v>
      </c>
      <c r="BL623" s="542">
        <f t="shared" si="741"/>
        <v>-8239.181863101303</v>
      </c>
      <c r="BM623" s="170">
        <f t="shared" si="742"/>
        <v>0</v>
      </c>
      <c r="BN623" s="542">
        <f t="shared" si="743"/>
        <v>-8239.181863101303</v>
      </c>
    </row>
    <row r="624" spans="1:66" ht="19.5" customHeight="1">
      <c r="A624" s="167" t="s">
        <v>601</v>
      </c>
      <c r="B624" s="168" t="s">
        <v>39</v>
      </c>
      <c r="C624" s="168" t="s">
        <v>367</v>
      </c>
      <c r="D624" s="181" t="s">
        <v>368</v>
      </c>
      <c r="E624" s="171">
        <v>46072</v>
      </c>
      <c r="F624" s="171" t="s">
        <v>625</v>
      </c>
      <c r="G624" s="168" t="s">
        <v>39</v>
      </c>
      <c r="H624" s="181" t="s">
        <v>425</v>
      </c>
      <c r="I624" s="169">
        <v>-2128242.42</v>
      </c>
      <c r="J624" s="170">
        <f t="shared" si="722"/>
        <v>-2128242.42</v>
      </c>
      <c r="K624" s="168" t="s">
        <v>5</v>
      </c>
      <c r="L624" s="168" t="s">
        <v>426</v>
      </c>
      <c r="M624" s="168" t="s">
        <v>20</v>
      </c>
      <c r="N624" s="167" t="s">
        <v>639</v>
      </c>
      <c r="O624" s="168" t="s">
        <v>52</v>
      </c>
      <c r="P624" s="349" t="s">
        <v>379</v>
      </c>
      <c r="Q624" s="169">
        <v>162885194.03999999</v>
      </c>
      <c r="R624" s="170">
        <f>IF(Q624="",AS624,Q624)</f>
        <v>162885194.03999999</v>
      </c>
      <c r="S624" s="168" t="s">
        <v>9</v>
      </c>
      <c r="T624" s="171" t="s">
        <v>380</v>
      </c>
      <c r="U624" s="171" t="s">
        <v>25</v>
      </c>
      <c r="V624" s="167" t="s">
        <v>371</v>
      </c>
      <c r="W624" s="172" t="s">
        <v>375</v>
      </c>
      <c r="X624" s="173">
        <f>IF(Y624="",VLOOKUP(H624,CLIENTS!$A$1:$O$649,5,FALSE),Y624)</f>
        <v>0</v>
      </c>
      <c r="Y624" s="174">
        <v>0</v>
      </c>
      <c r="Z624" s="173">
        <f>IF(AA624="",VLOOKUP(P624,CLIENTS!$A$1:$O$649,5,FALSE),AA624)</f>
        <v>5.0000000000000001E-3</v>
      </c>
      <c r="AA624" s="174">
        <v>5.0000000000000001E-3</v>
      </c>
      <c r="AB624" s="173" t="str">
        <f>IF(W624="via USD",IF(K624="EUR",K624&amp;"USD","USD"&amp;K624),IFERROR(VLOOKUP(K624&amp;S624,'FX RATES'!$H$2:$H$20,1,FALSE),S624&amp;K624))</f>
        <v>USDUSD</v>
      </c>
      <c r="AC624" s="175">
        <f>IF(LEFT(AB624,3)=RIGHT(AB624,3),0,IFERROR(INDEX(CLIENTS!$A$1:$O$649,MATCH(H624,CLIENTS!$A$1:$A$649,0),MATCH(AB624,CLIENTS!$A$1:$O$1,0)),0))</f>
        <v>0</v>
      </c>
      <c r="AD624" s="176"/>
      <c r="AE624" s="177">
        <f t="shared" si="723"/>
        <v>1</v>
      </c>
      <c r="AF624" s="177" t="str">
        <f t="shared" si="724"/>
        <v>46072USDUSD</v>
      </c>
      <c r="AG624" s="176"/>
      <c r="AH624" s="178">
        <f>IF(LEFT(AB624,3)=RIGHT(AB624,3),1,VLOOKUP(AB624,'FX RATES'!$H$1:$I$20,2,FALSE))</f>
        <v>1</v>
      </c>
      <c r="AI624" s="178">
        <f>IF(OR(AB624="USDAED",LEFT(AB624,3)=RIGHT(AB624,3)),AH624,IF(LEFT(AB624)="USD",AG624,IF(RIGHT(AB624,3)="USD",1,IFERROR(VLOOKUP(E624&amp;"USD"&amp;RIGHT(AB624,3),$AF:$AG,2,FALSE),VLOOKUP(E624&amp;"USD"&amp;RIGHT(AJ624,3),$AN:$AO,2,FALSE)))))</f>
        <v>1</v>
      </c>
      <c r="AJ624" s="173" t="str">
        <f>IF(W624="via USD",IF(S624="EUR",S624&amp;"USD","USD"&amp;S624),IFERROR(VLOOKUP(K624&amp;S624,'FX RATES'!$H$2:$H$20,1,FALSE),S624&amp;K624))</f>
        <v>USDRUB</v>
      </c>
      <c r="AK624" s="175">
        <f>IF(LEFT(AJ624,3)=RIGHT(AJ624,3),0,IFERROR(INDEX(CLIENTS!$A$1:$O$649,MATCH(P624,CLIENTS!$A$1:$A$649,0),MATCH(AJ624,CLIENTS!$A$1:$O$1,0)),0))</f>
        <v>0</v>
      </c>
      <c r="AL624" s="176">
        <v>76.1524</v>
      </c>
      <c r="AM624" s="177">
        <f t="shared" si="725"/>
        <v>76.1524</v>
      </c>
      <c r="AN624" s="177" t="str">
        <f t="shared" si="726"/>
        <v>46072USDRUB</v>
      </c>
      <c r="AO624" s="176">
        <v>76.599999999999994</v>
      </c>
      <c r="AP624" s="178">
        <f ca="1">IF(LEFT(AJ624,3)=RIGHT(AJ624,3),1,VLOOKUP(AJ624,'FX RATES'!$H$1:$I$20,2,FALSE))</f>
        <v>76.720500000000001</v>
      </c>
      <c r="AQ624" s="178">
        <f t="shared" si="727"/>
        <v>76.599999999999994</v>
      </c>
      <c r="AR624" s="179">
        <f>-Q624*(1-Z624)/(1+X624)*IF(W624="CLIENT",IF(S624=RIGHT(AJ624,3),1/AM624,AM624),IF(W624="VENDOR",IF(S624=RIGHT(AJ624,3),1/AE624,AE624),AE624^(VLOOKUP(AB624,'FX RATES'!$H$1:$J$26,3,FALSE))/AM624^(VLOOKUP(AJ624,'FX RATES'!$H$1:$J$26,3,FALSE))))</f>
        <v>-2128242.4200655529</v>
      </c>
      <c r="AS624" s="179">
        <f>-I624*(1+X624)/(1-Z624)*IF(W624="VENDOR",IF(K624=RIGHT(AB624,3),1/AE624,AE624),IF(W624="CLIENT",IF(K624=RIGHT(AB624,3),1/AM624,AM624),AM624^(VLOOKUP(AJ624,'FX RATES'!$H$1:$J$26,3,FALSE))/AE624^(VLOOKUP(AB624,'FX RATES'!$H$1:$J$26,3,FALSE))))</f>
        <v>162885194.03498289</v>
      </c>
      <c r="AT624" s="170">
        <f>IF(AB624&lt;&gt;AJ624,J624/IF(K624=RIGHT(AB624,3),AE624,1/AE624),IF(S624="USD",J624/IF(K624=RIGHT(AB624,3),IF(W624="CLIENT",AM624,AE624),1/IF(W624="CLIENT",AM624,AE624)),J624*VLOOKUP(K624,'FX RATES'!$E$1:$F$10,2,FALSE)))</f>
        <v>-2128242.42</v>
      </c>
      <c r="AU624" s="170">
        <f>IF(AB624&lt;&gt;AJ624,R624/IF(S624=RIGHT(AJ624,3),AM624,1/AM624),IF(K624="USD",R624/IF(S624=RIGHT(AJ624,3),IF(W624="CLIENT",AM624,AE624),1/IF(W624="CLIENT",AM624,AE624)),R624*VLOOKUP(S624,'FX RATES'!$E$1:$F$10,2,FALSE)))</f>
        <v>2138937.1055935202</v>
      </c>
      <c r="AV624" s="170">
        <f t="shared" si="728"/>
        <v>10694.685593520291</v>
      </c>
      <c r="AW624" s="169"/>
      <c r="AX624" s="170">
        <f t="shared" si="729"/>
        <v>10694.685527967602</v>
      </c>
      <c r="AY624" s="170">
        <f t="shared" si="730"/>
        <v>-2128242.42</v>
      </c>
      <c r="AZ624" s="170" t="str">
        <f t="shared" si="731"/>
        <v>USD</v>
      </c>
      <c r="BA624" s="542">
        <f>IF(OR(A624="REFUND",A624="CANCELLED"),0,IFERROR((IF(OR(AB624="USDAED",LEFT(AB624,3)=RIGHT(AB624,3)),AI624,AG624)-AE624)*-AY624*VLOOKUP(AB624,'FX RATES'!$H$1:$J$26,3,FALSE),0))</f>
        <v>0</v>
      </c>
      <c r="BB624" s="170" t="str">
        <f t="shared" si="732"/>
        <v>USD</v>
      </c>
      <c r="BC624" s="542">
        <f t="shared" si="733"/>
        <v>0</v>
      </c>
      <c r="BD624" s="170">
        <f t="shared" si="734"/>
        <v>0</v>
      </c>
      <c r="BE624" s="542">
        <f t="shared" si="735"/>
        <v>0</v>
      </c>
      <c r="BF624" s="170">
        <f t="shared" si="736"/>
        <v>2138937.1055935202</v>
      </c>
      <c r="BG624" s="170" t="str">
        <f t="shared" si="737"/>
        <v>USD</v>
      </c>
      <c r="BH624" s="542">
        <f>IF(OR(A624="REFUND",A624="CANCELLED"),0,IFERROR((IF(OR(AJ624="USDAED",LEFT(AJ624,3)=RIGHT(AJ624,3)),AQ624,AO624)-AM624)*-BF624*VLOOKUP(AJ624,'FX RATES'!$H$1:$J$26,3,FALSE),0))</f>
        <v>-957388.24846364732</v>
      </c>
      <c r="BI624" s="170" t="str">
        <f t="shared" si="738"/>
        <v>RUB</v>
      </c>
      <c r="BJ624" s="542">
        <f t="shared" si="739"/>
        <v>-12498.541102658583</v>
      </c>
      <c r="BK624" s="170">
        <f t="shared" si="740"/>
        <v>0</v>
      </c>
      <c r="BL624" s="542">
        <f t="shared" si="741"/>
        <v>-12498.541102658583</v>
      </c>
      <c r="BM624" s="170">
        <f t="shared" si="742"/>
        <v>0</v>
      </c>
      <c r="BN624" s="542">
        <f t="shared" si="743"/>
        <v>-12498.541102658583</v>
      </c>
    </row>
    <row r="625" spans="1:66" ht="19.5" customHeight="1">
      <c r="A625" s="167" t="s">
        <v>488</v>
      </c>
      <c r="B625" s="168" t="s">
        <v>52</v>
      </c>
      <c r="C625" s="168" t="s">
        <v>489</v>
      </c>
      <c r="D625" s="168" t="s">
        <v>128</v>
      </c>
      <c r="E625" s="171">
        <v>46072</v>
      </c>
      <c r="F625" s="171"/>
      <c r="G625" s="168" t="s">
        <v>52</v>
      </c>
      <c r="H625" s="181" t="s">
        <v>52</v>
      </c>
      <c r="I625" s="169">
        <f>-(R622+R623+R624+J626+J627)</f>
        <v>-2487065.12613675</v>
      </c>
      <c r="J625" s="170">
        <f t="shared" si="722"/>
        <v>-2487065.12613675</v>
      </c>
      <c r="K625" s="168" t="s">
        <v>9</v>
      </c>
      <c r="L625" s="171"/>
      <c r="M625" s="168"/>
      <c r="N625" s="167" t="s">
        <v>371</v>
      </c>
      <c r="O625" s="168" t="s">
        <v>52</v>
      </c>
      <c r="P625" s="168" t="s">
        <v>52</v>
      </c>
      <c r="Q625" s="169"/>
      <c r="R625" s="170">
        <f t="shared" ref="R625" si="744">IF(Q625="",AS625,Q625)</f>
        <v>32468.213134944519</v>
      </c>
      <c r="S625" s="168" t="s">
        <v>5</v>
      </c>
      <c r="T625" s="171"/>
      <c r="U625" s="168"/>
      <c r="V625" s="167" t="s">
        <v>371</v>
      </c>
      <c r="W625" s="172" t="s">
        <v>382</v>
      </c>
      <c r="X625" s="173">
        <f>IF(Y625="",VLOOKUP(H625,CLIENTS!$A$1:$O$649,5,FALSE),Y625)</f>
        <v>0</v>
      </c>
      <c r="Y625" s="174"/>
      <c r="Z625" s="173">
        <f>IF(AA625="",VLOOKUP(P625,CLIENTS!$A$1:$O$649,5,FALSE),AA625)</f>
        <v>0</v>
      </c>
      <c r="AA625" s="174"/>
      <c r="AB625" s="173" t="str">
        <f>IF(W625="via USD",IF(K625="EUR",K625&amp;"USD","USD"&amp;K625),IFERROR(VLOOKUP(K625&amp;S625,'FX RATES'!$H$2:$H$20,1,FALSE),S625&amp;K625))</f>
        <v>USDRUB</v>
      </c>
      <c r="AC625" s="175">
        <f>IF(LEFT(AB625,3)=RIGHT(AB625,3),0,IFERROR(INDEX(CLIENTS!$A$1:$O$649,MATCH(H625,CLIENTS!$A$1:$A$649,0),MATCH(AB625,CLIENTS!$A$1:$O$1,0)),0))</f>
        <v>0</v>
      </c>
      <c r="AD625" s="176">
        <v>76.599999999999994</v>
      </c>
      <c r="AE625" s="177">
        <f t="shared" si="723"/>
        <v>76.599999999999994</v>
      </c>
      <c r="AF625" s="177" t="str">
        <f t="shared" si="724"/>
        <v>46072USDRUB</v>
      </c>
      <c r="AG625" s="176">
        <v>76.599999999999994</v>
      </c>
      <c r="AH625" s="178">
        <f ca="1">IF(LEFT(AB625,3)=RIGHT(AB625,3),1,VLOOKUP(AB625,'FX RATES'!$H$1:$I$20,2,FALSE))</f>
        <v>76.720500000000001</v>
      </c>
      <c r="AI625" s="178">
        <f>IF(OR(AB625="USDAED",LEFT(AB625,3)=RIGHT(AB625,3),AB625="USDUSDT",AB625="USDTUSD"),AH625,IF(LEFT(AB625)="USD",AG625,IF(RIGHT(AB625,3)="USD",1,IFERROR(VLOOKUP(E625&amp;"USD"&amp;RIGHT(AB625,3),$AF:$AG,2,FALSE),VLOOKUP(E625&amp;"USD"&amp;RIGHT(AJ625,3),$AN:$AO,2,FALSE)))))</f>
        <v>76.599999999999994</v>
      </c>
      <c r="AJ625" s="173" t="str">
        <f>IF(W625="via USD",IF(S625="EUR",S625&amp;"USD","USD"&amp;S625),IFERROR(VLOOKUP(K625&amp;S625,'FX RATES'!$H$2:$H$20,1,FALSE),S625&amp;K625))</f>
        <v>USDRUB</v>
      </c>
      <c r="AK625" s="175">
        <f>IF(LEFT(AJ625,3)=RIGHT(AJ625,3),0,IFERROR(INDEX(CLIENTS!$A$1:$O$649,MATCH(P625,CLIENTS!$A$1:$A$649,0),MATCH(AJ625,CLIENTS!$A$1:$O$1,0)),0))</f>
        <v>0</v>
      </c>
      <c r="AL625" s="176"/>
      <c r="AM625" s="177" t="str">
        <f t="shared" si="725"/>
        <v/>
      </c>
      <c r="AN625" s="177" t="str">
        <f t="shared" si="726"/>
        <v>46072USDRUB</v>
      </c>
      <c r="AO625" s="176">
        <v>76.599999999999994</v>
      </c>
      <c r="AP625" s="178">
        <f ca="1">IF(LEFT(AJ625,3)=RIGHT(AJ625,3),1,VLOOKUP(AJ625,'FX RATES'!$H$1:$I$20,2,FALSE))</f>
        <v>76.720500000000001</v>
      </c>
      <c r="AQ625" s="178">
        <f t="shared" si="727"/>
        <v>76.599999999999994</v>
      </c>
      <c r="AR625" s="179">
        <f>-Q625*(1-Z625)/(1+X625)*IF(W625="CLIENT",IF(S625=RIGHT(AJ625,3),1/AM625,AM625),IF(W625="VENDOR",IF(S625=RIGHT(AJ625,3),1/AE625,AE625),AE625^(VLOOKUP(AB625,'FX RATES'!$H$1:$J$26,3,FALSE))/AM625^(VLOOKUP(AJ625,'FX RATES'!$H$1:$J$26,3,FALSE))))</f>
        <v>0</v>
      </c>
      <c r="AS625" s="179">
        <f>-I625*(1+X625)/(1-Z625)*IF(W625="VENDOR",IF(K625=RIGHT(AB625,3),1/AE625,AE625),IF(W625="CLIENT",IF(K625=RIGHT(AB625,3),1/AM625,AM625),AM625^(VLOOKUP(AJ625,'FX RATES'!$H$1:$J$26,3,FALSE))/AE625^(VLOOKUP(AB625,'FX RATES'!$H$1:$J$26,3,FALSE))))</f>
        <v>32468.213134944519</v>
      </c>
      <c r="AT625" s="170">
        <f>IF(AB625&lt;&gt;AJ625,J625/IF(K625=RIGHT(AB625,3),AE625,1/AE625),IF(S625="USD",J625/IF(K625=RIGHT(AB625,3),IF(W625="CLIENT",AM625,AE625),1/IF(W625="CLIENT",AM625,AE625)),J625*VLOOKUP(K625,'FX RATES'!$E$1:$F$10,2,FALSE)))</f>
        <v>-32468.213134944519</v>
      </c>
      <c r="AU625" s="170">
        <f>IF(AB625&lt;&gt;AJ625,R625/IF(S625=RIGHT(AJ625,3),AM625,1/AM625),IF(K625="USD",R625/IF(S625=RIGHT(AJ625,3),IF(W625="CLIENT",AM625,AE625),1/IF(W625="CLIENT",AM625,AE625)),R625*VLOOKUP(S625,'FX RATES'!$E$1:$F$10,2,FALSE)))</f>
        <v>32468.213134944519</v>
      </c>
      <c r="AV625" s="170">
        <f t="shared" si="728"/>
        <v>0</v>
      </c>
      <c r="AW625" s="169"/>
      <c r="AX625" s="170">
        <f t="shared" si="729"/>
        <v>0</v>
      </c>
      <c r="AY625" s="170">
        <f t="shared" si="730"/>
        <v>-32468.213134944519</v>
      </c>
      <c r="AZ625" s="170" t="str">
        <f t="shared" si="731"/>
        <v>USD</v>
      </c>
      <c r="BA625" s="542">
        <f>IF(OR(A625="REFUND",A625="CANCELLED"),0,IFERROR((IF(OR(AB625="USDAED",LEFT(AB625,3)=RIGHT(AB625,3)),AI625,AG625)-AE625)*-AY625*VLOOKUP(AB625,'FX RATES'!$H$1:$J$26,3,FALSE),0))</f>
        <v>0</v>
      </c>
      <c r="BB625" s="170" t="str">
        <f t="shared" si="732"/>
        <v>RUB</v>
      </c>
      <c r="BC625" s="542">
        <f t="shared" si="733"/>
        <v>0</v>
      </c>
      <c r="BD625" s="170">
        <f t="shared" si="734"/>
        <v>0</v>
      </c>
      <c r="BE625" s="542">
        <f t="shared" si="735"/>
        <v>0</v>
      </c>
      <c r="BF625" s="170">
        <f t="shared" si="736"/>
        <v>32468.213134944519</v>
      </c>
      <c r="BG625" s="170" t="str">
        <f t="shared" si="737"/>
        <v>USD</v>
      </c>
      <c r="BH625" s="542">
        <f>IF(OR(A625="REFUND",A625="CANCELLED"),0,IFERROR((IF(OR(AJ625="USDAED",LEFT(AJ625,3)=RIGHT(AJ625,3)),AQ625,AO625)-AM625)*-BF625*VLOOKUP(AJ625,'FX RATES'!$H$1:$J$26,3,FALSE),0))</f>
        <v>0</v>
      </c>
      <c r="BI625" s="170" t="str">
        <f t="shared" si="738"/>
        <v>RUB</v>
      </c>
      <c r="BJ625" s="542">
        <f t="shared" si="739"/>
        <v>0</v>
      </c>
      <c r="BK625" s="170">
        <f t="shared" si="740"/>
        <v>0</v>
      </c>
      <c r="BL625" s="542">
        <f t="shared" si="741"/>
        <v>0</v>
      </c>
      <c r="BM625" s="170">
        <f t="shared" si="742"/>
        <v>0</v>
      </c>
      <c r="BN625" s="542">
        <f t="shared" si="743"/>
        <v>0</v>
      </c>
    </row>
    <row r="626" spans="1:66" ht="19.5" customHeight="1">
      <c r="A626" s="167" t="s">
        <v>601</v>
      </c>
      <c r="B626" s="168" t="s">
        <v>52</v>
      </c>
      <c r="C626" s="168" t="s">
        <v>383</v>
      </c>
      <c r="D626" s="168" t="s">
        <v>465</v>
      </c>
      <c r="E626" s="171">
        <v>46072</v>
      </c>
      <c r="F626" s="171" t="s">
        <v>628</v>
      </c>
      <c r="G626" s="168" t="s">
        <v>52</v>
      </c>
      <c r="H626" s="168" t="s">
        <v>524</v>
      </c>
      <c r="I626" s="169"/>
      <c r="J626" s="170">
        <f t="shared" si="722"/>
        <v>-209850924.02450648</v>
      </c>
      <c r="K626" s="168" t="s">
        <v>9</v>
      </c>
      <c r="L626" s="171" t="s">
        <v>525</v>
      </c>
      <c r="M626" s="168" t="s">
        <v>25</v>
      </c>
      <c r="N626" s="167" t="s">
        <v>553</v>
      </c>
      <c r="O626" s="168" t="s">
        <v>34</v>
      </c>
      <c r="P626" s="349" t="s">
        <v>526</v>
      </c>
      <c r="Q626" s="169">
        <v>10100000</v>
      </c>
      <c r="R626" s="170">
        <f>IF(Q626="",AS626,Q626)</f>
        <v>10100000</v>
      </c>
      <c r="S626" s="168" t="s">
        <v>8</v>
      </c>
      <c r="T626" s="171" t="s">
        <v>15</v>
      </c>
      <c r="U626" s="168" t="s">
        <v>15</v>
      </c>
      <c r="V626" s="167" t="s">
        <v>371</v>
      </c>
      <c r="W626" s="172" t="s">
        <v>375</v>
      </c>
      <c r="X626" s="173">
        <f>IF(Y626="",VLOOKUP(H626,CLIENTS!$A$1:$O$649,5,FALSE),Y626)</f>
        <v>0</v>
      </c>
      <c r="Y626" s="174">
        <v>0</v>
      </c>
      <c r="Z626" s="173">
        <f>IF(AA626="",VLOOKUP(P626,CLIENTS!$A$1:$O$649,5,FALSE),AA626)</f>
        <v>-2E-3</v>
      </c>
      <c r="AA626" s="174">
        <v>-2E-3</v>
      </c>
      <c r="AB626" s="173" t="str">
        <f>IF(W626="via USD",IF(K626="EUR",K626&amp;"USD","USD"&amp;K626),IFERROR(VLOOKUP(K626&amp;S626,'FX RATES'!$H$2:$H$20,1,FALSE),S626&amp;K626))</f>
        <v>USDRUB</v>
      </c>
      <c r="AC626" s="175">
        <f>IF(LEFT(AB626,3)=RIGHT(AB626,3),0,IFERROR(INDEX(CLIENTS!$A$1:$O$649,MATCH(H626,CLIENTS!$A$1:$A$649,0),MATCH(AB626,CLIENTS!$A$1:$O$1,0)),0))</f>
        <v>0</v>
      </c>
      <c r="AD626" s="176">
        <v>76.1524</v>
      </c>
      <c r="AE626" s="177">
        <f t="shared" si="723"/>
        <v>76.1524</v>
      </c>
      <c r="AF626" s="177" t="str">
        <f t="shared" si="724"/>
        <v>46072USDRUB</v>
      </c>
      <c r="AG626" s="176">
        <v>76.599999999999994</v>
      </c>
      <c r="AH626" s="178">
        <f ca="1">IF(LEFT(AB626,3)=RIGHT(AB626,3),1,VLOOKUP(AB626,'FX RATES'!$H$1:$I$20,2,FALSE))</f>
        <v>76.720500000000001</v>
      </c>
      <c r="AI626" s="178">
        <f>IF(OR(AB626="USDAED",LEFT(AB626,3)=RIGHT(AB626,3)),AH626,IF(LEFT(AB626)="USD",AG626,IF(RIGHT(AB626,3)="USD",1,IFERROR(VLOOKUP(E626&amp;"USD"&amp;RIGHT(AB626,3),$AF:$AG,2,FALSE),VLOOKUP(E626&amp;"USD"&amp;RIGHT(AJ626,3),$AN:$AO,2,FALSE)))))</f>
        <v>76.599999999999994</v>
      </c>
      <c r="AJ626" s="173" t="str">
        <f>IF(W626="via USD",IF(S626="EUR",S626&amp;"USD","USD"&amp;S626),IFERROR(VLOOKUP(K626&amp;S626,'FX RATES'!$H$2:$H$20,1,FALSE),S626&amp;K626))</f>
        <v>USDAED</v>
      </c>
      <c r="AK626" s="175">
        <f>IF(LEFT(AJ626,3)=RIGHT(AJ626,3),0,IFERROR(INDEX(CLIENTS!$A$1:$O$649,MATCH(P626,CLIENTS!$A$1:$A$649,0),MATCH(AJ626,CLIENTS!$A$1:$O$1,0)),0))</f>
        <v>0</v>
      </c>
      <c r="AL626" s="176">
        <v>3.6724999999999999</v>
      </c>
      <c r="AM626" s="177">
        <f t="shared" si="725"/>
        <v>3.6724999999999999</v>
      </c>
      <c r="AN626" s="177" t="str">
        <f t="shared" si="726"/>
        <v>46072USDAED</v>
      </c>
      <c r="AO626" s="176">
        <v>3.6724999999999999</v>
      </c>
      <c r="AP626" s="178">
        <f>IF(LEFT(AJ626,3)=RIGHT(AJ626,3),1,VLOOKUP(AJ626,'FX RATES'!$H$1:$I$20,2,FALSE))</f>
        <v>3.6724999999999999</v>
      </c>
      <c r="AQ626" s="178">
        <f t="shared" si="727"/>
        <v>3.6724999999999999</v>
      </c>
      <c r="AR626" s="179">
        <f>-Q626*(1-Z626)/(1+X626)*IF(W626="CLIENT",IF(S626=RIGHT(AJ626,3),1/AM626,AM626),IF(W626="VENDOR",IF(S626=RIGHT(AJ626,3),1/AE626,AE626),AE626^(VLOOKUP(AB626,'FX RATES'!$H$1:$J$26,3,FALSE))/AM626^(VLOOKUP(AJ626,'FX RATES'!$H$1:$J$26,3,FALSE))))</f>
        <v>-209850924.02450648</v>
      </c>
      <c r="AS626" s="179">
        <f>-I626*(1+X626)/(1-Z626)*IF(W626="VENDOR",IF(K626=RIGHT(AB626,3),1/AE626,AE626),IF(W626="CLIENT",IF(K626=RIGHT(AB626,3),1/AM626,AM626),AM626^(VLOOKUP(AJ626,'FX RATES'!$H$1:$J$26,3,FALSE))/AE626^(VLOOKUP(AB626,'FX RATES'!$H$1:$J$26,3,FALSE))))</f>
        <v>0</v>
      </c>
      <c r="AT626" s="170">
        <f>IF(AB626&lt;&gt;AJ626,J626/IF(K626=RIGHT(AB626,3),AE626,1/AE626),IF(S626="USD",J626/IF(K626=RIGHT(AB626,3),IF(W626="CLIENT",AM626,AE626),1/IF(W626="CLIENT",AM626,AE626)),J626*VLOOKUP(K626,'FX RATES'!$E$1:$F$10,2,FALSE)))</f>
        <v>-2755670.5241660997</v>
      </c>
      <c r="AU626" s="170">
        <f>IF(AB626&lt;&gt;AJ626,R626/IF(S626=RIGHT(AJ626,3),AM626,1/AM626),IF(K626="USD",R626/IF(S626=RIGHT(AJ626,3),IF(W626="CLIENT",AM626,AE626),1/IF(W626="CLIENT",AM626,AE626)),R626*VLOOKUP(S626,'FX RATES'!$E$1:$F$10,2,FALSE)))</f>
        <v>2750170.1837985027</v>
      </c>
      <c r="AV626" s="170">
        <f t="shared" si="728"/>
        <v>-5500.3403675970621</v>
      </c>
      <c r="AW626" s="169"/>
      <c r="AX626" s="170">
        <f t="shared" si="729"/>
        <v>-5500.3403675970058</v>
      </c>
      <c r="AY626" s="170">
        <f t="shared" si="730"/>
        <v>-2755670.5241660997</v>
      </c>
      <c r="AZ626" s="170" t="str">
        <f t="shared" si="731"/>
        <v>USD</v>
      </c>
      <c r="BA626" s="542">
        <f>IF(OR(A626="REFUND",A626="CANCELLED"),0,IFERROR((IF(OR(AB626="USDAED",LEFT(AB626,3)=RIGHT(AB626,3)),AI626,AG626)-AE626)*-AY626*VLOOKUP(AB626,'FX RATES'!$H$1:$J$26,3,FALSE),0))</f>
        <v>1233438.1266167304</v>
      </c>
      <c r="BB626" s="170" t="str">
        <f t="shared" si="732"/>
        <v>RUB</v>
      </c>
      <c r="BC626" s="542">
        <f t="shared" si="733"/>
        <v>16102.32541275105</v>
      </c>
      <c r="BD626" s="170">
        <f t="shared" si="734"/>
        <v>0</v>
      </c>
      <c r="BE626" s="542">
        <f t="shared" si="735"/>
        <v>16102.32541275105</v>
      </c>
      <c r="BF626" s="170">
        <f t="shared" si="736"/>
        <v>2750170.1837985027</v>
      </c>
      <c r="BG626" s="170" t="str">
        <f t="shared" si="737"/>
        <v>USD</v>
      </c>
      <c r="BH626" s="542">
        <f>IF(OR(A626="REFUND",A626="CANCELLED"),0,IFERROR((IF(OR(AJ626="USDAED",LEFT(AJ626,3)=RIGHT(AJ626,3)),AQ626,AO626)-AM626)*-BF626*VLOOKUP(AJ626,'FX RATES'!$H$1:$J$26,3,FALSE),0))</f>
        <v>0</v>
      </c>
      <c r="BI626" s="170" t="str">
        <f t="shared" si="738"/>
        <v>AED</v>
      </c>
      <c r="BJ626" s="542">
        <f t="shared" si="739"/>
        <v>0</v>
      </c>
      <c r="BK626" s="170">
        <f t="shared" si="740"/>
        <v>0</v>
      </c>
      <c r="BL626" s="542">
        <f t="shared" si="741"/>
        <v>0</v>
      </c>
      <c r="BM626" s="170">
        <f t="shared" si="742"/>
        <v>0</v>
      </c>
      <c r="BN626" s="542">
        <f t="shared" si="743"/>
        <v>16102.32541275105</v>
      </c>
    </row>
    <row r="627" spans="1:66" ht="19.5" customHeight="1">
      <c r="A627" s="167" t="s">
        <v>601</v>
      </c>
      <c r="B627" s="168" t="s">
        <v>52</v>
      </c>
      <c r="C627" s="168" t="s">
        <v>383</v>
      </c>
      <c r="D627" s="168" t="s">
        <v>465</v>
      </c>
      <c r="E627" s="171">
        <v>46072</v>
      </c>
      <c r="F627" s="171" t="s">
        <v>628</v>
      </c>
      <c r="G627" s="168" t="s">
        <v>52</v>
      </c>
      <c r="H627" s="168" t="s">
        <v>523</v>
      </c>
      <c r="I627" s="169"/>
      <c r="J627" s="170">
        <f t="shared" si="722"/>
        <v>-68537160</v>
      </c>
      <c r="K627" s="168" t="s">
        <v>9</v>
      </c>
      <c r="L627" s="171" t="s">
        <v>411</v>
      </c>
      <c r="M627" s="168" t="s">
        <v>25</v>
      </c>
      <c r="N627" s="167" t="s">
        <v>553</v>
      </c>
      <c r="O627" s="168" t="s">
        <v>39</v>
      </c>
      <c r="P627" s="349" t="s">
        <v>466</v>
      </c>
      <c r="Q627" s="169">
        <f>900000*3.6725</f>
        <v>3305250</v>
      </c>
      <c r="R627" s="170">
        <f>IF(Q627="",AS627,Q627)</f>
        <v>3305250</v>
      </c>
      <c r="S627" s="168" t="s">
        <v>8</v>
      </c>
      <c r="T627" s="171" t="s">
        <v>40</v>
      </c>
      <c r="U627" s="168" t="s">
        <v>17</v>
      </c>
      <c r="V627" s="167" t="s">
        <v>371</v>
      </c>
      <c r="W627" s="172" t="s">
        <v>375</v>
      </c>
      <c r="X627" s="173">
        <f>IF(Y627="",VLOOKUP(H627,CLIENTS!$A$1:$O$649,5,FALSE),Y627)</f>
        <v>0</v>
      </c>
      <c r="Y627" s="174">
        <v>0</v>
      </c>
      <c r="Z627" s="173">
        <f>IF(AA627="",VLOOKUP(P627,CLIENTS!$A$1:$O$649,5,FALSE),AA627)</f>
        <v>0</v>
      </c>
      <c r="AA627" s="174">
        <v>0</v>
      </c>
      <c r="AB627" s="173" t="str">
        <f>IF(W627="via USD",IF(K627="EUR",K627&amp;"USD","USD"&amp;K627),IFERROR(VLOOKUP(K627&amp;S627,'FX RATES'!$H$2:$H$20,1,FALSE),S627&amp;K627))</f>
        <v>USDRUB</v>
      </c>
      <c r="AC627" s="175">
        <f>IF(LEFT(AB627,3)=RIGHT(AB627,3),0,IFERROR(INDEX(CLIENTS!$A$1:$O$649,MATCH(H627,CLIENTS!$A$1:$A$649,0),MATCH(AB627,CLIENTS!$A$1:$O$1,0)),0))</f>
        <v>0</v>
      </c>
      <c r="AD627" s="176">
        <v>76.1524</v>
      </c>
      <c r="AE627" s="177">
        <f t="shared" si="723"/>
        <v>76.1524</v>
      </c>
      <c r="AF627" s="177" t="str">
        <f t="shared" si="724"/>
        <v>46072USDRUB</v>
      </c>
      <c r="AG627" s="176">
        <v>76.599999999999994</v>
      </c>
      <c r="AH627" s="178">
        <f ca="1">IF(LEFT(AB627,3)=RIGHT(AB627,3),1,VLOOKUP(AB627,'FX RATES'!$H$1:$I$20,2,FALSE))</f>
        <v>76.720500000000001</v>
      </c>
      <c r="AI627" s="178">
        <f>IF(OR(AB627="USDAED",LEFT(AB627,3)=RIGHT(AB627,3)),AH627,IF(LEFT(AB627)="USD",AG627,IF(RIGHT(AB627,3)="USD",1,IFERROR(VLOOKUP(E627&amp;"USD"&amp;RIGHT(AB627,3),$AF:$AG,2,FALSE),VLOOKUP(E627&amp;"USD"&amp;RIGHT(AJ627,3),$AN:$AO,2,FALSE)))))</f>
        <v>76.599999999999994</v>
      </c>
      <c r="AJ627" s="173" t="str">
        <f>IF(W627="via USD",IF(S627="EUR",S627&amp;"USD","USD"&amp;S627),IFERROR(VLOOKUP(K627&amp;S627,'FX RATES'!$H$2:$H$20,1,FALSE),S627&amp;K627))</f>
        <v>USDAED</v>
      </c>
      <c r="AK627" s="175">
        <f>IF(LEFT(AJ627,3)=RIGHT(AJ627,3),0,IFERROR(INDEX(CLIENTS!$A$1:$O$649,MATCH(P627,CLIENTS!$A$1:$A$649,0),MATCH(AJ627,CLIENTS!$A$1:$O$1,0)),0))</f>
        <v>0</v>
      </c>
      <c r="AL627" s="176">
        <v>3.6724999999999999</v>
      </c>
      <c r="AM627" s="177">
        <f t="shared" si="725"/>
        <v>3.6724999999999999</v>
      </c>
      <c r="AN627" s="177" t="str">
        <f t="shared" si="726"/>
        <v>46072USDAED</v>
      </c>
      <c r="AO627" s="176">
        <v>3.6724999999999999</v>
      </c>
      <c r="AP627" s="178">
        <f>IF(LEFT(AJ627,3)=RIGHT(AJ627,3),1,VLOOKUP(AJ627,'FX RATES'!$H$1:$I$20,2,FALSE))</f>
        <v>3.6724999999999999</v>
      </c>
      <c r="AQ627" s="178">
        <f t="shared" si="727"/>
        <v>3.6724999999999999</v>
      </c>
      <c r="AR627" s="179">
        <f>-Q627*(1-Z627)/(1+X627)*IF(W627="CLIENT",IF(S627=RIGHT(AJ627,3),1/AM627,AM627),IF(W627="VENDOR",IF(S627=RIGHT(AJ627,3),1/AE627,AE627),AE627^(VLOOKUP(AB627,'FX RATES'!$H$1:$J$26,3,FALSE))/AM627^(VLOOKUP(AJ627,'FX RATES'!$H$1:$J$26,3,FALSE))))</f>
        <v>-68537160</v>
      </c>
      <c r="AS627" s="179">
        <f>-I627*(1+X627)/(1-Z627)*IF(W627="VENDOR",IF(K627=RIGHT(AB627,3),1/AE627,AE627),IF(W627="CLIENT",IF(K627=RIGHT(AB627,3),1/AM627,AM627),AM627^(VLOOKUP(AJ627,'FX RATES'!$H$1:$J$26,3,FALSE))/AE627^(VLOOKUP(AB627,'FX RATES'!$H$1:$J$26,3,FALSE))))</f>
        <v>0</v>
      </c>
      <c r="AT627" s="170">
        <f>IF(AB627&lt;&gt;AJ627,J627/IF(K627=RIGHT(AB627,3),AE627,1/AE627),IF(S627="USD",J627/IF(K627=RIGHT(AB627,3),IF(W627="CLIENT",AM627,AE627),1/IF(W627="CLIENT",AM627,AE627)),J627*VLOOKUP(K627,'FX RATES'!$E$1:$F$10,2,FALSE)))</f>
        <v>-900000</v>
      </c>
      <c r="AU627" s="170">
        <f>IF(AB627&lt;&gt;AJ627,R627/IF(S627=RIGHT(AJ627,3),AM627,1/AM627),IF(K627="USD",R627/IF(S627=RIGHT(AJ627,3),IF(W627="CLIENT",AM627,AE627),1/IF(W627="CLIENT",AM627,AE627)),R627*VLOOKUP(S627,'FX RATES'!$E$1:$F$10,2,FALSE)))</f>
        <v>900000</v>
      </c>
      <c r="AV627" s="170">
        <f t="shared" si="728"/>
        <v>0</v>
      </c>
      <c r="AW627" s="169"/>
      <c r="AX627" s="170">
        <f t="shared" si="729"/>
        <v>0</v>
      </c>
      <c r="AY627" s="170">
        <f t="shared" si="730"/>
        <v>-900000</v>
      </c>
      <c r="AZ627" s="170" t="str">
        <f t="shared" si="731"/>
        <v>USD</v>
      </c>
      <c r="BA627" s="542">
        <f>IF(OR(A627="REFUND",A627="CANCELLED"),0,IFERROR((IF(OR(AB627="USDAED",LEFT(AB627,3)=RIGHT(AB627,3)),AI627,AG627)-AE627)*-AY627*VLOOKUP(AB627,'FX RATES'!$H$1:$J$26,3,FALSE),0))</f>
        <v>402839.99999999482</v>
      </c>
      <c r="BB627" s="170" t="str">
        <f t="shared" si="732"/>
        <v>RUB</v>
      </c>
      <c r="BC627" s="542">
        <f t="shared" si="733"/>
        <v>5259.0078328981053</v>
      </c>
      <c r="BD627" s="170">
        <f t="shared" si="734"/>
        <v>0</v>
      </c>
      <c r="BE627" s="542">
        <f t="shared" si="735"/>
        <v>5259.0078328981053</v>
      </c>
      <c r="BF627" s="170">
        <f t="shared" si="736"/>
        <v>900000</v>
      </c>
      <c r="BG627" s="170" t="str">
        <f t="shared" si="737"/>
        <v>USD</v>
      </c>
      <c r="BH627" s="542">
        <f>IF(OR(A627="REFUND",A627="CANCELLED"),0,IFERROR((IF(OR(AJ627="USDAED",LEFT(AJ627,3)=RIGHT(AJ627,3)),AQ627,AO627)-AM627)*-BF627*VLOOKUP(AJ627,'FX RATES'!$H$1:$J$26,3,FALSE),0))</f>
        <v>0</v>
      </c>
      <c r="BI627" s="170" t="str">
        <f t="shared" si="738"/>
        <v>AED</v>
      </c>
      <c r="BJ627" s="542">
        <f t="shared" si="739"/>
        <v>0</v>
      </c>
      <c r="BK627" s="170">
        <f t="shared" si="740"/>
        <v>0</v>
      </c>
      <c r="BL627" s="542">
        <f t="shared" si="741"/>
        <v>0</v>
      </c>
      <c r="BM627" s="170">
        <f t="shared" si="742"/>
        <v>0</v>
      </c>
      <c r="BN627" s="542">
        <f t="shared" si="743"/>
        <v>5259.0078328981053</v>
      </c>
    </row>
    <row r="628" spans="1:66" ht="19.5" customHeight="1">
      <c r="A628" s="180"/>
      <c r="E628" s="180"/>
      <c r="F628" s="180"/>
      <c r="L628" s="180"/>
      <c r="M628" s="180"/>
      <c r="N628" s="180"/>
      <c r="O628" s="180"/>
      <c r="P628" s="180"/>
      <c r="V628" s="180"/>
      <c r="W628" s="180"/>
      <c r="BA628" s="180"/>
      <c r="BC628" s="180"/>
      <c r="BE628" s="180"/>
      <c r="BH628" s="180"/>
      <c r="BJ628" s="180"/>
      <c r="BL628" s="180"/>
      <c r="BN628" s="180"/>
    </row>
    <row r="629" spans="1:66" ht="19.5" customHeight="1">
      <c r="A629" s="167" t="s">
        <v>601</v>
      </c>
      <c r="B629" s="168" t="s">
        <v>39</v>
      </c>
      <c r="C629" s="168" t="s">
        <v>367</v>
      </c>
      <c r="D629" s="181" t="s">
        <v>368</v>
      </c>
      <c r="E629" s="171">
        <v>46072</v>
      </c>
      <c r="F629" s="171" t="s">
        <v>625</v>
      </c>
      <c r="G629" s="168" t="s">
        <v>39</v>
      </c>
      <c r="H629" s="181" t="s">
        <v>644</v>
      </c>
      <c r="I629" s="169">
        <v>-216997.74</v>
      </c>
      <c r="J629" s="170">
        <f t="shared" ref="J629:J637" si="745">IF(I629="",AR629,I629)</f>
        <v>-216997.74</v>
      </c>
      <c r="K629" s="168" t="s">
        <v>5</v>
      </c>
      <c r="L629" s="168" t="s">
        <v>645</v>
      </c>
      <c r="M629" s="168" t="s">
        <v>20</v>
      </c>
      <c r="N629" s="167" t="s">
        <v>639</v>
      </c>
      <c r="O629" s="168" t="s">
        <v>39</v>
      </c>
      <c r="P629" s="168" t="s">
        <v>379</v>
      </c>
      <c r="Q629" s="169"/>
      <c r="R629" s="170">
        <f t="shared" ref="R629:R635" si="746">IF(Q629="",AS629,Q629)</f>
        <v>16705554.65728643</v>
      </c>
      <c r="S629" s="168" t="s">
        <v>9</v>
      </c>
      <c r="T629" s="171" t="s">
        <v>380</v>
      </c>
      <c r="U629" s="171" t="s">
        <v>25</v>
      </c>
      <c r="V629" s="167" t="s">
        <v>371</v>
      </c>
      <c r="W629" s="172" t="s">
        <v>375</v>
      </c>
      <c r="X629" s="173">
        <f>IF(Y629="",VLOOKUP(H629,CLIENTS!$A$1:$O$649,5,FALSE),Y629)</f>
        <v>0</v>
      </c>
      <c r="Y629" s="174">
        <v>0</v>
      </c>
      <c r="Z629" s="173">
        <f>IF(AA629="",VLOOKUP(P629,CLIENTS!$A$1:$O$649,5,FALSE),AA629)</f>
        <v>5.0000000000000001E-3</v>
      </c>
      <c r="AA629" s="174">
        <v>5.0000000000000001E-3</v>
      </c>
      <c r="AB629" s="173" t="str">
        <f>IF(W629="via USD",IF(K629="EUR",K629&amp;"USD","USD"&amp;K629),IFERROR(VLOOKUP(K629&amp;S629,'FX RATES'!$H$2:$H$20,1,FALSE),S629&amp;K629))</f>
        <v>USDUSD</v>
      </c>
      <c r="AC629" s="175">
        <f>IF(LEFT(AB629,3)=RIGHT(AB629,3),0,IFERROR(INDEX(CLIENTS!$A$1:$O$649,MATCH(H629,CLIENTS!$A$1:$A$649,0),MATCH(AB629,CLIENTS!$A$1:$O$1,0)),0))</f>
        <v>0</v>
      </c>
      <c r="AD629" s="176"/>
      <c r="AE629" s="177">
        <f t="shared" ref="AE629:AE637" si="747">IF(W629="CLIENT","",IF(AD629="",AH629+AC629,AD629+AC629))</f>
        <v>1</v>
      </c>
      <c r="AF629" s="177" t="str">
        <f t="shared" ref="AF629:AF637" si="748">E629&amp;AB629</f>
        <v>46072USDUSD</v>
      </c>
      <c r="AG629" s="176"/>
      <c r="AH629" s="178">
        <f>IF(LEFT(AB629,3)=RIGHT(AB629,3),1,VLOOKUP(AB629,'FX RATES'!$H$1:$I$20,2,FALSE))</f>
        <v>1</v>
      </c>
      <c r="AI629" s="178">
        <f>IF(OR(AB629="USDAED",LEFT(AB629,3)=RIGHT(AB629,3)),AH629,IF(LEFT(AB629)="USD",AG629,IF(RIGHT(AB629,3)="USD",1,IFERROR(VLOOKUP(E629&amp;"USD"&amp;RIGHT(AB629,3),$AF:$AG,2,FALSE),VLOOKUP(E629&amp;"USD"&amp;RIGHT(AJ629,3),$AN:$AO,2,FALSE)))))</f>
        <v>1</v>
      </c>
      <c r="AJ629" s="173" t="str">
        <f>IF(W629="via USD",IF(S629="EUR",S629&amp;"USD","USD"&amp;S629),IFERROR(VLOOKUP(K629&amp;S629,'FX RATES'!$H$2:$H$20,1,FALSE),S629&amp;K629))</f>
        <v>USDRUB</v>
      </c>
      <c r="AK629" s="175">
        <f>IF(LEFT(AJ629,3)=RIGHT(AJ629,3),0,IFERROR(INDEX(CLIENTS!$A$1:$O$649,MATCH(P629,CLIENTS!$A$1:$A$649,0),MATCH(AJ629,CLIENTS!$A$1:$O$1,0)),0))</f>
        <v>0</v>
      </c>
      <c r="AL629" s="176">
        <v>76.599999999999994</v>
      </c>
      <c r="AM629" s="177">
        <f t="shared" ref="AM629:AM637" si="749">IF(W629="VENDOR","",IF(AL629="",AP629+AK629,AL629+AK629))</f>
        <v>76.599999999999994</v>
      </c>
      <c r="AN629" s="177" t="str">
        <f t="shared" ref="AN629:AN637" si="750">E629&amp;AJ629</f>
        <v>46072USDRUB</v>
      </c>
      <c r="AO629" s="176">
        <v>76.599999999999994</v>
      </c>
      <c r="AP629" s="178">
        <f ca="1">IF(LEFT(AJ629,3)=RIGHT(AJ629,3),1,VLOOKUP(AJ629,'FX RATES'!$H$1:$I$20,2,FALSE))</f>
        <v>76.720500000000001</v>
      </c>
      <c r="AQ629" s="178">
        <f t="shared" ref="AQ629:AQ637" si="751">IF(OR(AJ629="USDAED",LEFT(AJ629,3)=RIGHT(AJ629,3)),AP629,IF(LEFT(AJ629)="USD",AO629,IF(RIGHT(AJ629,3)="USD",1,IFERROR(VLOOKUP(E629&amp;"USD"&amp;RIGHT(AJ629,3),$AN:$AO,2,FALSE),VLOOKUP(E629&amp;"USD"&amp;RIGHT(AB629,3),$AF:$AG,2,FALSE)))))</f>
        <v>76.599999999999994</v>
      </c>
      <c r="AR629" s="179">
        <f>-Q629*(1-Z629)/(1+X629)*IF(W629="CLIENT",IF(S629=RIGHT(AJ629,3),1/AM629,AM629),IF(W629="VENDOR",IF(S629=RIGHT(AJ629,3),1/AE629,AE629),AE629^(VLOOKUP(AB629,'FX RATES'!$H$1:$J$26,3,FALSE))/AM629^(VLOOKUP(AJ629,'FX RATES'!$H$1:$J$26,3,FALSE))))</f>
        <v>0</v>
      </c>
      <c r="AS629" s="179">
        <f>-I629*(1+X629)/(1-Z629)*IF(W629="VENDOR",IF(K629=RIGHT(AB629,3),1/AE629,AE629),IF(W629="CLIENT",IF(K629=RIGHT(AB629,3),1/AM629,AM629),AM629^(VLOOKUP(AJ629,'FX RATES'!$H$1:$J$26,3,FALSE))/AE629^(VLOOKUP(AB629,'FX RATES'!$H$1:$J$26,3,FALSE))))</f>
        <v>16705554.65728643</v>
      </c>
      <c r="AT629" s="170">
        <f>IF(AB629&lt;&gt;AJ629,J629/IF(K629=RIGHT(AB629,3),AE629,1/AE629),IF(S629="USD",J629/IF(K629=RIGHT(AB629,3),IF(W629="CLIENT",AM629,AE629),1/IF(W629="CLIENT",AM629,AE629)),J629*VLOOKUP(K629,'FX RATES'!$E$1:$F$10,2,FALSE)))</f>
        <v>-216997.74</v>
      </c>
      <c r="AU629" s="170">
        <f>IF(AB629&lt;&gt;AJ629,R629/IF(S629=RIGHT(AJ629,3),AM629,1/AM629),IF(K629="USD",R629/IF(S629=RIGHT(AJ629,3),IF(W629="CLIENT",AM629,AE629),1/IF(W629="CLIENT",AM629,AE629)),R629*VLOOKUP(S629,'FX RATES'!$E$1:$F$10,2,FALSE)))</f>
        <v>218088.1809045226</v>
      </c>
      <c r="AV629" s="170">
        <f t="shared" ref="AV629:AV637" si="752">AT629+AU629</f>
        <v>1090.4409045226057</v>
      </c>
      <c r="AW629" s="169"/>
      <c r="AX629" s="170">
        <f t="shared" ref="AX629:AX637" si="753">IF(AND(ISERROR(SEARCH("INVOICE",T629)),ISERROR(SEARCH("SWITCH",T629)),ISERROR(SEARCH("FOREX",T629)),ISERROR(SEARCH("REFUND",A629)),ISERROR(SEARCH("CANCELLED",A629))),IF(AW629="",-AT629*X629+AU629*Z629,AW629),0)</f>
        <v>1090.440904522613</v>
      </c>
      <c r="AY629" s="170">
        <f t="shared" ref="AY629:AY637" si="754">IF(AZ629="USD",AT629,IF(AZ629=K629,J629,-R629))</f>
        <v>-216997.74</v>
      </c>
      <c r="AZ629" s="170" t="str">
        <f t="shared" ref="AZ629:AZ637" si="755">LEFT(AB629,3)</f>
        <v>USD</v>
      </c>
      <c r="BA629" s="542">
        <f>IF(OR(A629="REFUND",A629="CANCELLED"),0,IFERROR((IF(OR(AB629="USDAED",LEFT(AB629,3)=RIGHT(AB629,3)),AI629,AG629)-AE629)*-AY629*VLOOKUP(AB629,'FX RATES'!$H$1:$J$26,3,FALSE),0))</f>
        <v>0</v>
      </c>
      <c r="BB629" s="170" t="str">
        <f t="shared" ref="BB629:BB637" si="756">RIGHT(AB629,3)</f>
        <v>USD</v>
      </c>
      <c r="BC629" s="542">
        <f t="shared" ref="BC629:BC637" si="757">IF(BA629=0,0,IFERROR(BA629/IF(BB629&lt;&gt;"USD",AI629,1),"???"))</f>
        <v>0</v>
      </c>
      <c r="BD629" s="170">
        <f t="shared" ref="BD629:BD637" si="758">IFERROR(-AC629/(IF(OR(AB629="USDAED",LEFT(AB629,3)=RIGHT(AB629,3)),AH629,AG629)-AE629)*BC629,0)</f>
        <v>0</v>
      </c>
      <c r="BE629" s="542">
        <f t="shared" ref="BE629:BE637" si="759">BC629-BD629</f>
        <v>0</v>
      </c>
      <c r="BF629" s="170">
        <f t="shared" ref="BF629:BF637" si="760">IF(BG629="USD",AU629,IF(BG629=S629,R629,-J629))</f>
        <v>218088.1809045226</v>
      </c>
      <c r="BG629" s="170" t="str">
        <f t="shared" ref="BG629:BG637" si="761">LEFT(AJ629,3)</f>
        <v>USD</v>
      </c>
      <c r="BH629" s="542">
        <f>IF(OR(A629="REFUND",A629="CANCELLED"),0,IFERROR((IF(OR(AJ629="USDAED",LEFT(AJ629,3)=RIGHT(AJ629,3)),AQ629,AO629)-AM629)*-BF629*VLOOKUP(AJ629,'FX RATES'!$H$1:$J$26,3,FALSE),0))</f>
        <v>0</v>
      </c>
      <c r="BI629" s="170" t="str">
        <f t="shared" ref="BI629:BI637" si="762">RIGHT(AJ629,3)</f>
        <v>RUB</v>
      </c>
      <c r="BJ629" s="542">
        <f t="shared" ref="BJ629:BJ637" si="763">IF(BH629=0,0,IFERROR(BH629/IF(BI629&lt;&gt;"USD",AQ629,1),"???"))</f>
        <v>0</v>
      </c>
      <c r="BK629" s="170">
        <f t="shared" ref="BK629:BK637" si="764">IFERROR(-AK629/(IF(OR(AJ629="USDAED",LEFT(AJ629,3)=RIGHT(AJ629,3)),AP629,AO629)-AM629)*BJ629,0)</f>
        <v>0</v>
      </c>
      <c r="BL629" s="542">
        <f t="shared" ref="BL629:BL637" si="765">BJ629-BK629</f>
        <v>0</v>
      </c>
      <c r="BM629" s="170">
        <f t="shared" ref="BM629:BM637" si="766">IF(AND(ISERROR(SEARCH("REFUND",A629)),ISERROR(SEARCH("CANCELLED",A629))),BD629+BK629,0)</f>
        <v>0</v>
      </c>
      <c r="BN629" s="542">
        <f t="shared" ref="BN629:BN637" si="767">IF(AND(ISERROR(SEARCH("REFUND",A629)),ISERROR(SEARCH("CANCELLED",A629))),BE629+BL629,0)</f>
        <v>0</v>
      </c>
    </row>
    <row r="630" spans="1:66" ht="19.5" customHeight="1">
      <c r="A630" s="167" t="s">
        <v>601</v>
      </c>
      <c r="B630" s="168" t="s">
        <v>45</v>
      </c>
      <c r="C630" s="168" t="s">
        <v>367</v>
      </c>
      <c r="D630" s="181" t="s">
        <v>368</v>
      </c>
      <c r="E630" s="171">
        <v>46072</v>
      </c>
      <c r="F630" s="171" t="s">
        <v>625</v>
      </c>
      <c r="G630" s="168" t="s">
        <v>45</v>
      </c>
      <c r="H630" s="181" t="s">
        <v>646</v>
      </c>
      <c r="I630" s="169">
        <v>-485769.16</v>
      </c>
      <c r="J630" s="170">
        <f t="shared" si="745"/>
        <v>-485769.16</v>
      </c>
      <c r="K630" s="168" t="s">
        <v>5</v>
      </c>
      <c r="L630" s="168" t="s">
        <v>647</v>
      </c>
      <c r="M630" s="168" t="s">
        <v>49</v>
      </c>
      <c r="N630" s="564" t="s">
        <v>639</v>
      </c>
      <c r="O630" s="168" t="s">
        <v>39</v>
      </c>
      <c r="P630" s="349" t="s">
        <v>379</v>
      </c>
      <c r="Q630" s="169">
        <v>37396902.159999996</v>
      </c>
      <c r="R630" s="170">
        <f t="shared" si="746"/>
        <v>37396902.159999996</v>
      </c>
      <c r="S630" s="168" t="s">
        <v>9</v>
      </c>
      <c r="T630" s="171" t="s">
        <v>380</v>
      </c>
      <c r="U630" s="168" t="s">
        <v>25</v>
      </c>
      <c r="V630" s="167" t="s">
        <v>371</v>
      </c>
      <c r="W630" s="172" t="s">
        <v>375</v>
      </c>
      <c r="X630" s="173">
        <f>IF(Y630="",VLOOKUP(H630,CLIENTS!$A$1:$O$649,5,FALSE),Y630)</f>
        <v>0</v>
      </c>
      <c r="Y630" s="174">
        <v>0</v>
      </c>
      <c r="Z630" s="173">
        <f>IF(AA630="",VLOOKUP(P630,CLIENTS!$A$1:$O$649,5,FALSE),AA630)</f>
        <v>5.0000000000000001E-3</v>
      </c>
      <c r="AA630" s="174">
        <v>5.0000000000000001E-3</v>
      </c>
      <c r="AB630" s="173" t="str">
        <f>IF(W630="via USD",IF(K630="EUR",K630&amp;"USD","USD"&amp;K630),IFERROR(VLOOKUP(K630&amp;S630,'FX RATES'!$H$2:$H$20,1,FALSE),S630&amp;K630))</f>
        <v>USDUSD</v>
      </c>
      <c r="AC630" s="175">
        <f>IF(LEFT(AB630,3)=RIGHT(AB630,3),0,IFERROR(INDEX(CLIENTS!$A$1:$O$649,MATCH(H630,CLIENTS!$A$1:$A$649,0),MATCH(AB630,CLIENTS!$A$1:$O$1,0)),0))</f>
        <v>0</v>
      </c>
      <c r="AD630" s="176"/>
      <c r="AE630" s="177">
        <f t="shared" si="747"/>
        <v>1</v>
      </c>
      <c r="AF630" s="177" t="str">
        <f t="shared" si="748"/>
        <v>46072USDUSD</v>
      </c>
      <c r="AG630" s="176"/>
      <c r="AH630" s="178">
        <f>IF(LEFT(AB630,3)=RIGHT(AB630,3),1,VLOOKUP(AB630,'FX RATES'!$H$1:$I$20,2,FALSE))</f>
        <v>1</v>
      </c>
      <c r="AI630" s="178">
        <f>IF(OR(AB630="USDAED",LEFT(AB630,3)=RIGHT(AB630,3)),AH630,IF(LEFT(AB630)="USD",AG630,IF(RIGHT(AB630,3)="USD",1,IFERROR(VLOOKUP(E630&amp;"USD"&amp;RIGHT(AB630,3),$AF:$AG,2,FALSE),VLOOKUP(E630&amp;"USD"&amp;RIGHT(AJ630,3),$AN:$AO,2,FALSE)))))</f>
        <v>1</v>
      </c>
      <c r="AJ630" s="173" t="str">
        <f>IF(W630="via USD",IF(S630="EUR",S630&amp;"USD","USD"&amp;S630),IFERROR(VLOOKUP(K630&amp;S630,'FX RATES'!$H$2:$H$20,1,FALSE),S630&amp;K630))</f>
        <v>USDRUB</v>
      </c>
      <c r="AK630" s="175">
        <f>IF(LEFT(AJ630,3)=RIGHT(AJ630,3),0,IFERROR(INDEX(CLIENTS!$A$1:$O$649,MATCH(P630,CLIENTS!$A$1:$A$649,0),MATCH(AJ630,CLIENTS!$A$1:$O$1,0)),0))</f>
        <v>0</v>
      </c>
      <c r="AL630" s="176">
        <v>76.599999999999994</v>
      </c>
      <c r="AM630" s="177">
        <f t="shared" si="749"/>
        <v>76.599999999999994</v>
      </c>
      <c r="AN630" s="177" t="str">
        <f t="shared" si="750"/>
        <v>46072USDRUB</v>
      </c>
      <c r="AO630" s="176">
        <v>76.599999999999994</v>
      </c>
      <c r="AP630" s="178">
        <f ca="1">IF(LEFT(AJ630,3)=RIGHT(AJ630,3),1,VLOOKUP(AJ630,'FX RATES'!$H$1:$I$20,2,FALSE))</f>
        <v>76.720500000000001</v>
      </c>
      <c r="AQ630" s="178">
        <f t="shared" si="751"/>
        <v>76.599999999999994</v>
      </c>
      <c r="AR630" s="179">
        <f>-Q630*(1-Z630)/(1+X630)*IF(W630="CLIENT",IF(S630=RIGHT(AJ630,3),1/AM630,AM630),IF(W630="VENDOR",IF(S630=RIGHT(AJ630,3),1/AE630,AE630),AE630^(VLOOKUP(AB630,'FX RATES'!$H$1:$J$26,3,FALSE))/AM630^(VLOOKUP(AJ630,'FX RATES'!$H$1:$J$26,3,FALSE))))</f>
        <v>-485769.15991122718</v>
      </c>
      <c r="AS630" s="179">
        <f>-I630*(1+X630)/(1-Z630)*IF(W630="VENDOR",IF(K630=RIGHT(AB630,3),1/AE630,AE630),IF(W630="CLIENT",IF(K630=RIGHT(AB630,3),1/AM630,AM630),AM630^(VLOOKUP(AJ630,'FX RATES'!$H$1:$J$26,3,FALSE))/AE630^(VLOOKUP(AB630,'FX RATES'!$H$1:$J$26,3,FALSE))))</f>
        <v>37396902.166834161</v>
      </c>
      <c r="AT630" s="170">
        <f>IF(AB630&lt;&gt;AJ630,J630/IF(K630=RIGHT(AB630,3),AE630,1/AE630),IF(S630="USD",J630/IF(K630=RIGHT(AB630,3),IF(W630="CLIENT",AM630,AE630),1/IF(W630="CLIENT",AM630,AE630)),J630*VLOOKUP(K630,'FX RATES'!$E$1:$F$10,2,FALSE)))</f>
        <v>-485769.16</v>
      </c>
      <c r="AU630" s="170">
        <f>IF(AB630&lt;&gt;AJ630,R630/IF(S630=RIGHT(AJ630,3),AM630,1/AM630),IF(K630="USD",R630/IF(S630=RIGHT(AJ630,3),IF(W630="CLIENT",AM630,AE630),1/IF(W630="CLIENT",AM630,AE630)),R630*VLOOKUP(S630,'FX RATES'!$E$1:$F$10,2,FALSE)))</f>
        <v>488210.21096605744</v>
      </c>
      <c r="AV630" s="170">
        <f t="shared" si="752"/>
        <v>2441.0509660574608</v>
      </c>
      <c r="AW630" s="169"/>
      <c r="AX630" s="170">
        <f t="shared" si="753"/>
        <v>2441.0510548302873</v>
      </c>
      <c r="AY630" s="170">
        <f t="shared" si="754"/>
        <v>-485769.16</v>
      </c>
      <c r="AZ630" s="170" t="str">
        <f t="shared" si="755"/>
        <v>USD</v>
      </c>
      <c r="BA630" s="542">
        <f>IF(OR(A630="REFUND",A630="CANCELLED"),0,IFERROR((IF(OR(AB630="USDAED",LEFT(AB630,3)=RIGHT(AB630,3)),AI630,AG630)-AE630)*-AY630*VLOOKUP(AB630,'FX RATES'!$H$1:$J$26,3,FALSE),0))</f>
        <v>0</v>
      </c>
      <c r="BB630" s="170" t="str">
        <f t="shared" si="756"/>
        <v>USD</v>
      </c>
      <c r="BC630" s="542">
        <f t="shared" si="757"/>
        <v>0</v>
      </c>
      <c r="BD630" s="170">
        <f t="shared" si="758"/>
        <v>0</v>
      </c>
      <c r="BE630" s="542">
        <f t="shared" si="759"/>
        <v>0</v>
      </c>
      <c r="BF630" s="170">
        <f t="shared" si="760"/>
        <v>488210.21096605744</v>
      </c>
      <c r="BG630" s="170" t="str">
        <f t="shared" si="761"/>
        <v>USD</v>
      </c>
      <c r="BH630" s="542">
        <f>IF(OR(A630="REFUND",A630="CANCELLED"),0,IFERROR((IF(OR(AJ630="USDAED",LEFT(AJ630,3)=RIGHT(AJ630,3)),AQ630,AO630)-AM630)*-BF630*VLOOKUP(AJ630,'FX RATES'!$H$1:$J$26,3,FALSE),0))</f>
        <v>0</v>
      </c>
      <c r="BI630" s="170" t="str">
        <f t="shared" si="762"/>
        <v>RUB</v>
      </c>
      <c r="BJ630" s="542">
        <f t="shared" si="763"/>
        <v>0</v>
      </c>
      <c r="BK630" s="170">
        <f t="shared" si="764"/>
        <v>0</v>
      </c>
      <c r="BL630" s="542">
        <f t="shared" si="765"/>
        <v>0</v>
      </c>
      <c r="BM630" s="170">
        <f t="shared" si="766"/>
        <v>0</v>
      </c>
      <c r="BN630" s="542">
        <f t="shared" si="767"/>
        <v>0</v>
      </c>
    </row>
    <row r="631" spans="1:66" ht="19.5" customHeight="1">
      <c r="A631" s="167" t="s">
        <v>601</v>
      </c>
      <c r="B631" s="168" t="s">
        <v>39</v>
      </c>
      <c r="C631" s="168" t="s">
        <v>367</v>
      </c>
      <c r="D631" s="181" t="s">
        <v>368</v>
      </c>
      <c r="E631" s="171">
        <v>46072</v>
      </c>
      <c r="F631" s="171" t="s">
        <v>625</v>
      </c>
      <c r="G631" s="168" t="s">
        <v>39</v>
      </c>
      <c r="H631" s="181" t="s">
        <v>377</v>
      </c>
      <c r="I631" s="169">
        <v>-82896.600000000006</v>
      </c>
      <c r="J631" s="170">
        <f t="shared" si="745"/>
        <v>-82896.600000000006</v>
      </c>
      <c r="K631" s="168" t="s">
        <v>5</v>
      </c>
      <c r="L631" s="168" t="s">
        <v>378</v>
      </c>
      <c r="M631" s="168" t="s">
        <v>20</v>
      </c>
      <c r="N631" s="167" t="s">
        <v>553</v>
      </c>
      <c r="O631" s="168" t="s">
        <v>39</v>
      </c>
      <c r="P631" s="349" t="s">
        <v>379</v>
      </c>
      <c r="Q631" s="169"/>
      <c r="R631" s="170">
        <f t="shared" si="746"/>
        <v>6381788.5025125621</v>
      </c>
      <c r="S631" s="168" t="s">
        <v>9</v>
      </c>
      <c r="T631" s="171" t="s">
        <v>380</v>
      </c>
      <c r="U631" s="168" t="s">
        <v>25</v>
      </c>
      <c r="V631" s="167" t="s">
        <v>371</v>
      </c>
      <c r="W631" s="172" t="s">
        <v>375</v>
      </c>
      <c r="X631" s="173">
        <f>IF(Y631="",VLOOKUP(H631,CLIENTS!$A$1:$O$649,5,FALSE),Y631)</f>
        <v>0</v>
      </c>
      <c r="Y631" s="174">
        <v>0</v>
      </c>
      <c r="Z631" s="173">
        <f>IF(AA631="",VLOOKUP(P631,CLIENTS!$A$1:$O$649,5,FALSE),AA631)</f>
        <v>5.0000000000000001E-3</v>
      </c>
      <c r="AA631" s="174">
        <v>5.0000000000000001E-3</v>
      </c>
      <c r="AB631" s="173" t="str">
        <f>IF(W631="via USD",IF(K631="EUR",K631&amp;"USD","USD"&amp;K631),IFERROR(VLOOKUP(K631&amp;S631,'FX RATES'!$H$2:$H$20,1,FALSE),S631&amp;K631))</f>
        <v>USDUSD</v>
      </c>
      <c r="AC631" s="175">
        <f>IF(LEFT(AB631,3)=RIGHT(AB631,3),0,IFERROR(INDEX(CLIENTS!$A$1:$O$649,MATCH(H631,CLIENTS!$A$1:$A$649,0),MATCH(AB631,CLIENTS!$A$1:$O$1,0)),0))</f>
        <v>0</v>
      </c>
      <c r="AD631" s="176"/>
      <c r="AE631" s="177">
        <f t="shared" si="747"/>
        <v>1</v>
      </c>
      <c r="AF631" s="177" t="str">
        <f t="shared" si="748"/>
        <v>46072USDUSD</v>
      </c>
      <c r="AG631" s="176"/>
      <c r="AH631" s="178">
        <f>IF(LEFT(AB631,3)=RIGHT(AB631,3),1,VLOOKUP(AB631,'FX RATES'!$H$1:$I$20,2,FALSE))</f>
        <v>1</v>
      </c>
      <c r="AI631" s="178">
        <f>IF(OR(AB631="USDAED",LEFT(AB631,3)=RIGHT(AB631,3)),AH631,IF(LEFT(AB631)="USD",AG631,IF(RIGHT(AB631,3)="USD",1,IFERROR(VLOOKUP(E631&amp;"USD"&amp;RIGHT(AB631,3),$AF:$AG,2,FALSE),VLOOKUP(E631&amp;"USD"&amp;RIGHT(AJ631,3),$AN:$AO,2,FALSE)))))</f>
        <v>1</v>
      </c>
      <c r="AJ631" s="173" t="str">
        <f>IF(W631="via USD",IF(S631="EUR",S631&amp;"USD","USD"&amp;S631),IFERROR(VLOOKUP(K631&amp;S631,'FX RATES'!$H$2:$H$20,1,FALSE),S631&amp;K631))</f>
        <v>USDRUB</v>
      </c>
      <c r="AK631" s="175">
        <f>IF(LEFT(AJ631,3)=RIGHT(AJ631,3),0,IFERROR(INDEX(CLIENTS!$A$1:$O$649,MATCH(P631,CLIENTS!$A$1:$A$649,0),MATCH(AJ631,CLIENTS!$A$1:$O$1,0)),0))</f>
        <v>0</v>
      </c>
      <c r="AL631" s="176">
        <v>76.599999999999994</v>
      </c>
      <c r="AM631" s="177">
        <f t="shared" si="749"/>
        <v>76.599999999999994</v>
      </c>
      <c r="AN631" s="177" t="str">
        <f t="shared" si="750"/>
        <v>46072USDRUB</v>
      </c>
      <c r="AO631" s="176">
        <v>76.599999999999994</v>
      </c>
      <c r="AP631" s="178">
        <f ca="1">IF(LEFT(AJ631,3)=RIGHT(AJ631,3),1,VLOOKUP(AJ631,'FX RATES'!$H$1:$I$20,2,FALSE))</f>
        <v>76.720500000000001</v>
      </c>
      <c r="AQ631" s="178">
        <f t="shared" si="751"/>
        <v>76.599999999999994</v>
      </c>
      <c r="AR631" s="179">
        <f>-Q631*(1-Z631)/(1+X631)*IF(W631="CLIENT",IF(S631=RIGHT(AJ631,3),1/AM631,AM631),IF(W631="VENDOR",IF(S631=RIGHT(AJ631,3),1/AE631,AE631),AE631^(VLOOKUP(AB631,'FX RATES'!$H$1:$J$26,3,FALSE))/AM631^(VLOOKUP(AJ631,'FX RATES'!$H$1:$J$26,3,FALSE))))</f>
        <v>0</v>
      </c>
      <c r="AS631" s="179">
        <f>-I631*(1+X631)/(1-Z631)*IF(W631="VENDOR",IF(K631=RIGHT(AB631,3),1/AE631,AE631),IF(W631="CLIENT",IF(K631=RIGHT(AB631,3),1/AM631,AM631),AM631^(VLOOKUP(AJ631,'FX RATES'!$H$1:$J$26,3,FALSE))/AE631^(VLOOKUP(AB631,'FX RATES'!$H$1:$J$26,3,FALSE))))</f>
        <v>6381788.5025125621</v>
      </c>
      <c r="AT631" s="170">
        <f>IF(AB631&lt;&gt;AJ631,J631/IF(K631=RIGHT(AB631,3),AE631,1/AE631),IF(S631="USD",J631/IF(K631=RIGHT(AB631,3),IF(W631="CLIENT",AM631,AE631),1/IF(W631="CLIENT",AM631,AE631)),J631*VLOOKUP(K631,'FX RATES'!$E$1:$F$10,2,FALSE)))</f>
        <v>-82896.600000000006</v>
      </c>
      <c r="AU631" s="170">
        <f>IF(AB631&lt;&gt;AJ631,R631/IF(S631=RIGHT(AJ631,3),AM631,1/AM631),IF(K631="USD",R631/IF(S631=RIGHT(AJ631,3),IF(W631="CLIENT",AM631,AE631),1/IF(W631="CLIENT",AM631,AE631)),R631*VLOOKUP(S631,'FX RATES'!$E$1:$F$10,2,FALSE)))</f>
        <v>83313.165829145728</v>
      </c>
      <c r="AV631" s="170">
        <f t="shared" si="752"/>
        <v>416.56582914572209</v>
      </c>
      <c r="AW631" s="169"/>
      <c r="AX631" s="170">
        <f t="shared" si="753"/>
        <v>416.56582914572863</v>
      </c>
      <c r="AY631" s="170">
        <f t="shared" si="754"/>
        <v>-82896.600000000006</v>
      </c>
      <c r="AZ631" s="170" t="str">
        <f t="shared" si="755"/>
        <v>USD</v>
      </c>
      <c r="BA631" s="542">
        <f>IF(OR(A631="REFUND",A631="CANCELLED"),0,IFERROR((IF(OR(AB631="USDAED",LEFT(AB631,3)=RIGHT(AB631,3)),AI631,AG631)-AE631)*-AY631*VLOOKUP(AB631,'FX RATES'!$H$1:$J$26,3,FALSE),0))</f>
        <v>0</v>
      </c>
      <c r="BB631" s="170" t="str">
        <f t="shared" si="756"/>
        <v>USD</v>
      </c>
      <c r="BC631" s="542">
        <f t="shared" si="757"/>
        <v>0</v>
      </c>
      <c r="BD631" s="170">
        <f t="shared" si="758"/>
        <v>0</v>
      </c>
      <c r="BE631" s="542">
        <f t="shared" si="759"/>
        <v>0</v>
      </c>
      <c r="BF631" s="170">
        <f t="shared" si="760"/>
        <v>83313.165829145728</v>
      </c>
      <c r="BG631" s="170" t="str">
        <f t="shared" si="761"/>
        <v>USD</v>
      </c>
      <c r="BH631" s="542">
        <f>IF(OR(A631="REFUND",A631="CANCELLED"),0,IFERROR((IF(OR(AJ631="USDAED",LEFT(AJ631,3)=RIGHT(AJ631,3)),AQ631,AO631)-AM631)*-BF631*VLOOKUP(AJ631,'FX RATES'!$H$1:$J$26,3,FALSE),0))</f>
        <v>0</v>
      </c>
      <c r="BI631" s="170" t="str">
        <f t="shared" si="762"/>
        <v>RUB</v>
      </c>
      <c r="BJ631" s="542">
        <f t="shared" si="763"/>
        <v>0</v>
      </c>
      <c r="BK631" s="170">
        <f t="shared" si="764"/>
        <v>0</v>
      </c>
      <c r="BL631" s="542">
        <f t="shared" si="765"/>
        <v>0</v>
      </c>
      <c r="BM631" s="170">
        <f t="shared" si="766"/>
        <v>0</v>
      </c>
      <c r="BN631" s="542">
        <f t="shared" si="767"/>
        <v>0</v>
      </c>
    </row>
    <row r="632" spans="1:66" ht="19.5" customHeight="1">
      <c r="A632" s="167" t="s">
        <v>601</v>
      </c>
      <c r="B632" s="168" t="s">
        <v>39</v>
      </c>
      <c r="C632" s="168" t="s">
        <v>367</v>
      </c>
      <c r="D632" s="168" t="s">
        <v>368</v>
      </c>
      <c r="E632" s="171">
        <v>46072</v>
      </c>
      <c r="F632" s="171" t="s">
        <v>625</v>
      </c>
      <c r="G632" s="168" t="s">
        <v>39</v>
      </c>
      <c r="H632" s="168" t="s">
        <v>417</v>
      </c>
      <c r="I632" s="169"/>
      <c r="J632" s="170">
        <f t="shared" si="745"/>
        <v>-1277159.9959754569</v>
      </c>
      <c r="K632" s="168" t="s">
        <v>8</v>
      </c>
      <c r="L632" s="171" t="s">
        <v>16</v>
      </c>
      <c r="M632" s="168" t="s">
        <v>17</v>
      </c>
      <c r="N632" s="167" t="s">
        <v>553</v>
      </c>
      <c r="O632" s="168" t="s">
        <v>52</v>
      </c>
      <c r="P632" s="168" t="s">
        <v>417</v>
      </c>
      <c r="Q632" s="169">
        <f>56479014-R633</f>
        <v>26817706.152917508</v>
      </c>
      <c r="R632" s="170">
        <f t="shared" si="746"/>
        <v>26817706.152917508</v>
      </c>
      <c r="S632" s="168" t="s">
        <v>9</v>
      </c>
      <c r="T632" s="171" t="s">
        <v>414</v>
      </c>
      <c r="U632" s="168" t="s">
        <v>25</v>
      </c>
      <c r="V632" s="167" t="s">
        <v>371</v>
      </c>
      <c r="W632" s="172" t="s">
        <v>375</v>
      </c>
      <c r="X632" s="173">
        <f>IF(Y632="",VLOOKUP(H632,CLIENTS!$A$1:$O$649,5,FALSE),Y632)</f>
        <v>0</v>
      </c>
      <c r="Y632" s="174">
        <v>0</v>
      </c>
      <c r="Z632" s="173">
        <f>IF(AA632="",VLOOKUP(P632,CLIENTS!$A$1:$O$649,5,FALSE),AA632)</f>
        <v>6.0000000000000001E-3</v>
      </c>
      <c r="AA632" s="174">
        <v>6.0000000000000001E-3</v>
      </c>
      <c r="AB632" s="173" t="str">
        <f>IF(W632="via USD",IF(K632="EUR",K632&amp;"USD","USD"&amp;K632),IFERROR(VLOOKUP(K632&amp;S632,'FX RATES'!$H$2:$H$20,1,FALSE),S632&amp;K632))</f>
        <v>USDAED</v>
      </c>
      <c r="AC632" s="175">
        <f>IF(LEFT(AB632,3)=RIGHT(AB632,3),0,IFERROR(INDEX(CLIENTS!$A$1:$O$649,MATCH(H632,CLIENTS!$A$1:$A$649,0),MATCH(AB632,CLIENTS!$A$1:$O$1,0)),0))</f>
        <v>0</v>
      </c>
      <c r="AD632" s="176">
        <v>3.67</v>
      </c>
      <c r="AE632" s="177">
        <f t="shared" si="747"/>
        <v>3.67</v>
      </c>
      <c r="AF632" s="177" t="str">
        <f t="shared" si="748"/>
        <v>46072USDAED</v>
      </c>
      <c r="AG632" s="176"/>
      <c r="AH632" s="178">
        <f>IF(LEFT(AB632,3)=RIGHT(AB632,3),1,VLOOKUP(AB632,'FX RATES'!$H$1:$I$20,2,FALSE))</f>
        <v>3.6724999999999999</v>
      </c>
      <c r="AI632" s="178">
        <f>IF(OR(AB632="USDAED",LEFT(AB632,3)=RIGHT(AB632,3)),AH632,IF(LEFT(AB632)="USD",AG632,IF(RIGHT(AB632,3)="USD",1,IFERROR(VLOOKUP(E632&amp;"USD"&amp;RIGHT(AB632,3),$AF:$AG,2,FALSE),VLOOKUP(E632&amp;"USD"&amp;RIGHT(AJ632,3),$AN:$AO,2,FALSE)))))</f>
        <v>3.6724999999999999</v>
      </c>
      <c r="AJ632" s="173" t="str">
        <f>IF(W632="via USD",IF(S632="EUR",S632&amp;"USD","USD"&amp;S632),IFERROR(VLOOKUP(K632&amp;S632,'FX RATES'!$H$2:$H$20,1,FALSE),S632&amp;K632))</f>
        <v>USDRUB</v>
      </c>
      <c r="AK632" s="175">
        <f>IF(LEFT(AJ632,3)=RIGHT(AJ632,3),0,IFERROR(INDEX(CLIENTS!$A$1:$O$649,MATCH(P632,CLIENTS!$A$1:$A$649,0),MATCH(AJ632,CLIENTS!$A$1:$O$1,0)),0))</f>
        <v>0</v>
      </c>
      <c r="AL632" s="176">
        <v>76.599999999999994</v>
      </c>
      <c r="AM632" s="177">
        <f t="shared" si="749"/>
        <v>76.599999999999994</v>
      </c>
      <c r="AN632" s="177" t="str">
        <f t="shared" si="750"/>
        <v>46072USDRUB</v>
      </c>
      <c r="AO632" s="176">
        <v>76.599999999999994</v>
      </c>
      <c r="AP632" s="178">
        <f ca="1">IF(LEFT(AJ632,3)=RIGHT(AJ632,3),1,VLOOKUP(AJ632,'FX RATES'!$H$1:$I$20,2,FALSE))</f>
        <v>76.720500000000001</v>
      </c>
      <c r="AQ632" s="178">
        <f t="shared" si="751"/>
        <v>76.599999999999994</v>
      </c>
      <c r="AR632" s="179">
        <f>-Q632*(1-Z632)/(1+X632)*IF(W632="CLIENT",IF(S632=RIGHT(AJ632,3),1/AM632,AM632),IF(W632="VENDOR",IF(S632=RIGHT(AJ632,3),1/AE632,AE632),AE632^(VLOOKUP(AB632,'FX RATES'!$H$1:$J$26,3,FALSE))/AM632^(VLOOKUP(AJ632,'FX RATES'!$H$1:$J$26,3,FALSE))))</f>
        <v>-1277159.9959754569</v>
      </c>
      <c r="AS632" s="179">
        <f>-I632*(1+X632)/(1-Z632)*IF(W632="VENDOR",IF(K632=RIGHT(AB632,3),1/AE632,AE632),IF(W632="CLIENT",IF(K632=RIGHT(AB632,3),1/AM632,AM632),AM632^(VLOOKUP(AJ632,'FX RATES'!$H$1:$J$26,3,FALSE))/AE632^(VLOOKUP(AB632,'FX RATES'!$H$1:$J$26,3,FALSE))))</f>
        <v>0</v>
      </c>
      <c r="AT632" s="170">
        <f>IF(AB632&lt;&gt;AJ632,J632/IF(K632=RIGHT(AB632,3),AE632,1/AE632),IF(S632="USD",J632/IF(K632=RIGHT(AB632,3),IF(W632="CLIENT",AM632,AE632),1/IF(W632="CLIENT",AM632,AE632)),J632*VLOOKUP(K632,'FX RATES'!$E$1:$F$10,2,FALSE)))</f>
        <v>-347999.99890339427</v>
      </c>
      <c r="AU632" s="170">
        <f>IF(AB632&lt;&gt;AJ632,R632/IF(S632=RIGHT(AJ632,3),AM632,1/AM632),IF(K632="USD",R632/IF(S632=RIGHT(AJ632,3),IF(W632="CLIENT",AM632,AE632),1/IF(W632="CLIENT",AM632,AE632)),R632*VLOOKUP(S632,'FX RATES'!$E$1:$F$10,2,FALSE)))</f>
        <v>350100.60251850536</v>
      </c>
      <c r="AV632" s="170">
        <f t="shared" si="752"/>
        <v>2100.6036151110893</v>
      </c>
      <c r="AW632" s="169"/>
      <c r="AX632" s="170">
        <f t="shared" si="753"/>
        <v>2100.603615111032</v>
      </c>
      <c r="AY632" s="170">
        <f t="shared" si="754"/>
        <v>-347999.99890339427</v>
      </c>
      <c r="AZ632" s="170" t="str">
        <f t="shared" si="755"/>
        <v>USD</v>
      </c>
      <c r="BA632" s="542">
        <f>IF(OR(A632="REFUND",A632="CANCELLED"),0,IFERROR((IF(OR(AB632="USDAED",LEFT(AB632,3)=RIGHT(AB632,3)),AI632,AG632)-AE632)*-AY632*VLOOKUP(AB632,'FX RATES'!$H$1:$J$26,3,FALSE),0))</f>
        <v>869.99999725846715</v>
      </c>
      <c r="BB632" s="170" t="str">
        <f t="shared" si="756"/>
        <v>AED</v>
      </c>
      <c r="BC632" s="542">
        <f t="shared" si="757"/>
        <v>236.89584676881339</v>
      </c>
      <c r="BD632" s="170">
        <f t="shared" si="758"/>
        <v>0</v>
      </c>
      <c r="BE632" s="542">
        <f t="shared" si="759"/>
        <v>236.89584676881339</v>
      </c>
      <c r="BF632" s="170">
        <f t="shared" si="760"/>
        <v>350100.60251850536</v>
      </c>
      <c r="BG632" s="170" t="str">
        <f t="shared" si="761"/>
        <v>USD</v>
      </c>
      <c r="BH632" s="542">
        <f>IF(OR(A632="REFUND",A632="CANCELLED"),0,IFERROR((IF(OR(AJ632="USDAED",LEFT(AJ632,3)=RIGHT(AJ632,3)),AQ632,AO632)-AM632)*-BF632*VLOOKUP(AJ632,'FX RATES'!$H$1:$J$26,3,FALSE),0))</f>
        <v>0</v>
      </c>
      <c r="BI632" s="170" t="str">
        <f t="shared" si="762"/>
        <v>RUB</v>
      </c>
      <c r="BJ632" s="542">
        <f t="shared" si="763"/>
        <v>0</v>
      </c>
      <c r="BK632" s="170">
        <f t="shared" si="764"/>
        <v>0</v>
      </c>
      <c r="BL632" s="542">
        <f t="shared" si="765"/>
        <v>0</v>
      </c>
      <c r="BM632" s="170">
        <f t="shared" si="766"/>
        <v>0</v>
      </c>
      <c r="BN632" s="542">
        <f t="shared" si="767"/>
        <v>236.89584676881339</v>
      </c>
    </row>
    <row r="633" spans="1:66" ht="19.5" customHeight="1">
      <c r="A633" s="167" t="s">
        <v>601</v>
      </c>
      <c r="B633" s="168" t="s">
        <v>45</v>
      </c>
      <c r="C633" s="168" t="s">
        <v>367</v>
      </c>
      <c r="D633" s="168" t="s">
        <v>368</v>
      </c>
      <c r="E633" s="171">
        <v>46072</v>
      </c>
      <c r="F633" s="171" t="s">
        <v>627</v>
      </c>
      <c r="G633" s="168" t="s">
        <v>45</v>
      </c>
      <c r="H633" s="168" t="s">
        <v>412</v>
      </c>
      <c r="I633" s="169">
        <v>-384900</v>
      </c>
      <c r="J633" s="170">
        <f t="shared" si="745"/>
        <v>-384900</v>
      </c>
      <c r="K633" s="168" t="s">
        <v>5</v>
      </c>
      <c r="L633" s="171" t="s">
        <v>511</v>
      </c>
      <c r="M633" s="168" t="s">
        <v>49</v>
      </c>
      <c r="N633" s="564" t="s">
        <v>639</v>
      </c>
      <c r="O633" s="168" t="s">
        <v>52</v>
      </c>
      <c r="P633" s="168" t="s">
        <v>417</v>
      </c>
      <c r="Q633" s="169"/>
      <c r="R633" s="170">
        <f t="shared" si="746"/>
        <v>29661307.847082492</v>
      </c>
      <c r="S633" s="168" t="s">
        <v>9</v>
      </c>
      <c r="T633" s="171" t="s">
        <v>414</v>
      </c>
      <c r="U633" s="168" t="s">
        <v>25</v>
      </c>
      <c r="V633" s="167" t="s">
        <v>371</v>
      </c>
      <c r="W633" s="172" t="s">
        <v>375</v>
      </c>
      <c r="X633" s="173">
        <f>IF(Y633="",VLOOKUP(H633,CLIENTS!$A$1:$O$649,5,FALSE),Y633)</f>
        <v>0</v>
      </c>
      <c r="Y633" s="174">
        <v>0</v>
      </c>
      <c r="Z633" s="173">
        <f>IF(AA633="",VLOOKUP(P633,CLIENTS!$A$1:$O$649,5,FALSE),AA633)</f>
        <v>6.0000000000000001E-3</v>
      </c>
      <c r="AA633" s="174">
        <v>6.0000000000000001E-3</v>
      </c>
      <c r="AB633" s="173" t="str">
        <f>IF(W633="via USD",IF(K633="EUR",K633&amp;"USD","USD"&amp;K633),IFERROR(VLOOKUP(K633&amp;S633,'FX RATES'!$H$2:$H$20,1,FALSE),S633&amp;K633))</f>
        <v>USDUSD</v>
      </c>
      <c r="AC633" s="175">
        <f>IF(LEFT(AB633,3)=RIGHT(AB633,3),0,IFERROR(INDEX(CLIENTS!$A$1:$O$649,MATCH(H633,CLIENTS!$A$1:$A$649,0),MATCH(AB633,CLIENTS!$A$1:$O$1,0)),0))</f>
        <v>0</v>
      </c>
      <c r="AD633" s="176"/>
      <c r="AE633" s="177">
        <f t="shared" si="747"/>
        <v>1</v>
      </c>
      <c r="AF633" s="177" t="str">
        <f t="shared" si="748"/>
        <v>46072USDUSD</v>
      </c>
      <c r="AG633" s="176"/>
      <c r="AH633" s="178">
        <f>IF(LEFT(AB633,3)=RIGHT(AB633,3),1,VLOOKUP(AB633,'FX RATES'!$H$1:$I$20,2,FALSE))</f>
        <v>1</v>
      </c>
      <c r="AI633" s="178">
        <f>IF(OR(AB633="USDAED",LEFT(AB633,3)=RIGHT(AB633,3)),AH633,IF(LEFT(AB633)="USD",AG633,IF(RIGHT(AB633,3)="USD",1,IFERROR(VLOOKUP(E633&amp;"USD"&amp;RIGHT(AB633,3),$AF:$AG,2,FALSE),VLOOKUP(E633&amp;"USD"&amp;RIGHT(AJ633,3),$AN:$AO,2,FALSE)))))</f>
        <v>1</v>
      </c>
      <c r="AJ633" s="173" t="str">
        <f>IF(W633="via USD",IF(S633="EUR",S633&amp;"USD","USD"&amp;S633),IFERROR(VLOOKUP(K633&amp;S633,'FX RATES'!$H$2:$H$20,1,FALSE),S633&amp;K633))</f>
        <v>USDRUB</v>
      </c>
      <c r="AK633" s="175">
        <f>IF(LEFT(AJ633,3)=RIGHT(AJ633,3),0,IFERROR(INDEX(CLIENTS!$A$1:$O$649,MATCH(P633,CLIENTS!$A$1:$A$649,0),MATCH(AJ633,CLIENTS!$A$1:$O$1,0)),0))</f>
        <v>0</v>
      </c>
      <c r="AL633" s="176">
        <v>76.599999999999994</v>
      </c>
      <c r="AM633" s="177">
        <f t="shared" si="749"/>
        <v>76.599999999999994</v>
      </c>
      <c r="AN633" s="177" t="str">
        <f t="shared" si="750"/>
        <v>46072USDRUB</v>
      </c>
      <c r="AO633" s="176">
        <v>76.599999999999994</v>
      </c>
      <c r="AP633" s="178">
        <f ca="1">IF(LEFT(AJ633,3)=RIGHT(AJ633,3),1,VLOOKUP(AJ633,'FX RATES'!$H$1:$I$20,2,FALSE))</f>
        <v>76.720500000000001</v>
      </c>
      <c r="AQ633" s="178">
        <f t="shared" si="751"/>
        <v>76.599999999999994</v>
      </c>
      <c r="AR633" s="179">
        <f>-Q633*(1-Z633)/(1+X633)*IF(W633="CLIENT",IF(S633=RIGHT(AJ633,3),1/AM633,AM633),IF(W633="VENDOR",IF(S633=RIGHT(AJ633,3),1/AE633,AE633),AE633^(VLOOKUP(AB633,'FX RATES'!$H$1:$J$26,3,FALSE))/AM633^(VLOOKUP(AJ633,'FX RATES'!$H$1:$J$26,3,FALSE))))</f>
        <v>0</v>
      </c>
      <c r="AS633" s="179">
        <f>-I633*(1+X633)/(1-Z633)*IF(W633="VENDOR",IF(K633=RIGHT(AB633,3),1/AE633,AE633),IF(W633="CLIENT",IF(K633=RIGHT(AB633,3),1/AM633,AM633),AM633^(VLOOKUP(AJ633,'FX RATES'!$H$1:$J$26,3,FALSE))/AE633^(VLOOKUP(AB633,'FX RATES'!$H$1:$J$26,3,FALSE))))</f>
        <v>29661307.847082492</v>
      </c>
      <c r="AT633" s="170">
        <f>IF(AB633&lt;&gt;AJ633,J633/IF(K633=RIGHT(AB633,3),AE633,1/AE633),IF(S633="USD",J633/IF(K633=RIGHT(AB633,3),IF(W633="CLIENT",AM633,AE633),1/IF(W633="CLIENT",AM633,AE633)),J633*VLOOKUP(K633,'FX RATES'!$E$1:$F$10,2,FALSE)))</f>
        <v>-384900</v>
      </c>
      <c r="AU633" s="170">
        <f>IF(AB633&lt;&gt;AJ633,R633/IF(S633=RIGHT(AJ633,3),AM633,1/AM633),IF(K633="USD",R633/IF(S633=RIGHT(AJ633,3),IF(W633="CLIENT",AM633,AE633),1/IF(W633="CLIENT",AM633,AE633)),R633*VLOOKUP(S633,'FX RATES'!$E$1:$F$10,2,FALSE)))</f>
        <v>387223.34004024143</v>
      </c>
      <c r="AV633" s="170">
        <f t="shared" si="752"/>
        <v>2323.3400402414263</v>
      </c>
      <c r="AW633" s="169"/>
      <c r="AX633" s="170">
        <f t="shared" si="753"/>
        <v>2323.3400402414486</v>
      </c>
      <c r="AY633" s="170">
        <f t="shared" si="754"/>
        <v>-384900</v>
      </c>
      <c r="AZ633" s="170" t="str">
        <f t="shared" si="755"/>
        <v>USD</v>
      </c>
      <c r="BA633" s="542">
        <f>IF(OR(A633="REFUND",A633="CANCELLED"),0,IFERROR((IF(OR(AB633="USDAED",LEFT(AB633,3)=RIGHT(AB633,3)),AI633,AG633)-AE633)*-AY633*VLOOKUP(AB633,'FX RATES'!$H$1:$J$26,3,FALSE),0))</f>
        <v>0</v>
      </c>
      <c r="BB633" s="170" t="str">
        <f t="shared" si="756"/>
        <v>USD</v>
      </c>
      <c r="BC633" s="542">
        <f t="shared" si="757"/>
        <v>0</v>
      </c>
      <c r="BD633" s="170">
        <f t="shared" si="758"/>
        <v>0</v>
      </c>
      <c r="BE633" s="542">
        <f t="shared" si="759"/>
        <v>0</v>
      </c>
      <c r="BF633" s="170">
        <f t="shared" si="760"/>
        <v>387223.34004024143</v>
      </c>
      <c r="BG633" s="170" t="str">
        <f t="shared" si="761"/>
        <v>USD</v>
      </c>
      <c r="BH633" s="542">
        <f>IF(OR(A633="REFUND",A633="CANCELLED"),0,IFERROR((IF(OR(AJ633="USDAED",LEFT(AJ633,3)=RIGHT(AJ633,3)),AQ633,AO633)-AM633)*-BF633*VLOOKUP(AJ633,'FX RATES'!$H$1:$J$26,3,FALSE),0))</f>
        <v>0</v>
      </c>
      <c r="BI633" s="170" t="str">
        <f t="shared" si="762"/>
        <v>RUB</v>
      </c>
      <c r="BJ633" s="542">
        <f t="shared" si="763"/>
        <v>0</v>
      </c>
      <c r="BK633" s="170">
        <f t="shared" si="764"/>
        <v>0</v>
      </c>
      <c r="BL633" s="542">
        <f t="shared" si="765"/>
        <v>0</v>
      </c>
      <c r="BM633" s="170">
        <f t="shared" si="766"/>
        <v>0</v>
      </c>
      <c r="BN633" s="542">
        <f t="shared" si="767"/>
        <v>0</v>
      </c>
    </row>
    <row r="634" spans="1:66" ht="19.5" customHeight="1">
      <c r="A634" s="167" t="s">
        <v>492</v>
      </c>
      <c r="B634" s="168" t="s">
        <v>52</v>
      </c>
      <c r="C634" s="168" t="s">
        <v>489</v>
      </c>
      <c r="D634" s="168" t="s">
        <v>128</v>
      </c>
      <c r="E634" s="171">
        <v>46072</v>
      </c>
      <c r="F634" s="171"/>
      <c r="G634" s="168" t="s">
        <v>52</v>
      </c>
      <c r="H634" s="181" t="s">
        <v>52</v>
      </c>
      <c r="I634" s="169"/>
      <c r="J634" s="170">
        <f t="shared" si="745"/>
        <v>-32468.213134944519</v>
      </c>
      <c r="K634" s="168" t="s">
        <v>5</v>
      </c>
      <c r="L634" s="171"/>
      <c r="M634" s="168"/>
      <c r="N634" s="167" t="s">
        <v>371</v>
      </c>
      <c r="O634" s="168" t="s">
        <v>52</v>
      </c>
      <c r="P634" s="168" t="s">
        <v>52</v>
      </c>
      <c r="Q634" s="169">
        <f>-J625</f>
        <v>2487065.12613675</v>
      </c>
      <c r="R634" s="170">
        <f t="shared" si="746"/>
        <v>2487065.12613675</v>
      </c>
      <c r="S634" s="168" t="s">
        <v>9</v>
      </c>
      <c r="T634" s="171"/>
      <c r="U634" s="168"/>
      <c r="V634" s="167" t="s">
        <v>371</v>
      </c>
      <c r="W634" s="172" t="s">
        <v>389</v>
      </c>
      <c r="X634" s="173">
        <f>IF(Y634="",VLOOKUP(H634,CLIENTS!$A$1:$O$649,5,FALSE),Y634)</f>
        <v>0</v>
      </c>
      <c r="Y634" s="174"/>
      <c r="Z634" s="173">
        <f>IF(AA634="",VLOOKUP(P634,CLIENTS!$A$1:$O$649,5,FALSE),AA634)</f>
        <v>0</v>
      </c>
      <c r="AA634" s="174"/>
      <c r="AB634" s="173" t="str">
        <f>IF(W634="via USD",IF(K634="EUR",K634&amp;"USD","USD"&amp;K634),IFERROR(VLOOKUP(K634&amp;S634,'FX RATES'!$H$2:$H$20,1,FALSE),S634&amp;K634))</f>
        <v>USDRUB</v>
      </c>
      <c r="AC634" s="175">
        <f>IF(LEFT(AB634,3)=RIGHT(AB634,3),0,IFERROR(INDEX(CLIENTS!$A$1:$O$649,MATCH(H634,CLIENTS!$A$1:$A$649,0),MATCH(AB634,CLIENTS!$A$1:$O$1,0)),0))</f>
        <v>0</v>
      </c>
      <c r="AD634" s="176"/>
      <c r="AE634" s="177" t="str">
        <f t="shared" si="747"/>
        <v/>
      </c>
      <c r="AF634" s="177" t="str">
        <f t="shared" si="748"/>
        <v>46072USDRUB</v>
      </c>
      <c r="AG634" s="176">
        <v>76.599999999999994</v>
      </c>
      <c r="AH634" s="178">
        <f ca="1">IF(LEFT(AB634,3)=RIGHT(AB634,3),1,VLOOKUP(AB634,'FX RATES'!$H$1:$I$20,2,FALSE))</f>
        <v>76.720500000000001</v>
      </c>
      <c r="AI634" s="178">
        <f>IF(OR(AB634="USDAED",LEFT(AB634,3)=RIGHT(AB634,3),AB634="USDUSDT",AB634="USDTUSD"),AH634,IF(LEFT(AB634)="USD",AG634,IF(RIGHT(AB634,3)="USD",1,IFERROR(VLOOKUP(E634&amp;"USD"&amp;RIGHT(AB634,3),$AF:$AG,2,FALSE),VLOOKUP(E634&amp;"USD"&amp;RIGHT(AJ634,3),$AN:$AO,2,FALSE)))))</f>
        <v>76.599999999999994</v>
      </c>
      <c r="AJ634" s="173" t="str">
        <f>IF(W634="via USD",IF(S634="EUR",S634&amp;"USD","USD"&amp;S634),IFERROR(VLOOKUP(K634&amp;S634,'FX RATES'!$H$2:$H$20,1,FALSE),S634&amp;K634))</f>
        <v>USDRUB</v>
      </c>
      <c r="AK634" s="175">
        <f>IF(LEFT(AJ634,3)=RIGHT(AJ634,3),0,IFERROR(INDEX(CLIENTS!$A$1:$O$649,MATCH(P634,CLIENTS!$A$1:$A$649,0),MATCH(AJ634,CLIENTS!$A$1:$O$1,0)),0))</f>
        <v>0</v>
      </c>
      <c r="AL634" s="176">
        <v>76.599999999999994</v>
      </c>
      <c r="AM634" s="177">
        <f t="shared" si="749"/>
        <v>76.599999999999994</v>
      </c>
      <c r="AN634" s="177" t="str">
        <f t="shared" si="750"/>
        <v>46072USDRUB</v>
      </c>
      <c r="AO634" s="176">
        <v>76.599999999999994</v>
      </c>
      <c r="AP634" s="178">
        <f ca="1">IF(LEFT(AJ634,3)=RIGHT(AJ634,3),1,VLOOKUP(AJ634,'FX RATES'!$H$1:$I$20,2,FALSE))</f>
        <v>76.720500000000001</v>
      </c>
      <c r="AQ634" s="178">
        <f t="shared" si="751"/>
        <v>76.599999999999994</v>
      </c>
      <c r="AR634" s="179">
        <f>-Q634*(1-Z634)/(1+X634)*IF(W634="CLIENT",IF(S634=RIGHT(AJ634,3),1/AM634,AM634),IF(W634="VENDOR",IF(S634=RIGHT(AJ634,3),1/AE634,AE634),AE634^(VLOOKUP(AB634,'FX RATES'!$H$1:$J$26,3,FALSE))/AM634^(VLOOKUP(AJ634,'FX RATES'!$H$1:$J$26,3,FALSE))))</f>
        <v>-32468.213134944519</v>
      </c>
      <c r="AS634" s="179">
        <f>-I634*(1+X634)/(1-Z634)*IF(W634="VENDOR",IF(K634=RIGHT(AB634,3),1/AE634,AE634),IF(W634="CLIENT",IF(K634=RIGHT(AB634,3),1/AM634,AM634),AM634^(VLOOKUP(AJ634,'FX RATES'!$H$1:$J$26,3,FALSE))/AE634^(VLOOKUP(AB634,'FX RATES'!$H$1:$J$26,3,FALSE))))</f>
        <v>0</v>
      </c>
      <c r="AT634" s="170">
        <f>IF(AB634&lt;&gt;AJ634,J634/IF(K634=RIGHT(AB634,3),AE634,1/AE634),IF(S634="USD",J634/IF(K634=RIGHT(AB634,3),IF(W634="CLIENT",AM634,AE634),1/IF(W634="CLIENT",AM634,AE634)),J634*VLOOKUP(K634,'FX RATES'!$E$1:$F$10,2,FALSE)))</f>
        <v>-32468.213134944519</v>
      </c>
      <c r="AU634" s="170">
        <f>IF(AB634&lt;&gt;AJ634,R634/IF(S634=RIGHT(AJ634,3),AM634,1/AM634),IF(K634="USD",R634/IF(S634=RIGHT(AJ634,3),IF(W634="CLIENT",AM634,AE634),1/IF(W634="CLIENT",AM634,AE634)),R634*VLOOKUP(S634,'FX RATES'!$E$1:$F$10,2,FALSE)))</f>
        <v>32468.213134944519</v>
      </c>
      <c r="AV634" s="170">
        <f t="shared" si="752"/>
        <v>0</v>
      </c>
      <c r="AW634" s="169"/>
      <c r="AX634" s="170">
        <f t="shared" si="753"/>
        <v>0</v>
      </c>
      <c r="AY634" s="170">
        <f t="shared" si="754"/>
        <v>-32468.213134944519</v>
      </c>
      <c r="AZ634" s="170" t="str">
        <f t="shared" si="755"/>
        <v>USD</v>
      </c>
      <c r="BA634" s="542">
        <f>IF(OR(A634="REFUND",A634="CANCELLED"),0,IFERROR((IF(OR(AB634="USDAED",LEFT(AB634,3)=RIGHT(AB634,3)),AI634,AG634)-AE634)*-AY634*VLOOKUP(AB634,'FX RATES'!$H$1:$J$26,3,FALSE),0))</f>
        <v>0</v>
      </c>
      <c r="BB634" s="170" t="str">
        <f t="shared" si="756"/>
        <v>RUB</v>
      </c>
      <c r="BC634" s="542">
        <f t="shared" si="757"/>
        <v>0</v>
      </c>
      <c r="BD634" s="170">
        <f t="shared" si="758"/>
        <v>0</v>
      </c>
      <c r="BE634" s="542">
        <f t="shared" si="759"/>
        <v>0</v>
      </c>
      <c r="BF634" s="170">
        <f t="shared" si="760"/>
        <v>32468.213134944519</v>
      </c>
      <c r="BG634" s="170" t="str">
        <f t="shared" si="761"/>
        <v>USD</v>
      </c>
      <c r="BH634" s="542">
        <f>IF(OR(A634="REFUND",A634="CANCELLED"),0,IFERROR((IF(OR(AJ634="USDAED",LEFT(AJ634,3)=RIGHT(AJ634,3)),AQ634,AO634)-AM634)*-BF634*VLOOKUP(AJ634,'FX RATES'!$H$1:$J$26,3,FALSE),0))</f>
        <v>0</v>
      </c>
      <c r="BI634" s="170" t="str">
        <f t="shared" si="762"/>
        <v>RUB</v>
      </c>
      <c r="BJ634" s="542">
        <f t="shared" si="763"/>
        <v>0</v>
      </c>
      <c r="BK634" s="170">
        <f t="shared" si="764"/>
        <v>0</v>
      </c>
      <c r="BL634" s="542">
        <f t="shared" si="765"/>
        <v>0</v>
      </c>
      <c r="BM634" s="170">
        <f t="shared" si="766"/>
        <v>0</v>
      </c>
      <c r="BN634" s="542">
        <f t="shared" si="767"/>
        <v>0</v>
      </c>
    </row>
    <row r="635" spans="1:66" ht="19.5" customHeight="1">
      <c r="A635" s="167" t="s">
        <v>601</v>
      </c>
      <c r="B635" s="168" t="s">
        <v>39</v>
      </c>
      <c r="C635" s="168" t="s">
        <v>383</v>
      </c>
      <c r="D635" s="168" t="s">
        <v>121</v>
      </c>
      <c r="E635" s="171">
        <v>46072</v>
      </c>
      <c r="F635" s="171"/>
      <c r="G635" s="168" t="s">
        <v>39</v>
      </c>
      <c r="H635" s="181" t="s">
        <v>190</v>
      </c>
      <c r="I635" s="169"/>
      <c r="J635" s="170">
        <f t="shared" si="745"/>
        <v>-11422860</v>
      </c>
      <c r="K635" s="168" t="s">
        <v>9</v>
      </c>
      <c r="L635" s="168" t="s">
        <v>16</v>
      </c>
      <c r="M635" s="168" t="s">
        <v>25</v>
      </c>
      <c r="N635" s="167" t="s">
        <v>553</v>
      </c>
      <c r="O635" s="168" t="s">
        <v>39</v>
      </c>
      <c r="P635" s="168" t="s">
        <v>190</v>
      </c>
      <c r="Q635" s="169">
        <v>150000</v>
      </c>
      <c r="R635" s="170">
        <f t="shared" si="746"/>
        <v>150000</v>
      </c>
      <c r="S635" s="168" t="s">
        <v>5</v>
      </c>
      <c r="T635" s="171"/>
      <c r="U635" s="168" t="s">
        <v>25</v>
      </c>
      <c r="V635" s="167" t="s">
        <v>371</v>
      </c>
      <c r="W635" s="172" t="s">
        <v>375</v>
      </c>
      <c r="X635" s="173">
        <f>IF(Y635="",VLOOKUP(H635,CLIENTS!$A$1:$O$649,5,FALSE),Y635)</f>
        <v>0</v>
      </c>
      <c r="Y635" s="174">
        <v>0</v>
      </c>
      <c r="Z635" s="173">
        <f>IF(AA635="",VLOOKUP(P635,CLIENTS!$A$1:$O$649,5,FALSE),AA635)</f>
        <v>0</v>
      </c>
      <c r="AA635" s="174">
        <v>0</v>
      </c>
      <c r="AB635" s="173" t="str">
        <f>IF(W635="via USD",IF(K635="EUR",K635&amp;"USD","USD"&amp;K635),IFERROR(VLOOKUP(K635&amp;S635,'FX RATES'!$H$2:$H$20,1,FALSE),S635&amp;K635))</f>
        <v>USDRUB</v>
      </c>
      <c r="AC635" s="175">
        <f>IF(LEFT(AB635,3)=RIGHT(AB635,3),0,IFERROR(INDEX(CLIENTS!$A$1:$O$649,MATCH(H635,CLIENTS!$A$1:$A$649,0),MATCH(AB635,CLIENTS!$A$1:$O$1,0)),0))</f>
        <v>0</v>
      </c>
      <c r="AD635" s="176">
        <v>76.1524</v>
      </c>
      <c r="AE635" s="177">
        <f t="shared" si="747"/>
        <v>76.1524</v>
      </c>
      <c r="AF635" s="177" t="str">
        <f t="shared" si="748"/>
        <v>46072USDRUB</v>
      </c>
      <c r="AG635" s="176">
        <v>76.599999999999994</v>
      </c>
      <c r="AH635" s="178">
        <f ca="1">IF(LEFT(AB635,3)=RIGHT(AB635,3),1,VLOOKUP(AB635,'FX RATES'!$H$1:$I$20,2,FALSE))</f>
        <v>76.720500000000001</v>
      </c>
      <c r="AI635" s="178">
        <f>IF(OR(AB635="USDAED",LEFT(AB635,3)=RIGHT(AB635,3)),AH635,IF(LEFT(AB635)="USD",AG635,IF(RIGHT(AB635,3)="USD",1,IFERROR(VLOOKUP(E635&amp;"USD"&amp;RIGHT(AB635,3),$AF:$AG,2,FALSE),VLOOKUP(E635&amp;"USD"&amp;RIGHT(AJ635,3),$AN:$AO,2,FALSE)))))</f>
        <v>76.599999999999994</v>
      </c>
      <c r="AJ635" s="173" t="str">
        <f>IF(W635="via USD",IF(S635="EUR",S635&amp;"USD","USD"&amp;S635),IFERROR(VLOOKUP(K635&amp;S635,'FX RATES'!$H$2:$H$20,1,FALSE),S635&amp;K635))</f>
        <v>USDUSD</v>
      </c>
      <c r="AK635" s="175">
        <f>IF(LEFT(AJ635,3)=RIGHT(AJ635,3),0,IFERROR(INDEX(CLIENTS!$A$1:$O$649,MATCH(P635,CLIENTS!$A$1:$A$649,0),MATCH(AJ635,CLIENTS!$A$1:$O$1,0)),0))</f>
        <v>0</v>
      </c>
      <c r="AL635" s="176"/>
      <c r="AM635" s="177">
        <f t="shared" si="749"/>
        <v>1</v>
      </c>
      <c r="AN635" s="177" t="str">
        <f t="shared" si="750"/>
        <v>46072USDUSD</v>
      </c>
      <c r="AO635" s="176"/>
      <c r="AP635" s="178">
        <f>IF(LEFT(AJ635,3)=RIGHT(AJ635,3),1,VLOOKUP(AJ635,'FX RATES'!$H$1:$I$20,2,FALSE))</f>
        <v>1</v>
      </c>
      <c r="AQ635" s="178">
        <f t="shared" si="751"/>
        <v>1</v>
      </c>
      <c r="AR635" s="179">
        <f>-Q635*(1-Z635)/(1+X635)*IF(W635="CLIENT",IF(S635=RIGHT(AJ635,3),1/AM635,AM635),IF(W635="VENDOR",IF(S635=RIGHT(AJ635,3),1/AE635,AE635),AE635^(VLOOKUP(AB635,'FX RATES'!$H$1:$J$26,3,FALSE))/AM635^(VLOOKUP(AJ635,'FX RATES'!$H$1:$J$26,3,FALSE))))</f>
        <v>-11422860</v>
      </c>
      <c r="AS635" s="179">
        <f>-I635*(1+X635)/(1-Z635)*IF(W635="VENDOR",IF(K635=RIGHT(AB635,3),1/AE635,AE635),IF(W635="CLIENT",IF(K635=RIGHT(AB635,3),1/AM635,AM635),AM635^(VLOOKUP(AJ635,'FX RATES'!$H$1:$J$26,3,FALSE))/AE635^(VLOOKUP(AB635,'FX RATES'!$H$1:$J$26,3,FALSE))))</f>
        <v>0</v>
      </c>
      <c r="AT635" s="170">
        <f>IF(AB635&lt;&gt;AJ635,J635/IF(K635=RIGHT(AB635,3),AE635,1/AE635),IF(S635="USD",J635/IF(K635=RIGHT(AB635,3),IF(W635="CLIENT",AM635,AE635),1/IF(W635="CLIENT",AM635,AE635)),J635*VLOOKUP(K635,'FX RATES'!$E$1:$F$10,2,FALSE)))</f>
        <v>-150000</v>
      </c>
      <c r="AU635" s="170">
        <f>IF(AB635&lt;&gt;AJ635,R635/IF(S635=RIGHT(AJ635,3),AM635,1/AM635),IF(K635="USD",R635/IF(S635=RIGHT(AJ635,3),IF(W635="CLIENT",AM635,AE635),1/IF(W635="CLIENT",AM635,AE635)),R635*VLOOKUP(S635,'FX RATES'!$E$1:$F$10,2,FALSE)))</f>
        <v>150000</v>
      </c>
      <c r="AV635" s="170">
        <f t="shared" si="752"/>
        <v>0</v>
      </c>
      <c r="AW635" s="169"/>
      <c r="AX635" s="170">
        <f t="shared" si="753"/>
        <v>0</v>
      </c>
      <c r="AY635" s="170">
        <f t="shared" si="754"/>
        <v>-150000</v>
      </c>
      <c r="AZ635" s="170" t="str">
        <f t="shared" si="755"/>
        <v>USD</v>
      </c>
      <c r="BA635" s="542">
        <f>IF(OR(A635="REFUND",A635="CANCELLED"),0,IFERROR((IF(OR(AB635="USDAED",LEFT(AB635,3)=RIGHT(AB635,3)),AI635,AG635)-AE635)*-AY635*VLOOKUP(AB635,'FX RATES'!$H$1:$J$26,3,FALSE),0))</f>
        <v>67139.999999999127</v>
      </c>
      <c r="BB635" s="170" t="str">
        <f t="shared" si="756"/>
        <v>RUB</v>
      </c>
      <c r="BC635" s="542">
        <f t="shared" si="757"/>
        <v>876.5013054830174</v>
      </c>
      <c r="BD635" s="170">
        <f t="shared" si="758"/>
        <v>0</v>
      </c>
      <c r="BE635" s="542">
        <f t="shared" si="759"/>
        <v>876.5013054830174</v>
      </c>
      <c r="BF635" s="170">
        <f t="shared" si="760"/>
        <v>150000</v>
      </c>
      <c r="BG635" s="170" t="str">
        <f t="shared" si="761"/>
        <v>USD</v>
      </c>
      <c r="BH635" s="542">
        <f>IF(OR(A635="REFUND",A635="CANCELLED"),0,IFERROR((IF(OR(AJ635="USDAED",LEFT(AJ635,3)=RIGHT(AJ635,3)),AQ635,AO635)-AM635)*-BF635*VLOOKUP(AJ635,'FX RATES'!$H$1:$J$26,3,FALSE),0))</f>
        <v>0</v>
      </c>
      <c r="BI635" s="170" t="str">
        <f t="shared" si="762"/>
        <v>USD</v>
      </c>
      <c r="BJ635" s="542">
        <f t="shared" si="763"/>
        <v>0</v>
      </c>
      <c r="BK635" s="170">
        <f t="shared" si="764"/>
        <v>0</v>
      </c>
      <c r="BL635" s="542">
        <f t="shared" si="765"/>
        <v>0</v>
      </c>
      <c r="BM635" s="170">
        <f t="shared" si="766"/>
        <v>0</v>
      </c>
      <c r="BN635" s="542">
        <f t="shared" si="767"/>
        <v>876.5013054830174</v>
      </c>
    </row>
    <row r="636" spans="1:66" ht="19.5" customHeight="1">
      <c r="A636" s="167" t="s">
        <v>601</v>
      </c>
      <c r="B636" s="168" t="s">
        <v>31</v>
      </c>
      <c r="C636" s="168" t="s">
        <v>383</v>
      </c>
      <c r="D636" s="168" t="s">
        <v>121</v>
      </c>
      <c r="E636" s="171">
        <v>46072</v>
      </c>
      <c r="F636" s="171"/>
      <c r="G636" s="168" t="s">
        <v>52</v>
      </c>
      <c r="H636" s="181" t="s">
        <v>476</v>
      </c>
      <c r="I636" s="169">
        <f>-(R632+R633+R634)</f>
        <v>-58966079.12613675</v>
      </c>
      <c r="J636" s="170">
        <f t="shared" si="745"/>
        <v>-58966079.12613675</v>
      </c>
      <c r="K636" s="168" t="s">
        <v>9</v>
      </c>
      <c r="L636" s="171" t="s">
        <v>25</v>
      </c>
      <c r="M636" s="168" t="s">
        <v>25</v>
      </c>
      <c r="N636" s="167" t="s">
        <v>553</v>
      </c>
      <c r="O636" s="168" t="s">
        <v>31</v>
      </c>
      <c r="P636" s="168" t="s">
        <v>31</v>
      </c>
      <c r="Q636" s="169"/>
      <c r="R636" s="170">
        <f t="shared" ref="R636" si="768">IF(Q636="",AS636,Q636)</f>
        <v>774030.12218513305</v>
      </c>
      <c r="S636" s="168" t="s">
        <v>5</v>
      </c>
      <c r="T636" s="171" t="s">
        <v>477</v>
      </c>
      <c r="U636" s="168" t="s">
        <v>14</v>
      </c>
      <c r="V636" s="167" t="s">
        <v>371</v>
      </c>
      <c r="W636" s="172" t="s">
        <v>382</v>
      </c>
      <c r="X636" s="173">
        <f>IF(Y636="",VLOOKUP(H636,CLIENTS!$A$1:$O$649,5,FALSE),Y636)</f>
        <v>0</v>
      </c>
      <c r="Y636" s="174"/>
      <c r="Z636" s="173">
        <f>IF(AA636="",VLOOKUP(P636,CLIENTS!$A$1:$O$649,5,FALSE),AA636)</f>
        <v>0</v>
      </c>
      <c r="AA636" s="174"/>
      <c r="AB636" s="173" t="str">
        <f>IF(W636="via USD",IF(K636="EUR",K636&amp;"USD","USD"&amp;K636),IFERROR(VLOOKUP(K636&amp;S636,'FX RATES'!$H$2:$H$20,1,FALSE),S636&amp;K636))</f>
        <v>USDRUB</v>
      </c>
      <c r="AC636" s="175">
        <f>IF(LEFT(AB636,3)=RIGHT(AB636,3),0,IFERROR(INDEX(CLIENTS!$A$1:$O$649,MATCH(H636,CLIENTS!$A$1:$A$649,0),MATCH(AB636,CLIENTS!$A$1:$O$1,0)),0))+0.07</f>
        <v>0</v>
      </c>
      <c r="AD636" s="176">
        <v>76.180599999999998</v>
      </c>
      <c r="AE636" s="177">
        <f t="shared" si="747"/>
        <v>76.180599999999998</v>
      </c>
      <c r="AF636" s="177" t="str">
        <f t="shared" si="748"/>
        <v>46072USDRUB</v>
      </c>
      <c r="AG636" s="176">
        <v>76.599999999999994</v>
      </c>
      <c r="AH636" s="178">
        <f ca="1">IF(LEFT(AB636,3)=RIGHT(AB636,3),1,VLOOKUP(AB636,'FX RATES'!$H$1:$I$20,2,FALSE))</f>
        <v>76.720500000000001</v>
      </c>
      <c r="AI636" s="178">
        <f>IF(OR(AB636="USDAED",LEFT(AB636,3)=RIGHT(AB636,3)),AH636,IF(LEFT(AB636)="USD",AG636,IF(RIGHT(AB636,3)="USD",1,IFERROR(VLOOKUP(E636&amp;"USD"&amp;RIGHT(AB636,3),$AF:$AG,2,FALSE),VLOOKUP(E636&amp;"USD"&amp;RIGHT(AJ636,3),$AN:$AO,2,FALSE)))))</f>
        <v>76.599999999999994</v>
      </c>
      <c r="AJ636" s="173" t="str">
        <f>IF(W636="via USD",IF(S636="EUR",S636&amp;"USD","USD"&amp;S636),IFERROR(VLOOKUP(K636&amp;S636,'FX RATES'!$H$2:$H$20,1,FALSE),S636&amp;K636))</f>
        <v>USDRUB</v>
      </c>
      <c r="AK636" s="175">
        <f>IF(LEFT(AJ636,3)=RIGHT(AJ636,3),0,IFERROR(INDEX(CLIENTS!$A$1:$O$649,MATCH(P636,CLIENTS!$A$1:$A$649,0),MATCH(AJ636,CLIENTS!$A$1:$O$1,0)),0))</f>
        <v>0</v>
      </c>
      <c r="AL636" s="176"/>
      <c r="AM636" s="177" t="str">
        <f t="shared" si="749"/>
        <v/>
      </c>
      <c r="AN636" s="177" t="str">
        <f t="shared" si="750"/>
        <v>46072USDRUB</v>
      </c>
      <c r="AO636" s="176"/>
      <c r="AP636" s="178">
        <f ca="1">IF(LEFT(AJ636,3)=RIGHT(AJ636,3),1,VLOOKUP(AJ636,'FX RATES'!$H$1:$I$20,2,FALSE))</f>
        <v>76.720500000000001</v>
      </c>
      <c r="AQ636" s="178">
        <f t="shared" si="751"/>
        <v>76.599999999999994</v>
      </c>
      <c r="AR636" s="179">
        <f>-Q636*(1-Z636)/(1+X636)*IF(W636="CLIENT",IF(S636=RIGHT(AJ636,3),1/AM636,AM636),IF(W636="VENDOR",IF(S636=RIGHT(AJ636,3),1/AE636,AE636),AE636^(VLOOKUP(AB636,'FX RATES'!$H$1:$J$26,3,FALSE))/AM636^(VLOOKUP(AJ636,'FX RATES'!$H$1:$J$26,3,FALSE))))</f>
        <v>0</v>
      </c>
      <c r="AS636" s="179">
        <f>-I636*(1+X636)/(1-Z636)*IF(W636="VENDOR",IF(K636=RIGHT(AB636,3),1/AE636,AE636),IF(W636="CLIENT",IF(K636=RIGHT(AB636,3),1/AM636,AM636),AM636^(VLOOKUP(AJ636,'FX RATES'!$H$1:$J$26,3,FALSE))/AE636^(VLOOKUP(AB636,'FX RATES'!$H$1:$J$26,3,FALSE))))</f>
        <v>774030.12218513305</v>
      </c>
      <c r="AT636" s="170">
        <f>IF(AB636&lt;&gt;AJ636,J636/IF(K636=RIGHT(AB636,3),AE636,1/AE636),IF(S636="USD",J636/IF(K636=RIGHT(AB636,3),IF(W636="CLIENT",AM636,AE636),1/IF(W636="CLIENT",AM636,AE636)),J636*VLOOKUP(K636,'FX RATES'!$E$1:$F$10,2,FALSE)))</f>
        <v>-774030.12218513316</v>
      </c>
      <c r="AU636" s="170">
        <f>IF(AB636&lt;&gt;AJ636,R636/IF(S636=RIGHT(AJ636,3),AM636,1/AM636),IF(K636="USD",R636/IF(S636=RIGHT(AJ636,3),IF(W636="CLIENT",AM636,AE636),1/IF(W636="CLIENT",AM636,AE636)),R636*VLOOKUP(S636,'FX RATES'!$E$1:$F$10,2,FALSE)))</f>
        <v>774030.12218513305</v>
      </c>
      <c r="AV636" s="170">
        <f t="shared" si="752"/>
        <v>0</v>
      </c>
      <c r="AW636" s="169"/>
      <c r="AX636" s="170">
        <f t="shared" si="753"/>
        <v>0</v>
      </c>
      <c r="AY636" s="170">
        <f t="shared" si="754"/>
        <v>-774030.12218513316</v>
      </c>
      <c r="AZ636" s="170" t="str">
        <f t="shared" si="755"/>
        <v>USD</v>
      </c>
      <c r="BA636" s="542">
        <f>IF(OR(A636="REFUND",A636="CANCELLED"),0,IFERROR((IF(OR(AB636="USDAED",LEFT(AB636,3)=RIGHT(AB636,3)),AI636,AG636)-AE636)*-AY636*VLOOKUP(AB636,'FX RATES'!$H$1:$J$26,3,FALSE),0))</f>
        <v>324628.23324444174</v>
      </c>
      <c r="BB636" s="170" t="str">
        <f t="shared" si="756"/>
        <v>RUB</v>
      </c>
      <c r="BC636" s="542">
        <f t="shared" si="757"/>
        <v>4237.9664914417981</v>
      </c>
      <c r="BD636" s="170">
        <f t="shared" si="758"/>
        <v>0</v>
      </c>
      <c r="BE636" s="542">
        <f t="shared" si="759"/>
        <v>4237.9664914417981</v>
      </c>
      <c r="BF636" s="170">
        <f t="shared" si="760"/>
        <v>774030.12218513305</v>
      </c>
      <c r="BG636" s="170" t="str">
        <f t="shared" si="761"/>
        <v>USD</v>
      </c>
      <c r="BH636" s="542">
        <f>IF(OR(A636="REFUND",A636="CANCELLED"),0,IFERROR((IF(OR(AJ636="USDAED",LEFT(AJ636,3)=RIGHT(AJ636,3)),AQ636,AO636)-AM636)*-BF636*VLOOKUP(AJ636,'FX RATES'!$H$1:$J$26,3,FALSE),0))</f>
        <v>0</v>
      </c>
      <c r="BI636" s="170" t="str">
        <f t="shared" si="762"/>
        <v>RUB</v>
      </c>
      <c r="BJ636" s="542">
        <f t="shared" si="763"/>
        <v>0</v>
      </c>
      <c r="BK636" s="170">
        <f t="shared" si="764"/>
        <v>0</v>
      </c>
      <c r="BL636" s="542">
        <f t="shared" si="765"/>
        <v>0</v>
      </c>
      <c r="BM636" s="170">
        <f t="shared" si="766"/>
        <v>0</v>
      </c>
      <c r="BN636" s="542">
        <f t="shared" si="767"/>
        <v>4237.9664914417981</v>
      </c>
    </row>
    <row r="637" spans="1:66" ht="19.5" customHeight="1">
      <c r="A637" s="167" t="s">
        <v>601</v>
      </c>
      <c r="B637" s="168" t="s">
        <v>31</v>
      </c>
      <c r="C637" s="168" t="s">
        <v>383</v>
      </c>
      <c r="D637" s="168" t="s">
        <v>121</v>
      </c>
      <c r="E637" s="171">
        <v>46072</v>
      </c>
      <c r="F637" s="171"/>
      <c r="G637" s="168" t="s">
        <v>39</v>
      </c>
      <c r="H637" s="181" t="s">
        <v>476</v>
      </c>
      <c r="I637" s="169">
        <f>-(R629+R630+R631+J635)</f>
        <v>-49061385.319798984</v>
      </c>
      <c r="J637" s="170">
        <f t="shared" si="745"/>
        <v>-49061385.319798984</v>
      </c>
      <c r="K637" s="168" t="s">
        <v>9</v>
      </c>
      <c r="L637" s="171" t="s">
        <v>25</v>
      </c>
      <c r="M637" s="168" t="s">
        <v>25</v>
      </c>
      <c r="N637" s="167" t="s">
        <v>553</v>
      </c>
      <c r="O637" s="168" t="s">
        <v>31</v>
      </c>
      <c r="P637" s="168" t="s">
        <v>31</v>
      </c>
      <c r="Q637" s="169"/>
      <c r="R637" s="170">
        <f>IF(Q637="",AS637,Q637)</f>
        <v>644014.16265819618</v>
      </c>
      <c r="S637" s="168" t="s">
        <v>5</v>
      </c>
      <c r="T637" s="171" t="s">
        <v>477</v>
      </c>
      <c r="U637" s="168" t="s">
        <v>14</v>
      </c>
      <c r="V637" s="167" t="s">
        <v>371</v>
      </c>
      <c r="W637" s="172" t="s">
        <v>382</v>
      </c>
      <c r="X637" s="173">
        <f>IF(Y637="",VLOOKUP(H637,CLIENTS!$A$1:$O$649,5,FALSE),Y637)</f>
        <v>0</v>
      </c>
      <c r="Y637" s="174"/>
      <c r="Z637" s="173">
        <f>IF(AA637="",VLOOKUP(P637,CLIENTS!$A$1:$O$649,5,FALSE),AA637)</f>
        <v>0</v>
      </c>
      <c r="AA637" s="174"/>
      <c r="AB637" s="173" t="str">
        <f>IF(W637="via USD",IF(K637="EUR",K637&amp;"USD","USD"&amp;K637),IFERROR(VLOOKUP(K637&amp;S637,'FX RATES'!$H$2:$H$20,1,FALSE),S637&amp;K637))</f>
        <v>USDRUB</v>
      </c>
      <c r="AC637" s="175">
        <f>IF(LEFT(AB637,3)=RIGHT(AB637,3),0,IFERROR(INDEX(CLIENTS!$A$1:$O$649,MATCH(H637,CLIENTS!$A$1:$A$649,0),MATCH(AB637,CLIENTS!$A$1:$O$1,0)),0))+0.07</f>
        <v>0</v>
      </c>
      <c r="AD637" s="176">
        <v>76.180599999999998</v>
      </c>
      <c r="AE637" s="177">
        <f t="shared" si="747"/>
        <v>76.180599999999998</v>
      </c>
      <c r="AF637" s="177" t="str">
        <f t="shared" si="748"/>
        <v>46072USDRUB</v>
      </c>
      <c r="AG637" s="176">
        <v>76.599999999999994</v>
      </c>
      <c r="AH637" s="178">
        <f ca="1">IF(LEFT(AB637,3)=RIGHT(AB637,3),1,VLOOKUP(AB637,'FX RATES'!$H$1:$I$20,2,FALSE))</f>
        <v>76.720500000000001</v>
      </c>
      <c r="AI637" s="178">
        <f>IF(OR(AB637="USDAED",LEFT(AB637,3)=RIGHT(AB637,3)),AH637,IF(LEFT(AB637)="USD",AG637,IF(RIGHT(AB637,3)="USD",1,IFERROR(VLOOKUP(E637&amp;"USD"&amp;RIGHT(AB637,3),$AF:$AG,2,FALSE),VLOOKUP(E637&amp;"USD"&amp;RIGHT(AJ637,3),$AN:$AO,2,FALSE)))))</f>
        <v>76.599999999999994</v>
      </c>
      <c r="AJ637" s="173" t="str">
        <f>IF(W637="via USD",IF(S637="EUR",S637&amp;"USD","USD"&amp;S637),IFERROR(VLOOKUP(K637&amp;S637,'FX RATES'!$H$2:$H$20,1,FALSE),S637&amp;K637))</f>
        <v>USDRUB</v>
      </c>
      <c r="AK637" s="175">
        <f>IF(LEFT(AJ637,3)=RIGHT(AJ637,3),0,IFERROR(INDEX(CLIENTS!$A$1:$O$649,MATCH(P637,CLIENTS!$A$1:$A$649,0),MATCH(AJ637,CLIENTS!$A$1:$O$1,0)),0))</f>
        <v>0</v>
      </c>
      <c r="AL637" s="176"/>
      <c r="AM637" s="177" t="str">
        <f t="shared" si="749"/>
        <v/>
      </c>
      <c r="AN637" s="177" t="str">
        <f t="shared" si="750"/>
        <v>46072USDRUB</v>
      </c>
      <c r="AO637" s="176"/>
      <c r="AP637" s="178">
        <f ca="1">IF(LEFT(AJ637,3)=RIGHT(AJ637,3),1,VLOOKUP(AJ637,'FX RATES'!$H$1:$I$20,2,FALSE))</f>
        <v>76.720500000000001</v>
      </c>
      <c r="AQ637" s="178">
        <f t="shared" si="751"/>
        <v>76.599999999999994</v>
      </c>
      <c r="AR637" s="179">
        <f>-Q637*(1-Z637)/(1+X637)*IF(W637="CLIENT",IF(S637=RIGHT(AJ637,3),1/AM637,AM637),IF(W637="VENDOR",IF(S637=RIGHT(AJ637,3),1/AE637,AE637),AE637^(VLOOKUP(AB637,'FX RATES'!$H$1:$J$26,3,FALSE))/AM637^(VLOOKUP(AJ637,'FX RATES'!$H$1:$J$26,3,FALSE))))</f>
        <v>0</v>
      </c>
      <c r="AS637" s="179">
        <f>-I637*(1+X637)/(1-Z637)*IF(W637="VENDOR",IF(K637=RIGHT(AB637,3),1/AE637,AE637),IF(W637="CLIENT",IF(K637=RIGHT(AB637,3),1/AM637,AM637),AM637^(VLOOKUP(AJ637,'FX RATES'!$H$1:$J$26,3,FALSE))/AE637^(VLOOKUP(AB637,'FX RATES'!$H$1:$J$26,3,FALSE))))</f>
        <v>644014.16265819618</v>
      </c>
      <c r="AT637" s="170">
        <f>IF(AB637&lt;&gt;AJ637,J637/IF(K637=RIGHT(AB637,3),AE637,1/AE637),IF(S637="USD",J637/IF(K637=RIGHT(AB637,3),IF(W637="CLIENT",AM637,AE637),1/IF(W637="CLIENT",AM637,AE637)),J637*VLOOKUP(K637,'FX RATES'!$E$1:$F$10,2,FALSE)))</f>
        <v>-644014.16265819629</v>
      </c>
      <c r="AU637" s="170">
        <f>IF(AB637&lt;&gt;AJ637,R637/IF(S637=RIGHT(AJ637,3),AM637,1/AM637),IF(K637="USD",R637/IF(S637=RIGHT(AJ637,3),IF(W637="CLIENT",AM637,AE637),1/IF(W637="CLIENT",AM637,AE637)),R637*VLOOKUP(S637,'FX RATES'!$E$1:$F$10,2,FALSE)))</f>
        <v>644014.16265819618</v>
      </c>
      <c r="AV637" s="170">
        <f t="shared" si="752"/>
        <v>0</v>
      </c>
      <c r="AW637" s="169"/>
      <c r="AX637" s="170">
        <f t="shared" si="753"/>
        <v>0</v>
      </c>
      <c r="AY637" s="170">
        <f t="shared" si="754"/>
        <v>-644014.16265819629</v>
      </c>
      <c r="AZ637" s="170" t="str">
        <f t="shared" si="755"/>
        <v>USD</v>
      </c>
      <c r="BA637" s="542">
        <f>IF(OR(A637="REFUND",A637="CANCELLED"),0,IFERROR((IF(OR(AB637="USDAED",LEFT(AB637,3)=RIGHT(AB637,3)),AI637,AG637)-AE637)*-AY637*VLOOKUP(AB637,'FX RATES'!$H$1:$J$26,3,FALSE),0))</f>
        <v>270099.53981884493</v>
      </c>
      <c r="BB637" s="170" t="str">
        <f t="shared" si="756"/>
        <v>RUB</v>
      </c>
      <c r="BC637" s="542">
        <f t="shared" si="757"/>
        <v>3526.1036529875319</v>
      </c>
      <c r="BD637" s="170">
        <f t="shared" si="758"/>
        <v>0</v>
      </c>
      <c r="BE637" s="542">
        <f t="shared" si="759"/>
        <v>3526.1036529875319</v>
      </c>
      <c r="BF637" s="170">
        <f t="shared" si="760"/>
        <v>644014.16265819618</v>
      </c>
      <c r="BG637" s="170" t="str">
        <f t="shared" si="761"/>
        <v>USD</v>
      </c>
      <c r="BH637" s="542">
        <f>IF(OR(A637="REFUND",A637="CANCELLED"),0,IFERROR((IF(OR(AJ637="USDAED",LEFT(AJ637,3)=RIGHT(AJ637,3)),AQ637,AO637)-AM637)*-BF637*VLOOKUP(AJ637,'FX RATES'!$H$1:$J$26,3,FALSE),0))</f>
        <v>0</v>
      </c>
      <c r="BI637" s="170" t="str">
        <f t="shared" si="762"/>
        <v>RUB</v>
      </c>
      <c r="BJ637" s="542">
        <f t="shared" si="763"/>
        <v>0</v>
      </c>
      <c r="BK637" s="170">
        <f t="shared" si="764"/>
        <v>0</v>
      </c>
      <c r="BL637" s="542">
        <f t="shared" si="765"/>
        <v>0</v>
      </c>
      <c r="BM637" s="170">
        <f t="shared" si="766"/>
        <v>0</v>
      </c>
      <c r="BN637" s="542">
        <f t="shared" si="767"/>
        <v>3526.1036529875319</v>
      </c>
    </row>
    <row r="638" spans="1:66" ht="19.5" customHeight="1">
      <c r="A638" s="180"/>
      <c r="E638" s="180"/>
      <c r="F638" s="180"/>
      <c r="L638" s="180"/>
      <c r="M638" s="180"/>
      <c r="N638" s="180"/>
      <c r="O638" s="180"/>
      <c r="P638" s="180"/>
      <c r="V638" s="180"/>
      <c r="W638" s="180"/>
      <c r="BA638" s="180"/>
      <c r="BC638" s="180"/>
      <c r="BE638" s="180"/>
      <c r="BH638" s="180"/>
      <c r="BJ638" s="180"/>
      <c r="BL638" s="180"/>
      <c r="BN638" s="180"/>
    </row>
    <row r="639" spans="1:66" ht="19.5" customHeight="1">
      <c r="A639" s="167" t="s">
        <v>601</v>
      </c>
      <c r="B639" s="168" t="s">
        <v>39</v>
      </c>
      <c r="C639" s="168" t="s">
        <v>367</v>
      </c>
      <c r="D639" s="168" t="s">
        <v>368</v>
      </c>
      <c r="E639" s="171">
        <v>46072</v>
      </c>
      <c r="F639" s="171" t="s">
        <v>625</v>
      </c>
      <c r="G639" s="168" t="s">
        <v>39</v>
      </c>
      <c r="H639" s="348" t="s">
        <v>558</v>
      </c>
      <c r="I639" s="169">
        <v>-502460</v>
      </c>
      <c r="J639" s="170">
        <f>IF(I639="",AR639,I639)</f>
        <v>-502460</v>
      </c>
      <c r="K639" s="168" t="s">
        <v>5</v>
      </c>
      <c r="L639" s="349" t="s">
        <v>49</v>
      </c>
      <c r="M639" s="168" t="s">
        <v>20</v>
      </c>
      <c r="N639" s="167" t="s">
        <v>648</v>
      </c>
      <c r="O639" s="168" t="s">
        <v>52</v>
      </c>
      <c r="P639" s="168" t="s">
        <v>560</v>
      </c>
      <c r="Q639" s="169"/>
      <c r="R639" s="170">
        <f>IF(Q639="",AS639,Q639)</f>
        <v>38654645.937813438</v>
      </c>
      <c r="S639" s="168" t="s">
        <v>9</v>
      </c>
      <c r="T639" s="171" t="s">
        <v>561</v>
      </c>
      <c r="U639" s="168" t="s">
        <v>25</v>
      </c>
      <c r="V639" s="167" t="s">
        <v>371</v>
      </c>
      <c r="W639" s="172" t="s">
        <v>375</v>
      </c>
      <c r="X639" s="173">
        <f>IF(Y639="",VLOOKUP(H639,CLIENTS!$A$1:$O$649,5,FALSE),Y639)</f>
        <v>0</v>
      </c>
      <c r="Y639" s="174">
        <v>0</v>
      </c>
      <c r="Z639" s="173">
        <f>IF(AA639="",VLOOKUP(P639,CLIENTS!$A$1:$O$649,5,FALSE),AA639)</f>
        <v>3.0000000000000001E-3</v>
      </c>
      <c r="AA639" s="174">
        <v>3.0000000000000001E-3</v>
      </c>
      <c r="AB639" s="173" t="str">
        <f>IF(W639="via USD",IF(K639="EUR",K639&amp;"USD","USD"&amp;K639),IFERROR(VLOOKUP(K639&amp;S639,'FX RATES'!$H$2:$H$20,1,FALSE),S639&amp;K639))</f>
        <v>USDUSD</v>
      </c>
      <c r="AC639" s="175">
        <f>IF(LEFT(AB639,3)=RIGHT(AB639,3),0,IFERROR(INDEX(CLIENTS!$A$1:$O$649,MATCH(H639,CLIENTS!$A$1:$A$649,0),MATCH(AB639,CLIENTS!$A$1:$O$1,0)),0))</f>
        <v>0</v>
      </c>
      <c r="AD639" s="176"/>
      <c r="AE639" s="177">
        <f>IF(W639="CLIENT","",IF(AD639="",AH639+AC639,AD639+AC639))</f>
        <v>1</v>
      </c>
      <c r="AF639" s="177" t="str">
        <f>E639&amp;AB639</f>
        <v>46072USDUSD</v>
      </c>
      <c r="AG639" s="176"/>
      <c r="AH639" s="178">
        <f>IF(LEFT(AB639,3)=RIGHT(AB639,3),1,VLOOKUP(AB639,'FX RATES'!$H$1:$I$20,2,FALSE))</f>
        <v>1</v>
      </c>
      <c r="AI639" s="178">
        <f>IF(OR(AB639="USDAED",LEFT(AB639,3)=RIGHT(AB639,3)),AH639,IF(LEFT(AB639)="USD",AG639,IF(RIGHT(AB639,3)="USD",1,IFERROR(VLOOKUP(E639&amp;"USD"&amp;RIGHT(AB639,3),$AF:$AG,2,FALSE),VLOOKUP(E639&amp;"USD"&amp;RIGHT(AJ639,3),$AN:$AO,2,FALSE)))))</f>
        <v>1</v>
      </c>
      <c r="AJ639" s="173" t="str">
        <f>IF(W639="via USD",IF(S639="EUR",S639&amp;"USD","USD"&amp;S639),IFERROR(VLOOKUP(K639&amp;S639,'FX RATES'!$H$2:$H$20,1,FALSE),S639&amp;K639))</f>
        <v>USDRUB</v>
      </c>
      <c r="AK639" s="175">
        <f>IF(LEFT(AJ639,3)=RIGHT(AJ639,3),0,IFERROR(INDEX(CLIENTS!$A$1:$O$649,MATCH(P639,CLIENTS!$A$1:$A$649,0),MATCH(AJ639,CLIENTS!$A$1:$O$1,0)),0))</f>
        <v>0</v>
      </c>
      <c r="AL639" s="176">
        <v>76.7</v>
      </c>
      <c r="AM639" s="177">
        <f>IF(W639="VENDOR","",IF(AL639="",AP639+AK639,AL639+AK639))</f>
        <v>76.7</v>
      </c>
      <c r="AN639" s="177" t="str">
        <f>E639&amp;AJ639</f>
        <v>46072USDRUB</v>
      </c>
      <c r="AO639" s="176">
        <v>76.599999999999994</v>
      </c>
      <c r="AP639" s="178">
        <f ca="1">IF(LEFT(AJ639,3)=RIGHT(AJ639,3),1,VLOOKUP(AJ639,'FX RATES'!$H$1:$I$20,2,FALSE))</f>
        <v>76.720500000000001</v>
      </c>
      <c r="AQ639" s="178">
        <f>IF(OR(AJ639="USDAED",LEFT(AJ639,3)=RIGHT(AJ639,3)),AP639,IF(LEFT(AJ639)="USD",AO639,IF(RIGHT(AJ639,3)="USD",1,IFERROR(VLOOKUP(E639&amp;"USD"&amp;RIGHT(AJ639,3),$AN:$AO,2,FALSE),VLOOKUP(E639&amp;"USD"&amp;RIGHT(AB639,3),$AF:$AG,2,FALSE)))))</f>
        <v>76.599999999999994</v>
      </c>
      <c r="AR639" s="179">
        <f>-Q639*(1-Z639)/(1+X639)*IF(W639="CLIENT",IF(S639=RIGHT(AJ639,3),1/AM639,AM639),IF(W639="VENDOR",IF(S639=RIGHT(AJ639,3),1/AE639,AE639),AE639^(VLOOKUP(AB639,'FX RATES'!$H$1:$J$26,3,FALSE))/AM639^(VLOOKUP(AJ639,'FX RATES'!$H$1:$J$26,3,FALSE))))</f>
        <v>0</v>
      </c>
      <c r="AS639" s="179">
        <f>-I639*(1+X639)/(1-Z639)*IF(W639="VENDOR",IF(K639=RIGHT(AB639,3),1/AE639,AE639),IF(W639="CLIENT",IF(K639=RIGHT(AB639,3),1/AM639,AM639),AM639^(VLOOKUP(AJ639,'FX RATES'!$H$1:$J$26,3,FALSE))/AE639^(VLOOKUP(AB639,'FX RATES'!$H$1:$J$26,3,FALSE))))</f>
        <v>38654645.937813438</v>
      </c>
      <c r="AT639" s="170">
        <f>IF(AB639&lt;&gt;AJ639,J639/IF(K639=RIGHT(AB639,3),AE639,1/AE639),IF(S639="USD",J639/IF(K639=RIGHT(AB639,3),IF(W639="CLIENT",AM639,AE639),1/IF(W639="CLIENT",AM639,AE639)),J639*VLOOKUP(K639,'FX RATES'!$E$1:$F$10,2,FALSE)))</f>
        <v>-502460</v>
      </c>
      <c r="AU639" s="170">
        <f>IF(AB639&lt;&gt;AJ639,R639/IF(S639=RIGHT(AJ639,3),AM639,1/AM639),IF(K639="USD",R639/IF(S639=RIGHT(AJ639,3),IF(W639="CLIENT",AM639,AE639),1/IF(W639="CLIENT",AM639,AE639)),R639*VLOOKUP(S639,'FX RATES'!$E$1:$F$10,2,FALSE)))</f>
        <v>503971.9157472417</v>
      </c>
      <c r="AV639" s="170">
        <f>AT639+AU639</f>
        <v>1511.9157472416991</v>
      </c>
      <c r="AW639" s="169"/>
      <c r="AX639" s="170">
        <f>IF(AND(ISERROR(SEARCH("INVOICE",T639)),ISERROR(SEARCH("SWITCH",T639)),ISERROR(SEARCH("FOREX",T639)),ISERROR(SEARCH("REFUND",A639)),ISERROR(SEARCH("CANCELLED",A639))),IF(AW639="",-AT639*X639+AU639*Z639,AW639),0)</f>
        <v>1511.9157472417251</v>
      </c>
      <c r="AY639" s="170">
        <f>IF(AZ639="USD",AT639,IF(AZ639=K639,J639,-R639))</f>
        <v>-502460</v>
      </c>
      <c r="AZ639" s="170" t="str">
        <f>LEFT(AB639,3)</f>
        <v>USD</v>
      </c>
      <c r="BA639" s="542">
        <f>IF(OR(A639="REFUND",A639="CANCELLED"),0,IFERROR((IF(OR(AB639="USDAED",LEFT(AB639,3)=RIGHT(AB639,3)),AI639,AG639)-AE639)*-AY639*VLOOKUP(AB639,'FX RATES'!$H$1:$J$26,3,FALSE),0))</f>
        <v>0</v>
      </c>
      <c r="BB639" s="170" t="str">
        <f>RIGHT(AB639,3)</f>
        <v>USD</v>
      </c>
      <c r="BC639" s="542">
        <f>IF(BA639=0,0,IFERROR(BA639/IF(BB639&lt;&gt;"USD",AI639,1),"???"))</f>
        <v>0</v>
      </c>
      <c r="BD639" s="170">
        <f>IFERROR(-AC639/(IF(OR(AB639="USDAED",LEFT(AB639,3)=RIGHT(AB639,3)),AH639,AG639)-AE639)*BC639,0)</f>
        <v>0</v>
      </c>
      <c r="BE639" s="542">
        <f>BC639-BD639</f>
        <v>0</v>
      </c>
      <c r="BF639" s="170">
        <f>IF(BG639="USD",AU639,IF(BG639=S639,R639,-J639))</f>
        <v>503971.9157472417</v>
      </c>
      <c r="BG639" s="170" t="str">
        <f>LEFT(AJ639,3)</f>
        <v>USD</v>
      </c>
      <c r="BH639" s="542">
        <f>IF(OR(A639="REFUND",A639="CANCELLED"),0,IFERROR((IF(OR(AJ639="USDAED",LEFT(AJ639,3)=RIGHT(AJ639,3)),AQ639,AO639)-AM639)*-BF639*VLOOKUP(AJ639,'FX RATES'!$H$1:$J$26,3,FALSE),0))</f>
        <v>50397.191574728466</v>
      </c>
      <c r="BI639" s="170" t="str">
        <f>RIGHT(AJ639,3)</f>
        <v>RUB</v>
      </c>
      <c r="BJ639" s="542">
        <f>IF(BH639=0,0,IFERROR(BH639/IF(BI639&lt;&gt;"USD",AQ639,1),"???"))</f>
        <v>657.92678295990174</v>
      </c>
      <c r="BK639" s="170">
        <f>IFERROR(-AK639/(IF(OR(AJ639="USDAED",LEFT(AJ639,3)=RIGHT(AJ639,3)),AP639,AO639)-AM639)*BJ639,0)</f>
        <v>0</v>
      </c>
      <c r="BL639" s="542">
        <f>BJ639-BK639</f>
        <v>657.92678295990174</v>
      </c>
      <c r="BM639" s="170">
        <f>IF(AND(ISERROR(SEARCH("REFUND",A639)),ISERROR(SEARCH("CANCELLED",A639))),BD639+BK639,0)</f>
        <v>0</v>
      </c>
      <c r="BN639" s="542">
        <f>IF(AND(ISERROR(SEARCH("REFUND",A639)),ISERROR(SEARCH("CANCELLED",A639))),BE639+BL639,0)</f>
        <v>657.92678295990174</v>
      </c>
    </row>
    <row r="640" spans="1:66" ht="19.5" customHeight="1">
      <c r="A640" s="167" t="s">
        <v>601</v>
      </c>
      <c r="B640" s="168" t="s">
        <v>52</v>
      </c>
      <c r="C640" s="168" t="s">
        <v>383</v>
      </c>
      <c r="D640" s="168" t="s">
        <v>148</v>
      </c>
      <c r="E640" s="171">
        <v>46072</v>
      </c>
      <c r="F640" s="171" t="s">
        <v>628</v>
      </c>
      <c r="G640" s="168" t="s">
        <v>52</v>
      </c>
      <c r="H640" s="168" t="s">
        <v>649</v>
      </c>
      <c r="I640" s="169">
        <v>-38654645.93</v>
      </c>
      <c r="J640" s="170">
        <f>IF(I640="",AR640,I640)</f>
        <v>-38654645.93</v>
      </c>
      <c r="K640" s="168" t="s">
        <v>9</v>
      </c>
      <c r="L640" s="171" t="s">
        <v>617</v>
      </c>
      <c r="M640" s="168" t="s">
        <v>25</v>
      </c>
      <c r="N640" s="167" t="s">
        <v>553</v>
      </c>
      <c r="O640" s="168" t="s">
        <v>34</v>
      </c>
      <c r="P640" s="349" t="s">
        <v>650</v>
      </c>
      <c r="Q640" s="169"/>
      <c r="R640" s="170">
        <f>IF(Q640="",AS640,Q640)</f>
        <v>1850836.8602076268</v>
      </c>
      <c r="S640" s="168" t="s">
        <v>8</v>
      </c>
      <c r="T640" s="171" t="s">
        <v>15</v>
      </c>
      <c r="U640" s="168" t="s">
        <v>17</v>
      </c>
      <c r="V640" s="167" t="s">
        <v>371</v>
      </c>
      <c r="W640" s="172" t="s">
        <v>375</v>
      </c>
      <c r="X640" s="173">
        <f>IF(Y640="",VLOOKUP(H640,CLIENTS!$A$1:$O$649,5,FALSE),Y640)</f>
        <v>0</v>
      </c>
      <c r="Y640" s="174">
        <v>0</v>
      </c>
      <c r="Z640" s="173">
        <f>IF(AA640="",VLOOKUP(P640,CLIENTS!$A$1:$O$649,5,FALSE),AA640)</f>
        <v>0</v>
      </c>
      <c r="AA640" s="174">
        <v>0</v>
      </c>
      <c r="AB640" s="173" t="str">
        <f>IF(W640="via USD",IF(K640="EUR",K640&amp;"USD","USD"&amp;K640),IFERROR(VLOOKUP(K640&amp;S640,'FX RATES'!$H$2:$H$20,1,FALSE),S640&amp;K640))</f>
        <v>USDRUB</v>
      </c>
      <c r="AC640" s="175">
        <f>IF(LEFT(AB640,3)=RIGHT(AB640,3),0,IFERROR(INDEX(CLIENTS!$A$1:$O$649,MATCH(H640,CLIENTS!$A$1:$A$649,0),MATCH(AB640,CLIENTS!$A$1:$O$1,0)),0))</f>
        <v>0</v>
      </c>
      <c r="AD640" s="176">
        <v>76.7</v>
      </c>
      <c r="AE640" s="177">
        <f>IF(W640="CLIENT","",IF(AD640="",AH640+AC640,AD640+AC640))</f>
        <v>76.7</v>
      </c>
      <c r="AF640" s="177" t="str">
        <f>E640&amp;AB640</f>
        <v>46072USDRUB</v>
      </c>
      <c r="AG640" s="176">
        <v>76.599999999999994</v>
      </c>
      <c r="AH640" s="178">
        <f ca="1">IF(LEFT(AB640,3)=RIGHT(AB640,3),1,VLOOKUP(AB640,'FX RATES'!$H$1:$I$20,2,FALSE))</f>
        <v>76.720500000000001</v>
      </c>
      <c r="AI640" s="178">
        <f>IF(OR(AB640="USDAED",LEFT(AB640,3)=RIGHT(AB640,3)),AH640,IF(LEFT(AB640)="USD",AG640,IF(RIGHT(AB640,3)="USD",1,IFERROR(VLOOKUP(E640&amp;"USD"&amp;RIGHT(AB640,3),$AF:$AG,2,FALSE),VLOOKUP(E640&amp;"USD"&amp;RIGHT(AJ640,3),$AN:$AO,2,FALSE)))))</f>
        <v>76.599999999999994</v>
      </c>
      <c r="AJ640" s="173" t="str">
        <f>IF(W640="via USD",IF(S640="EUR",S640&amp;"USD","USD"&amp;S640),IFERROR(VLOOKUP(K640&amp;S640,'FX RATES'!$H$2:$H$20,1,FALSE),S640&amp;K640))</f>
        <v>USDAED</v>
      </c>
      <c r="AK640" s="175">
        <f>IF(LEFT(AJ640,3)=RIGHT(AJ640,3),0,IFERROR(INDEX(CLIENTS!$A$1:$O$649,MATCH(P640,CLIENTS!$A$1:$A$649,0),MATCH(AJ640,CLIENTS!$A$1:$O$1,0)),0))</f>
        <v>0</v>
      </c>
      <c r="AL640" s="176"/>
      <c r="AM640" s="177">
        <f>IF(W640="VENDOR","",IF(AL640="",AP640+AK640,AL640+AK640))</f>
        <v>3.6724999999999999</v>
      </c>
      <c r="AN640" s="177" t="str">
        <f>E640&amp;AJ640</f>
        <v>46072USDAED</v>
      </c>
      <c r="AO640" s="176"/>
      <c r="AP640" s="178">
        <f>IF(LEFT(AJ640,3)=RIGHT(AJ640,3),1,VLOOKUP(AJ640,'FX RATES'!$H$1:$I$20,2,FALSE))</f>
        <v>3.6724999999999999</v>
      </c>
      <c r="AQ640" s="178">
        <f>IF(OR(AJ640="USDAED",LEFT(AJ640,3)=RIGHT(AJ640,3)),AP640,IF(LEFT(AJ640)="USD",AO640,IF(RIGHT(AJ640,3)="USD",1,IFERROR(VLOOKUP(E640&amp;"USD"&amp;RIGHT(AJ640,3),$AN:$AO,2,FALSE),VLOOKUP(E640&amp;"USD"&amp;RIGHT(AB640,3),$AF:$AG,2,FALSE)))))</f>
        <v>3.6724999999999999</v>
      </c>
      <c r="AR640" s="179">
        <f>-Q640*(1-Z640)/(1+X640)*IF(W640="CLIENT",IF(S640=RIGHT(AJ640,3),1/AM640,AM640),IF(W640="VENDOR",IF(S640=RIGHT(AJ640,3),1/AE640,AE640),AE640^(VLOOKUP(AB640,'FX RATES'!$H$1:$J$26,3,FALSE))/AM640^(VLOOKUP(AJ640,'FX RATES'!$H$1:$J$26,3,FALSE))))</f>
        <v>0</v>
      </c>
      <c r="AS640" s="179">
        <f>-I640*(1+X640)/(1-Z640)*IF(W640="VENDOR",IF(K640=RIGHT(AB640,3),1/AE640,AE640),IF(W640="CLIENT",IF(K640=RIGHT(AB640,3),1/AM640,AM640),AM640^(VLOOKUP(AJ640,'FX RATES'!$H$1:$J$26,3,FALSE))/AE640^(VLOOKUP(AB640,'FX RATES'!$H$1:$J$26,3,FALSE))))</f>
        <v>1850836.8602076268</v>
      </c>
      <c r="AT640" s="170">
        <f>IF(AB640&lt;&gt;AJ640,J640/IF(K640=RIGHT(AB640,3),AE640,1/AE640),IF(S640="USD",J640/IF(K640=RIGHT(AB640,3),IF(W640="CLIENT",AM640,AE640),1/IF(W640="CLIENT",AM640,AE640)),J640*VLOOKUP(K640,'FX RATES'!$E$1:$F$10,2,FALSE)))</f>
        <v>-503971.91564537154</v>
      </c>
      <c r="AU640" s="170">
        <f>IF(AB640&lt;&gt;AJ640,R640/IF(S640=RIGHT(AJ640,3),AM640,1/AM640),IF(K640="USD",R640/IF(S640=RIGHT(AJ640,3),IF(W640="CLIENT",AM640,AE640),1/IF(W640="CLIENT",AM640,AE640)),R640*VLOOKUP(S640,'FX RATES'!$E$1:$F$10,2,FALSE)))</f>
        <v>503971.91564537154</v>
      </c>
      <c r="AV640" s="170">
        <f>AT640+AU640</f>
        <v>0</v>
      </c>
      <c r="AW640" s="169"/>
      <c r="AX640" s="170">
        <f>IF(AND(ISERROR(SEARCH("INVOICE",T640)),ISERROR(SEARCH("SWITCH",T640)),ISERROR(SEARCH("FOREX",T640)),ISERROR(SEARCH("REFUND",A640)),ISERROR(SEARCH("CANCELLED",A640))),IF(AW640="",-AT640*X640+AU640*Z640,AW640),0)</f>
        <v>0</v>
      </c>
      <c r="AY640" s="170">
        <f>IF(AZ640="USD",AT640,IF(AZ640=K640,J640,-R640))</f>
        <v>-503971.91564537154</v>
      </c>
      <c r="AZ640" s="170" t="str">
        <f>LEFT(AB640,3)</f>
        <v>USD</v>
      </c>
      <c r="BA640" s="542">
        <f>IF(OR(A640="REFUND",A640="CANCELLED"),0,IFERROR((IF(OR(AB640="USDAED",LEFT(AB640,3)=RIGHT(AB640,3)),AI640,AG640)-AE640)*-AY640*VLOOKUP(AB640,'FX RATES'!$H$1:$J$26,3,FALSE),0))</f>
        <v>-50397.191564541448</v>
      </c>
      <c r="BB640" s="170" t="str">
        <f>RIGHT(AB640,3)</f>
        <v>RUB</v>
      </c>
      <c r="BC640" s="542">
        <f>IF(BA640=0,0,IFERROR(BA640/IF(BB640&lt;&gt;"USD",AI640,1),"???"))</f>
        <v>-657.9267828269119</v>
      </c>
      <c r="BD640" s="170">
        <f>IFERROR(-AC640/(IF(OR(AB640="USDAED",LEFT(AB640,3)=RIGHT(AB640,3)),AH640,AG640)-AE640)*BC640,0)</f>
        <v>0</v>
      </c>
      <c r="BE640" s="542">
        <f>BC640-BD640</f>
        <v>-657.9267828269119</v>
      </c>
      <c r="BF640" s="170">
        <f>IF(BG640="USD",AU640,IF(BG640=S640,R640,-J640))</f>
        <v>503971.91564537154</v>
      </c>
      <c r="BG640" s="170" t="str">
        <f>LEFT(AJ640,3)</f>
        <v>USD</v>
      </c>
      <c r="BH640" s="542">
        <f>IF(OR(A640="REFUND",A640="CANCELLED"),0,IFERROR((IF(OR(AJ640="USDAED",LEFT(AJ640,3)=RIGHT(AJ640,3)),AQ640,AO640)-AM640)*-BF640*VLOOKUP(AJ640,'FX RATES'!$H$1:$J$26,3,FALSE),0))</f>
        <v>0</v>
      </c>
      <c r="BI640" s="170" t="str">
        <f>RIGHT(AJ640,3)</f>
        <v>AED</v>
      </c>
      <c r="BJ640" s="542">
        <f>IF(BH640=0,0,IFERROR(BH640/IF(BI640&lt;&gt;"USD",AQ640,1),"???"))</f>
        <v>0</v>
      </c>
      <c r="BK640" s="170">
        <f>IFERROR(-AK640/(IF(OR(AJ640="USDAED",LEFT(AJ640,3)=RIGHT(AJ640,3)),AP640,AO640)-AM640)*BJ640,0)</f>
        <v>0</v>
      </c>
      <c r="BL640" s="542">
        <f>BJ640-BK640</f>
        <v>0</v>
      </c>
      <c r="BM640" s="170">
        <f>IF(AND(ISERROR(SEARCH("REFUND",A640)),ISERROR(SEARCH("CANCELLED",A640))),BD640+BK640,0)</f>
        <v>0</v>
      </c>
      <c r="BN640" s="542">
        <f>IF(AND(ISERROR(SEARCH("REFUND",A640)),ISERROR(SEARCH("CANCELLED",A640))),BE640+BL640,0)</f>
        <v>-657.9267828269119</v>
      </c>
    </row>
    <row r="641" spans="1:66" ht="19.5" customHeight="1">
      <c r="A641" s="180"/>
      <c r="E641" s="180"/>
      <c r="F641" s="180"/>
      <c r="L641" s="180"/>
      <c r="M641" s="180"/>
      <c r="N641" s="180"/>
      <c r="O641" s="180"/>
      <c r="P641" s="180"/>
      <c r="V641" s="180"/>
      <c r="W641" s="180"/>
      <c r="BA641" s="180"/>
      <c r="BC641" s="180"/>
      <c r="BE641" s="180"/>
      <c r="BH641" s="180"/>
      <c r="BJ641" s="180"/>
      <c r="BL641" s="180"/>
      <c r="BN641" s="180"/>
    </row>
    <row r="642" spans="1:66" ht="19.5" customHeight="1">
      <c r="A642" s="167" t="s">
        <v>601</v>
      </c>
      <c r="B642" s="168" t="s">
        <v>39</v>
      </c>
      <c r="C642" s="168" t="s">
        <v>367</v>
      </c>
      <c r="D642" s="168" t="s">
        <v>368</v>
      </c>
      <c r="E642" s="171">
        <v>46072</v>
      </c>
      <c r="F642" s="171" t="s">
        <v>627</v>
      </c>
      <c r="G642" s="168" t="s">
        <v>39</v>
      </c>
      <c r="H642" s="168" t="s">
        <v>405</v>
      </c>
      <c r="I642" s="169"/>
      <c r="J642" s="170">
        <f>IF(I642="",AR642,I642)</f>
        <v>-1208648.8809511701</v>
      </c>
      <c r="K642" s="168" t="s">
        <v>8</v>
      </c>
      <c r="L642" s="168" t="s">
        <v>16</v>
      </c>
      <c r="M642" s="168" t="s">
        <v>17</v>
      </c>
      <c r="N642" s="167" t="s">
        <v>639</v>
      </c>
      <c r="O642" s="168" t="s">
        <v>39</v>
      </c>
      <c r="P642" s="168" t="s">
        <v>406</v>
      </c>
      <c r="Q642" s="169">
        <v>25418105.09</v>
      </c>
      <c r="R642" s="170">
        <f>IF(Q642="",AS642,Q642)</f>
        <v>25418105.09</v>
      </c>
      <c r="S642" s="168" t="s">
        <v>9</v>
      </c>
      <c r="T642" s="171" t="s">
        <v>391</v>
      </c>
      <c r="U642" s="168" t="s">
        <v>374</v>
      </c>
      <c r="W642" s="172" t="s">
        <v>375</v>
      </c>
      <c r="X642" s="173">
        <f>IF(Y642="",VLOOKUP(H642,CLIENTS!$A$1:$O$649,5,FALSE),Y642)</f>
        <v>0</v>
      </c>
      <c r="Y642" s="174">
        <v>0</v>
      </c>
      <c r="Z642" s="173">
        <f>IF(AA642="",VLOOKUP(P642,CLIENTS!$A$1:$O$649,5,FALSE),AA642)</f>
        <v>3.7673292841223782E-3</v>
      </c>
      <c r="AA642" s="174">
        <v>3.7673292841223782E-3</v>
      </c>
      <c r="AB642" s="173" t="str">
        <f>IF(W642="via USD",IF(K642="EUR",K642&amp;"USD","USD"&amp;K642),IFERROR(VLOOKUP(K642&amp;S642,'FX RATES'!$H$2:$H$20,1,FALSE),S642&amp;K642))</f>
        <v>USDAED</v>
      </c>
      <c r="AC642" s="175">
        <f>IF(LEFT(AB642,3)=RIGHT(AB642,3),0,IFERROR(INDEX(CLIENTS!$A$1:$O$649,MATCH(H642,CLIENTS!$A$1:$A$649,0),MATCH(AB642,CLIENTS!$A$1:$O$1,0)),0))+0.0075</f>
        <v>0</v>
      </c>
      <c r="AD642" s="176">
        <v>3.67</v>
      </c>
      <c r="AE642" s="177">
        <f>IF(W642="CLIENT","",IF(AD642="",AH642+AC642,AD642+AC642))</f>
        <v>3.67</v>
      </c>
      <c r="AF642" s="177" t="str">
        <f>E642&amp;AB642</f>
        <v>46072USDAED</v>
      </c>
      <c r="AG642" s="176"/>
      <c r="AH642" s="178">
        <f>IF(LEFT(AB642,3)=RIGHT(AB642,3),1,VLOOKUP(AB642,'FX RATES'!$H$1:$I$20,2,FALSE))</f>
        <v>3.6724999999999999</v>
      </c>
      <c r="AI642" s="178">
        <f>IF(OR(AB642="USDAED",LEFT(AB642,3)=RIGHT(AB642,3)),AH642,IF(LEFT(AB642)="USD",AG642,IF(RIGHT(AB642,3)="USD",1,IFERROR(VLOOKUP(E642&amp;"USD"&amp;RIGHT(AB642,3),$AF:$AG,2,FALSE),VLOOKUP(E642&amp;"USD"&amp;RIGHT(AJ642,3),$AN:$AO,2,FALSE)))))</f>
        <v>3.6724999999999999</v>
      </c>
      <c r="AJ642" s="173" t="str">
        <f>IF(W642="via USD",IF(S642="EUR",S642&amp;"USD","USD"&amp;S642),IFERROR(VLOOKUP(K642&amp;S642,'FX RATES'!$H$2:$H$20,1,FALSE),S642&amp;K642))</f>
        <v>USDRUB</v>
      </c>
      <c r="AK642" s="175">
        <f>IF(LEFT(AJ642,3)=RIGHT(AJ642,3),0,IFERROR(INDEX(CLIENTS!$A$1:$O$649,MATCH(P642,CLIENTS!$A$1:$A$649,0),MATCH(AJ642,CLIENTS!$A$1:$O$1,0)),0))-0.15</f>
        <v>0</v>
      </c>
      <c r="AL642" s="176">
        <v>76.89</v>
      </c>
      <c r="AM642" s="177">
        <f>IF(W642="VENDOR","",IF(AL642="",AP642+AK642,AL642+AK642))</f>
        <v>76.89</v>
      </c>
      <c r="AN642" s="177" t="str">
        <f>E642&amp;AJ642</f>
        <v>46072USDRUB</v>
      </c>
      <c r="AO642" s="176">
        <v>76.599999999999994</v>
      </c>
      <c r="AP642" s="178">
        <f ca="1">IF(LEFT(AJ642,3)=RIGHT(AJ642,3),1,VLOOKUP(AJ642,'FX RATES'!$H$1:$I$20,2,FALSE))</f>
        <v>76.720500000000001</v>
      </c>
      <c r="AQ642" s="178">
        <f>IF(OR(AJ642="USDAED",LEFT(AJ642,3)=RIGHT(AJ642,3)),AP642,IF(LEFT(AJ642)="USD",AO642,IF(RIGHT(AJ642,3)="USD",1,IFERROR(VLOOKUP(E642&amp;"USD"&amp;RIGHT(AJ642,3),$AN:$AO,2,FALSE),VLOOKUP(E642&amp;"USD"&amp;RIGHT(AB642,3),$AF:$AG,2,FALSE)))))</f>
        <v>76.599999999999994</v>
      </c>
      <c r="AR642" s="179">
        <f>-Q642*(1-Z642)/(1+X642)*IF(W642="CLIENT",IF(S642=RIGHT(AJ642,3),1/AM642,AM642),IF(W642="VENDOR",IF(S642=RIGHT(AJ642,3),1/AE642,AE642),AE642^(VLOOKUP(AB642,'FX RATES'!$H$1:$J$26,3,FALSE))/AM642^(VLOOKUP(AJ642,'FX RATES'!$H$1:$J$26,3,FALSE))))</f>
        <v>-1208648.8809511701</v>
      </c>
      <c r="AS642" s="179">
        <f>-I642*(1+X642)/(1-Z642)*IF(W642="VENDOR",IF(K642=RIGHT(AB642,3),1/AE642,AE642),IF(W642="CLIENT",IF(K642=RIGHT(AB642,3),1/AM642,AM642),AM642^(VLOOKUP(AJ642,'FX RATES'!$H$1:$J$26,3,FALSE))/AE642^(VLOOKUP(AB642,'FX RATES'!$H$1:$J$26,3,FALSE))))</f>
        <v>0</v>
      </c>
      <c r="AT642" s="170">
        <f>IF(AB642&lt;&gt;AJ642,J642/IF(K642=RIGHT(AB642,3),AE642,1/AE642),IF(S642="USD",J642/IF(K642=RIGHT(AB642,3),IF(W642="CLIENT",AM642,AE642),1/IF(W642="CLIENT",AM642,AE642)),J642*VLOOKUP(K642,'FX RATES'!$E$1:$F$10,2,FALSE)))</f>
        <v>-329332.12015018257</v>
      </c>
      <c r="AU642" s="170">
        <f>IF(AB642&lt;&gt;AJ642,R642/IF(S642=RIGHT(AJ642,3),AM642,1/AM642),IF(K642="USD",R642/IF(S642=RIGHT(AJ642,3),IF(W642="CLIENT",AM642,AE642),1/IF(W642="CLIENT",AM642,AE642)),R642*VLOOKUP(S642,'FX RATES'!$E$1:$F$10,2,FALSE)))</f>
        <v>330577.51450123551</v>
      </c>
      <c r="AV642" s="170">
        <f>AT642+AU642</f>
        <v>1245.3943510529352</v>
      </c>
      <c r="AW642" s="169"/>
      <c r="AX642" s="170">
        <f>IF(AND(ISERROR(SEARCH("INVOICE",T642)),ISERROR(SEARCH("SWITCH",T642)),ISERROR(SEARCH("FOREX",T642)),ISERROR(SEARCH("REFUND",A642)),ISERROR(SEARCH("CANCELLED",A642))),IF(AW642="",-AT642*X642+AU642*Z642,AW642),0)</f>
        <v>1245.3943510528948</v>
      </c>
      <c r="AY642" s="170">
        <f>IF(AZ642="USD",AT642,IF(AZ642=K642,J642,-R642))</f>
        <v>-329332.12015018257</v>
      </c>
      <c r="AZ642" s="170" t="str">
        <f>LEFT(AB642,3)</f>
        <v>USD</v>
      </c>
      <c r="BA642" s="542">
        <f>IF(OR(A642="REFUND",A642="CANCELLED"),0,IFERROR((IF(OR(AB642="USDAED",LEFT(AB642,3)=RIGHT(AB642,3)),AI642,AG642)-AE642)*-AY642*VLOOKUP(AB642,'FX RATES'!$H$1:$J$26,3,FALSE),0))</f>
        <v>823.33030037543892</v>
      </c>
      <c r="BB642" s="170" t="str">
        <f>RIGHT(AB642,3)</f>
        <v>AED</v>
      </c>
      <c r="BC642" s="542">
        <f>IF(BA642=0,0,IFERROR(BA642/IF(BB642&lt;&gt;"USD",AI642,1),"???"))</f>
        <v>224.18796470399971</v>
      </c>
      <c r="BD642" s="170">
        <f>IFERROR(-AC642/(IF(OR(AB642="USDAED",LEFT(AB642,3)=RIGHT(AB642,3)),AH642,AG642)-AE642)*BC642,0)</f>
        <v>0</v>
      </c>
      <c r="BE642" s="542">
        <f>BC642-BD642</f>
        <v>224.18796470399971</v>
      </c>
      <c r="BF642" s="170">
        <f>IF(BG642="USD",AU642,IF(BG642=S642,R642,-J642))</f>
        <v>330577.51450123551</v>
      </c>
      <c r="BG642" s="170" t="str">
        <f>LEFT(AJ642,3)</f>
        <v>USD</v>
      </c>
      <c r="BH642" s="542">
        <f>IF(OR(A642="REFUND",A642="CANCELLED"),0,IFERROR((IF(OR(AJ642="USDAED",LEFT(AJ642,3)=RIGHT(AJ642,3)),AQ642,AO642)-AM642)*-BF642*VLOOKUP(AJ642,'FX RATES'!$H$1:$J$26,3,FALSE),0))</f>
        <v>95867.47920536036</v>
      </c>
      <c r="BI642" s="170" t="str">
        <f>RIGHT(AJ642,3)</f>
        <v>RUB</v>
      </c>
      <c r="BJ642" s="542">
        <f>IF(BH642=0,0,IFERROR(BH642/IF(BI642&lt;&gt;"USD",AQ642,1),"???"))</f>
        <v>1251.5336710882555</v>
      </c>
      <c r="BK642" s="170">
        <f>IFERROR(-AK642/(IF(OR(AJ642="USDAED",LEFT(AJ642,3)=RIGHT(AJ642,3)),AP642,AO642)-AM642)*BJ642,0)</f>
        <v>0</v>
      </c>
      <c r="BL642" s="542">
        <f>BJ642-BK642</f>
        <v>1251.5336710882555</v>
      </c>
      <c r="BM642" s="170">
        <f>IF(AND(ISERROR(SEARCH("REFUND",A642)),ISERROR(SEARCH("CANCELLED",A642))),BD642+BK642,0)</f>
        <v>0</v>
      </c>
      <c r="BN642" s="542">
        <f>IF(AND(ISERROR(SEARCH("REFUND",A642)),ISERROR(SEARCH("CANCELLED",A642))),BE642+BL642,0)</f>
        <v>1475.7216357922553</v>
      </c>
    </row>
    <row r="643" spans="1:66" ht="19.5" customHeight="1">
      <c r="A643" s="167" t="s">
        <v>601</v>
      </c>
      <c r="B643" s="168" t="s">
        <v>39</v>
      </c>
      <c r="C643" s="168" t="s">
        <v>383</v>
      </c>
      <c r="D643" s="168" t="s">
        <v>128</v>
      </c>
      <c r="E643" s="171">
        <v>46072</v>
      </c>
      <c r="F643" s="171" t="s">
        <v>625</v>
      </c>
      <c r="G643" s="168" t="s">
        <v>39</v>
      </c>
      <c r="H643" s="168" t="s">
        <v>384</v>
      </c>
      <c r="I643" s="169">
        <v>-25418000</v>
      </c>
      <c r="J643" s="170">
        <f>IF(I643="",AR643,I643)</f>
        <v>-25418000</v>
      </c>
      <c r="K643" s="168" t="s">
        <v>9</v>
      </c>
      <c r="L643" s="171" t="s">
        <v>374</v>
      </c>
      <c r="M643" s="168" t="s">
        <v>374</v>
      </c>
      <c r="N643" s="167" t="s">
        <v>639</v>
      </c>
      <c r="O643" s="168" t="s">
        <v>39</v>
      </c>
      <c r="P643" s="349" t="s">
        <v>384</v>
      </c>
      <c r="Q643" s="169"/>
      <c r="R643" s="170">
        <f>IF(Q643="",AS643,Q643)</f>
        <v>1214139.0016718416</v>
      </c>
      <c r="S643" s="168" t="s">
        <v>8</v>
      </c>
      <c r="T643" s="171" t="s">
        <v>385</v>
      </c>
      <c r="U643" s="168" t="s">
        <v>20</v>
      </c>
      <c r="W643" s="172" t="s">
        <v>382</v>
      </c>
      <c r="X643" s="173">
        <f>IF(Y643="",VLOOKUP(H643,CLIENTS!$A$1:$O$649,5,FALSE),Y643)</f>
        <v>0</v>
      </c>
      <c r="Y643" s="174">
        <v>0</v>
      </c>
      <c r="Z643" s="173">
        <f>IF(AA643="",VLOOKUP(P643,CLIENTS!$A$1:$O$649,5,FALSE),AA643)</f>
        <v>0</v>
      </c>
      <c r="AA643" s="174">
        <v>0</v>
      </c>
      <c r="AB643" s="173" t="str">
        <f>IF(W643="via USD",IF(K643="EUR",K643&amp;"USD","USD"&amp;K643),IFERROR(VLOOKUP(K643&amp;S643,'FX RATES'!$H$2:$H$20,1,FALSE),S643&amp;K643))</f>
        <v>AEDRUB</v>
      </c>
      <c r="AC643" s="175">
        <f>IF(LEFT(AB643,3)=RIGHT(AB643,3),0,IFERROR(INDEX(CLIENTS!$A$1:$O$649,MATCH(H643,CLIENTS!$A$1:$A$649,0),MATCH(AB643,CLIENTS!$A$1:$O$1,0)),0))</f>
        <v>0</v>
      </c>
      <c r="AD643" s="176">
        <v>20.934999999999999</v>
      </c>
      <c r="AE643" s="177">
        <f>IF(W643="CLIENT","",IF(AD643="",AH643+AC643,AD643+AC643))</f>
        <v>20.934999999999999</v>
      </c>
      <c r="AF643" s="177" t="str">
        <f>E643&amp;AB643</f>
        <v>46072AEDRUB</v>
      </c>
      <c r="AG643" s="176">
        <v>20.857700000000001</v>
      </c>
      <c r="AH643" s="178">
        <f ca="1">IF(LEFT(AB643,3)=RIGHT(AB643,3),1,VLOOKUP(AB643,'FX RATES'!$H$1:$I$20,2,FALSE))</f>
        <v>20.8843</v>
      </c>
      <c r="AI643" s="178">
        <f>IF(OR(AB643="USDAED",LEFT(AB643,3)=RIGHT(AB643,3)),AH643,IF(LEFT(AB643)="USD",AG643,IF(RIGHT(AB643,3)="USD",1,IFERROR(VLOOKUP(E643&amp;"USD"&amp;RIGHT(AB643,3),$AF:$AG,2,FALSE),VLOOKUP(E643&amp;"USD"&amp;RIGHT(AJ643,3),$AN:$AO,2,FALSE)))))</f>
        <v>76.599999999999994</v>
      </c>
      <c r="AJ643" s="173" t="str">
        <f>IF(W643="via USD",IF(S643="EUR",S643&amp;"USD","USD"&amp;S643),IFERROR(VLOOKUP(K643&amp;S643,'FX RATES'!$H$2:$H$20,1,FALSE),S643&amp;K643))</f>
        <v>AEDRUB</v>
      </c>
      <c r="AK643" s="175">
        <f>IF(LEFT(AJ643,3)=RIGHT(AJ643,3),0,IFERROR(INDEX(CLIENTS!$A$1:$O$649,MATCH(P643,CLIENTS!$A$1:$A$649,0),MATCH(AJ643,CLIENTS!$A$1:$O$1,0)),0))</f>
        <v>0</v>
      </c>
      <c r="AL643" s="176"/>
      <c r="AM643" s="177" t="str">
        <f>IF(W643="VENDOR","",IF(AL643="",AP643+AK643,AL643+AK643))</f>
        <v/>
      </c>
      <c r="AN643" s="177" t="str">
        <f>E643&amp;AJ643</f>
        <v>46072AEDRUB</v>
      </c>
      <c r="AO643" s="176"/>
      <c r="AP643" s="178">
        <f ca="1">IF(LEFT(AJ643,3)=RIGHT(AJ643,3),1,VLOOKUP(AJ643,'FX RATES'!$H$1:$I$20,2,FALSE))</f>
        <v>20.8843</v>
      </c>
      <c r="AQ643" s="178">
        <f>IF(OR(AJ643="USDAED",LEFT(AJ643,3)=RIGHT(AJ643,3)),AP643,IF(LEFT(AJ643)="USD",AO643,IF(RIGHT(AJ643,3)="USD",1,IFERROR(VLOOKUP(E643&amp;"USD"&amp;RIGHT(AJ643,3),$AN:$AO,2,FALSE),VLOOKUP(E643&amp;"USD"&amp;RIGHT(AB643,3),$AF:$AG,2,FALSE)))))</f>
        <v>76.599999999999994</v>
      </c>
      <c r="AR643" s="179">
        <f>-Q643*(1-Z643)/(1+X643)*IF(W643="CLIENT",IF(S643=RIGHT(AJ643,3),1/AM643,AM643),IF(W643="VENDOR",IF(S643=RIGHT(AJ643,3),1/AE643,AE643),AE643^(VLOOKUP(AB643,'FX RATES'!$H$1:$J$26,3,FALSE))/AM643^(VLOOKUP(AJ643,'FX RATES'!$H$1:$J$26,3,FALSE))))</f>
        <v>0</v>
      </c>
      <c r="AS643" s="179">
        <f>-I643*(1+X643)/(1-Z643)*IF(W643="VENDOR",IF(K643=RIGHT(AB643,3),1/AE643,AE643),IF(W643="CLIENT",IF(K643=RIGHT(AB643,3),1/AM643,AM643),AM643^(VLOOKUP(AJ643,'FX RATES'!$H$1:$J$26,3,FALSE))/AE643^(VLOOKUP(AB643,'FX RATES'!$H$1:$J$26,3,FALSE))))</f>
        <v>1214139.0016718416</v>
      </c>
      <c r="AT643" s="170">
        <f ca="1">IF(AB643&lt;&gt;AJ643,J643/IF(K643=RIGHT(AB643,3),AE643,1/AE643),IF(S643="USD",J643/IF(K643=RIGHT(AB643,3),IF(W643="CLIENT",AM643,AE643),1/IF(W643="CLIENT",AM643,AE643)),J643*VLOOKUP(K643,'FX RATES'!$E$1:$F$10,2,FALSE)))</f>
        <v>-331306.49565631087</v>
      </c>
      <c r="AU643" s="170">
        <f ca="1">IF(AB643&lt;&gt;AJ643,R643/IF(S643=RIGHT(AJ643,3),AM643,1/AM643),IF(K643="USD",R643/IF(S643=RIGHT(AJ643,3),IF(W643="CLIENT",AM643,AE643),1/IF(W643="CLIENT",AM643,AE643)),R643*VLOOKUP(S643,'FX RATES'!$E$1:$F$10,2,FALSE)))</f>
        <v>330593.85766809387</v>
      </c>
      <c r="AV643" s="170">
        <f ca="1">AT643+AU643</f>
        <v>-712.63798821700038</v>
      </c>
      <c r="AW643" s="169"/>
      <c r="AX643" s="170">
        <f ca="1">IF(AND(ISERROR(SEARCH("INVOICE",T643)),ISERROR(SEARCH("SWITCH",T643)),ISERROR(SEARCH("FOREX",T643)),ISERROR(SEARCH("REFUND",A643)),ISERROR(SEARCH("CANCELLED",A643))),IF(AW643="",-AT643*X643+AU643*Z643,AW643),0)</f>
        <v>0</v>
      </c>
      <c r="AY643" s="170">
        <f>IF(AZ643="USD",AT643,IF(AZ643=K643,J643,-R643))</f>
        <v>-1214139.0016718416</v>
      </c>
      <c r="AZ643" s="170" t="str">
        <f>LEFT(AB643,3)</f>
        <v>AED</v>
      </c>
      <c r="BA643" s="542">
        <f>IF(OR(A643="REFUND",A643="CANCELLED"),0,IFERROR((IF(OR(AB643="USDAED",LEFT(AB643,3)=RIGHT(AB643,3)),AI643,AG643)-AE643)*-AY643*VLOOKUP(AB643,'FX RATES'!$H$1:$J$26,3,FALSE),0))</f>
        <v>-93852.944829230299</v>
      </c>
      <c r="BB643" s="170" t="str">
        <f>RIGHT(AB643,3)</f>
        <v>RUB</v>
      </c>
      <c r="BC643" s="542">
        <f>IF(BA643=0,0,IFERROR(BA643/IF(BB643&lt;&gt;"USD",AI643,1),"???"))</f>
        <v>-1225.2342667001346</v>
      </c>
      <c r="BD643" s="170">
        <f>IFERROR(-AC643/(IF(OR(AB643="USDAED",LEFT(AB643,3)=RIGHT(AB643,3)),AH643,AG643)-AE643)*BC643,0)</f>
        <v>0</v>
      </c>
      <c r="BE643" s="542">
        <f>BC643-BD643</f>
        <v>-1225.2342667001346</v>
      </c>
      <c r="BF643" s="170">
        <f>IF(BG643="USD",AU643,IF(BG643=S643,R643,-J643))</f>
        <v>1214139.0016718416</v>
      </c>
      <c r="BG643" s="170" t="str">
        <f>LEFT(AJ643,3)</f>
        <v>AED</v>
      </c>
      <c r="BH643" s="542">
        <f>IF(OR(A643="REFUND",A643="CANCELLED"),0,IFERROR((IF(OR(AJ643="USDAED",LEFT(AJ643,3)=RIGHT(AJ643,3)),AQ643,AO643)-AM643)*-BF643*VLOOKUP(AJ643,'FX RATES'!$H$1:$J$26,3,FALSE),0))</f>
        <v>0</v>
      </c>
      <c r="BI643" s="170" t="str">
        <f>RIGHT(AJ643,3)</f>
        <v>RUB</v>
      </c>
      <c r="BJ643" s="542">
        <f>IF(BH643=0,0,IFERROR(BH643/IF(BI643&lt;&gt;"USD",AQ643,1),"???"))</f>
        <v>0</v>
      </c>
      <c r="BK643" s="170">
        <f>IFERROR(-AK643/(IF(OR(AJ643="USDAED",LEFT(AJ643,3)=RIGHT(AJ643,3)),AP643,AO643)-AM643)*BJ643,0)</f>
        <v>0</v>
      </c>
      <c r="BL643" s="542">
        <f>BJ643-BK643</f>
        <v>0</v>
      </c>
      <c r="BM643" s="170">
        <f>IF(AND(ISERROR(SEARCH("REFUND",A643)),ISERROR(SEARCH("CANCELLED",A643))),BD643+BK643,0)</f>
        <v>0</v>
      </c>
      <c r="BN643" s="542">
        <f>IF(AND(ISERROR(SEARCH("REFUND",A643)),ISERROR(SEARCH("CANCELLED",A643))),BE643+BL643,0)</f>
        <v>-1225.2342667001346</v>
      </c>
    </row>
    <row r="644" spans="1:66" ht="19.5" customHeight="1">
      <c r="A644" s="180"/>
      <c r="E644" s="180"/>
      <c r="F644" s="180"/>
      <c r="L644" s="180"/>
      <c r="M644" s="180"/>
      <c r="N644" s="180"/>
      <c r="O644" s="180"/>
      <c r="P644" s="180"/>
      <c r="V644" s="180"/>
      <c r="W644" s="180"/>
      <c r="BA644" s="180"/>
      <c r="BC644" s="180"/>
      <c r="BE644" s="180"/>
      <c r="BH644" s="180"/>
      <c r="BJ644" s="180"/>
      <c r="BL644" s="180"/>
      <c r="BN644" s="180"/>
    </row>
    <row r="645" spans="1:66" ht="19.5" customHeight="1">
      <c r="A645" s="167" t="s">
        <v>601</v>
      </c>
      <c r="B645" s="168" t="s">
        <v>39</v>
      </c>
      <c r="C645" s="168" t="s">
        <v>367</v>
      </c>
      <c r="D645" s="168" t="s">
        <v>368</v>
      </c>
      <c r="E645" s="171">
        <v>46073</v>
      </c>
      <c r="F645" s="171" t="s">
        <v>627</v>
      </c>
      <c r="G645" s="168" t="s">
        <v>39</v>
      </c>
      <c r="H645" s="168" t="s">
        <v>431</v>
      </c>
      <c r="I645" s="169">
        <v>-326601</v>
      </c>
      <c r="J645" s="170">
        <f>IF(I645="",AR645,I645)</f>
        <v>-326601</v>
      </c>
      <c r="K645" s="168" t="s">
        <v>8</v>
      </c>
      <c r="L645" s="171" t="s">
        <v>432</v>
      </c>
      <c r="M645" s="168" t="s">
        <v>17</v>
      </c>
      <c r="N645" s="167" t="s">
        <v>639</v>
      </c>
      <c r="O645" s="168" t="s">
        <v>52</v>
      </c>
      <c r="P645" s="168" t="s">
        <v>433</v>
      </c>
      <c r="Q645" s="169"/>
      <c r="R645" s="170">
        <f>IF(Q645="",AS645,Q645)</f>
        <v>6868478.2415601304</v>
      </c>
      <c r="S645" s="168" t="s">
        <v>9</v>
      </c>
      <c r="T645" s="168" t="s">
        <v>25</v>
      </c>
      <c r="U645" s="168" t="s">
        <v>374</v>
      </c>
      <c r="V645" s="586" t="s">
        <v>371</v>
      </c>
      <c r="W645" s="172" t="s">
        <v>375</v>
      </c>
      <c r="X645" s="173">
        <f>IF(Y645="",VLOOKUP(H645,CLIENTS!$A$1:$O$649,5,FALSE),Y645)</f>
        <v>0</v>
      </c>
      <c r="Y645" s="174">
        <v>0</v>
      </c>
      <c r="Z645" s="173">
        <f>IF(AA645="",VLOOKUP(P645,CLIENTS!$A$1:$O$649,5,FALSE),AA645)</f>
        <v>2.7308015996763135E-3</v>
      </c>
      <c r="AA645" s="174">
        <v>2.7308015996763135E-3</v>
      </c>
      <c r="AB645" s="173" t="str">
        <f>IF(W645="via USD",IF(K645="EUR",K645&amp;"USD","USD"&amp;K645),IFERROR(VLOOKUP(K645&amp;S645,'FX RATES'!$H$2:$H$20,1,FALSE),S645&amp;K645))</f>
        <v>USDAED</v>
      </c>
      <c r="AC645" s="175">
        <f>IF(LEFT(AB645,3)=RIGHT(AB645,3),0,IFERROR(INDEX(CLIENTS!$A$1:$O$649,MATCH(H645,CLIENTS!$A$1:$A$649,0),MATCH(AB645,CLIENTS!$A$1:$O$1,0)),0))+0.001</f>
        <v>0</v>
      </c>
      <c r="AD645" s="176">
        <v>3.67</v>
      </c>
      <c r="AE645" s="177">
        <f>IF(W645="CLIENT","",IF(AD645="",AH645+AC645,AD645+AC645))</f>
        <v>3.67</v>
      </c>
      <c r="AF645" s="177" t="str">
        <f>E645&amp;AB645</f>
        <v>46073USDAED</v>
      </c>
      <c r="AG645" s="176"/>
      <c r="AH645" s="178">
        <f>IF(LEFT(AB645,3)=RIGHT(AB645,3),1,VLOOKUP(AB645,'FX RATES'!$H$1:$I$20,2,FALSE))</f>
        <v>3.6724999999999999</v>
      </c>
      <c r="AI645" s="178">
        <f>IF(OR(AB645="USDAED",LEFT(AB645,3)=RIGHT(AB645,3)),AH645,IF(LEFT(AB645)="USD",AG645,IF(RIGHT(AB645,3)="USD",1,IFERROR(VLOOKUP(E645&amp;"USD"&amp;RIGHT(AB645,3),$AF:$AG,2,FALSE),VLOOKUP(E645&amp;"USD"&amp;RIGHT(AJ645,3),$AN:$AO,2,FALSE)))))</f>
        <v>3.6724999999999999</v>
      </c>
      <c r="AJ645" s="173" t="str">
        <f>IF(W645="via USD",IF(S645="EUR",S645&amp;"USD","USD"&amp;S645),IFERROR(VLOOKUP(K645&amp;S645,'FX RATES'!$H$2:$H$20,1,FALSE),S645&amp;K645))</f>
        <v>USDRUB</v>
      </c>
      <c r="AK645" s="175">
        <f>IF(LEFT(AJ645,3)=RIGHT(AJ645,3),0,IFERROR(INDEX(CLIENTS!$A$1:$O$649,MATCH(P645,CLIENTS!$A$1:$A$649,0),MATCH(AJ645,CLIENTS!$A$1:$O$1,0)),0))</f>
        <v>0</v>
      </c>
      <c r="AL645" s="176">
        <v>76.97</v>
      </c>
      <c r="AM645" s="177">
        <f>IF(W645="VENDOR","",IF(AL645="",AP645+AK645,AL645+AK645))</f>
        <v>76.97</v>
      </c>
      <c r="AN645" s="177" t="str">
        <f>E645&amp;AJ645</f>
        <v>46073USDRUB</v>
      </c>
      <c r="AO645" s="176">
        <v>76.599999999999994</v>
      </c>
      <c r="AP645" s="178">
        <f ca="1">IF(LEFT(AJ645,3)=RIGHT(AJ645,3),1,VLOOKUP(AJ645,'FX RATES'!$H$1:$I$20,2,FALSE))</f>
        <v>76.720500000000001</v>
      </c>
      <c r="AQ645" s="178">
        <f>IF(OR(AJ645="USDAED",LEFT(AJ645,3)=RIGHT(AJ645,3)),AP645,IF(LEFT(AJ645)="USD",AO645,IF(RIGHT(AJ645,3)="USD",1,IFERROR(VLOOKUP(E645&amp;"USD"&amp;RIGHT(AJ645,3),$AN:$AO,2,FALSE),VLOOKUP(E645&amp;"USD"&amp;RIGHT(AB645,3),$AF:$AG,2,FALSE)))))</f>
        <v>76.599999999999994</v>
      </c>
      <c r="AR645" s="179">
        <f>-Q645*(1-Z645)/(1+X645)*IF(W645="CLIENT",IF(S645=RIGHT(AJ645,3),1/AM645,AM645),IF(W645="VENDOR",IF(S645=RIGHT(AJ645,3),1/AE645,AE645),AE645^(VLOOKUP(AB645,'FX RATES'!$H$1:$J$26,3,FALSE))/AM645^(VLOOKUP(AJ645,'FX RATES'!$H$1:$J$26,3,FALSE))))</f>
        <v>0</v>
      </c>
      <c r="AS645" s="179">
        <f>-I645*(1+X645)/(1-Z645)*IF(W645="VENDOR",IF(K645=RIGHT(AB645,3),1/AE645,AE645),IF(W645="CLIENT",IF(K645=RIGHT(AB645,3),1/AM645,AM645),AM645^(VLOOKUP(AJ645,'FX RATES'!$H$1:$J$26,3,FALSE))/AE645^(VLOOKUP(AB645,'FX RATES'!$H$1:$J$26,3,FALSE))))</f>
        <v>6868478.2415601304</v>
      </c>
      <c r="AT645" s="170">
        <f>IF(AB645&lt;&gt;AJ645,J645/IF(K645=RIGHT(AB645,3),AE645,1/AE645),IF(S645="USD",J645/IF(K645=RIGHT(AB645,3),IF(W645="CLIENT",AM645,AE645),1/IF(W645="CLIENT",AM645,AE645)),J645*VLOOKUP(K645,'FX RATES'!$E$1:$F$10,2,FALSE)))</f>
        <v>-88992.098092643049</v>
      </c>
      <c r="AU645" s="170">
        <f>IF(AB645&lt;&gt;AJ645,R645/IF(S645=RIGHT(AJ645,3),AM645,1/AM645),IF(K645="USD",R645/IF(S645=RIGHT(AJ645,3),IF(W645="CLIENT",AM645,AE645),1/IF(W645="CLIENT",AM645,AE645)),R645*VLOOKUP(S645,'FX RATES'!$E$1:$F$10,2,FALSE)))</f>
        <v>89235.783312461092</v>
      </c>
      <c r="AV645" s="170">
        <f>AT645+AU645</f>
        <v>243.68521981804224</v>
      </c>
      <c r="AW645" s="169"/>
      <c r="AX645" s="170">
        <f>IF(AND(ISERROR(SEARCH("INVOICE",T645)),ISERROR(SEARCH("SWITCH",T645)),ISERROR(SEARCH("FOREX",T645)),ISERROR(SEARCH("REFUND",A645)),ISERROR(SEARCH("CANCELLED",A645))),IF(AW645="",-AT645*X645+AU645*Z645,AW645),0)</f>
        <v>243.68521981803764</v>
      </c>
      <c r="AY645" s="170">
        <f>IF(AZ645="USD",AT645,IF(AZ645=K645,J645,-R645))</f>
        <v>-88992.098092643049</v>
      </c>
      <c r="AZ645" s="170" t="str">
        <f>LEFT(AB645,3)</f>
        <v>USD</v>
      </c>
      <c r="BA645" s="542">
        <f>IF(OR(A645="REFUND",A645="CANCELLED"),0,IFERROR((IF(OR(AB645="USDAED",LEFT(AB645,3)=RIGHT(AB645,3)),AI645,AG645)-AE645)*-AY645*VLOOKUP(AB645,'FX RATES'!$H$1:$J$26,3,FALSE),0))</f>
        <v>222.48024523160288</v>
      </c>
      <c r="BB645" s="170" t="str">
        <f>RIGHT(AB645,3)</f>
        <v>AED</v>
      </c>
      <c r="BC645" s="542">
        <f>IF(BA645=0,0,IFERROR(BA645/IF(BB645&lt;&gt;"USD",AI645,1),"???"))</f>
        <v>60.580053160409228</v>
      </c>
      <c r="BD645" s="170">
        <f>IFERROR(-AC645/(IF(OR(AB645="USDAED",LEFT(AB645,3)=RIGHT(AB645,3)),AH645,AG645)-AE645)*BC645,0)</f>
        <v>0</v>
      </c>
      <c r="BE645" s="542">
        <f>BC645-BD645</f>
        <v>60.580053160409228</v>
      </c>
      <c r="BF645" s="170">
        <f>IF(BG645="USD",AU645,IF(BG645=S645,R645,-J645))</f>
        <v>89235.783312461092</v>
      </c>
      <c r="BG645" s="170" t="str">
        <f>LEFT(AJ645,3)</f>
        <v>USD</v>
      </c>
      <c r="BH645" s="542">
        <f>IF(OR(A645="REFUND",A645="CANCELLED"),0,IFERROR((IF(OR(AJ645="USDAED",LEFT(AJ645,3)=RIGHT(AJ645,3)),AQ645,AO645)-AM645)*-BF645*VLOOKUP(AJ645,'FX RATES'!$H$1:$J$26,3,FALSE),0))</f>
        <v>33017.23982561101</v>
      </c>
      <c r="BI645" s="170" t="str">
        <f>RIGHT(AJ645,3)</f>
        <v>RUB</v>
      </c>
      <c r="BJ645" s="542">
        <f>IF(BH645=0,0,IFERROR(BH645/IF(BI645&lt;&gt;"USD",AQ645,1),"???"))</f>
        <v>431.03446247533958</v>
      </c>
      <c r="BK645" s="170">
        <f>IFERROR(-AK645/(IF(OR(AJ645="USDAED",LEFT(AJ645,3)=RIGHT(AJ645,3)),AP645,AO645)-AM645)*BJ645,0)</f>
        <v>0</v>
      </c>
      <c r="BL645" s="542">
        <f>BJ645-BK645</f>
        <v>431.03446247533958</v>
      </c>
      <c r="BM645" s="170">
        <f>IF(AND(ISERROR(SEARCH("REFUND",A645)),ISERROR(SEARCH("CANCELLED",A645))),BD645+BK645,0)</f>
        <v>0</v>
      </c>
      <c r="BN645" s="542">
        <f>IF(AND(ISERROR(SEARCH("REFUND",A645)),ISERROR(SEARCH("CANCELLED",A645))),BE645+BL645,0)</f>
        <v>491.61451563574883</v>
      </c>
    </row>
    <row r="646" spans="1:66" ht="19.5" customHeight="1">
      <c r="A646" s="167" t="s">
        <v>601</v>
      </c>
      <c r="B646" s="168" t="s">
        <v>39</v>
      </c>
      <c r="C646" s="168" t="s">
        <v>383</v>
      </c>
      <c r="D646" s="168" t="s">
        <v>128</v>
      </c>
      <c r="E646" s="171">
        <v>46073</v>
      </c>
      <c r="F646" s="171" t="s">
        <v>627</v>
      </c>
      <c r="G646" s="168" t="s">
        <v>39</v>
      </c>
      <c r="H646" s="168" t="s">
        <v>384</v>
      </c>
      <c r="I646" s="169">
        <f>-6868000</f>
        <v>-6868000</v>
      </c>
      <c r="J646" s="170">
        <f>IF(I646="",AR646,I646)</f>
        <v>-6868000</v>
      </c>
      <c r="K646" s="168" t="s">
        <v>9</v>
      </c>
      <c r="L646" s="171" t="s">
        <v>374</v>
      </c>
      <c r="M646" s="168" t="s">
        <v>374</v>
      </c>
      <c r="N646" s="167" t="s">
        <v>553</v>
      </c>
      <c r="O646" s="168" t="s">
        <v>39</v>
      </c>
      <c r="P646" s="349" t="s">
        <v>384</v>
      </c>
      <c r="Q646" s="169"/>
      <c r="R646" s="170">
        <f>IF(Q646="",AS646,Q646)</f>
        <v>327703.02509781474</v>
      </c>
      <c r="S646" s="168" t="s">
        <v>8</v>
      </c>
      <c r="T646" s="171" t="s">
        <v>385</v>
      </c>
      <c r="U646" s="168" t="s">
        <v>20</v>
      </c>
      <c r="W646" s="172" t="s">
        <v>382</v>
      </c>
      <c r="X646" s="173">
        <f>IF(Y646="",VLOOKUP(H646,CLIENTS!$A$1:$O$649,5,FALSE),Y646)</f>
        <v>0</v>
      </c>
      <c r="Y646" s="174">
        <v>0</v>
      </c>
      <c r="Z646" s="173">
        <f>IF(AA646="",VLOOKUP(P646,CLIENTS!$A$1:$O$649,5,FALSE),AA646)</f>
        <v>0</v>
      </c>
      <c r="AA646" s="174">
        <v>0</v>
      </c>
      <c r="AB646" s="173" t="str">
        <f>IF(W646="via USD",IF(K646="EUR",K646&amp;"USD","USD"&amp;K646),IFERROR(VLOOKUP(K646&amp;S646,'FX RATES'!$H$2:$H$20,1,FALSE),S646&amp;K646))</f>
        <v>AEDRUB</v>
      </c>
      <c r="AC646" s="175">
        <f>IF(LEFT(AB646,3)=RIGHT(AB646,3),0,IFERROR(INDEX(CLIENTS!$A$1:$O$649,MATCH(H646,CLIENTS!$A$1:$A$649,0),MATCH(AB646,CLIENTS!$A$1:$O$1,0)),0))</f>
        <v>0</v>
      </c>
      <c r="AD646" s="176">
        <v>20.957999999999998</v>
      </c>
      <c r="AE646" s="177">
        <f>IF(W646="CLIENT","",IF(AD646="",AH646+AC646,AD646+AC646))</f>
        <v>20.957999999999998</v>
      </c>
      <c r="AF646" s="177" t="str">
        <f>E646&amp;AB646</f>
        <v>46073AEDRUB</v>
      </c>
      <c r="AG646" s="176">
        <v>20.857700000000001</v>
      </c>
      <c r="AH646" s="178">
        <f ca="1">IF(LEFT(AB646,3)=RIGHT(AB646,3),1,VLOOKUP(AB646,'FX RATES'!$H$1:$I$20,2,FALSE))</f>
        <v>20.8843</v>
      </c>
      <c r="AI646" s="178">
        <f>IF(OR(AB646="USDAED",LEFT(AB646,3)=RIGHT(AB646,3)),AH646,IF(LEFT(AB646)="USD",AG646,IF(RIGHT(AB646,3)="USD",1,IFERROR(VLOOKUP(E646&amp;"USD"&amp;RIGHT(AB646,3),$AF:$AG,2,FALSE),VLOOKUP(E646&amp;"USD"&amp;RIGHT(AJ646,3),$AN:$AO,2,FALSE)))))</f>
        <v>76.599999999999994</v>
      </c>
      <c r="AJ646" s="173" t="str">
        <f>IF(W646="via USD",IF(S646="EUR",S646&amp;"USD","USD"&amp;S646),IFERROR(VLOOKUP(K646&amp;S646,'FX RATES'!$H$2:$H$20,1,FALSE),S646&amp;K646))</f>
        <v>AEDRUB</v>
      </c>
      <c r="AK646" s="175">
        <f>IF(LEFT(AJ646,3)=RIGHT(AJ646,3),0,IFERROR(INDEX(CLIENTS!$A$1:$O$649,MATCH(P646,CLIENTS!$A$1:$A$649,0),MATCH(AJ646,CLIENTS!$A$1:$O$1,0)),0))</f>
        <v>0</v>
      </c>
      <c r="AL646" s="176"/>
      <c r="AM646" s="177" t="str">
        <f>IF(W646="VENDOR","",IF(AL646="",AP646+AK646,AL646+AK646))</f>
        <v/>
      </c>
      <c r="AN646" s="177" t="str">
        <f>E646&amp;AJ646</f>
        <v>46073AEDRUB</v>
      </c>
      <c r="AO646" s="176"/>
      <c r="AP646" s="178">
        <f ca="1">IF(LEFT(AJ646,3)=RIGHT(AJ646,3),1,VLOOKUP(AJ646,'FX RATES'!$H$1:$I$20,2,FALSE))</f>
        <v>20.8843</v>
      </c>
      <c r="AQ646" s="178">
        <f>IF(OR(AJ646="USDAED",LEFT(AJ646,3)=RIGHT(AJ646,3)),AP646,IF(LEFT(AJ646)="USD",AO646,IF(RIGHT(AJ646,3)="USD",1,IFERROR(VLOOKUP(E646&amp;"USD"&amp;RIGHT(AJ646,3),$AN:$AO,2,FALSE),VLOOKUP(E646&amp;"USD"&amp;RIGHT(AB646,3),$AF:$AG,2,FALSE)))))</f>
        <v>76.599999999999994</v>
      </c>
      <c r="AR646" s="179">
        <f>-Q646*(1-Z646)/(1+X646)*IF(W646="CLIENT",IF(S646=RIGHT(AJ646,3),1/AM646,AM646),IF(W646="VENDOR",IF(S646=RIGHT(AJ646,3),1/AE646,AE646),AE646^(VLOOKUP(AB646,'FX RATES'!$H$1:$J$26,3,FALSE))/AM646^(VLOOKUP(AJ646,'FX RATES'!$H$1:$J$26,3,FALSE))))</f>
        <v>0</v>
      </c>
      <c r="AS646" s="179">
        <f>-I646*(1+X646)/(1-Z646)*IF(W646="VENDOR",IF(K646=RIGHT(AB646,3),1/AE646,AE646),IF(W646="CLIENT",IF(K646=RIGHT(AB646,3),1/AM646,AM646),AM646^(VLOOKUP(AJ646,'FX RATES'!$H$1:$J$26,3,FALSE))/AE646^(VLOOKUP(AB646,'FX RATES'!$H$1:$J$26,3,FALSE))))</f>
        <v>327703.02509781474</v>
      </c>
      <c r="AT646" s="170">
        <f ca="1">IF(AB646&lt;&gt;AJ646,J646/IF(K646=RIGHT(AB646,3),AE646,1/AE646),IF(S646="USD",J646/IF(K646=RIGHT(AB646,3),IF(W646="CLIENT",AM646,AE646),1/IF(W646="CLIENT",AM646,AE646)),J646*VLOOKUP(K646,'FX RATES'!$E$1:$F$10,2,FALSE)))</f>
        <v>-89519.750262315807</v>
      </c>
      <c r="AU646" s="170">
        <f ca="1">IF(AB646&lt;&gt;AJ646,R646/IF(S646=RIGHT(AJ646,3),AM646,1/AM646),IF(K646="USD",R646/IF(S646=RIGHT(AJ646,3),IF(W646="CLIENT",AM646,AE646),1/IF(W646="CLIENT",AM646,AE646)),R646*VLOOKUP(S646,'FX RATES'!$E$1:$F$10,2,FALSE)))</f>
        <v>89229.16328971702</v>
      </c>
      <c r="AV646" s="170">
        <f ca="1">AT646+AU646</f>
        <v>-290.58697259878682</v>
      </c>
      <c r="AW646" s="169"/>
      <c r="AX646" s="170">
        <f ca="1">IF(AND(ISERROR(SEARCH("INVOICE",T646)),ISERROR(SEARCH("SWITCH",T646)),ISERROR(SEARCH("FOREX",T646)),ISERROR(SEARCH("REFUND",A646)),ISERROR(SEARCH("CANCELLED",A646))),IF(AW646="",-AT646*X646+AU646*Z646,AW646),0)</f>
        <v>0</v>
      </c>
      <c r="AY646" s="170">
        <f>IF(AZ646="USD",AT646,IF(AZ646=K646,J646,-R646))</f>
        <v>-327703.02509781474</v>
      </c>
      <c r="AZ646" s="170" t="str">
        <f>LEFT(AB646,3)</f>
        <v>AED</v>
      </c>
      <c r="BA646" s="542">
        <f>IF(OR(A646="REFUND",A646="CANCELLED"),0,IFERROR((IF(OR(AB646="USDAED",LEFT(AB646,3)=RIGHT(AB646,3)),AI646,AG646)-AE646)*-AY646*VLOOKUP(AB646,'FX RATES'!$H$1:$J$26,3,FALSE),0))</f>
        <v>-32868.613417309891</v>
      </c>
      <c r="BB646" s="170" t="str">
        <f>RIGHT(AB646,3)</f>
        <v>RUB</v>
      </c>
      <c r="BC646" s="542">
        <f>IF(BA646=0,0,IFERROR(BA646/IF(BB646&lt;&gt;"USD",AI646,1),"???"))</f>
        <v>-429.09416993877147</v>
      </c>
      <c r="BD646" s="170">
        <f>IFERROR(-AC646/(IF(OR(AB646="USDAED",LEFT(AB646,3)=RIGHT(AB646,3)),AH646,AG646)-AE646)*BC646,0)</f>
        <v>0</v>
      </c>
      <c r="BE646" s="542">
        <f>BC646-BD646</f>
        <v>-429.09416993877147</v>
      </c>
      <c r="BF646" s="170">
        <f>IF(BG646="USD",AU646,IF(BG646=S646,R646,-J646))</f>
        <v>327703.02509781474</v>
      </c>
      <c r="BG646" s="170" t="str">
        <f>LEFT(AJ646,3)</f>
        <v>AED</v>
      </c>
      <c r="BH646" s="542">
        <f>IF(OR(A646="REFUND",A646="CANCELLED"),0,IFERROR((IF(OR(AJ646="USDAED",LEFT(AJ646,3)=RIGHT(AJ646,3)),AQ646,AO646)-AM646)*-BF646*VLOOKUP(AJ646,'FX RATES'!$H$1:$J$26,3,FALSE),0))</f>
        <v>0</v>
      </c>
      <c r="BI646" s="170" t="str">
        <f>RIGHT(AJ646,3)</f>
        <v>RUB</v>
      </c>
      <c r="BJ646" s="542">
        <f>IF(BH646=0,0,IFERROR(BH646/IF(BI646&lt;&gt;"USD",AQ646,1),"???"))</f>
        <v>0</v>
      </c>
      <c r="BK646" s="170">
        <f>IFERROR(-AK646/(IF(OR(AJ646="USDAED",LEFT(AJ646,3)=RIGHT(AJ646,3)),AP646,AO646)-AM646)*BJ646,0)</f>
        <v>0</v>
      </c>
      <c r="BL646" s="542">
        <f>BJ646-BK646</f>
        <v>0</v>
      </c>
      <c r="BM646" s="170">
        <f>IF(AND(ISERROR(SEARCH("REFUND",A646)),ISERROR(SEARCH("CANCELLED",A646))),BD646+BK646,0)</f>
        <v>0</v>
      </c>
      <c r="BN646" s="542">
        <f>IF(AND(ISERROR(SEARCH("REFUND",A646)),ISERROR(SEARCH("CANCELLED",A646))),BE646+BL646,0)</f>
        <v>-429.09416993877147</v>
      </c>
    </row>
    <row r="647" spans="1:66" ht="19.5" customHeight="1">
      <c r="A647" s="180"/>
      <c r="E647" s="180"/>
      <c r="F647" s="180"/>
      <c r="L647" s="180"/>
      <c r="M647" s="180"/>
      <c r="N647" s="180"/>
      <c r="O647" s="180"/>
      <c r="P647" s="180"/>
      <c r="V647" s="180"/>
      <c r="W647" s="180"/>
      <c r="BA647" s="180"/>
      <c r="BC647" s="180"/>
      <c r="BE647" s="180"/>
      <c r="BH647" s="180"/>
      <c r="BJ647" s="180"/>
      <c r="BL647" s="180"/>
      <c r="BN647" s="180"/>
    </row>
    <row r="648" spans="1:66" ht="19.5" customHeight="1">
      <c r="A648" s="167" t="s">
        <v>601</v>
      </c>
      <c r="B648" s="168" t="s">
        <v>39</v>
      </c>
      <c r="C648" s="168" t="s">
        <v>367</v>
      </c>
      <c r="D648" s="181" t="s">
        <v>368</v>
      </c>
      <c r="E648" s="171">
        <v>46073</v>
      </c>
      <c r="F648" s="171" t="s">
        <v>627</v>
      </c>
      <c r="G648" s="168" t="s">
        <v>39</v>
      </c>
      <c r="H648" s="181" t="s">
        <v>377</v>
      </c>
      <c r="I648" s="169">
        <v>-126731.44</v>
      </c>
      <c r="J648" s="170">
        <f t="shared" ref="J648:J655" si="769">IF(I648="",AR648,I648)</f>
        <v>-126731.44</v>
      </c>
      <c r="K648" s="168" t="s">
        <v>5</v>
      </c>
      <c r="L648" s="168" t="s">
        <v>651</v>
      </c>
      <c r="M648" s="168" t="s">
        <v>20</v>
      </c>
      <c r="O648" s="168" t="s">
        <v>52</v>
      </c>
      <c r="P648" s="168" t="s">
        <v>379</v>
      </c>
      <c r="Q648" s="169"/>
      <c r="R648" s="170">
        <f t="shared" ref="R648:R655" si="770">IF(Q648="",AS648,Q648)</f>
        <v>9781328.2928786371</v>
      </c>
      <c r="S648" s="168" t="s">
        <v>9</v>
      </c>
      <c r="T648" s="171" t="s">
        <v>380</v>
      </c>
      <c r="U648" s="168" t="s">
        <v>25</v>
      </c>
      <c r="W648" s="172" t="s">
        <v>375</v>
      </c>
      <c r="X648" s="173">
        <f>IF(Y648="",VLOOKUP(H648,CLIENTS!$A$1:$O$649,5,FALSE),Y648)</f>
        <v>0</v>
      </c>
      <c r="Y648" s="174">
        <v>0</v>
      </c>
      <c r="Z648" s="173">
        <f>IF(AA648="",VLOOKUP(P648,CLIENTS!$A$1:$O$649,5,FALSE),AA648)</f>
        <v>3.0000000000000001E-3</v>
      </c>
      <c r="AA648" s="174">
        <v>3.0000000000000001E-3</v>
      </c>
      <c r="AB648" s="173" t="str">
        <f>IF(W648="via USD",IF(K648="EUR",K648&amp;"USD","USD"&amp;K648),IFERROR(VLOOKUP(K648&amp;S648,'FX RATES'!$H$2:$H$20,1,FALSE),S648&amp;K648))</f>
        <v>USDUSD</v>
      </c>
      <c r="AC648" s="175">
        <f>IF(LEFT(AB648,3)=RIGHT(AB648,3),0,IFERROR(INDEX(CLIENTS!$A$1:$O$649,MATCH(H648,CLIENTS!$A$1:$A$649,0),MATCH(AB648,CLIENTS!$A$1:$O$1,0)),0))</f>
        <v>0</v>
      </c>
      <c r="AD648" s="176"/>
      <c r="AE648" s="177">
        <f t="shared" ref="AE648:AE655" si="771">IF(W648="CLIENT","",IF(AD648="",AH648+AC648,AD648+AC648))</f>
        <v>1</v>
      </c>
      <c r="AF648" s="177" t="str">
        <f t="shared" ref="AF648:AF655" si="772">E648&amp;AB648</f>
        <v>46073USDUSD</v>
      </c>
      <c r="AG648" s="176"/>
      <c r="AH648" s="178">
        <f>IF(LEFT(AB648,3)=RIGHT(AB648,3),1,VLOOKUP(AB648,'FX RATES'!$H$1:$I$20,2,FALSE))</f>
        <v>1</v>
      </c>
      <c r="AI648" s="178">
        <f t="shared" ref="AI648:AI655" si="773">IF(OR(AB648="USDAED",LEFT(AB648,3)=RIGHT(AB648,3)),AH648,IF(LEFT(AB648)="USD",AG648,IF(RIGHT(AB648,3)="USD",1,IFERROR(VLOOKUP(E648&amp;"USD"&amp;RIGHT(AB648,3),$AF:$AG,2,FALSE),VLOOKUP(E648&amp;"USD"&amp;RIGHT(AJ648,3),$AN:$AO,2,FALSE)))))</f>
        <v>1</v>
      </c>
      <c r="AJ648" s="173" t="str">
        <f>IF(W648="via USD",IF(S648="EUR",S648&amp;"USD","USD"&amp;S648),IFERROR(VLOOKUP(K648&amp;S648,'FX RATES'!$H$2:$H$20,1,FALSE),S648&amp;K648))</f>
        <v>USDRUB</v>
      </c>
      <c r="AK648" s="175">
        <f>IF(LEFT(AJ648,3)=RIGHT(AJ648,3),0,IFERROR(INDEX(CLIENTS!$A$1:$O$649,MATCH(P648,CLIENTS!$A$1:$A$649,0),MATCH(AJ648,CLIENTS!$A$1:$O$1,0)),0))</f>
        <v>0</v>
      </c>
      <c r="AL648" s="176">
        <v>76.95</v>
      </c>
      <c r="AM648" s="177">
        <f t="shared" ref="AM648:AM655" si="774">IF(W648="VENDOR","",IF(AL648="",AP648+AK648,AL648+AK648))</f>
        <v>76.95</v>
      </c>
      <c r="AN648" s="177" t="str">
        <f t="shared" ref="AN648:AN655" si="775">E648&amp;AJ648</f>
        <v>46073USDRUB</v>
      </c>
      <c r="AO648" s="176">
        <v>76.599999999999994</v>
      </c>
      <c r="AP648" s="178">
        <f ca="1">IF(LEFT(AJ648,3)=RIGHT(AJ648,3),1,VLOOKUP(AJ648,'FX RATES'!$H$1:$I$20,2,FALSE))</f>
        <v>76.720500000000001</v>
      </c>
      <c r="AQ648" s="178">
        <f t="shared" ref="AQ648:AQ655" si="776">IF(OR(AJ648="USDAED",LEFT(AJ648,3)=RIGHT(AJ648,3)),AP648,IF(LEFT(AJ648)="USD",AO648,IF(RIGHT(AJ648,3)="USD",1,IFERROR(VLOOKUP(E648&amp;"USD"&amp;RIGHT(AJ648,3),$AN:$AO,2,FALSE),VLOOKUP(E648&amp;"USD"&amp;RIGHT(AB648,3),$AF:$AG,2,FALSE)))))</f>
        <v>76.599999999999994</v>
      </c>
      <c r="AR648" s="179">
        <f>-Q648*(1-Z648)/(1+X648)*IF(W648="CLIENT",IF(S648=RIGHT(AJ648,3),1/AM648,AM648),IF(W648="VENDOR",IF(S648=RIGHT(AJ648,3),1/AE648,AE648),AE648^(VLOOKUP(AB648,'FX RATES'!$H$1:$J$26,3,FALSE))/AM648^(VLOOKUP(AJ648,'FX RATES'!$H$1:$J$26,3,FALSE))))</f>
        <v>0</v>
      </c>
      <c r="AS648" s="179">
        <f>-I648*(1+X648)/(1-Z648)*IF(W648="VENDOR",IF(K648=RIGHT(AB648,3),1/AE648,AE648),IF(W648="CLIENT",IF(K648=RIGHT(AB648,3),1/AM648,AM648),AM648^(VLOOKUP(AJ648,'FX RATES'!$H$1:$J$26,3,FALSE))/AE648^(VLOOKUP(AB648,'FX RATES'!$H$1:$J$26,3,FALSE))))</f>
        <v>9781328.2928786371</v>
      </c>
      <c r="AT648" s="170">
        <f>IF(AB648&lt;&gt;AJ648,J648/IF(K648=RIGHT(AB648,3),AE648,1/AE648),IF(S648="USD",J648/IF(K648=RIGHT(AB648,3),IF(W648="CLIENT",AM648,AE648),1/IF(W648="CLIENT",AM648,AE648)),J648*VLOOKUP(K648,'FX RATES'!$E$1:$F$10,2,FALSE)))</f>
        <v>-126731.44</v>
      </c>
      <c r="AU648" s="170">
        <f>IF(AB648&lt;&gt;AJ648,R648/IF(S648=RIGHT(AJ648,3),AM648,1/AM648),IF(K648="USD",R648/IF(S648=RIGHT(AJ648,3),IF(W648="CLIENT",AM648,AE648),1/IF(W648="CLIENT",AM648,AE648)),R648*VLOOKUP(S648,'FX RATES'!$E$1:$F$10,2,FALSE)))</f>
        <v>127112.77833500503</v>
      </c>
      <c r="AV648" s="170">
        <f t="shared" ref="AV648:AV655" si="777">AT648+AU648</f>
        <v>381.33833500502806</v>
      </c>
      <c r="AW648" s="169"/>
      <c r="AX648" s="170">
        <f t="shared" ref="AX648:AX655" si="778">IF(AND(ISERROR(SEARCH("INVOICE",T648)),ISERROR(SEARCH("SWITCH",T648)),ISERROR(SEARCH("FOREX",T648)),ISERROR(SEARCH("REFUND",A648)),ISERROR(SEARCH("CANCELLED",A648))),IF(AW648="",-AT648*X648+AU648*Z648,AW648),0)</f>
        <v>381.3383350050151</v>
      </c>
      <c r="AY648" s="170">
        <f t="shared" ref="AY648:AY655" si="779">IF(AZ648="USD",AT648,IF(AZ648=K648,J648,-R648))</f>
        <v>-126731.44</v>
      </c>
      <c r="AZ648" s="170" t="str">
        <f t="shared" ref="AZ648:AZ655" si="780">LEFT(AB648,3)</f>
        <v>USD</v>
      </c>
      <c r="BA648" s="542">
        <f>IF(OR(A648="REFUND",A648="CANCELLED"),0,IFERROR((IF(OR(AB648="USDAED",LEFT(AB648,3)=RIGHT(AB648,3)),AI648,AG648)-AE648)*-AY648*VLOOKUP(AB648,'FX RATES'!$H$1:$J$26,3,FALSE),0))</f>
        <v>0</v>
      </c>
      <c r="BB648" s="170" t="str">
        <f t="shared" ref="BB648:BB655" si="781">RIGHT(AB648,3)</f>
        <v>USD</v>
      </c>
      <c r="BC648" s="542">
        <f t="shared" ref="BC648:BC655" si="782">IF(BA648=0,0,IFERROR(BA648/IF(BB648&lt;&gt;"USD",AI648,1),"???"))</f>
        <v>0</v>
      </c>
      <c r="BD648" s="170">
        <f t="shared" ref="BD648:BD655" si="783">IFERROR(-AC648/(IF(OR(AB648="USDAED",LEFT(AB648,3)=RIGHT(AB648,3)),AH648,AG648)-AE648)*BC648,0)</f>
        <v>0</v>
      </c>
      <c r="BE648" s="542">
        <f t="shared" ref="BE648:BE655" si="784">BC648-BD648</f>
        <v>0</v>
      </c>
      <c r="BF648" s="170">
        <f t="shared" ref="BF648:BF655" si="785">IF(BG648="USD",AU648,IF(BG648=S648,R648,-J648))</f>
        <v>127112.77833500503</v>
      </c>
      <c r="BG648" s="170" t="str">
        <f t="shared" ref="BG648:BG655" si="786">LEFT(AJ648,3)</f>
        <v>USD</v>
      </c>
      <c r="BH648" s="542">
        <f>IF(OR(A648="REFUND",A648="CANCELLED"),0,IFERROR((IF(OR(AJ648="USDAED",LEFT(AJ648,3)=RIGHT(AJ648,3)),AQ648,AO648)-AM648)*-BF648*VLOOKUP(AJ648,'FX RATES'!$H$1:$J$26,3,FALSE),0))</f>
        <v>44489.472417252844</v>
      </c>
      <c r="BI648" s="170" t="str">
        <f t="shared" ref="BI648:BI655" si="787">RIGHT(AJ648,3)</f>
        <v>RUB</v>
      </c>
      <c r="BJ648" s="542">
        <f t="shared" ref="BJ648:BJ655" si="788">IF(BH648=0,0,IFERROR(BH648/IF(BI648&lt;&gt;"USD",AQ648,1),"???"))</f>
        <v>580.80251197458028</v>
      </c>
      <c r="BK648" s="170">
        <f t="shared" ref="BK648:BK655" si="789">IFERROR(-AK648/(IF(OR(AJ648="USDAED",LEFT(AJ648,3)=RIGHT(AJ648,3)),AP648,AO648)-AM648)*BJ648,0)</f>
        <v>0</v>
      </c>
      <c r="BL648" s="542">
        <f t="shared" ref="BL648:BL655" si="790">BJ648-BK648</f>
        <v>580.80251197458028</v>
      </c>
      <c r="BM648" s="170">
        <f t="shared" ref="BM648:BM655" si="791">IF(AND(ISERROR(SEARCH("REFUND",A648)),ISERROR(SEARCH("CANCELLED",A648))),BD648+BK648,0)</f>
        <v>0</v>
      </c>
      <c r="BN648" s="542">
        <f t="shared" ref="BN648:BN655" si="792">IF(AND(ISERROR(SEARCH("REFUND",A648)),ISERROR(SEARCH("CANCELLED",A648))),BE648+BL648,0)</f>
        <v>580.80251197458028</v>
      </c>
    </row>
    <row r="649" spans="1:66" ht="19.5" customHeight="1">
      <c r="A649" s="167" t="s">
        <v>601</v>
      </c>
      <c r="B649" s="168" t="s">
        <v>39</v>
      </c>
      <c r="C649" s="168" t="s">
        <v>367</v>
      </c>
      <c r="D649" s="181" t="s">
        <v>368</v>
      </c>
      <c r="E649" s="171">
        <v>46073</v>
      </c>
      <c r="F649" s="171" t="s">
        <v>627</v>
      </c>
      <c r="G649" s="168" t="s">
        <v>39</v>
      </c>
      <c r="H649" s="181" t="s">
        <v>483</v>
      </c>
      <c r="I649" s="169">
        <v>-700000</v>
      </c>
      <c r="J649" s="170">
        <f t="shared" si="769"/>
        <v>-700000</v>
      </c>
      <c r="K649" s="168" t="s">
        <v>5</v>
      </c>
      <c r="L649" s="168" t="s">
        <v>652</v>
      </c>
      <c r="M649" s="168" t="s">
        <v>20</v>
      </c>
      <c r="O649" s="168" t="s">
        <v>52</v>
      </c>
      <c r="P649" s="349" t="s">
        <v>379</v>
      </c>
      <c r="Q649" s="169"/>
      <c r="R649" s="170">
        <f t="shared" si="770"/>
        <v>53972945.891783565</v>
      </c>
      <c r="S649" s="168" t="s">
        <v>9</v>
      </c>
      <c r="T649" s="171" t="s">
        <v>380</v>
      </c>
      <c r="U649" s="168" t="s">
        <v>25</v>
      </c>
      <c r="W649" s="172" t="s">
        <v>375</v>
      </c>
      <c r="X649" s="173">
        <f>IF(Y649="",VLOOKUP(H649,CLIENTS!$A$1:$O$649,5,FALSE),Y649)</f>
        <v>0</v>
      </c>
      <c r="Y649" s="174">
        <v>0</v>
      </c>
      <c r="Z649" s="173">
        <f>IF(AA649="",VLOOKUP(P649,CLIENTS!$A$1:$O$649,5,FALSE),AA649)</f>
        <v>2E-3</v>
      </c>
      <c r="AA649" s="174">
        <v>2E-3</v>
      </c>
      <c r="AB649" s="173" t="str">
        <f>IF(W649="via USD",IF(K649="EUR",K649&amp;"USD","USD"&amp;K649),IFERROR(VLOOKUP(K649&amp;S649,'FX RATES'!$H$2:$H$20,1,FALSE),S649&amp;K649))</f>
        <v>USDUSD</v>
      </c>
      <c r="AC649" s="175">
        <f>IF(LEFT(AB649,3)=RIGHT(AB649,3),0,IFERROR(INDEX(CLIENTS!$A$1:$O$649,MATCH(H649,CLIENTS!$A$1:$A$649,0),MATCH(AB649,CLIENTS!$A$1:$O$1,0)),0))</f>
        <v>0</v>
      </c>
      <c r="AD649" s="176"/>
      <c r="AE649" s="177">
        <f t="shared" si="771"/>
        <v>1</v>
      </c>
      <c r="AF649" s="177" t="str">
        <f t="shared" si="772"/>
        <v>46073USDUSD</v>
      </c>
      <c r="AG649" s="176"/>
      <c r="AH649" s="178">
        <f>IF(LEFT(AB649,3)=RIGHT(AB649,3),1,VLOOKUP(AB649,'FX RATES'!$H$1:$I$20,2,FALSE))</f>
        <v>1</v>
      </c>
      <c r="AI649" s="178">
        <f t="shared" si="773"/>
        <v>1</v>
      </c>
      <c r="AJ649" s="173" t="str">
        <f>IF(W649="via USD",IF(S649="EUR",S649&amp;"USD","USD"&amp;S649),IFERROR(VLOOKUP(K649&amp;S649,'FX RATES'!$H$2:$H$20,1,FALSE),S649&amp;K649))</f>
        <v>USDRUB</v>
      </c>
      <c r="AK649" s="175">
        <f>IF(LEFT(AJ649,3)=RIGHT(AJ649,3),0,IFERROR(INDEX(CLIENTS!$A$1:$O$649,MATCH(P649,CLIENTS!$A$1:$A$649,0),MATCH(AJ649,CLIENTS!$A$1:$O$1,0)),0))</f>
        <v>0</v>
      </c>
      <c r="AL649" s="176">
        <v>76.95</v>
      </c>
      <c r="AM649" s="177">
        <f t="shared" si="774"/>
        <v>76.95</v>
      </c>
      <c r="AN649" s="177" t="str">
        <f t="shared" si="775"/>
        <v>46073USDRUB</v>
      </c>
      <c r="AO649" s="176">
        <v>76.599999999999994</v>
      </c>
      <c r="AP649" s="178">
        <f ca="1">IF(LEFT(AJ649,3)=RIGHT(AJ649,3),1,VLOOKUP(AJ649,'FX RATES'!$H$1:$I$20,2,FALSE))</f>
        <v>76.720500000000001</v>
      </c>
      <c r="AQ649" s="178">
        <f t="shared" si="776"/>
        <v>76.599999999999994</v>
      </c>
      <c r="AR649" s="179">
        <f>-Q649*(1-Z649)/(1+X649)*IF(W649="CLIENT",IF(S649=RIGHT(AJ649,3),1/AM649,AM649),IF(W649="VENDOR",IF(S649=RIGHT(AJ649,3),1/AE649,AE649),AE649^(VLOOKUP(AB649,'FX RATES'!$H$1:$J$26,3,FALSE))/AM649^(VLOOKUP(AJ649,'FX RATES'!$H$1:$J$26,3,FALSE))))</f>
        <v>0</v>
      </c>
      <c r="AS649" s="179">
        <f>-I649*(1+X649)/(1-Z649)*IF(W649="VENDOR",IF(K649=RIGHT(AB649,3),1/AE649,AE649),IF(W649="CLIENT",IF(K649=RIGHT(AB649,3),1/AM649,AM649),AM649^(VLOOKUP(AJ649,'FX RATES'!$H$1:$J$26,3,FALSE))/AE649^(VLOOKUP(AB649,'FX RATES'!$H$1:$J$26,3,FALSE))))</f>
        <v>53972945.891783565</v>
      </c>
      <c r="AT649" s="170">
        <f>IF(AB649&lt;&gt;AJ649,J649/IF(K649=RIGHT(AB649,3),AE649,1/AE649),IF(S649="USD",J649/IF(K649=RIGHT(AB649,3),IF(W649="CLIENT",AM649,AE649),1/IF(W649="CLIENT",AM649,AE649)),J649*VLOOKUP(K649,'FX RATES'!$E$1:$F$10,2,FALSE)))</f>
        <v>-700000</v>
      </c>
      <c r="AU649" s="170">
        <f>IF(AB649&lt;&gt;AJ649,R649/IF(S649=RIGHT(AJ649,3),AM649,1/AM649),IF(K649="USD",R649/IF(S649=RIGHT(AJ649,3),IF(W649="CLIENT",AM649,AE649),1/IF(W649="CLIENT",AM649,AE649)),R649*VLOOKUP(S649,'FX RATES'!$E$1:$F$10,2,FALSE)))</f>
        <v>701402.8056112224</v>
      </c>
      <c r="AV649" s="170">
        <f t="shared" si="777"/>
        <v>1402.8056112224003</v>
      </c>
      <c r="AW649" s="169"/>
      <c r="AX649" s="170">
        <f t="shared" si="778"/>
        <v>1402.8056112224449</v>
      </c>
      <c r="AY649" s="170">
        <f t="shared" si="779"/>
        <v>-700000</v>
      </c>
      <c r="AZ649" s="170" t="str">
        <f t="shared" si="780"/>
        <v>USD</v>
      </c>
      <c r="BA649" s="542">
        <f>IF(OR(A649="REFUND",A649="CANCELLED"),0,IFERROR((IF(OR(AB649="USDAED",LEFT(AB649,3)=RIGHT(AB649,3)),AI649,AG649)-AE649)*-AY649*VLOOKUP(AB649,'FX RATES'!$H$1:$J$26,3,FALSE),0))</f>
        <v>0</v>
      </c>
      <c r="BB649" s="170" t="str">
        <f t="shared" si="781"/>
        <v>USD</v>
      </c>
      <c r="BC649" s="542">
        <f t="shared" si="782"/>
        <v>0</v>
      </c>
      <c r="BD649" s="170">
        <f t="shared" si="783"/>
        <v>0</v>
      </c>
      <c r="BE649" s="542">
        <f t="shared" si="784"/>
        <v>0</v>
      </c>
      <c r="BF649" s="170">
        <f t="shared" si="785"/>
        <v>701402.8056112224</v>
      </c>
      <c r="BG649" s="170" t="str">
        <f t="shared" si="786"/>
        <v>USD</v>
      </c>
      <c r="BH649" s="542">
        <f>IF(OR(A649="REFUND",A649="CANCELLED"),0,IFERROR((IF(OR(AJ649="USDAED",LEFT(AJ649,3)=RIGHT(AJ649,3)),AQ649,AO649)-AM649)*-BF649*VLOOKUP(AJ649,'FX RATES'!$H$1:$J$26,3,FALSE),0))</f>
        <v>245490.98196393382</v>
      </c>
      <c r="BI649" s="170" t="str">
        <f t="shared" si="787"/>
        <v>RUB</v>
      </c>
      <c r="BJ649" s="542">
        <f t="shared" si="788"/>
        <v>3204.8431065787709</v>
      </c>
      <c r="BK649" s="170">
        <f t="shared" si="789"/>
        <v>0</v>
      </c>
      <c r="BL649" s="542">
        <f t="shared" si="790"/>
        <v>3204.8431065787709</v>
      </c>
      <c r="BM649" s="170">
        <f t="shared" si="791"/>
        <v>0</v>
      </c>
      <c r="BN649" s="542">
        <f t="shared" si="792"/>
        <v>3204.8431065787709</v>
      </c>
    </row>
    <row r="650" spans="1:66" ht="19.5" customHeight="1">
      <c r="A650" s="167" t="s">
        <v>601</v>
      </c>
      <c r="B650" s="168" t="s">
        <v>39</v>
      </c>
      <c r="C650" s="168" t="s">
        <v>367</v>
      </c>
      <c r="D650" s="181" t="s">
        <v>368</v>
      </c>
      <c r="E650" s="171">
        <v>46073</v>
      </c>
      <c r="F650" s="171" t="s">
        <v>627</v>
      </c>
      <c r="G650" s="168" t="s">
        <v>39</v>
      </c>
      <c r="H650" s="181" t="s">
        <v>571</v>
      </c>
      <c r="I650" s="169">
        <v>-112454.85</v>
      </c>
      <c r="J650" s="170">
        <f t="shared" si="769"/>
        <v>-112454.85</v>
      </c>
      <c r="K650" s="168" t="s">
        <v>5</v>
      </c>
      <c r="L650" s="168" t="s">
        <v>653</v>
      </c>
      <c r="M650" s="168" t="s">
        <v>20</v>
      </c>
      <c r="O650" s="168" t="s">
        <v>52</v>
      </c>
      <c r="P650" s="349" t="s">
        <v>379</v>
      </c>
      <c r="Q650" s="169"/>
      <c r="R650" s="170">
        <f t="shared" si="770"/>
        <v>8679439.024573721</v>
      </c>
      <c r="S650" s="168" t="s">
        <v>9</v>
      </c>
      <c r="T650" s="171" t="s">
        <v>380</v>
      </c>
      <c r="U650" s="168" t="s">
        <v>25</v>
      </c>
      <c r="W650" s="172" t="s">
        <v>375</v>
      </c>
      <c r="X650" s="173">
        <f>IF(Y650="",VLOOKUP(H650,CLIENTS!$A$1:$O$649,5,FALSE),Y650)</f>
        <v>0</v>
      </c>
      <c r="Y650" s="174">
        <v>0</v>
      </c>
      <c r="Z650" s="173">
        <f>IF(AA650="",VLOOKUP(P650,CLIENTS!$A$1:$O$649,5,FALSE),AA650)</f>
        <v>3.0000000000000001E-3</v>
      </c>
      <c r="AA650" s="174">
        <v>3.0000000000000001E-3</v>
      </c>
      <c r="AB650" s="173" t="str">
        <f>IF(W650="via USD",IF(K650="EUR",K650&amp;"USD","USD"&amp;K650),IFERROR(VLOOKUP(K650&amp;S650,'FX RATES'!$H$2:$H$20,1,FALSE),S650&amp;K650))</f>
        <v>USDUSD</v>
      </c>
      <c r="AC650" s="175">
        <f>IF(LEFT(AB650,3)=RIGHT(AB650,3),0,IFERROR(INDEX(CLIENTS!$A$1:$O$649,MATCH(H650,CLIENTS!$A$1:$A$649,0),MATCH(AB650,CLIENTS!$A$1:$O$1,0)),0))</f>
        <v>0</v>
      </c>
      <c r="AD650" s="176"/>
      <c r="AE650" s="177">
        <f t="shared" si="771"/>
        <v>1</v>
      </c>
      <c r="AF650" s="177" t="str">
        <f t="shared" si="772"/>
        <v>46073USDUSD</v>
      </c>
      <c r="AG650" s="176"/>
      <c r="AH650" s="178">
        <f>IF(LEFT(AB650,3)=RIGHT(AB650,3),1,VLOOKUP(AB650,'FX RATES'!$H$1:$I$20,2,FALSE))</f>
        <v>1</v>
      </c>
      <c r="AI650" s="178">
        <f t="shared" si="773"/>
        <v>1</v>
      </c>
      <c r="AJ650" s="173" t="str">
        <f>IF(W650="via USD",IF(S650="EUR",S650&amp;"USD","USD"&amp;S650),IFERROR(VLOOKUP(K650&amp;S650,'FX RATES'!$H$2:$H$20,1,FALSE),S650&amp;K650))</f>
        <v>USDRUB</v>
      </c>
      <c r="AK650" s="175">
        <f>IF(LEFT(AJ650,3)=RIGHT(AJ650,3),0,IFERROR(INDEX(CLIENTS!$A$1:$O$649,MATCH(P650,CLIENTS!$A$1:$A$649,0),MATCH(AJ650,CLIENTS!$A$1:$O$1,0)),0))</f>
        <v>0</v>
      </c>
      <c r="AL650" s="176">
        <v>76.95</v>
      </c>
      <c r="AM650" s="177">
        <f t="shared" si="774"/>
        <v>76.95</v>
      </c>
      <c r="AN650" s="177" t="str">
        <f t="shared" si="775"/>
        <v>46073USDRUB</v>
      </c>
      <c r="AO650" s="176">
        <v>76.599999999999994</v>
      </c>
      <c r="AP650" s="178">
        <f ca="1">IF(LEFT(AJ650,3)=RIGHT(AJ650,3),1,VLOOKUP(AJ650,'FX RATES'!$H$1:$I$20,2,FALSE))</f>
        <v>76.720500000000001</v>
      </c>
      <c r="AQ650" s="178">
        <f t="shared" si="776"/>
        <v>76.599999999999994</v>
      </c>
      <c r="AR650" s="179">
        <f>-Q650*(1-Z650)/(1+X650)*IF(W650="CLIENT",IF(S650=RIGHT(AJ650,3),1/AM650,AM650),IF(W650="VENDOR",IF(S650=RIGHT(AJ650,3),1/AE650,AE650),AE650^(VLOOKUP(AB650,'FX RATES'!$H$1:$J$26,3,FALSE))/AM650^(VLOOKUP(AJ650,'FX RATES'!$H$1:$J$26,3,FALSE))))</f>
        <v>0</v>
      </c>
      <c r="AS650" s="179">
        <f>-I650*(1+X650)/(1-Z650)*IF(W650="VENDOR",IF(K650=RIGHT(AB650,3),1/AE650,AE650),IF(W650="CLIENT",IF(K650=RIGHT(AB650,3),1/AM650,AM650),AM650^(VLOOKUP(AJ650,'FX RATES'!$H$1:$J$26,3,FALSE))/AE650^(VLOOKUP(AB650,'FX RATES'!$H$1:$J$26,3,FALSE))))</f>
        <v>8679439.024573721</v>
      </c>
      <c r="AT650" s="170">
        <f>IF(AB650&lt;&gt;AJ650,J650/IF(K650=RIGHT(AB650,3),AE650,1/AE650),IF(S650="USD",J650/IF(K650=RIGHT(AB650,3),IF(W650="CLIENT",AM650,AE650),1/IF(W650="CLIENT",AM650,AE650)),J650*VLOOKUP(K650,'FX RATES'!$E$1:$F$10,2,FALSE)))</f>
        <v>-112454.85</v>
      </c>
      <c r="AU650" s="170">
        <f>IF(AB650&lt;&gt;AJ650,R650/IF(S650=RIGHT(AJ650,3),AM650,1/AM650),IF(K650="USD",R650/IF(S650=RIGHT(AJ650,3),IF(W650="CLIENT",AM650,AE650),1/IF(W650="CLIENT",AM650,AE650)),R650*VLOOKUP(S650,'FX RATES'!$E$1:$F$10,2,FALSE)))</f>
        <v>112793.2296890672</v>
      </c>
      <c r="AV650" s="170">
        <f t="shared" si="777"/>
        <v>338.3796890671947</v>
      </c>
      <c r="AW650" s="169"/>
      <c r="AX650" s="170">
        <f t="shared" si="778"/>
        <v>338.37968906720158</v>
      </c>
      <c r="AY650" s="170">
        <f t="shared" si="779"/>
        <v>-112454.85</v>
      </c>
      <c r="AZ650" s="170" t="str">
        <f t="shared" si="780"/>
        <v>USD</v>
      </c>
      <c r="BA650" s="542">
        <f>IF(OR(A650="REFUND",A650="CANCELLED"),0,IFERROR((IF(OR(AB650="USDAED",LEFT(AB650,3)=RIGHT(AB650,3)),AI650,AG650)-AE650)*-AY650*VLOOKUP(AB650,'FX RATES'!$H$1:$J$26,3,FALSE),0))</f>
        <v>0</v>
      </c>
      <c r="BB650" s="170" t="str">
        <f t="shared" si="781"/>
        <v>USD</v>
      </c>
      <c r="BC650" s="542">
        <f t="shared" si="782"/>
        <v>0</v>
      </c>
      <c r="BD650" s="170">
        <f t="shared" si="783"/>
        <v>0</v>
      </c>
      <c r="BE650" s="542">
        <f t="shared" si="784"/>
        <v>0</v>
      </c>
      <c r="BF650" s="170">
        <f t="shared" si="785"/>
        <v>112793.2296890672</v>
      </c>
      <c r="BG650" s="170" t="str">
        <f t="shared" si="786"/>
        <v>USD</v>
      </c>
      <c r="BH650" s="542">
        <f>IF(OR(A650="REFUND",A650="CANCELLED"),0,IFERROR((IF(OR(AJ650="USDAED",LEFT(AJ650,3)=RIGHT(AJ650,3)),AQ650,AO650)-AM650)*-BF650*VLOOKUP(AJ650,'FX RATES'!$H$1:$J$26,3,FALSE),0))</f>
        <v>39477.630391174484</v>
      </c>
      <c r="BI650" s="170" t="str">
        <f t="shared" si="787"/>
        <v>RUB</v>
      </c>
      <c r="BJ650" s="542">
        <f t="shared" si="788"/>
        <v>515.37376489783924</v>
      </c>
      <c r="BK650" s="170">
        <f t="shared" si="789"/>
        <v>0</v>
      </c>
      <c r="BL650" s="542">
        <f t="shared" si="790"/>
        <v>515.37376489783924</v>
      </c>
      <c r="BM650" s="170">
        <f t="shared" si="791"/>
        <v>0</v>
      </c>
      <c r="BN650" s="542">
        <f t="shared" si="792"/>
        <v>515.37376489783924</v>
      </c>
    </row>
    <row r="651" spans="1:66" ht="19.5" customHeight="1">
      <c r="A651" s="167" t="s">
        <v>601</v>
      </c>
      <c r="B651" s="168" t="s">
        <v>39</v>
      </c>
      <c r="C651" s="168" t="s">
        <v>367</v>
      </c>
      <c r="D651" s="181" t="s">
        <v>368</v>
      </c>
      <c r="E651" s="171">
        <v>46073</v>
      </c>
      <c r="F651" s="171" t="s">
        <v>627</v>
      </c>
      <c r="G651" s="168" t="s">
        <v>39</v>
      </c>
      <c r="H651" s="181" t="s">
        <v>425</v>
      </c>
      <c r="I651" s="169">
        <v>-253624.67</v>
      </c>
      <c r="J651" s="170">
        <f t="shared" si="769"/>
        <v>-253624.67</v>
      </c>
      <c r="K651" s="168" t="s">
        <v>5</v>
      </c>
      <c r="L651" s="168" t="s">
        <v>426</v>
      </c>
      <c r="M651" s="168" t="s">
        <v>20</v>
      </c>
      <c r="O651" s="168" t="s">
        <v>52</v>
      </c>
      <c r="P651" s="349" t="s">
        <v>379</v>
      </c>
      <c r="Q651" s="169"/>
      <c r="R651" s="170">
        <f t="shared" si="770"/>
        <v>19575143.787863594</v>
      </c>
      <c r="S651" s="168" t="s">
        <v>9</v>
      </c>
      <c r="T651" s="171" t="s">
        <v>380</v>
      </c>
      <c r="U651" s="168" t="s">
        <v>25</v>
      </c>
      <c r="W651" s="172" t="s">
        <v>375</v>
      </c>
      <c r="X651" s="173">
        <f>IF(Y651="",VLOOKUP(H651,CLIENTS!$A$1:$O$649,5,FALSE),Y651)</f>
        <v>0</v>
      </c>
      <c r="Y651" s="174">
        <v>0</v>
      </c>
      <c r="Z651" s="173">
        <f>IF(AA651="",VLOOKUP(P651,CLIENTS!$A$1:$O$649,5,FALSE),AA651)</f>
        <v>3.0000000000000001E-3</v>
      </c>
      <c r="AA651" s="174">
        <v>3.0000000000000001E-3</v>
      </c>
      <c r="AB651" s="173" t="str">
        <f>IF(W651="via USD",IF(K651="EUR",K651&amp;"USD","USD"&amp;K651),IFERROR(VLOOKUP(K651&amp;S651,'FX RATES'!$H$2:$H$20,1,FALSE),S651&amp;K651))</f>
        <v>USDUSD</v>
      </c>
      <c r="AC651" s="175">
        <f>IF(LEFT(AB651,3)=RIGHT(AB651,3),0,IFERROR(INDEX(CLIENTS!$A$1:$O$649,MATCH(H651,CLIENTS!$A$1:$A$649,0),MATCH(AB651,CLIENTS!$A$1:$O$1,0)),0))</f>
        <v>0</v>
      </c>
      <c r="AD651" s="176"/>
      <c r="AE651" s="177">
        <f t="shared" si="771"/>
        <v>1</v>
      </c>
      <c r="AF651" s="177" t="str">
        <f t="shared" si="772"/>
        <v>46073USDUSD</v>
      </c>
      <c r="AG651" s="176"/>
      <c r="AH651" s="178">
        <f>IF(LEFT(AB651,3)=RIGHT(AB651,3),1,VLOOKUP(AB651,'FX RATES'!$H$1:$I$20,2,FALSE))</f>
        <v>1</v>
      </c>
      <c r="AI651" s="178">
        <f t="shared" si="773"/>
        <v>1</v>
      </c>
      <c r="AJ651" s="173" t="str">
        <f>IF(W651="via USD",IF(S651="EUR",S651&amp;"USD","USD"&amp;S651),IFERROR(VLOOKUP(K651&amp;S651,'FX RATES'!$H$2:$H$20,1,FALSE),S651&amp;K651))</f>
        <v>USDRUB</v>
      </c>
      <c r="AK651" s="175">
        <f>IF(LEFT(AJ651,3)=RIGHT(AJ651,3),0,IFERROR(INDEX(CLIENTS!$A$1:$O$649,MATCH(P651,CLIENTS!$A$1:$A$649,0),MATCH(AJ651,CLIENTS!$A$1:$O$1,0)),0))</f>
        <v>0</v>
      </c>
      <c r="AL651" s="176">
        <v>76.95</v>
      </c>
      <c r="AM651" s="177">
        <f t="shared" si="774"/>
        <v>76.95</v>
      </c>
      <c r="AN651" s="177" t="str">
        <f t="shared" si="775"/>
        <v>46073USDRUB</v>
      </c>
      <c r="AO651" s="176">
        <v>76.599999999999994</v>
      </c>
      <c r="AP651" s="178">
        <f ca="1">IF(LEFT(AJ651,3)=RIGHT(AJ651,3),1,VLOOKUP(AJ651,'FX RATES'!$H$1:$I$20,2,FALSE))</f>
        <v>76.720500000000001</v>
      </c>
      <c r="AQ651" s="178">
        <f t="shared" si="776"/>
        <v>76.599999999999994</v>
      </c>
      <c r="AR651" s="179">
        <f>-Q651*(1-Z651)/(1+X651)*IF(W651="CLIENT",IF(S651=RIGHT(AJ651,3),1/AM651,AM651),IF(W651="VENDOR",IF(S651=RIGHT(AJ651,3),1/AE651,AE651),AE651^(VLOOKUP(AB651,'FX RATES'!$H$1:$J$26,3,FALSE))/AM651^(VLOOKUP(AJ651,'FX RATES'!$H$1:$J$26,3,FALSE))))</f>
        <v>0</v>
      </c>
      <c r="AS651" s="179">
        <f>-I651*(1+X651)/(1-Z651)*IF(W651="VENDOR",IF(K651=RIGHT(AB651,3),1/AE651,AE651),IF(W651="CLIENT",IF(K651=RIGHT(AB651,3),1/AM651,AM651),AM651^(VLOOKUP(AJ651,'FX RATES'!$H$1:$J$26,3,FALSE))/AE651^(VLOOKUP(AB651,'FX RATES'!$H$1:$J$26,3,FALSE))))</f>
        <v>19575143.787863594</v>
      </c>
      <c r="AT651" s="170">
        <f>IF(AB651&lt;&gt;AJ651,J651/IF(K651=RIGHT(AB651,3),AE651,1/AE651),IF(S651="USD",J651/IF(K651=RIGHT(AB651,3),IF(W651="CLIENT",AM651,AE651),1/IF(W651="CLIENT",AM651,AE651)),J651*VLOOKUP(K651,'FX RATES'!$E$1:$F$10,2,FALSE)))</f>
        <v>-253624.67</v>
      </c>
      <c r="AU651" s="170">
        <f>IF(AB651&lt;&gt;AJ651,R651/IF(S651=RIGHT(AJ651,3),AM651,1/AM651),IF(K651="USD",R651/IF(S651=RIGHT(AJ651,3),IF(W651="CLIENT",AM651,AE651),1/IF(W651="CLIENT",AM651,AE651)),R651*VLOOKUP(S651,'FX RATES'!$E$1:$F$10,2,FALSE)))</f>
        <v>254387.83350050153</v>
      </c>
      <c r="AV651" s="170">
        <f t="shared" si="777"/>
        <v>763.16350050151232</v>
      </c>
      <c r="AW651" s="169"/>
      <c r="AX651" s="170">
        <f t="shared" si="778"/>
        <v>763.16350050150459</v>
      </c>
      <c r="AY651" s="170">
        <f t="shared" si="779"/>
        <v>-253624.67</v>
      </c>
      <c r="AZ651" s="170" t="str">
        <f t="shared" si="780"/>
        <v>USD</v>
      </c>
      <c r="BA651" s="542">
        <f>IF(OR(A651="REFUND",A651="CANCELLED"),0,IFERROR((IF(OR(AB651="USDAED",LEFT(AB651,3)=RIGHT(AB651,3)),AI651,AG651)-AE651)*-AY651*VLOOKUP(AB651,'FX RATES'!$H$1:$J$26,3,FALSE),0))</f>
        <v>0</v>
      </c>
      <c r="BB651" s="170" t="str">
        <f t="shared" si="781"/>
        <v>USD</v>
      </c>
      <c r="BC651" s="542">
        <f t="shared" si="782"/>
        <v>0</v>
      </c>
      <c r="BD651" s="170">
        <f t="shared" si="783"/>
        <v>0</v>
      </c>
      <c r="BE651" s="542">
        <f t="shared" si="784"/>
        <v>0</v>
      </c>
      <c r="BF651" s="170">
        <f t="shared" si="785"/>
        <v>254387.83350050153</v>
      </c>
      <c r="BG651" s="170" t="str">
        <f t="shared" si="786"/>
        <v>USD</v>
      </c>
      <c r="BH651" s="542">
        <f>IF(OR(A651="REFUND",A651="CANCELLED"),0,IFERROR((IF(OR(AJ651="USDAED",LEFT(AJ651,3)=RIGHT(AJ651,3)),AQ651,AO651)-AM651)*-BF651*VLOOKUP(AJ651,'FX RATES'!$H$1:$J$26,3,FALSE),0))</f>
        <v>89035.741725177708</v>
      </c>
      <c r="BI651" s="170" t="str">
        <f t="shared" si="787"/>
        <v>RUB</v>
      </c>
      <c r="BJ651" s="542">
        <f t="shared" si="788"/>
        <v>1162.3464977177248</v>
      </c>
      <c r="BK651" s="170">
        <f t="shared" si="789"/>
        <v>0</v>
      </c>
      <c r="BL651" s="542">
        <f t="shared" si="790"/>
        <v>1162.3464977177248</v>
      </c>
      <c r="BM651" s="170">
        <f t="shared" si="791"/>
        <v>0</v>
      </c>
      <c r="BN651" s="542">
        <f t="shared" si="792"/>
        <v>1162.3464977177248</v>
      </c>
    </row>
    <row r="652" spans="1:66" ht="19.5" customHeight="1">
      <c r="A652" s="167" t="s">
        <v>601</v>
      </c>
      <c r="B652" s="168" t="s">
        <v>39</v>
      </c>
      <c r="C652" s="168" t="s">
        <v>367</v>
      </c>
      <c r="D652" s="181" t="s">
        <v>368</v>
      </c>
      <c r="E652" s="171">
        <v>46073</v>
      </c>
      <c r="F652" s="171" t="s">
        <v>627</v>
      </c>
      <c r="G652" s="168" t="s">
        <v>39</v>
      </c>
      <c r="H652" s="181" t="s">
        <v>425</v>
      </c>
      <c r="I652" s="169">
        <v>-150388.57999999999</v>
      </c>
      <c r="J652" s="170">
        <f t="shared" si="769"/>
        <v>-150388.57999999999</v>
      </c>
      <c r="K652" s="168" t="s">
        <v>5</v>
      </c>
      <c r="L652" s="168" t="s">
        <v>426</v>
      </c>
      <c r="M652" s="168" t="s">
        <v>20</v>
      </c>
      <c r="O652" s="168" t="s">
        <v>52</v>
      </c>
      <c r="P652" s="349" t="s">
        <v>379</v>
      </c>
      <c r="Q652" s="169"/>
      <c r="R652" s="170">
        <f t="shared" si="770"/>
        <v>11607222.899699097</v>
      </c>
      <c r="S652" s="168" t="s">
        <v>9</v>
      </c>
      <c r="T652" s="171" t="s">
        <v>380</v>
      </c>
      <c r="U652" s="168" t="s">
        <v>25</v>
      </c>
      <c r="W652" s="172" t="s">
        <v>375</v>
      </c>
      <c r="X652" s="173">
        <f>IF(Y652="",VLOOKUP(H652,CLIENTS!$A$1:$O$649,5,FALSE),Y652)</f>
        <v>0</v>
      </c>
      <c r="Y652" s="174">
        <v>0</v>
      </c>
      <c r="Z652" s="173">
        <f>IF(AA652="",VLOOKUP(P652,CLIENTS!$A$1:$O$649,5,FALSE),AA652)</f>
        <v>3.0000000000000001E-3</v>
      </c>
      <c r="AA652" s="174">
        <v>3.0000000000000001E-3</v>
      </c>
      <c r="AB652" s="173" t="str">
        <f>IF(W652="via USD",IF(K652="EUR",K652&amp;"USD","USD"&amp;K652),IFERROR(VLOOKUP(K652&amp;S652,'FX RATES'!$H$2:$H$20,1,FALSE),S652&amp;K652))</f>
        <v>USDUSD</v>
      </c>
      <c r="AC652" s="175">
        <f>IF(LEFT(AB652,3)=RIGHT(AB652,3),0,IFERROR(INDEX(CLIENTS!$A$1:$O$649,MATCH(H652,CLIENTS!$A$1:$A$649,0),MATCH(AB652,CLIENTS!$A$1:$O$1,0)),0))</f>
        <v>0</v>
      </c>
      <c r="AD652" s="176"/>
      <c r="AE652" s="177">
        <f t="shared" si="771"/>
        <v>1</v>
      </c>
      <c r="AF652" s="177" t="str">
        <f t="shared" si="772"/>
        <v>46073USDUSD</v>
      </c>
      <c r="AG652" s="176"/>
      <c r="AH652" s="178">
        <f>IF(LEFT(AB652,3)=RIGHT(AB652,3),1,VLOOKUP(AB652,'FX RATES'!$H$1:$I$20,2,FALSE))</f>
        <v>1</v>
      </c>
      <c r="AI652" s="178">
        <f t="shared" si="773"/>
        <v>1</v>
      </c>
      <c r="AJ652" s="173" t="str">
        <f>IF(W652="via USD",IF(S652="EUR",S652&amp;"USD","USD"&amp;S652),IFERROR(VLOOKUP(K652&amp;S652,'FX RATES'!$H$2:$H$20,1,FALSE),S652&amp;K652))</f>
        <v>USDRUB</v>
      </c>
      <c r="AK652" s="175">
        <f>IF(LEFT(AJ652,3)=RIGHT(AJ652,3),0,IFERROR(INDEX(CLIENTS!$A$1:$O$649,MATCH(P652,CLIENTS!$A$1:$A$649,0),MATCH(AJ652,CLIENTS!$A$1:$O$1,0)),0))</f>
        <v>0</v>
      </c>
      <c r="AL652" s="176">
        <v>76.95</v>
      </c>
      <c r="AM652" s="177">
        <f t="shared" si="774"/>
        <v>76.95</v>
      </c>
      <c r="AN652" s="177" t="str">
        <f t="shared" si="775"/>
        <v>46073USDRUB</v>
      </c>
      <c r="AO652" s="176">
        <v>76.599999999999994</v>
      </c>
      <c r="AP652" s="178">
        <f ca="1">IF(LEFT(AJ652,3)=RIGHT(AJ652,3),1,VLOOKUP(AJ652,'FX RATES'!$H$1:$I$20,2,FALSE))</f>
        <v>76.720500000000001</v>
      </c>
      <c r="AQ652" s="178">
        <f t="shared" si="776"/>
        <v>76.599999999999994</v>
      </c>
      <c r="AR652" s="179">
        <f>-Q652*(1-Z652)/(1+X652)*IF(W652="CLIENT",IF(S652=RIGHT(AJ652,3),1/AM652,AM652),IF(W652="VENDOR",IF(S652=RIGHT(AJ652,3),1/AE652,AE652),AE652^(VLOOKUP(AB652,'FX RATES'!$H$1:$J$26,3,FALSE))/AM652^(VLOOKUP(AJ652,'FX RATES'!$H$1:$J$26,3,FALSE))))</f>
        <v>0</v>
      </c>
      <c r="AS652" s="179">
        <f>-I652*(1+X652)/(1-Z652)*IF(W652="VENDOR",IF(K652=RIGHT(AB652,3),1/AE652,AE652),IF(W652="CLIENT",IF(K652=RIGHT(AB652,3),1/AM652,AM652),AM652^(VLOOKUP(AJ652,'FX RATES'!$H$1:$J$26,3,FALSE))/AE652^(VLOOKUP(AB652,'FX RATES'!$H$1:$J$26,3,FALSE))))</f>
        <v>11607222.899699097</v>
      </c>
      <c r="AT652" s="170">
        <f>IF(AB652&lt;&gt;AJ652,J652/IF(K652=RIGHT(AB652,3),AE652,1/AE652),IF(S652="USD",J652/IF(K652=RIGHT(AB652,3),IF(W652="CLIENT",AM652,AE652),1/IF(W652="CLIENT",AM652,AE652)),J652*VLOOKUP(K652,'FX RATES'!$E$1:$F$10,2,FALSE)))</f>
        <v>-150388.57999999999</v>
      </c>
      <c r="AU652" s="170">
        <f>IF(AB652&lt;&gt;AJ652,R652/IF(S652=RIGHT(AJ652,3),AM652,1/AM652),IF(K652="USD",R652/IF(S652=RIGHT(AJ652,3),IF(W652="CLIENT",AM652,AE652),1/IF(W652="CLIENT",AM652,AE652)),R652*VLOOKUP(S652,'FX RATES'!$E$1:$F$10,2,FALSE)))</f>
        <v>150841.10330992978</v>
      </c>
      <c r="AV652" s="170">
        <f t="shared" si="777"/>
        <v>452.52330992979114</v>
      </c>
      <c r="AW652" s="169"/>
      <c r="AX652" s="170">
        <f t="shared" si="778"/>
        <v>452.52330992978932</v>
      </c>
      <c r="AY652" s="170">
        <f t="shared" si="779"/>
        <v>-150388.57999999999</v>
      </c>
      <c r="AZ652" s="170" t="str">
        <f t="shared" si="780"/>
        <v>USD</v>
      </c>
      <c r="BA652" s="542">
        <f>IF(OR(A652="REFUND",A652="CANCELLED"),0,IFERROR((IF(OR(AB652="USDAED",LEFT(AB652,3)=RIGHT(AB652,3)),AI652,AG652)-AE652)*-AY652*VLOOKUP(AB652,'FX RATES'!$H$1:$J$26,3,FALSE),0))</f>
        <v>0</v>
      </c>
      <c r="BB652" s="170" t="str">
        <f t="shared" si="781"/>
        <v>USD</v>
      </c>
      <c r="BC652" s="542">
        <f t="shared" si="782"/>
        <v>0</v>
      </c>
      <c r="BD652" s="170">
        <f t="shared" si="783"/>
        <v>0</v>
      </c>
      <c r="BE652" s="542">
        <f t="shared" si="784"/>
        <v>0</v>
      </c>
      <c r="BF652" s="170">
        <f t="shared" si="785"/>
        <v>150841.10330992978</v>
      </c>
      <c r="BG652" s="170" t="str">
        <f t="shared" si="786"/>
        <v>USD</v>
      </c>
      <c r="BH652" s="542">
        <f>IF(OR(A652="REFUND",A652="CANCELLED"),0,IFERROR((IF(OR(AJ652="USDAED",LEFT(AJ652,3)=RIGHT(AJ652,3)),AQ652,AO652)-AM652)*-BF652*VLOOKUP(AJ652,'FX RATES'!$H$1:$J$26,3,FALSE),0))</f>
        <v>52794.386158476707</v>
      </c>
      <c r="BI652" s="170" t="str">
        <f t="shared" si="787"/>
        <v>RUB</v>
      </c>
      <c r="BJ652" s="542">
        <f t="shared" si="788"/>
        <v>689.22175141614503</v>
      </c>
      <c r="BK652" s="170">
        <f t="shared" si="789"/>
        <v>0</v>
      </c>
      <c r="BL652" s="542">
        <f t="shared" si="790"/>
        <v>689.22175141614503</v>
      </c>
      <c r="BM652" s="170">
        <f t="shared" si="791"/>
        <v>0</v>
      </c>
      <c r="BN652" s="542">
        <f t="shared" si="792"/>
        <v>689.22175141614503</v>
      </c>
    </row>
    <row r="653" spans="1:66" ht="19.5" customHeight="1">
      <c r="A653" s="167" t="s">
        <v>601</v>
      </c>
      <c r="B653" s="168" t="s">
        <v>39</v>
      </c>
      <c r="C653" s="168" t="s">
        <v>367</v>
      </c>
      <c r="D653" s="181" t="s">
        <v>368</v>
      </c>
      <c r="E653" s="171">
        <v>46073</v>
      </c>
      <c r="F653" s="171" t="s">
        <v>627</v>
      </c>
      <c r="G653" s="168" t="s">
        <v>39</v>
      </c>
      <c r="H653" s="181" t="s">
        <v>654</v>
      </c>
      <c r="I653" s="169">
        <v>-124200</v>
      </c>
      <c r="J653" s="170">
        <f t="shared" si="769"/>
        <v>-124200</v>
      </c>
      <c r="K653" s="168" t="s">
        <v>5</v>
      </c>
      <c r="L653" s="168" t="s">
        <v>655</v>
      </c>
      <c r="M653" s="168" t="s">
        <v>20</v>
      </c>
      <c r="O653" s="168" t="s">
        <v>52</v>
      </c>
      <c r="P653" s="349" t="s">
        <v>379</v>
      </c>
      <c r="Q653" s="169"/>
      <c r="R653" s="170">
        <f t="shared" si="770"/>
        <v>9585947.8435305916</v>
      </c>
      <c r="S653" s="168" t="s">
        <v>9</v>
      </c>
      <c r="T653" s="171" t="s">
        <v>380</v>
      </c>
      <c r="U653" s="168" t="s">
        <v>25</v>
      </c>
      <c r="W653" s="172" t="s">
        <v>375</v>
      </c>
      <c r="X653" s="173">
        <f>IF(Y653="",VLOOKUP(H653,CLIENTS!$A$1:$O$649,5,FALSE),Y653)</f>
        <v>0</v>
      </c>
      <c r="Y653" s="174">
        <v>0</v>
      </c>
      <c r="Z653" s="173">
        <f>IF(AA653="",VLOOKUP(P653,CLIENTS!$A$1:$O$649,5,FALSE),AA653)</f>
        <v>3.0000000000000001E-3</v>
      </c>
      <c r="AA653" s="174">
        <v>3.0000000000000001E-3</v>
      </c>
      <c r="AB653" s="173" t="str">
        <f>IF(W653="via USD",IF(K653="EUR",K653&amp;"USD","USD"&amp;K653),IFERROR(VLOOKUP(K653&amp;S653,'FX RATES'!$H$2:$H$20,1,FALSE),S653&amp;K653))</f>
        <v>USDUSD</v>
      </c>
      <c r="AC653" s="175">
        <f>IF(LEFT(AB653,3)=RIGHT(AB653,3),0,IFERROR(INDEX(CLIENTS!$A$1:$O$649,MATCH(H653,CLIENTS!$A$1:$A$649,0),MATCH(AB653,CLIENTS!$A$1:$O$1,0)),0))</f>
        <v>0</v>
      </c>
      <c r="AD653" s="176"/>
      <c r="AE653" s="177">
        <f t="shared" si="771"/>
        <v>1</v>
      </c>
      <c r="AF653" s="177" t="str">
        <f t="shared" si="772"/>
        <v>46073USDUSD</v>
      </c>
      <c r="AG653" s="176"/>
      <c r="AH653" s="178">
        <f>IF(LEFT(AB653,3)=RIGHT(AB653,3),1,VLOOKUP(AB653,'FX RATES'!$H$1:$I$20,2,FALSE))</f>
        <v>1</v>
      </c>
      <c r="AI653" s="178">
        <f t="shared" si="773"/>
        <v>1</v>
      </c>
      <c r="AJ653" s="173" t="str">
        <f>IF(W653="via USD",IF(S653="EUR",S653&amp;"USD","USD"&amp;S653),IFERROR(VLOOKUP(K653&amp;S653,'FX RATES'!$H$2:$H$20,1,FALSE),S653&amp;K653))</f>
        <v>USDRUB</v>
      </c>
      <c r="AK653" s="175">
        <f>IF(LEFT(AJ653,3)=RIGHT(AJ653,3),0,IFERROR(INDEX(CLIENTS!$A$1:$O$649,MATCH(P653,CLIENTS!$A$1:$A$649,0),MATCH(AJ653,CLIENTS!$A$1:$O$1,0)),0))</f>
        <v>0</v>
      </c>
      <c r="AL653" s="176">
        <v>76.95</v>
      </c>
      <c r="AM653" s="177">
        <f t="shared" si="774"/>
        <v>76.95</v>
      </c>
      <c r="AN653" s="177" t="str">
        <f t="shared" si="775"/>
        <v>46073USDRUB</v>
      </c>
      <c r="AO653" s="176">
        <v>76.599999999999994</v>
      </c>
      <c r="AP653" s="178">
        <f ca="1">IF(LEFT(AJ653,3)=RIGHT(AJ653,3),1,VLOOKUP(AJ653,'FX RATES'!$H$1:$I$20,2,FALSE))</f>
        <v>76.720500000000001</v>
      </c>
      <c r="AQ653" s="178">
        <f t="shared" si="776"/>
        <v>76.599999999999994</v>
      </c>
      <c r="AR653" s="179">
        <f>-Q653*(1-Z653)/(1+X653)*IF(W653="CLIENT",IF(S653=RIGHT(AJ653,3),1/AM653,AM653),IF(W653="VENDOR",IF(S653=RIGHT(AJ653,3),1/AE653,AE653),AE653^(VLOOKUP(AB653,'FX RATES'!$H$1:$J$26,3,FALSE))/AM653^(VLOOKUP(AJ653,'FX RATES'!$H$1:$J$26,3,FALSE))))</f>
        <v>0</v>
      </c>
      <c r="AS653" s="179">
        <f>-I653*(1+X653)/(1-Z653)*IF(W653="VENDOR",IF(K653=RIGHT(AB653,3),1/AE653,AE653),IF(W653="CLIENT",IF(K653=RIGHT(AB653,3),1/AM653,AM653),AM653^(VLOOKUP(AJ653,'FX RATES'!$H$1:$J$26,3,FALSE))/AE653^(VLOOKUP(AB653,'FX RATES'!$H$1:$J$26,3,FALSE))))</f>
        <v>9585947.8435305916</v>
      </c>
      <c r="AT653" s="170">
        <f>IF(AB653&lt;&gt;AJ653,J653/IF(K653=RIGHT(AB653,3),AE653,1/AE653),IF(S653="USD",J653/IF(K653=RIGHT(AB653,3),IF(W653="CLIENT",AM653,AE653),1/IF(W653="CLIENT",AM653,AE653)),J653*VLOOKUP(K653,'FX RATES'!$E$1:$F$10,2,FALSE)))</f>
        <v>-124200</v>
      </c>
      <c r="AU653" s="170">
        <f>IF(AB653&lt;&gt;AJ653,R653/IF(S653=RIGHT(AJ653,3),AM653,1/AM653),IF(K653="USD",R653/IF(S653=RIGHT(AJ653,3),IF(W653="CLIENT",AM653,AE653),1/IF(W653="CLIENT",AM653,AE653)),R653*VLOOKUP(S653,'FX RATES'!$E$1:$F$10,2,FALSE)))</f>
        <v>124573.72116349047</v>
      </c>
      <c r="AV653" s="170">
        <f t="shared" si="777"/>
        <v>373.72116349046701</v>
      </c>
      <c r="AW653" s="169"/>
      <c r="AX653" s="170">
        <f t="shared" si="778"/>
        <v>373.72116349047138</v>
      </c>
      <c r="AY653" s="170">
        <f t="shared" si="779"/>
        <v>-124200</v>
      </c>
      <c r="AZ653" s="170" t="str">
        <f t="shared" si="780"/>
        <v>USD</v>
      </c>
      <c r="BA653" s="542">
        <f>IF(OR(A653="REFUND",A653="CANCELLED"),0,IFERROR((IF(OR(AB653="USDAED",LEFT(AB653,3)=RIGHT(AB653,3)),AI653,AG653)-AE653)*-AY653*VLOOKUP(AB653,'FX RATES'!$H$1:$J$26,3,FALSE),0))</f>
        <v>0</v>
      </c>
      <c r="BB653" s="170" t="str">
        <f t="shared" si="781"/>
        <v>USD</v>
      </c>
      <c r="BC653" s="542">
        <f t="shared" si="782"/>
        <v>0</v>
      </c>
      <c r="BD653" s="170">
        <f t="shared" si="783"/>
        <v>0</v>
      </c>
      <c r="BE653" s="542">
        <f t="shared" si="784"/>
        <v>0</v>
      </c>
      <c r="BF653" s="170">
        <f t="shared" si="785"/>
        <v>124573.72116349047</v>
      </c>
      <c r="BG653" s="170" t="str">
        <f t="shared" si="786"/>
        <v>USD</v>
      </c>
      <c r="BH653" s="542">
        <f>IF(OR(A653="REFUND",A653="CANCELLED"),0,IFERROR((IF(OR(AJ653="USDAED",LEFT(AJ653,3)=RIGHT(AJ653,3)),AQ653,AO653)-AM653)*-BF653*VLOOKUP(AJ653,'FX RATES'!$H$1:$J$26,3,FALSE),0))</f>
        <v>43600.802407222727</v>
      </c>
      <c r="BI653" s="170" t="str">
        <f t="shared" si="787"/>
        <v>RUB</v>
      </c>
      <c r="BJ653" s="542">
        <f t="shared" si="788"/>
        <v>569.20107581230718</v>
      </c>
      <c r="BK653" s="170">
        <f t="shared" si="789"/>
        <v>0</v>
      </c>
      <c r="BL653" s="542">
        <f t="shared" si="790"/>
        <v>569.20107581230718</v>
      </c>
      <c r="BM653" s="170">
        <f t="shared" si="791"/>
        <v>0</v>
      </c>
      <c r="BN653" s="542">
        <f t="shared" si="792"/>
        <v>569.20107581230718</v>
      </c>
    </row>
    <row r="654" spans="1:66" ht="19.5" customHeight="1">
      <c r="A654" s="167" t="s">
        <v>601</v>
      </c>
      <c r="B654" s="168" t="s">
        <v>39</v>
      </c>
      <c r="C654" s="168" t="s">
        <v>367</v>
      </c>
      <c r="D654" s="168" t="s">
        <v>368</v>
      </c>
      <c r="E654" s="171">
        <v>46073</v>
      </c>
      <c r="F654" s="171" t="s">
        <v>627</v>
      </c>
      <c r="G654" s="168" t="s">
        <v>39</v>
      </c>
      <c r="H654" s="181" t="s">
        <v>567</v>
      </c>
      <c r="I654" s="169">
        <v>-109000</v>
      </c>
      <c r="J654" s="170">
        <f t="shared" si="769"/>
        <v>-109000</v>
      </c>
      <c r="K654" s="168" t="s">
        <v>5</v>
      </c>
      <c r="L654" s="168" t="s">
        <v>568</v>
      </c>
      <c r="M654" s="168" t="s">
        <v>20</v>
      </c>
      <c r="O654" s="168" t="s">
        <v>52</v>
      </c>
      <c r="P654" s="168" t="s">
        <v>379</v>
      </c>
      <c r="Q654" s="169"/>
      <c r="R654" s="170">
        <f t="shared" si="770"/>
        <v>8412788.3650952857</v>
      </c>
      <c r="S654" s="168" t="s">
        <v>9</v>
      </c>
      <c r="T654" s="171" t="s">
        <v>380</v>
      </c>
      <c r="U654" s="168" t="s">
        <v>25</v>
      </c>
      <c r="W654" s="172" t="s">
        <v>375</v>
      </c>
      <c r="X654" s="173">
        <f>IF(Y654="",VLOOKUP(H654,CLIENTS!$A$1:$O$649,5,FALSE),Y654)</f>
        <v>0</v>
      </c>
      <c r="Y654" s="174">
        <v>0</v>
      </c>
      <c r="Z654" s="173">
        <f>IF(AA654="",VLOOKUP(P654,CLIENTS!$A$1:$O$649,5,FALSE),AA654)</f>
        <v>3.0000000000000001E-3</v>
      </c>
      <c r="AA654" s="174">
        <v>3.0000000000000001E-3</v>
      </c>
      <c r="AB654" s="173" t="str">
        <f>IF(W654="via USD",IF(K654="EUR",K654&amp;"USD","USD"&amp;K654),IFERROR(VLOOKUP(K654&amp;S654,'FX RATES'!$H$2:$H$20,1,FALSE),S654&amp;K654))</f>
        <v>USDUSD</v>
      </c>
      <c r="AC654" s="175">
        <f>IF(LEFT(AB654,3)=RIGHT(AB654,3),0,IFERROR(INDEX(CLIENTS!$A$1:$O$649,MATCH(H654,CLIENTS!$A$1:$A$649,0),MATCH(AB654,CLIENTS!$A$1:$O$1,0)),0))</f>
        <v>0</v>
      </c>
      <c r="AD654" s="176"/>
      <c r="AE654" s="177">
        <f t="shared" si="771"/>
        <v>1</v>
      </c>
      <c r="AF654" s="177" t="str">
        <f t="shared" si="772"/>
        <v>46073USDUSD</v>
      </c>
      <c r="AG654" s="176"/>
      <c r="AH654" s="178">
        <f>IF(LEFT(AB654,3)=RIGHT(AB654,3),1,VLOOKUP(AB654,'FX RATES'!$H$1:$I$20,2,FALSE))</f>
        <v>1</v>
      </c>
      <c r="AI654" s="178">
        <f t="shared" si="773"/>
        <v>1</v>
      </c>
      <c r="AJ654" s="173" t="str">
        <f>IF(W654="via USD",IF(S654="EUR",S654&amp;"USD","USD"&amp;S654),IFERROR(VLOOKUP(K654&amp;S654,'FX RATES'!$H$2:$H$20,1,FALSE),S654&amp;K654))</f>
        <v>USDRUB</v>
      </c>
      <c r="AK654" s="175">
        <f>IF(LEFT(AJ654,3)=RIGHT(AJ654,3),0,IFERROR(INDEX(CLIENTS!$A$1:$O$649,MATCH(P654,CLIENTS!$A$1:$A$649,0),MATCH(AJ654,CLIENTS!$A$1:$O$1,0)),0))</f>
        <v>0</v>
      </c>
      <c r="AL654" s="176">
        <v>76.95</v>
      </c>
      <c r="AM654" s="177">
        <f t="shared" si="774"/>
        <v>76.95</v>
      </c>
      <c r="AN654" s="177" t="str">
        <f t="shared" si="775"/>
        <v>46073USDRUB</v>
      </c>
      <c r="AO654" s="176">
        <v>76.599999999999994</v>
      </c>
      <c r="AP654" s="178">
        <f ca="1">IF(LEFT(AJ654,3)=RIGHT(AJ654,3),1,VLOOKUP(AJ654,'FX RATES'!$H$1:$I$20,2,FALSE))</f>
        <v>76.720500000000001</v>
      </c>
      <c r="AQ654" s="178">
        <f t="shared" si="776"/>
        <v>76.599999999999994</v>
      </c>
      <c r="AR654" s="179">
        <f>-Q654*(1-Z654)/(1+X654)*IF(W654="CLIENT",IF(S654=RIGHT(AJ654,3),1/AM654,AM654),IF(W654="VENDOR",IF(S654=RIGHT(AJ654,3),1/AE654,AE654),AE654^(VLOOKUP(AB654,'FX RATES'!$H$1:$J$26,3,FALSE))/AM654^(VLOOKUP(AJ654,'FX RATES'!$H$1:$J$26,3,FALSE))))</f>
        <v>0</v>
      </c>
      <c r="AS654" s="179">
        <f>-I654*(1+X654)/(1-Z654)*IF(W654="VENDOR",IF(K654=RIGHT(AB654,3),1/AE654,AE654),IF(W654="CLIENT",IF(K654=RIGHT(AB654,3),1/AM654,AM654),AM654^(VLOOKUP(AJ654,'FX RATES'!$H$1:$J$26,3,FALSE))/AE654^(VLOOKUP(AB654,'FX RATES'!$H$1:$J$26,3,FALSE))))</f>
        <v>8412788.3650952857</v>
      </c>
      <c r="AT654" s="170">
        <f>IF(AB654&lt;&gt;AJ654,J654/IF(K654=RIGHT(AB654,3),AE654,1/AE654),IF(S654="USD",J654/IF(K654=RIGHT(AB654,3),IF(W654="CLIENT",AM654,AE654),1/IF(W654="CLIENT",AM654,AE654)),J654*VLOOKUP(K654,'FX RATES'!$E$1:$F$10,2,FALSE)))</f>
        <v>-109000</v>
      </c>
      <c r="AU654" s="170">
        <f>IF(AB654&lt;&gt;AJ654,R654/IF(S654=RIGHT(AJ654,3),AM654,1/AM654),IF(K654="USD",R654/IF(S654=RIGHT(AJ654,3),IF(W654="CLIENT",AM654,AE654),1/IF(W654="CLIENT",AM654,AE654)),R654*VLOOKUP(S654,'FX RATES'!$E$1:$F$10,2,FALSE)))</f>
        <v>109327.98395185557</v>
      </c>
      <c r="AV654" s="170">
        <f t="shared" si="777"/>
        <v>327.98395185556728</v>
      </c>
      <c r="AW654" s="169"/>
      <c r="AX654" s="170">
        <f t="shared" si="778"/>
        <v>327.98395185556672</v>
      </c>
      <c r="AY654" s="170">
        <f t="shared" si="779"/>
        <v>-109000</v>
      </c>
      <c r="AZ654" s="170" t="str">
        <f t="shared" si="780"/>
        <v>USD</v>
      </c>
      <c r="BA654" s="542">
        <f>IF(OR(A654="REFUND",A654="CANCELLED"),0,IFERROR((IF(OR(AB654="USDAED",LEFT(AB654,3)=RIGHT(AB654,3)),AI654,AG654)-AE654)*-AY654*VLOOKUP(AB654,'FX RATES'!$H$1:$J$26,3,FALSE),0))</f>
        <v>0</v>
      </c>
      <c r="BB654" s="170" t="str">
        <f t="shared" si="781"/>
        <v>USD</v>
      </c>
      <c r="BC654" s="542">
        <f t="shared" si="782"/>
        <v>0</v>
      </c>
      <c r="BD654" s="170">
        <f t="shared" si="783"/>
        <v>0</v>
      </c>
      <c r="BE654" s="542">
        <f t="shared" si="784"/>
        <v>0</v>
      </c>
      <c r="BF654" s="170">
        <f t="shared" si="785"/>
        <v>109327.98395185557</v>
      </c>
      <c r="BG654" s="170" t="str">
        <f t="shared" si="786"/>
        <v>USD</v>
      </c>
      <c r="BH654" s="542">
        <f>IF(OR(A654="REFUND",A654="CANCELLED"),0,IFERROR((IF(OR(AJ654="USDAED",LEFT(AJ654,3)=RIGHT(AJ654,3)),AQ654,AO654)-AM654)*-BF654*VLOOKUP(AJ654,'FX RATES'!$H$1:$J$26,3,FALSE),0))</f>
        <v>38264.79438315038</v>
      </c>
      <c r="BI654" s="170" t="str">
        <f t="shared" si="787"/>
        <v>RUB</v>
      </c>
      <c r="BJ654" s="542">
        <f t="shared" si="788"/>
        <v>499.54039664687184</v>
      </c>
      <c r="BK654" s="170">
        <f t="shared" si="789"/>
        <v>0</v>
      </c>
      <c r="BL654" s="542">
        <f t="shared" si="790"/>
        <v>499.54039664687184</v>
      </c>
      <c r="BM654" s="170">
        <f t="shared" si="791"/>
        <v>0</v>
      </c>
      <c r="BN654" s="542">
        <f t="shared" si="792"/>
        <v>499.54039664687184</v>
      </c>
    </row>
    <row r="655" spans="1:66" ht="19.5" customHeight="1">
      <c r="A655" s="167" t="s">
        <v>601</v>
      </c>
      <c r="B655" s="168" t="s">
        <v>52</v>
      </c>
      <c r="C655" s="168" t="s">
        <v>383</v>
      </c>
      <c r="D655" s="168" t="s">
        <v>148</v>
      </c>
      <c r="E655" s="171">
        <v>46073</v>
      </c>
      <c r="F655" s="171"/>
      <c r="G655" s="168" t="s">
        <v>52</v>
      </c>
      <c r="H655" s="168" t="s">
        <v>649</v>
      </c>
      <c r="I655" s="169">
        <v>-121614816.09</v>
      </c>
      <c r="J655" s="170">
        <f t="shared" si="769"/>
        <v>-121614816.09</v>
      </c>
      <c r="K655" s="168" t="s">
        <v>9</v>
      </c>
      <c r="L655" s="171" t="s">
        <v>617</v>
      </c>
      <c r="M655" s="168" t="s">
        <v>25</v>
      </c>
      <c r="N655" s="167" t="s">
        <v>639</v>
      </c>
      <c r="O655" s="168" t="s">
        <v>34</v>
      </c>
      <c r="P655" s="349" t="s">
        <v>650</v>
      </c>
      <c r="Q655" s="169"/>
      <c r="R655" s="170">
        <f t="shared" si="770"/>
        <v>5804163.8998118909</v>
      </c>
      <c r="S655" s="168" t="s">
        <v>8</v>
      </c>
      <c r="T655" s="171" t="s">
        <v>15</v>
      </c>
      <c r="U655" s="168" t="s">
        <v>17</v>
      </c>
      <c r="W655" s="172" t="s">
        <v>375</v>
      </c>
      <c r="X655" s="173">
        <f>IF(Y655="",VLOOKUP(H655,CLIENTS!$A$1:$O$649,5,FALSE),Y655)</f>
        <v>0</v>
      </c>
      <c r="Y655" s="174">
        <v>0</v>
      </c>
      <c r="Z655" s="173">
        <f>IF(AA655="",VLOOKUP(P655,CLIENTS!$A$1:$O$649,5,FALSE),AA655)</f>
        <v>0</v>
      </c>
      <c r="AA655" s="174">
        <v>0</v>
      </c>
      <c r="AB655" s="173" t="str">
        <f>IF(W655="via USD",IF(K655="EUR",K655&amp;"USD","USD"&amp;K655),IFERROR(VLOOKUP(K655&amp;S655,'FX RATES'!$H$2:$H$20,1,FALSE),S655&amp;K655))</f>
        <v>USDRUB</v>
      </c>
      <c r="AC655" s="175">
        <f>IF(LEFT(AB655,3)=RIGHT(AB655,3),0,IFERROR(INDEX(CLIENTS!$A$1:$O$649,MATCH(H655,CLIENTS!$A$1:$A$649,0),MATCH(AB655,CLIENTS!$A$1:$O$1,0)),0))</f>
        <v>0</v>
      </c>
      <c r="AD655" s="176">
        <v>76.95</v>
      </c>
      <c r="AE655" s="177">
        <f t="shared" si="771"/>
        <v>76.95</v>
      </c>
      <c r="AF655" s="177" t="str">
        <f t="shared" si="772"/>
        <v>46073USDRUB</v>
      </c>
      <c r="AG655" s="176">
        <v>76.599999999999994</v>
      </c>
      <c r="AH655" s="178">
        <f ca="1">IF(LEFT(AB655,3)=RIGHT(AB655,3),1,VLOOKUP(AB655,'FX RATES'!$H$1:$I$20,2,FALSE))</f>
        <v>76.720500000000001</v>
      </c>
      <c r="AI655" s="178">
        <f t="shared" si="773"/>
        <v>76.599999999999994</v>
      </c>
      <c r="AJ655" s="173" t="str">
        <f>IF(W655="via USD",IF(S655="EUR",S655&amp;"USD","USD"&amp;S655),IFERROR(VLOOKUP(K655&amp;S655,'FX RATES'!$H$2:$H$20,1,FALSE),S655&amp;K655))</f>
        <v>USDAED</v>
      </c>
      <c r="AK655" s="175">
        <f>IF(LEFT(AJ655,3)=RIGHT(AJ655,3),0,IFERROR(INDEX(CLIENTS!$A$1:$O$649,MATCH(P655,CLIENTS!$A$1:$A$649,0),MATCH(AJ655,CLIENTS!$A$1:$O$1,0)),0))</f>
        <v>0</v>
      </c>
      <c r="AL655" s="176"/>
      <c r="AM655" s="177">
        <f t="shared" si="774"/>
        <v>3.6724999999999999</v>
      </c>
      <c r="AN655" s="177" t="str">
        <f t="shared" si="775"/>
        <v>46073USDAED</v>
      </c>
      <c r="AO655" s="176"/>
      <c r="AP655" s="178">
        <f>IF(LEFT(AJ655,3)=RIGHT(AJ655,3),1,VLOOKUP(AJ655,'FX RATES'!$H$1:$I$20,2,FALSE))</f>
        <v>3.6724999999999999</v>
      </c>
      <c r="AQ655" s="178">
        <f t="shared" si="776"/>
        <v>3.6724999999999999</v>
      </c>
      <c r="AR655" s="179">
        <f>-Q655*(1-Z655)/(1+X655)*IF(W655="CLIENT",IF(S655=RIGHT(AJ655,3),1/AM655,AM655),IF(W655="VENDOR",IF(S655=RIGHT(AJ655,3),1/AE655,AE655),AE655^(VLOOKUP(AB655,'FX RATES'!$H$1:$J$26,3,FALSE))/AM655^(VLOOKUP(AJ655,'FX RATES'!$H$1:$J$26,3,FALSE))))</f>
        <v>0</v>
      </c>
      <c r="AS655" s="179">
        <f>-I655*(1+X655)/(1-Z655)*IF(W655="VENDOR",IF(K655=RIGHT(AB655,3),1/AE655,AE655),IF(W655="CLIENT",IF(K655=RIGHT(AB655,3),1/AM655,AM655),AM655^(VLOOKUP(AJ655,'FX RATES'!$H$1:$J$26,3,FALSE))/AE655^(VLOOKUP(AB655,'FX RATES'!$H$1:$J$26,3,FALSE))))</f>
        <v>5804163.8998118909</v>
      </c>
      <c r="AT655" s="170">
        <f>IF(AB655&lt;&gt;AJ655,J655/IF(K655=RIGHT(AB655,3),AE655,1/AE655),IF(S655="USD",J655/IF(K655=RIGHT(AB655,3),IF(W655="CLIENT",AM655,AE655),1/IF(W655="CLIENT",AM655,AE655)),J655*VLOOKUP(K655,'FX RATES'!$E$1:$F$10,2,FALSE)))</f>
        <v>-1580439.4553606238</v>
      </c>
      <c r="AU655" s="170">
        <f>IF(AB655&lt;&gt;AJ655,R655/IF(S655=RIGHT(AJ655,3),AM655,1/AM655),IF(K655="USD",R655/IF(S655=RIGHT(AJ655,3),IF(W655="CLIENT",AM655,AE655),1/IF(W655="CLIENT",AM655,AE655)),R655*VLOOKUP(S655,'FX RATES'!$E$1:$F$10,2,FALSE)))</f>
        <v>1580439.4553606238</v>
      </c>
      <c r="AV655" s="170">
        <f t="shared" si="777"/>
        <v>0</v>
      </c>
      <c r="AW655" s="169"/>
      <c r="AX655" s="170">
        <f t="shared" si="778"/>
        <v>0</v>
      </c>
      <c r="AY655" s="170">
        <f t="shared" si="779"/>
        <v>-1580439.4553606238</v>
      </c>
      <c r="AZ655" s="170" t="str">
        <f t="shared" si="780"/>
        <v>USD</v>
      </c>
      <c r="BA655" s="542">
        <f>IF(OR(A655="REFUND",A655="CANCELLED"),0,IFERROR((IF(OR(AB655="USDAED",LEFT(AB655,3)=RIGHT(AB655,3)),AI655,AG655)-AE655)*-AY655*VLOOKUP(AB655,'FX RATES'!$H$1:$J$26,3,FALSE),0))</f>
        <v>-553153.80937623174</v>
      </c>
      <c r="BB655" s="170" t="str">
        <f t="shared" si="781"/>
        <v>RUB</v>
      </c>
      <c r="BC655" s="542">
        <f t="shared" si="782"/>
        <v>-7221.3291041283519</v>
      </c>
      <c r="BD655" s="170">
        <f t="shared" si="783"/>
        <v>0</v>
      </c>
      <c r="BE655" s="542">
        <f t="shared" si="784"/>
        <v>-7221.3291041283519</v>
      </c>
      <c r="BF655" s="170">
        <f t="shared" si="785"/>
        <v>1580439.4553606238</v>
      </c>
      <c r="BG655" s="170" t="str">
        <f t="shared" si="786"/>
        <v>USD</v>
      </c>
      <c r="BH655" s="542">
        <f>IF(OR(A655="REFUND",A655="CANCELLED"),0,IFERROR((IF(OR(AJ655="USDAED",LEFT(AJ655,3)=RIGHT(AJ655,3)),AQ655,AO655)-AM655)*-BF655*VLOOKUP(AJ655,'FX RATES'!$H$1:$J$26,3,FALSE),0))</f>
        <v>0</v>
      </c>
      <c r="BI655" s="170" t="str">
        <f t="shared" si="787"/>
        <v>AED</v>
      </c>
      <c r="BJ655" s="542">
        <f t="shared" si="788"/>
        <v>0</v>
      </c>
      <c r="BK655" s="170">
        <f t="shared" si="789"/>
        <v>0</v>
      </c>
      <c r="BL655" s="542">
        <f t="shared" si="790"/>
        <v>0</v>
      </c>
      <c r="BM655" s="170">
        <f t="shared" si="791"/>
        <v>0</v>
      </c>
      <c r="BN655" s="542">
        <f t="shared" si="792"/>
        <v>-7221.3291041283519</v>
      </c>
    </row>
    <row r="656" spans="1:66" ht="19.5" customHeight="1">
      <c r="A656" s="180"/>
      <c r="E656" s="180"/>
      <c r="F656" s="180"/>
      <c r="L656" s="180"/>
      <c r="M656" s="180"/>
      <c r="N656" s="180"/>
      <c r="O656" s="180"/>
      <c r="P656" s="180"/>
      <c r="V656" s="180"/>
      <c r="W656" s="180"/>
      <c r="BA656" s="180"/>
      <c r="BC656" s="180"/>
      <c r="BE656" s="180"/>
      <c r="BH656" s="180"/>
      <c r="BJ656" s="180"/>
      <c r="BL656" s="180"/>
      <c r="BN656" s="180"/>
    </row>
    <row r="657" spans="1:66" ht="19.5" customHeight="1">
      <c r="A657" s="167" t="s">
        <v>601</v>
      </c>
      <c r="B657" s="168" t="s">
        <v>45</v>
      </c>
      <c r="C657" s="168" t="s">
        <v>367</v>
      </c>
      <c r="D657" s="168" t="s">
        <v>368</v>
      </c>
      <c r="E657" s="171">
        <v>46073</v>
      </c>
      <c r="F657" s="171" t="s">
        <v>627</v>
      </c>
      <c r="G657" s="168" t="s">
        <v>45</v>
      </c>
      <c r="H657" s="168" t="s">
        <v>412</v>
      </c>
      <c r="I657" s="169"/>
      <c r="J657" s="170">
        <f t="shared" ref="J657" si="793">IF(I657="",AR657,I657)</f>
        <v>-308701.28851533303</v>
      </c>
      <c r="K657" s="168" t="s">
        <v>5</v>
      </c>
      <c r="L657" s="171" t="s">
        <v>511</v>
      </c>
      <c r="M657" s="168" t="s">
        <v>49</v>
      </c>
      <c r="O657" s="168" t="s">
        <v>39</v>
      </c>
      <c r="P657" s="168" t="s">
        <v>417</v>
      </c>
      <c r="Q657" s="169">
        <v>23836429</v>
      </c>
      <c r="R657" s="170">
        <f>IF(Q657="",AS657,Q657)</f>
        <v>23836429</v>
      </c>
      <c r="S657" s="168" t="s">
        <v>9</v>
      </c>
      <c r="T657" s="171" t="s">
        <v>414</v>
      </c>
      <c r="U657" s="168" t="s">
        <v>25</v>
      </c>
      <c r="W657" s="172" t="s">
        <v>375</v>
      </c>
      <c r="X657" s="173">
        <f>IF(Y657="",VLOOKUP(H657,CLIENTS!$A$1:$O$649,5,FALSE),Y657)</f>
        <v>0</v>
      </c>
      <c r="Y657" s="174">
        <v>0</v>
      </c>
      <c r="Z657" s="173">
        <f>IF(AA657="",VLOOKUP(P657,CLIENTS!$A$1:$O$649,5,FALSE),AA657)</f>
        <v>4.5575418979892923E-4</v>
      </c>
      <c r="AA657" s="174">
        <v>4.5575418979892923E-4</v>
      </c>
      <c r="AB657" s="173" t="str">
        <f>IF(W657="via USD",IF(K657="EUR",K657&amp;"USD","USD"&amp;K657),IFERROR(VLOOKUP(K657&amp;S657,'FX RATES'!$H$2:$H$20,1,FALSE),S657&amp;K657))</f>
        <v>USDUSD</v>
      </c>
      <c r="AC657" s="175">
        <f>IF(LEFT(AB657,3)=RIGHT(AB657,3),0,IFERROR(INDEX(CLIENTS!$A$1:$O$649,MATCH(H657,CLIENTS!$A$1:$A$649,0),MATCH(AB657,CLIENTS!$A$1:$O$1,0)),0))</f>
        <v>0</v>
      </c>
      <c r="AD657" s="176"/>
      <c r="AE657" s="177">
        <f t="shared" ref="AE657" si="794">IF(W657="CLIENT","",IF(AD657="",AH657+AC657,AD657+AC657))</f>
        <v>1</v>
      </c>
      <c r="AF657" s="177" t="str">
        <f t="shared" ref="AF657" si="795">E657&amp;AB657</f>
        <v>46073USDUSD</v>
      </c>
      <c r="AG657" s="176"/>
      <c r="AH657" s="178">
        <f>IF(LEFT(AB657,3)=RIGHT(AB657,3),1,VLOOKUP(AB657,'FX RATES'!$H$1:$I$20,2,FALSE))</f>
        <v>1</v>
      </c>
      <c r="AI657" s="178">
        <f>IF(OR(AB657="USDAED",LEFT(AB657,3)=RIGHT(AB657,3)),AH657,IF(LEFT(AB657)="USD",AG657,IF(RIGHT(AB657,3)="USD",1,IFERROR(VLOOKUP(E657&amp;"USD"&amp;RIGHT(AB657,3),$AF:$AG,2,FALSE),VLOOKUP(E657&amp;"USD"&amp;RIGHT(AJ657,3),$AN:$AO,2,FALSE)))))</f>
        <v>1</v>
      </c>
      <c r="AJ657" s="173" t="str">
        <f>IF(W657="via USD",IF(S657="EUR",S657&amp;"USD","USD"&amp;S657),IFERROR(VLOOKUP(K657&amp;S657,'FX RATES'!$H$2:$H$20,1,FALSE),S657&amp;K657))</f>
        <v>USDRUB</v>
      </c>
      <c r="AK657" s="175">
        <f>IF(LEFT(AJ657,3)=RIGHT(AJ657,3),0,IFERROR(INDEX(CLIENTS!$A$1:$O$649,MATCH(P657,CLIENTS!$A$1:$A$649,0),MATCH(AJ657,CLIENTS!$A$1:$O$1,0)),0))</f>
        <v>0</v>
      </c>
      <c r="AL657" s="176">
        <v>77.180000000000007</v>
      </c>
      <c r="AM657" s="177">
        <f t="shared" ref="AM657" si="796">IF(W657="VENDOR","",IF(AL657="",AP657+AK657,AL657+AK657))</f>
        <v>77.180000000000007</v>
      </c>
      <c r="AN657" s="177" t="str">
        <f t="shared" ref="AN657" si="797">E657&amp;AJ657</f>
        <v>46073USDRUB</v>
      </c>
      <c r="AO657" s="176">
        <v>76.599999999999994</v>
      </c>
      <c r="AP657" s="178">
        <f ca="1">IF(LEFT(AJ657,3)=RIGHT(AJ657,3),1,VLOOKUP(AJ657,'FX RATES'!$H$1:$I$20,2,FALSE))</f>
        <v>76.720500000000001</v>
      </c>
      <c r="AQ657" s="178">
        <f>IF(OR(AJ657="USDAED",LEFT(AJ657,3)=RIGHT(AJ657,3)),AP657,IF(LEFT(AJ657)="USD",AO657,IF(RIGHT(AJ657,3)="USD",1,IFERROR(VLOOKUP(E657&amp;"USD"&amp;RIGHT(AJ657,3),$AN:$AO,2,FALSE),VLOOKUP(E657&amp;"USD"&amp;RIGHT(AB657,3),$AF:$AG,2,FALSE)))))</f>
        <v>76.599999999999994</v>
      </c>
      <c r="AR657" s="179">
        <f>-Q657*(1-Z657)/(1+X657)*IF(W657="CLIENT",IF(S657=RIGHT(AJ657,3),1/AM657,AM657),IF(W657="VENDOR",IF(S657=RIGHT(AJ657,3),1/AE657,AE657),AE657^(VLOOKUP(AB657,'FX RATES'!$H$1:$J$26,3,FALSE))/AM657^(VLOOKUP(AJ657,'FX RATES'!$H$1:$J$26,3,FALSE))))</f>
        <v>-308701.28851533303</v>
      </c>
      <c r="AS657" s="179">
        <f>-I657*(1+X657)/(1-Z657)*IF(W657="VENDOR",IF(K657=RIGHT(AB657,3),1/AE657,AE657),IF(W657="CLIENT",IF(K657=RIGHT(AB657,3),1/AM657,AM657),AM657^(VLOOKUP(AJ657,'FX RATES'!$H$1:$J$26,3,FALSE))/AE657^(VLOOKUP(AB657,'FX RATES'!$H$1:$J$26,3,FALSE))))</f>
        <v>0</v>
      </c>
      <c r="AT657" s="170">
        <f>IF(AB657&lt;&gt;AJ657,J657/IF(K657=RIGHT(AB657,3),AE657,1/AE657),IF(S657="USD",J657/IF(K657=RIGHT(AB657,3),IF(W657="CLIENT",AM657,AE657),1/IF(W657="CLIENT",AM657,AE657)),J657*VLOOKUP(K657,'FX RATES'!$E$1:$F$10,2,FALSE)))</f>
        <v>-308701.28851533303</v>
      </c>
      <c r="AU657" s="170">
        <f>IF(AB657&lt;&gt;AJ657,R657/IF(S657=RIGHT(AJ657,3),AM657,1/AM657),IF(K657="USD",R657/IF(S657=RIGHT(AJ657,3),IF(W657="CLIENT",AM657,AE657),1/IF(W657="CLIENT",AM657,AE657)),R657*VLOOKUP(S657,'FX RATES'!$E$1:$F$10,2,FALSE)))</f>
        <v>308842.0445711324</v>
      </c>
      <c r="AV657" s="170">
        <f t="shared" ref="AV657" si="798">AT657+AU657</f>
        <v>140.7560557993711</v>
      </c>
      <c r="AW657" s="169"/>
      <c r="AX657" s="170">
        <f t="shared" ref="AX657" si="799">IF(AND(ISERROR(SEARCH("INVOICE",T657)),ISERROR(SEARCH("SWITCH",T657)),ISERROR(SEARCH("FOREX",T657)),ISERROR(SEARCH("REFUND",A657)),ISERROR(SEARCH("CANCELLED",A657))),IF(AW657="",-AT657*X657+AU657*Z657,AW657),0)</f>
        <v>140.75605579936123</v>
      </c>
      <c r="AY657" s="170">
        <f t="shared" ref="AY657" si="800">IF(AZ657="USD",AT657,IF(AZ657=K657,J657,-R657))</f>
        <v>-308701.28851533303</v>
      </c>
      <c r="AZ657" s="170" t="str">
        <f t="shared" ref="AZ657" si="801">LEFT(AB657,3)</f>
        <v>USD</v>
      </c>
      <c r="BA657" s="542">
        <f>IF(OR(A657="REFUND",A657="CANCELLED"),0,IFERROR((IF(OR(AB657="USDAED",LEFT(AB657,3)=RIGHT(AB657,3)),AI657,AG657)-AE657)*-AY657*VLOOKUP(AB657,'FX RATES'!$H$1:$J$26,3,FALSE),0))</f>
        <v>0</v>
      </c>
      <c r="BB657" s="170" t="str">
        <f t="shared" ref="BB657" si="802">RIGHT(AB657,3)</f>
        <v>USD</v>
      </c>
      <c r="BC657" s="542">
        <f t="shared" ref="BC657" si="803">IF(BA657=0,0,IFERROR(BA657/IF(BB657&lt;&gt;"USD",AI657,1),"???"))</f>
        <v>0</v>
      </c>
      <c r="BD657" s="170">
        <f t="shared" ref="BD657" si="804">IFERROR(-AC657/(IF(OR(AB657="USDAED",LEFT(AB657,3)=RIGHT(AB657,3)),AH657,AG657)-AE657)*BC657,0)</f>
        <v>0</v>
      </c>
      <c r="BE657" s="542">
        <f t="shared" ref="BE657" si="805">BC657-BD657</f>
        <v>0</v>
      </c>
      <c r="BF657" s="170">
        <f t="shared" ref="BF657" si="806">IF(BG657="USD",AU657,IF(BG657=S657,R657,-J657))</f>
        <v>308842.0445711324</v>
      </c>
      <c r="BG657" s="170" t="str">
        <f t="shared" ref="BG657" si="807">LEFT(AJ657,3)</f>
        <v>USD</v>
      </c>
      <c r="BH657" s="542">
        <f>IF(OR(A657="REFUND",A657="CANCELLED"),0,IFERROR((IF(OR(AJ657="USDAED",LEFT(AJ657,3)=RIGHT(AJ657,3)),AQ657,AO657)-AM657)*-BF657*VLOOKUP(AJ657,'FX RATES'!$H$1:$J$26,3,FALSE),0))</f>
        <v>179128.38585126065</v>
      </c>
      <c r="BI657" s="170" t="str">
        <f t="shared" ref="BI657" si="808">RIGHT(AJ657,3)</f>
        <v>RUB</v>
      </c>
      <c r="BJ657" s="542">
        <f t="shared" ref="BJ657" si="809">IF(BH657=0,0,IFERROR(BH657/IF(BI657&lt;&gt;"USD",AQ657,1),"???"))</f>
        <v>2338.4906769094082</v>
      </c>
      <c r="BK657" s="170">
        <f t="shared" ref="BK657" si="810">IFERROR(-AK657/(IF(OR(AJ657="USDAED",LEFT(AJ657,3)=RIGHT(AJ657,3)),AP657,AO657)-AM657)*BJ657,0)</f>
        <v>0</v>
      </c>
      <c r="BL657" s="542">
        <f t="shared" ref="BL657" si="811">BJ657-BK657</f>
        <v>2338.4906769094082</v>
      </c>
      <c r="BM657" s="170">
        <f t="shared" ref="BM657" si="812">IF(AND(ISERROR(SEARCH("REFUND",A657)),ISERROR(SEARCH("CANCELLED",A657))),BD657+BK657,0)</f>
        <v>0</v>
      </c>
      <c r="BN657" s="542">
        <f t="shared" ref="BN657" si="813">IF(AND(ISERROR(SEARCH("REFUND",A657)),ISERROR(SEARCH("CANCELLED",A657))),BE657+BL657,0)</f>
        <v>2338.4906769094082</v>
      </c>
    </row>
    <row r="658" spans="1:66" ht="19.5" customHeight="1">
      <c r="A658" s="167" t="s">
        <v>601</v>
      </c>
      <c r="B658" s="168" t="s">
        <v>39</v>
      </c>
      <c r="C658" s="168" t="s">
        <v>367</v>
      </c>
      <c r="D658" s="168" t="s">
        <v>368</v>
      </c>
      <c r="E658" s="171">
        <v>46073</v>
      </c>
      <c r="F658" s="171" t="s">
        <v>627</v>
      </c>
      <c r="G658" s="168" t="s">
        <v>39</v>
      </c>
      <c r="H658" s="168" t="s">
        <v>417</v>
      </c>
      <c r="I658" s="169"/>
      <c r="J658" s="170">
        <f>IF(I658="",AR658,I658)</f>
        <v>-1133602.27890254</v>
      </c>
      <c r="K658" s="168" t="s">
        <v>8</v>
      </c>
      <c r="L658" s="171" t="s">
        <v>16</v>
      </c>
      <c r="M658" s="168" t="s">
        <v>17</v>
      </c>
      <c r="O658" s="168" t="s">
        <v>39</v>
      </c>
      <c r="P658" s="168" t="s">
        <v>417</v>
      </c>
      <c r="Q658" s="169">
        <v>23850495</v>
      </c>
      <c r="R658" s="170">
        <f>IF(Q658="",AS658,Q658)</f>
        <v>23850495</v>
      </c>
      <c r="S658" s="168" t="s">
        <v>9</v>
      </c>
      <c r="T658" s="171" t="s">
        <v>414</v>
      </c>
      <c r="U658" s="168" t="s">
        <v>25</v>
      </c>
      <c r="W658" s="172" t="s">
        <v>375</v>
      </c>
      <c r="X658" s="173">
        <f>IF(Y658="",VLOOKUP(H658,CLIENTS!$A$1:$O$649,5,FALSE),Y658)</f>
        <v>0</v>
      </c>
      <c r="Y658" s="174">
        <v>0</v>
      </c>
      <c r="Z658" s="173">
        <f>IF(AA658="",VLOOKUP(P658,CLIENTS!$A$1:$O$649,5,FALSE),AA658)</f>
        <v>4.5575418980003946E-4</v>
      </c>
      <c r="AA658" s="174">
        <v>4.5575418980003946E-4</v>
      </c>
      <c r="AB658" s="173" t="str">
        <f>IF(W658="via USD",IF(K658="EUR",K658&amp;"USD","USD"&amp;K658),IFERROR(VLOOKUP(K658&amp;S658,'FX RATES'!$H$2:$H$20,1,FALSE),S658&amp;K658))</f>
        <v>USDAED</v>
      </c>
      <c r="AC658" s="175">
        <f>IF(LEFT(AB658,3)=RIGHT(AB658,3),0,IFERROR(INDEX(CLIENTS!$A$1:$O$649,MATCH(H658,CLIENTS!$A$1:$A$649,0),MATCH(AB658,CLIENTS!$A$1:$O$1,0)),0))</f>
        <v>0</v>
      </c>
      <c r="AD658" s="176">
        <v>3.67</v>
      </c>
      <c r="AE658" s="177">
        <f>IF(W658="CLIENT","",IF(AD658="",AH658+AC658,AD658+AC658))</f>
        <v>3.67</v>
      </c>
      <c r="AF658" s="177" t="str">
        <f>E658&amp;AB658</f>
        <v>46073USDAED</v>
      </c>
      <c r="AG658" s="176"/>
      <c r="AH658" s="178">
        <f>IF(LEFT(AB658,3)=RIGHT(AB658,3),1,VLOOKUP(AB658,'FX RATES'!$H$1:$I$20,2,FALSE))</f>
        <v>3.6724999999999999</v>
      </c>
      <c r="AI658" s="178">
        <f>IF(OR(AB658="USDAED",LEFT(AB658,3)=RIGHT(AB658,3)),AH658,IF(LEFT(AB658)="USD",AG658,IF(RIGHT(AB658,3)="USD",1,IFERROR(VLOOKUP(E658&amp;"USD"&amp;RIGHT(AB658,3),$AF:$AG,2,FALSE),VLOOKUP(E658&amp;"USD"&amp;RIGHT(AJ658,3),$AN:$AO,2,FALSE)))))</f>
        <v>3.6724999999999999</v>
      </c>
      <c r="AJ658" s="173" t="str">
        <f>IF(W658="via USD",IF(S658="EUR",S658&amp;"USD","USD"&amp;S658),IFERROR(VLOOKUP(K658&amp;S658,'FX RATES'!$H$2:$H$20,1,FALSE),S658&amp;K658))</f>
        <v>USDRUB</v>
      </c>
      <c r="AK658" s="175">
        <f>IF(LEFT(AJ658,3)=RIGHT(AJ658,3),0,IFERROR(INDEX(CLIENTS!$A$1:$O$649,MATCH(P658,CLIENTS!$A$1:$A$649,0),MATCH(AJ658,CLIENTS!$A$1:$O$1,0)),0))</f>
        <v>0</v>
      </c>
      <c r="AL658" s="176">
        <v>77.180000000000007</v>
      </c>
      <c r="AM658" s="177">
        <f>IF(W658="VENDOR","",IF(AL658="",AP658+AK658,AL658+AK658))</f>
        <v>77.180000000000007</v>
      </c>
      <c r="AN658" s="177" t="str">
        <f>E658&amp;AJ658</f>
        <v>46073USDRUB</v>
      </c>
      <c r="AO658" s="176">
        <v>76.599999999999994</v>
      </c>
      <c r="AP658" s="178">
        <f ca="1">IF(LEFT(AJ658,3)=RIGHT(AJ658,3),1,VLOOKUP(AJ658,'FX RATES'!$H$1:$I$20,2,FALSE))</f>
        <v>76.720500000000001</v>
      </c>
      <c r="AQ658" s="178">
        <f>IF(OR(AJ658="USDAED",LEFT(AJ658,3)=RIGHT(AJ658,3)),AP658,IF(LEFT(AJ658)="USD",AO658,IF(RIGHT(AJ658,3)="USD",1,IFERROR(VLOOKUP(E658&amp;"USD"&amp;RIGHT(AJ658,3),$AN:$AO,2,FALSE),VLOOKUP(E658&amp;"USD"&amp;RIGHT(AB658,3),$AF:$AG,2,FALSE)))))</f>
        <v>76.599999999999994</v>
      </c>
      <c r="AR658" s="179">
        <f>-Q658*(1-Z658)/(1+X658)*IF(W658="CLIENT",IF(S658=RIGHT(AJ658,3),1/AM658,AM658),IF(W658="VENDOR",IF(S658=RIGHT(AJ658,3),1/AE658,AE658),AE658^(VLOOKUP(AB658,'FX RATES'!$H$1:$J$26,3,FALSE))/AM658^(VLOOKUP(AJ658,'FX RATES'!$H$1:$J$26,3,FALSE))))</f>
        <v>-1133602.27890254</v>
      </c>
      <c r="AS658" s="179">
        <f>-I658*(1+X658)/(1-Z658)*IF(W658="VENDOR",IF(K658=RIGHT(AB658,3),1/AE658,AE658),IF(W658="CLIENT",IF(K658=RIGHT(AB658,3),1/AM658,AM658),AM658^(VLOOKUP(AJ658,'FX RATES'!$H$1:$J$26,3,FALSE))/AE658^(VLOOKUP(AB658,'FX RATES'!$H$1:$J$26,3,FALSE))))</f>
        <v>0</v>
      </c>
      <c r="AT658" s="170">
        <f>IF(AB658&lt;&gt;AJ658,J658/IF(K658=RIGHT(AB658,3),AE658,1/AE658),IF(S658="USD",J658/IF(K658=RIGHT(AB658,3),IF(W658="CLIENT",AM658,AE658),1/IF(W658="CLIENT",AM658,AE658)),J658*VLOOKUP(K658,'FX RATES'!$E$1:$F$10,2,FALSE)))</f>
        <v>-308883.45474183653</v>
      </c>
      <c r="AU658" s="170">
        <f>IF(AB658&lt;&gt;AJ658,R658/IF(S658=RIGHT(AJ658,3),AM658,1/AM658),IF(K658="USD",R658/IF(S658=RIGHT(AJ658,3),IF(W658="CLIENT",AM658,AE658),1/IF(W658="CLIENT",AM658,AE658)),R658*VLOOKUP(S658,'FX RATES'!$E$1:$F$10,2,FALSE)))</f>
        <v>309024.29385851254</v>
      </c>
      <c r="AV658" s="170">
        <f>AT658+AU658</f>
        <v>140.83911667601205</v>
      </c>
      <c r="AW658" s="169"/>
      <c r="AX658" s="170">
        <f>IF(AND(ISERROR(SEARCH("INVOICE",T658)),ISERROR(SEARCH("SWITCH",T658)),ISERROR(SEARCH("FOREX",T658)),ISERROR(SEARCH("REFUND",A658)),ISERROR(SEARCH("CANCELLED",A658))),IF(AW658="",-AT658*X658+AU658*Z658,AW658),0)</f>
        <v>140.83911667601569</v>
      </c>
      <c r="AY658" s="170">
        <f>IF(AZ658="USD",AT658,IF(AZ658=K658,J658,-R658))</f>
        <v>-308883.45474183653</v>
      </c>
      <c r="AZ658" s="170" t="str">
        <f>LEFT(AB658,3)</f>
        <v>USD</v>
      </c>
      <c r="BA658" s="542">
        <f>IF(OR(A658="REFUND",A658="CANCELLED"),0,IFERROR((IF(OR(AB658="USDAED",LEFT(AB658,3)=RIGHT(AB658,3)),AI658,AG658)-AE658)*-AY658*VLOOKUP(AB658,'FX RATES'!$H$1:$J$26,3,FALSE),0))</f>
        <v>772.20863685457482</v>
      </c>
      <c r="BB658" s="170" t="str">
        <f>RIGHT(AB658,3)</f>
        <v>AED</v>
      </c>
      <c r="BC658" s="542">
        <f>IF(BA658=0,0,IFERROR(BA658/IF(BB658&lt;&gt;"USD",AI658,1),"???"))</f>
        <v>210.26783849001356</v>
      </c>
      <c r="BD658" s="170">
        <f>IFERROR(-AC658/(IF(OR(AB658="USDAED",LEFT(AB658,3)=RIGHT(AB658,3)),AH658,AG658)-AE658)*BC658,0)</f>
        <v>0</v>
      </c>
      <c r="BE658" s="542">
        <f>BC658-BD658</f>
        <v>210.26783849001356</v>
      </c>
      <c r="BF658" s="170">
        <f>IF(BG658="USD",AU658,IF(BG658=S658,R658,-J658))</f>
        <v>309024.29385851254</v>
      </c>
      <c r="BG658" s="170" t="str">
        <f>LEFT(AJ658,3)</f>
        <v>USD</v>
      </c>
      <c r="BH658" s="542">
        <f>IF(OR(A658="REFUND",A658="CANCELLED"),0,IFERROR((IF(OR(AJ658="USDAED",LEFT(AJ658,3)=RIGHT(AJ658,3)),AQ658,AO658)-AM658)*-BF658*VLOOKUP(AJ658,'FX RATES'!$H$1:$J$26,3,FALSE),0))</f>
        <v>179234.09043794114</v>
      </c>
      <c r="BI658" s="170" t="str">
        <f>RIGHT(AJ658,3)</f>
        <v>RUB</v>
      </c>
      <c r="BJ658" s="542">
        <f>IF(BH658=0,0,IFERROR(BH658/IF(BI658&lt;&gt;"USD",AQ658,1),"???"))</f>
        <v>2339.870632349101</v>
      </c>
      <c r="BK658" s="170">
        <f>IFERROR(-AK658/(IF(OR(AJ658="USDAED",LEFT(AJ658,3)=RIGHT(AJ658,3)),AP658,AO658)-AM658)*BJ658,0)</f>
        <v>0</v>
      </c>
      <c r="BL658" s="542">
        <f>BJ658-BK658</f>
        <v>2339.870632349101</v>
      </c>
      <c r="BM658" s="170">
        <f>IF(AND(ISERROR(SEARCH("REFUND",A658)),ISERROR(SEARCH("CANCELLED",A658))),BD658+BK658,0)</f>
        <v>0</v>
      </c>
      <c r="BN658" s="542">
        <f>IF(AND(ISERROR(SEARCH("REFUND",A658)),ISERROR(SEARCH("CANCELLED",A658))),BE658+BL658,0)</f>
        <v>2550.1384708391147</v>
      </c>
    </row>
    <row r="659" spans="1:66" ht="19.5" customHeight="1">
      <c r="A659" s="167" t="s">
        <v>601</v>
      </c>
      <c r="B659" s="168" t="s">
        <v>39</v>
      </c>
      <c r="C659" s="168" t="s">
        <v>383</v>
      </c>
      <c r="D659" s="168" t="s">
        <v>128</v>
      </c>
      <c r="E659" s="171">
        <v>46073</v>
      </c>
      <c r="F659" s="171" t="s">
        <v>627</v>
      </c>
      <c r="G659" s="168" t="s">
        <v>39</v>
      </c>
      <c r="H659" s="168" t="s">
        <v>384</v>
      </c>
      <c r="I659" s="169">
        <f>-47686000</f>
        <v>-47686000</v>
      </c>
      <c r="J659" s="170">
        <f>IF(I659="",AR659,I659)</f>
        <v>-47686000</v>
      </c>
      <c r="K659" s="168" t="s">
        <v>9</v>
      </c>
      <c r="L659" s="171" t="s">
        <v>374</v>
      </c>
      <c r="M659" s="168" t="s">
        <v>374</v>
      </c>
      <c r="O659" s="168" t="s">
        <v>39</v>
      </c>
      <c r="P659" s="349" t="s">
        <v>384</v>
      </c>
      <c r="Q659" s="169"/>
      <c r="R659" s="170">
        <f>IF(Q659="",AS659,Q659)</f>
        <v>2269141.0896978346</v>
      </c>
      <c r="S659" s="168" t="s">
        <v>8</v>
      </c>
      <c r="T659" s="171" t="s">
        <v>385</v>
      </c>
      <c r="U659" s="168" t="s">
        <v>20</v>
      </c>
      <c r="W659" s="172" t="s">
        <v>382</v>
      </c>
      <c r="X659" s="173">
        <f>IF(Y659="",VLOOKUP(H659,CLIENTS!$A$1:$O$649,5,FALSE),Y659)</f>
        <v>0</v>
      </c>
      <c r="Y659" s="174">
        <v>0</v>
      </c>
      <c r="Z659" s="173">
        <f>IF(AA659="",VLOOKUP(P659,CLIENTS!$A$1:$O$649,5,FALSE),AA659)</f>
        <v>0</v>
      </c>
      <c r="AA659" s="174">
        <v>0</v>
      </c>
      <c r="AB659" s="173" t="str">
        <f>IF(W659="via USD",IF(K659="EUR",K659&amp;"USD","USD"&amp;K659),IFERROR(VLOOKUP(K659&amp;S659,'FX RATES'!$H$2:$H$20,1,FALSE),S659&amp;K659))</f>
        <v>AEDRUB</v>
      </c>
      <c r="AC659" s="175">
        <f>IF(LEFT(AB659,3)=RIGHT(AB659,3),0,IFERROR(INDEX(CLIENTS!$A$1:$O$649,MATCH(H659,CLIENTS!$A$1:$A$649,0),MATCH(AB659,CLIENTS!$A$1:$O$1,0)),0))</f>
        <v>0</v>
      </c>
      <c r="AD659" s="176">
        <v>21.015000000000001</v>
      </c>
      <c r="AE659" s="177">
        <f>IF(W659="CLIENT","",IF(AD659="",AH659+AC659,AD659+AC659))</f>
        <v>21.015000000000001</v>
      </c>
      <c r="AF659" s="177" t="str">
        <f>E659&amp;AB659</f>
        <v>46073AEDRUB</v>
      </c>
      <c r="AG659" s="176">
        <v>20.857700000000001</v>
      </c>
      <c r="AH659" s="178">
        <f ca="1">IF(LEFT(AB659,3)=RIGHT(AB659,3),1,VLOOKUP(AB659,'FX RATES'!$H$1:$I$20,2,FALSE))</f>
        <v>20.8843</v>
      </c>
      <c r="AI659" s="178">
        <f>IF(OR(AB659="USDAED",LEFT(AB659,3)=RIGHT(AB659,3)),AH659,IF(LEFT(AB659)="USD",AG659,IF(RIGHT(AB659,3)="USD",1,IFERROR(VLOOKUP(E659&amp;"USD"&amp;RIGHT(AB659,3),$AF:$AG,2,FALSE),VLOOKUP(E659&amp;"USD"&amp;RIGHT(AJ659,3),$AN:$AO,2,FALSE)))))</f>
        <v>76.599999999999994</v>
      </c>
      <c r="AJ659" s="173" t="str">
        <f>IF(W659="via USD",IF(S659="EUR",S659&amp;"USD","USD"&amp;S659),IFERROR(VLOOKUP(K659&amp;S659,'FX RATES'!$H$2:$H$20,1,FALSE),S659&amp;K659))</f>
        <v>AEDRUB</v>
      </c>
      <c r="AK659" s="175">
        <f>IF(LEFT(AJ659,3)=RIGHT(AJ659,3),0,IFERROR(INDEX(CLIENTS!$A$1:$O$649,MATCH(P659,CLIENTS!$A$1:$A$649,0),MATCH(AJ659,CLIENTS!$A$1:$O$1,0)),0))</f>
        <v>0</v>
      </c>
      <c r="AL659" s="176"/>
      <c r="AM659" s="177" t="str">
        <f>IF(W659="VENDOR","",IF(AL659="",AP659+AK659,AL659+AK659))</f>
        <v/>
      </c>
      <c r="AN659" s="177" t="str">
        <f>E659&amp;AJ659</f>
        <v>46073AEDRUB</v>
      </c>
      <c r="AO659" s="176"/>
      <c r="AP659" s="178">
        <f ca="1">IF(LEFT(AJ659,3)=RIGHT(AJ659,3),1,VLOOKUP(AJ659,'FX RATES'!$H$1:$I$20,2,FALSE))</f>
        <v>20.8843</v>
      </c>
      <c r="AQ659" s="178">
        <f>IF(OR(AJ659="USDAED",LEFT(AJ659,3)=RIGHT(AJ659,3)),AP659,IF(LEFT(AJ659)="USD",AO659,IF(RIGHT(AJ659,3)="USD",1,IFERROR(VLOOKUP(E659&amp;"USD"&amp;RIGHT(AJ659,3),$AN:$AO,2,FALSE),VLOOKUP(E659&amp;"USD"&amp;RIGHT(AB659,3),$AF:$AG,2,FALSE)))))</f>
        <v>76.599999999999994</v>
      </c>
      <c r="AR659" s="179">
        <f>-Q659*(1-Z659)/(1+X659)*IF(W659="CLIENT",IF(S659=RIGHT(AJ659,3),1/AM659,AM659),IF(W659="VENDOR",IF(S659=RIGHT(AJ659,3),1/AE659,AE659),AE659^(VLOOKUP(AB659,'FX RATES'!$H$1:$J$26,3,FALSE))/AM659^(VLOOKUP(AJ659,'FX RATES'!$H$1:$J$26,3,FALSE))))</f>
        <v>0</v>
      </c>
      <c r="AS659" s="179">
        <f>-I659*(1+X659)/(1-Z659)*IF(W659="VENDOR",IF(K659=RIGHT(AB659,3),1/AE659,AE659),IF(W659="CLIENT",IF(K659=RIGHT(AB659,3),1/AM659,AM659),AM659^(VLOOKUP(AJ659,'FX RATES'!$H$1:$J$26,3,FALSE))/AE659^(VLOOKUP(AB659,'FX RATES'!$H$1:$J$26,3,FALSE))))</f>
        <v>2269141.0896978346</v>
      </c>
      <c r="AT659" s="170">
        <f ca="1">IF(AB659&lt;&gt;AJ659,J659/IF(K659=RIGHT(AB659,3),AE659,1/AE659),IF(S659="USD",J659/IF(K659=RIGHT(AB659,3),IF(W659="CLIENT",AM659,AE659),1/IF(W659="CLIENT",AM659,AE659)),J659*VLOOKUP(K659,'FX RATES'!$E$1:$F$10,2,FALSE)))</f>
        <v>-621554.86473628297</v>
      </c>
      <c r="AU659" s="170">
        <f ca="1">IF(AB659&lt;&gt;AJ659,R659/IF(S659=RIGHT(AJ659,3),AM659,1/AM659),IF(K659="USD",R659/IF(S659=RIGHT(AJ659,3),IF(W659="CLIENT",AM659,AE659),1/IF(W659="CLIENT",AM659,AE659)),R659*VLOOKUP(S659,'FX RATES'!$E$1:$F$10,2,FALSE)))</f>
        <v>617856.85609590879</v>
      </c>
      <c r="AV659" s="170">
        <f ca="1">AT659+AU659</f>
        <v>-3698.0086403741734</v>
      </c>
      <c r="AW659" s="169"/>
      <c r="AX659" s="170">
        <f ca="1">IF(AND(ISERROR(SEARCH("INVOICE",T659)),ISERROR(SEARCH("SWITCH",T659)),ISERROR(SEARCH("FOREX",T659)),ISERROR(SEARCH("REFUND",A659)),ISERROR(SEARCH("CANCELLED",A659))),IF(AW659="",-AT659*X659+AU659*Z659,AW659),0)</f>
        <v>0</v>
      </c>
      <c r="AY659" s="170">
        <f>IF(AZ659="USD",AT659,IF(AZ659=K659,J659,-R659))</f>
        <v>-2269141.0896978346</v>
      </c>
      <c r="AZ659" s="170" t="str">
        <f>LEFT(AB659,3)</f>
        <v>AED</v>
      </c>
      <c r="BA659" s="542">
        <f>IF(OR(A659="REFUND",A659="CANCELLED"),0,IFERROR((IF(OR(AB659="USDAED",LEFT(AB659,3)=RIGHT(AB659,3)),AI659,AG659)-AE659)*-AY659*VLOOKUP(AB659,'FX RATES'!$H$1:$J$26,3,FALSE),0))</f>
        <v>-356935.89340946788</v>
      </c>
      <c r="BB659" s="170" t="str">
        <f>RIGHT(AB659,3)</f>
        <v>RUB</v>
      </c>
      <c r="BC659" s="542">
        <f>IF(BA659=0,0,IFERROR(BA659/IF(BB659&lt;&gt;"USD",AI659,1),"???"))</f>
        <v>-4659.7375118729497</v>
      </c>
      <c r="BD659" s="170">
        <f>IFERROR(-AC659/(IF(OR(AB659="USDAED",LEFT(AB659,3)=RIGHT(AB659,3)),AH659,AG659)-AE659)*BC659,0)</f>
        <v>0</v>
      </c>
      <c r="BE659" s="542">
        <f>BC659-BD659</f>
        <v>-4659.7375118729497</v>
      </c>
      <c r="BF659" s="170">
        <f>IF(BG659="USD",AU659,IF(BG659=S659,R659,-J659))</f>
        <v>2269141.0896978346</v>
      </c>
      <c r="BG659" s="170" t="str">
        <f>LEFT(AJ659,3)</f>
        <v>AED</v>
      </c>
      <c r="BH659" s="542">
        <f>IF(OR(A659="REFUND",A659="CANCELLED"),0,IFERROR((IF(OR(AJ659="USDAED",LEFT(AJ659,3)=RIGHT(AJ659,3)),AQ659,AO659)-AM659)*-BF659*VLOOKUP(AJ659,'FX RATES'!$H$1:$J$26,3,FALSE),0))</f>
        <v>0</v>
      </c>
      <c r="BI659" s="170" t="str">
        <f>RIGHT(AJ659,3)</f>
        <v>RUB</v>
      </c>
      <c r="BJ659" s="542">
        <f>IF(BH659=0,0,IFERROR(BH659/IF(BI659&lt;&gt;"USD",AQ659,1),"???"))</f>
        <v>0</v>
      </c>
      <c r="BK659" s="170">
        <f>IFERROR(-AK659/(IF(OR(AJ659="USDAED",LEFT(AJ659,3)=RIGHT(AJ659,3)),AP659,AO659)-AM659)*BJ659,0)</f>
        <v>0</v>
      </c>
      <c r="BL659" s="542">
        <f>BJ659-BK659</f>
        <v>0</v>
      </c>
      <c r="BM659" s="170">
        <f>IF(AND(ISERROR(SEARCH("REFUND",A659)),ISERROR(SEARCH("CANCELLED",A659))),BD659+BK659,0)</f>
        <v>0</v>
      </c>
      <c r="BN659" s="542">
        <f>IF(AND(ISERROR(SEARCH("REFUND",A659)),ISERROR(SEARCH("CANCELLED",A659))),BE659+BL659,0)</f>
        <v>-4659.7375118729497</v>
      </c>
    </row>
    <row r="660" spans="1:66" ht="19.5" customHeight="1">
      <c r="A660" s="180"/>
      <c r="E660" s="180"/>
      <c r="F660" s="180"/>
      <c r="L660" s="180"/>
      <c r="M660" s="180"/>
      <c r="N660" s="180"/>
      <c r="O660" s="180"/>
      <c r="P660" s="180"/>
      <c r="V660" s="180"/>
      <c r="W660" s="180"/>
      <c r="BA660" s="180"/>
      <c r="BC660" s="180"/>
      <c r="BE660" s="180"/>
      <c r="BH660" s="180"/>
      <c r="BJ660" s="180"/>
      <c r="BL660" s="180"/>
      <c r="BN660" s="180"/>
    </row>
    <row r="661" spans="1:66" ht="19.5" customHeight="1">
      <c r="A661" s="167" t="s">
        <v>601</v>
      </c>
      <c r="B661" s="168" t="s">
        <v>102</v>
      </c>
      <c r="C661" s="168" t="s">
        <v>367</v>
      </c>
      <c r="D661" s="168" t="s">
        <v>418</v>
      </c>
      <c r="E661" s="171">
        <v>46073</v>
      </c>
      <c r="F661" s="171"/>
      <c r="G661" s="168" t="s">
        <v>102</v>
      </c>
      <c r="H661" s="181" t="s">
        <v>656</v>
      </c>
      <c r="I661" s="169">
        <v>-318174</v>
      </c>
      <c r="J661" s="170">
        <f>IF(I661="",AR661,I661)</f>
        <v>-318174</v>
      </c>
      <c r="K661" s="168" t="s">
        <v>5</v>
      </c>
      <c r="L661" s="171" t="s">
        <v>657</v>
      </c>
      <c r="M661" s="168" t="s">
        <v>49</v>
      </c>
      <c r="O661" s="168" t="s">
        <v>52</v>
      </c>
      <c r="P661" s="168" t="s">
        <v>658</v>
      </c>
      <c r="Q661" s="169"/>
      <c r="R661" s="170">
        <f>IF(Q661="",AS661,Q661)</f>
        <v>25001692.99492386</v>
      </c>
      <c r="S661" s="168" t="s">
        <v>9</v>
      </c>
      <c r="T661" s="171" t="s">
        <v>436</v>
      </c>
      <c r="U661" s="168" t="s">
        <v>374</v>
      </c>
      <c r="W661" s="172" t="s">
        <v>375</v>
      </c>
      <c r="X661" s="173">
        <f>IF(Y661="",VLOOKUP(H661,CLIENTS!$A$1:$O$649,5,FALSE),Y661)</f>
        <v>0</v>
      </c>
      <c r="Y661" s="174">
        <v>0</v>
      </c>
      <c r="Z661" s="173">
        <f>IF(AA661="",VLOOKUP(P661,CLIENTS!$A$1:$O$649,5,FALSE),AA661)</f>
        <v>1.0545865633075024E-2</v>
      </c>
      <c r="AA661" s="174">
        <v>1.0545865633075024E-2</v>
      </c>
      <c r="AB661" s="173" t="str">
        <f>IF(W661="via USD",IF(K661="EUR",K661&amp;"USD","USD"&amp;K661),IFERROR(VLOOKUP(K661&amp;S661,'FX RATES'!$H$2:$H$20,1,FALSE),S661&amp;K661))</f>
        <v>USDUSD</v>
      </c>
      <c r="AC661" s="175">
        <f>IF(LEFT(AB661,3)=RIGHT(AB661,3),0,IFERROR(INDEX(CLIENTS!$A$1:$O$649,MATCH(H661,CLIENTS!$A$1:$A$649,0),MATCH(AB661,CLIENTS!$A$1:$O$1,0)),0))</f>
        <v>0</v>
      </c>
      <c r="AD661" s="176"/>
      <c r="AE661" s="177">
        <f>IF(W661="CLIENT","",IF(AD661="",AH661+AC661,AD661+AC661))</f>
        <v>1</v>
      </c>
      <c r="AF661" s="177" t="str">
        <f>E661&amp;AB661</f>
        <v>46073USDUSD</v>
      </c>
      <c r="AG661" s="176"/>
      <c r="AH661" s="178">
        <f>IF(LEFT(AB661,3)=RIGHT(AB661,3),1,VLOOKUP(AB661,'FX RATES'!$H$1:$I$20,2,FALSE))</f>
        <v>1</v>
      </c>
      <c r="AI661" s="178">
        <f>IF(OR(AB661="USDAED",LEFT(AB661,3)=RIGHT(AB661,3)),AH661,IF(LEFT(AB661)="USD",AG661,IF(RIGHT(AB661,3)="USD",1,IFERROR(VLOOKUP(E661&amp;"USD"&amp;RIGHT(AB661,3),$AF:$AG,2,FALSE),VLOOKUP(E661&amp;"USD"&amp;RIGHT(AJ661,3),$AN:$AO,2,FALSE)))))</f>
        <v>1</v>
      </c>
      <c r="AJ661" s="173" t="str">
        <f>IF(W661="via USD",IF(S661="EUR",S661&amp;"USD","USD"&amp;S661),IFERROR(VLOOKUP(K661&amp;S661,'FX RATES'!$H$2:$H$20,1,FALSE),S661&amp;K661))</f>
        <v>USDRUB</v>
      </c>
      <c r="AK661" s="175">
        <f>IF(LEFT(AJ661,3)=RIGHT(AJ661,3),0,IFERROR(INDEX(CLIENTS!$A$1:$O$649,MATCH(P661,CLIENTS!$A$1:$A$649,0),MATCH(AJ661,CLIENTS!$A$1:$O$1,0)),0))</f>
        <v>0</v>
      </c>
      <c r="AL661" s="176">
        <v>77.75</v>
      </c>
      <c r="AM661" s="177">
        <f>IF(W661="VENDOR","",IF(AL661="",AP661+AK661,AL661+AK661))</f>
        <v>77.75</v>
      </c>
      <c r="AN661" s="177" t="str">
        <f>E661&amp;AJ661</f>
        <v>46073USDRUB</v>
      </c>
      <c r="AO661" s="176">
        <v>76.599999999999994</v>
      </c>
      <c r="AP661" s="178">
        <f ca="1">IF(LEFT(AJ661,3)=RIGHT(AJ661,3),1,VLOOKUP(AJ661,'FX RATES'!$H$1:$I$20,2,FALSE))</f>
        <v>76.720500000000001</v>
      </c>
      <c r="AQ661" s="178">
        <f>IF(OR(AJ661="USDAED",LEFT(AJ661,3)=RIGHT(AJ661,3)),AP661,IF(LEFT(AJ661)="USD",AO661,IF(RIGHT(AJ661,3)="USD",1,IFERROR(VLOOKUP(E661&amp;"USD"&amp;RIGHT(AJ661,3),$AN:$AO,2,FALSE),VLOOKUP(E661&amp;"USD"&amp;RIGHT(AB661,3),$AF:$AG,2,FALSE)))))</f>
        <v>76.599999999999994</v>
      </c>
      <c r="AR661" s="179">
        <f>-Q661*(1-Z661)/(1+X661)*IF(W661="CLIENT",IF(S661=RIGHT(AJ661,3),1/AM661,AM661),IF(W661="VENDOR",IF(S661=RIGHT(AJ661,3),1/AE661,AE661),AE661^(VLOOKUP(AB661,'FX RATES'!$H$1:$J$26,3,FALSE))/AM661^(VLOOKUP(AJ661,'FX RATES'!$H$1:$J$26,3,FALSE))))</f>
        <v>0</v>
      </c>
      <c r="AS661" s="179">
        <f>-I661*(1+X661)/(1-Z661)*IF(W661="VENDOR",IF(K661=RIGHT(AB661,3),1/AE661,AE661),IF(W661="CLIENT",IF(K661=RIGHT(AB661,3),1/AM661,AM661),AM661^(VLOOKUP(AJ661,'FX RATES'!$H$1:$J$26,3,FALSE))/AE661^(VLOOKUP(AB661,'FX RATES'!$H$1:$J$26,3,FALSE))))</f>
        <v>25001692.99492386</v>
      </c>
      <c r="AT661" s="170">
        <f>IF(AB661&lt;&gt;AJ661,J661/IF(K661=RIGHT(AB661,3),AE661,1/AE661),IF(S661="USD",J661/IF(K661=RIGHT(AB661,3),IF(W661="CLIENT",AM661,AE661),1/IF(W661="CLIENT",AM661,AE661)),J661*VLOOKUP(K661,'FX RATES'!$E$1:$F$10,2,FALSE)))</f>
        <v>-318174</v>
      </c>
      <c r="AU661" s="170">
        <f>IF(AB661&lt;&gt;AJ661,R661/IF(S661=RIGHT(AJ661,3),AM661,1/AM661),IF(K661="USD",R661/IF(S661=RIGHT(AJ661,3),IF(W661="CLIENT",AM661,AE661),1/IF(W661="CLIENT",AM661,AE661)),R661*VLOOKUP(S661,'FX RATES'!$E$1:$F$10,2,FALSE)))</f>
        <v>321565.1832144548</v>
      </c>
      <c r="AV661" s="170">
        <f>AT661+AU661</f>
        <v>3391.1832144547952</v>
      </c>
      <c r="AW661" s="169"/>
      <c r="AX661" s="170">
        <f>IF(AND(ISERROR(SEARCH("INVOICE",T661)),ISERROR(SEARCH("SWITCH",T661)),ISERROR(SEARCH("FOREX",T661)),ISERROR(SEARCH("REFUND",A661)),ISERROR(SEARCH("CANCELLED",A661))),IF(AW661="",-AT661*X661+AU661*Z661,AW661),0)</f>
        <v>3391.1832144547925</v>
      </c>
      <c r="AY661" s="170">
        <f>IF(AZ661="USD",AT661,IF(AZ661=K661,J661,-R661))</f>
        <v>-318174</v>
      </c>
      <c r="AZ661" s="170" t="str">
        <f>LEFT(AB661,3)</f>
        <v>USD</v>
      </c>
      <c r="BA661" s="542">
        <f>IF(OR(A661="REFUND",A661="CANCELLED"),0,IFERROR((IF(OR(AB661="USDAED",LEFT(AB661,3)=RIGHT(AB661,3)),AI661,AG661)-AE661)*-AY661*VLOOKUP(AB661,'FX RATES'!$H$1:$J$26,3,FALSE),0))</f>
        <v>0</v>
      </c>
      <c r="BB661" s="170" t="str">
        <f>RIGHT(AB661,3)</f>
        <v>USD</v>
      </c>
      <c r="BC661" s="542">
        <f>IF(BA661=0,0,IFERROR(BA661/IF(BB661&lt;&gt;"USD",AI661,1),"???"))</f>
        <v>0</v>
      </c>
      <c r="BD661" s="170">
        <f>IFERROR(-AC661/(IF(OR(AB661="USDAED",LEFT(AB661,3)=RIGHT(AB661,3)),AH661,AG661)-AE661)*BC661,0)</f>
        <v>0</v>
      </c>
      <c r="BE661" s="542">
        <f>BC661-BD661</f>
        <v>0</v>
      </c>
      <c r="BF661" s="170">
        <f>IF(BG661="USD",AU661,IF(BG661=S661,R661,-J661))</f>
        <v>321565.1832144548</v>
      </c>
      <c r="BG661" s="170" t="str">
        <f>LEFT(AJ661,3)</f>
        <v>USD</v>
      </c>
      <c r="BH661" s="542">
        <f>IF(OR(A661="REFUND",A661="CANCELLED"),0,IFERROR((IF(OR(AJ661="USDAED",LEFT(AJ661,3)=RIGHT(AJ661,3)),AQ661,AO661)-AM661)*-BF661*VLOOKUP(AJ661,'FX RATES'!$H$1:$J$26,3,FALSE),0))</f>
        <v>369799.96069662482</v>
      </c>
      <c r="BI661" s="170" t="str">
        <f>RIGHT(AJ661,3)</f>
        <v>RUB</v>
      </c>
      <c r="BJ661" s="542">
        <f>IF(BH661=0,0,IFERROR(BH661/IF(BI661&lt;&gt;"USD",AQ661,1),"???"))</f>
        <v>4827.675727109985</v>
      </c>
      <c r="BK661" s="170">
        <f>IFERROR(-AK661/(IF(OR(AJ661="USDAED",LEFT(AJ661,3)=RIGHT(AJ661,3)),AP661,AO661)-AM661)*BJ661,0)</f>
        <v>0</v>
      </c>
      <c r="BL661" s="542">
        <f>BJ661-BK661</f>
        <v>4827.675727109985</v>
      </c>
      <c r="BM661" s="170">
        <f>IF(AND(ISERROR(SEARCH("REFUND",A661)),ISERROR(SEARCH("CANCELLED",A661))),BD661+BK661,0)</f>
        <v>0</v>
      </c>
      <c r="BN661" s="542">
        <f>IF(AND(ISERROR(SEARCH("REFUND",A661)),ISERROR(SEARCH("CANCELLED",A661))),BE661+BL661,0)</f>
        <v>4827.675727109985</v>
      </c>
    </row>
    <row r="662" spans="1:66" ht="19.5" customHeight="1">
      <c r="A662" s="167" t="s">
        <v>601</v>
      </c>
      <c r="B662" s="181" t="s">
        <v>52</v>
      </c>
      <c r="C662" s="181" t="s">
        <v>484</v>
      </c>
      <c r="D662" s="181" t="s">
        <v>128</v>
      </c>
      <c r="E662" s="171">
        <v>46073</v>
      </c>
      <c r="F662" s="171"/>
      <c r="G662" s="181" t="s">
        <v>52</v>
      </c>
      <c r="H662" s="168" t="s">
        <v>659</v>
      </c>
      <c r="I662" s="169">
        <v>-25000000</v>
      </c>
      <c r="J662" s="170">
        <f>IF(I662="",AR662,I662)</f>
        <v>-25000000</v>
      </c>
      <c r="K662" s="168" t="s">
        <v>9</v>
      </c>
      <c r="L662" s="168"/>
      <c r="M662" s="168" t="s">
        <v>374</v>
      </c>
      <c r="O662" s="168" t="s">
        <v>52</v>
      </c>
      <c r="P662" s="168" t="s">
        <v>659</v>
      </c>
      <c r="Q662" s="169"/>
      <c r="R662" s="170">
        <f>IF(Q662="",AS662,Q662)</f>
        <v>323206.20555914677</v>
      </c>
      <c r="S662" s="168" t="s">
        <v>53</v>
      </c>
      <c r="T662" s="168" t="s">
        <v>420</v>
      </c>
      <c r="U662" s="168" t="s">
        <v>54</v>
      </c>
      <c r="W662" s="172" t="s">
        <v>375</v>
      </c>
      <c r="X662" s="173">
        <f>IF(Y662="",VLOOKUP(H662,CLIENTS!$A$1:$O$649,5,FALSE),Y662)</f>
        <v>0</v>
      </c>
      <c r="Y662" s="174">
        <v>0</v>
      </c>
      <c r="Z662" s="173">
        <f>IF(AA662="",VLOOKUP(P662,CLIENTS!$A$1:$O$649,5,FALSE),AA662)</f>
        <v>0</v>
      </c>
      <c r="AA662" s="174">
        <v>0</v>
      </c>
      <c r="AB662" s="173" t="str">
        <f>IF(W662="via USD",IF(K662="EUR",K662&amp;"USD","USD"&amp;K662),IFERROR(VLOOKUP(K662&amp;S662,'FX RATES'!$H$2:$H$20,1,FALSE),S662&amp;K662))</f>
        <v>USDRUB</v>
      </c>
      <c r="AC662" s="175">
        <f>IF(LEFT(AB662,3)=RIGHT(AB662,3),0,IFERROR(INDEX(CLIENTS!$A$1:$O$649,MATCH(H662,CLIENTS!$A$1:$A$649,0),MATCH(AB662,CLIENTS!$A$1:$O$1,0)),0))</f>
        <v>0</v>
      </c>
      <c r="AD662" s="176">
        <v>77.349999999999994</v>
      </c>
      <c r="AE662" s="177">
        <f>IF(W662="CLIENT","",IF(AD662="",AH662+AC662,AD662+AC662))</f>
        <v>77.349999999999994</v>
      </c>
      <c r="AF662" s="177" t="str">
        <f>E662&amp;AB662</f>
        <v>46073USDRUB</v>
      </c>
      <c r="AG662" s="176">
        <v>76.599999999999994</v>
      </c>
      <c r="AH662" s="178">
        <f ca="1">IF(LEFT(AB662,3)=RIGHT(AB662,3),1,VLOOKUP(AB662,'FX RATES'!$H$1:$I$20,2,FALSE))</f>
        <v>76.720500000000001</v>
      </c>
      <c r="AI662" s="178">
        <f>IF(OR(AB662="USDAED",LEFT(AB662,3)=RIGHT(AB662,3)),AH662,IF(LEFT(AB662)="USD",AG662,IF(RIGHT(AB662,3)="USD",1,IFERROR(VLOOKUP(E662&amp;"USD"&amp;RIGHT(AB662,3),$AF:$AG,2,FALSE),VLOOKUP(E662&amp;"USD"&amp;RIGHT(AJ662,3),$AN:$AO,2,FALSE)))))</f>
        <v>76.599999999999994</v>
      </c>
      <c r="AJ662" s="173" t="str">
        <f>IF(W662="via USD",IF(S662="EUR",S662&amp;"USD","USD"&amp;S662),IFERROR(VLOOKUP(K662&amp;S662,'FX RATES'!$H$2:$H$20,1,FALSE),S662&amp;K662))</f>
        <v>USDUSDT</v>
      </c>
      <c r="AK662" s="175">
        <f>IF(LEFT(AJ662,3)=RIGHT(AJ662,3),0,IFERROR(INDEX(CLIENTS!$A$1:$O$649,MATCH(P662,CLIENTS!$A$1:$A$649,0),MATCH(AJ662,CLIENTS!$A$1:$O$1,0)),0))</f>
        <v>0</v>
      </c>
      <c r="AL662" s="176"/>
      <c r="AM662" s="177">
        <f>IF(W662="VENDOR","",IF(AL662="",AP662+AK662,AL662+AK662))</f>
        <v>1</v>
      </c>
      <c r="AN662" s="177" t="str">
        <f>E662&amp;AJ662</f>
        <v>46073USDUSDT</v>
      </c>
      <c r="AO662" s="176">
        <v>1</v>
      </c>
      <c r="AP662" s="178">
        <f>IF(LEFT(AJ662,3)=RIGHT(AJ662,3),1,VLOOKUP(AJ662,'FX RATES'!$H$1:$I$50,2,FALSE))</f>
        <v>1</v>
      </c>
      <c r="AQ662" s="178">
        <f>IF(OR(AJ662="USDAED",LEFT(AJ662,3)=RIGHT(AJ662,3),AJ662="USDUSDT",AJ662="USDTUSD"),AP662,IF(LEFT(AJ662)="USD",AO662,IF(RIGHT(AJ662,3)="USD",1,IFERROR(VLOOKUP(E662&amp;"USD"&amp;RIGHT(AJ662,3),$AN:$AO,2,FALSE),VLOOKUP(E662&amp;"USD"&amp;RIGHT(AB662,3),$AF:$AG,2,FALSE)))))</f>
        <v>1</v>
      </c>
      <c r="AR662" s="179">
        <f>-Q662*(1-Z662)/(1+X662)*IF(W662="CLIENT",IF(S662=RIGHT(AJ662,3),1/AM662,AM662),IF(W662="VENDOR",IF(S662=RIGHT(AJ662,3),1/AE662,AE662),AE662^(VLOOKUP(AB662,'FX RATES'!$H$1:$J$26,3,FALSE))/AM662^(VLOOKUP(AJ662,'FX RATES'!$H$1:$J$26,3,FALSE))))</f>
        <v>0</v>
      </c>
      <c r="AS662" s="179">
        <f>-I662*(1+X662)/(1-Z662)*IF(W662="VENDOR",IF(K662=RIGHT(AB662,3),1/AE662,AE662),IF(W662="CLIENT",IF(K662=RIGHT(AB662,3),1/AM662,AM662),AM662^(VLOOKUP(AJ662,'FX RATES'!$H$1:$J$26,3,FALSE))/AE662^(VLOOKUP(AB662,'FX RATES'!$H$1:$J$26,3,FALSE))))</f>
        <v>323206.20555914677</v>
      </c>
      <c r="AT662" s="170">
        <f>IF(AB662&lt;&gt;AJ662,J662/IF(K662=RIGHT(AB662,3),AE662,1/AE662),IF(S662="USD",J662/IF(K662=RIGHT(AB662,3),IF(W662="CLIENT",AM662,AE662),1/IF(W662="CLIENT",AM662,AE662)),J662*VLOOKUP(K662,'FX RATES'!$E$1:$F$10,2,FALSE)))</f>
        <v>-323206.20555914677</v>
      </c>
      <c r="AU662" s="170">
        <f>IF(AB662&lt;&gt;AJ662,R662/IF(S662=RIGHT(AJ662,3),AM662,1/AM662),IF(K662="USD",R662/IF(S662=RIGHT(AJ662,3),IF(W662="CLIENT",AM662,AE662),1/IF(W662="CLIENT",AM662,AE662)),R662*VLOOKUP(S662,'FX RATES'!$E$1:$F$10,2,FALSE)))</f>
        <v>323206.20555914677</v>
      </c>
      <c r="AV662" s="170">
        <f>AT662+AU662</f>
        <v>0</v>
      </c>
      <c r="AW662" s="169"/>
      <c r="AX662" s="170">
        <f>IF(AND(ISERROR(SEARCH("INVOICE",T662)),ISERROR(SEARCH("SWITCH",T662)),ISERROR(SEARCH("FOREX",T662)),ISERROR(SEARCH("REFUND",A662)),ISERROR(SEARCH("CANCELLED",A662))),IF(AW662="",-AT662*X662+AU662*Z662,AW662),0)</f>
        <v>0</v>
      </c>
      <c r="AY662" s="170">
        <f>IF(AZ662="USD",AT662,IF(AZ662=K662,J662,-R662))</f>
        <v>-323206.20555914677</v>
      </c>
      <c r="AZ662" s="170" t="str">
        <f>LEFT(AB662,3)</f>
        <v>USD</v>
      </c>
      <c r="BA662" s="542">
        <f>IF(OR(A662="REFUND",A662="CANCELLED"),0,IFERROR((IF(OR(AB662="USDAED",LEFT(AB662,3)=RIGHT(AB662,3)),AI662,AG662)-AE662)*-AY662*VLOOKUP(AB662,'FX RATES'!$H$1:$J$26,3,FALSE),0))</f>
        <v>-242404.65416936006</v>
      </c>
      <c r="BB662" s="170" t="str">
        <f>RIGHT(AB662,3)</f>
        <v>RUB</v>
      </c>
      <c r="BC662" s="542">
        <f>IF(BA662=0,0,IFERROR(BA662/IF(BB662&lt;&gt;"USD",AI662,1),"???"))</f>
        <v>-3164.5516210099227</v>
      </c>
      <c r="BD662" s="170">
        <f>IFERROR(-AC662/(IF(OR(AB662="USDAED",LEFT(AB662,3)=RIGHT(AB662,3)),AH662,AG662)-AE662)*BC662,0)</f>
        <v>0</v>
      </c>
      <c r="BE662" s="542">
        <f>BC662-BD662</f>
        <v>-3164.5516210099227</v>
      </c>
      <c r="BF662" s="170">
        <f>IF(BG662="USD",AU662,IF(BG662=S662,R662,-J662))</f>
        <v>323206.20555914677</v>
      </c>
      <c r="BG662" s="170" t="str">
        <f>LEFT(AJ662,3)</f>
        <v>USD</v>
      </c>
      <c r="BH662" s="542">
        <f>IF(OR(A662="REFUND",A662="CANCELLED"),0,IFERROR((IF(OR(AJ662="USDAED",LEFT(AJ662,3)=RIGHT(AJ662,3),AJ662="USDUSDT",AJ662="USDTUSD"),AQ662,AO662)-AM662)*-BF662*VLOOKUP(AJ662,'FX RATES'!$H$1:$J$26,3,FALSE),0))</f>
        <v>0</v>
      </c>
      <c r="BI662" s="170" t="str">
        <f>RIGHT(AJ662,4)</f>
        <v>USDT</v>
      </c>
      <c r="BJ662" s="542">
        <f>IF(BH662=0,0,IFERROR(BH662/IF(BI662&lt;&gt;"USD",AQ662,1),"???"))</f>
        <v>0</v>
      </c>
      <c r="BK662" s="170">
        <f>IFERROR(-AK662/(IF(OR(AJ662="USDAED",LEFT(AJ662,3)=RIGHT(AJ662,3)),AP662,AO662)-AM662)*BJ662,0)</f>
        <v>0</v>
      </c>
      <c r="BL662" s="542">
        <f>BJ662-BK662</f>
        <v>0</v>
      </c>
      <c r="BM662" s="170">
        <f>IF(AND(ISERROR(SEARCH("REFUND",A662)),ISERROR(SEARCH("CANCELLED",A662))),BD662+BK662,0)</f>
        <v>0</v>
      </c>
      <c r="BN662" s="542">
        <f>IF(AND(ISERROR(SEARCH("REFUND",A662)),ISERROR(SEARCH("CANCELLED",A662))),BE662+BL662,0)</f>
        <v>-3164.5516210099227</v>
      </c>
    </row>
    <row r="663" spans="1:66" ht="19.5" customHeight="1">
      <c r="A663" s="167" t="s">
        <v>660</v>
      </c>
      <c r="B663" s="172" t="s">
        <v>102</v>
      </c>
      <c r="C663" s="172" t="s">
        <v>102</v>
      </c>
      <c r="D663" s="168" t="s">
        <v>418</v>
      </c>
      <c r="E663" s="171">
        <v>46073</v>
      </c>
      <c r="F663" s="171"/>
      <c r="G663" s="172" t="s">
        <v>102</v>
      </c>
      <c r="H663" s="172" t="s">
        <v>104</v>
      </c>
      <c r="I663" s="169"/>
      <c r="J663" s="170">
        <f>IF(I663="",AR663,I663)</f>
        <v>-314653.59999999998</v>
      </c>
      <c r="K663" s="172" t="s">
        <v>53</v>
      </c>
      <c r="L663" s="172" t="s">
        <v>420</v>
      </c>
      <c r="M663" s="172" t="s">
        <v>54</v>
      </c>
      <c r="O663" s="172" t="s">
        <v>102</v>
      </c>
      <c r="P663" s="172" t="s">
        <v>104</v>
      </c>
      <c r="Q663" s="169">
        <v>313400</v>
      </c>
      <c r="R663" s="170">
        <f>IF(Q663="",AS663,Q663)</f>
        <v>313400</v>
      </c>
      <c r="S663" s="172" t="s">
        <v>5</v>
      </c>
      <c r="T663" s="171" t="s">
        <v>420</v>
      </c>
      <c r="U663" s="172" t="s">
        <v>54</v>
      </c>
      <c r="W663" s="172" t="s">
        <v>375</v>
      </c>
      <c r="X663" s="173">
        <f>IF(Y663="",VLOOKUP(H663,CLIENTS!$A$1:$O$649,5,FALSE),Y663)</f>
        <v>0</v>
      </c>
      <c r="Y663" s="174">
        <v>0</v>
      </c>
      <c r="Z663" s="173">
        <f>IF(AA663="",VLOOKUP(P663,CLIENTS!$A$1:$O$649,5,FALSE),AA663)</f>
        <v>-4.0000000000000001E-3</v>
      </c>
      <c r="AA663" s="174">
        <v>-4.0000000000000001E-3</v>
      </c>
      <c r="AB663" s="173" t="str">
        <f>IF(W663="via USD",IF(K663="EUR",K663&amp;"USD","USD"&amp;K663),IFERROR(VLOOKUP(K663&amp;S663,'FX RATES'!$H$2:$H$55,1,FALSE),S663&amp;K663))</f>
        <v>USDUSDT</v>
      </c>
      <c r="AC663" s="175">
        <f>IF(LEFT(AB663,3)=RIGHT(AB663,3),0,IFERROR(INDEX(CLIENTS!$A$1:$O$649,MATCH(H663,CLIENTS!$A$1:$A$649,0),MATCH(AB663,CLIENTS!$A$1:$O$1,0)),0))</f>
        <v>0</v>
      </c>
      <c r="AD663" s="176"/>
      <c r="AE663" s="177">
        <f>IF(W663="CLIENT","",IF(AD663="",AH663+AC663,AD663+AC663))</f>
        <v>1</v>
      </c>
      <c r="AF663" s="177" t="str">
        <f>E663&amp;AB663</f>
        <v>46073USDUSDT</v>
      </c>
      <c r="AG663" s="176">
        <v>1</v>
      </c>
      <c r="AH663" s="178">
        <f>IF(OR(LEFT(AB663,3)=RIGHT(AB663,3),OR(AB663="USDUSDT",AB663="USDTUSD")),1,VLOOKUP(AB663,'FX RATES'!$H$1:$I$20,2,FALSE))</f>
        <v>1</v>
      </c>
      <c r="AI663" s="178">
        <f>IF(OR(AB663="USDAED",LEFT(AB663,3)=RIGHT(AB663,3)),AH663,IF(LEFT(AB663)="USD",AG663,IF(OR(RIGHT(AB663,3)="USD",RIGHT(AB663,4)="USDT"),1,IFERROR(VLOOKUP(E663&amp;"USD"&amp;RIGHT(AB663,3),$AF:$AG,2,FALSE),VLOOKUP(E663&amp;"USD"&amp;RIGHT(AJ663,3),$AN:$AO,2,FALSE)))))</f>
        <v>1</v>
      </c>
      <c r="AJ663" s="173" t="str">
        <f>IF(W663="via USD",IF(S663="EUR",S663&amp;"USD","USD"&amp;S663),IFERROR(VLOOKUP(K663&amp;S663,'FX RATES'!$H$2:$H$20,1,FALSE),S663&amp;K663))</f>
        <v>USDUSD</v>
      </c>
      <c r="AK663" s="175">
        <f>IF(LEFT(AJ663,3)=RIGHT(AJ663,3),0,IFERROR(INDEX(CLIENTS!$A$1:$O$649,MATCH(P663,CLIENTS!$A$1:$A$649,0),MATCH(AJ663,CLIENTS!$A$1:$O$1,0)),0))</f>
        <v>0</v>
      </c>
      <c r="AL663" s="176"/>
      <c r="AM663" s="177">
        <f>IF(W663="VENDOR","",IF(AL663="",AP663+AK663,AL663+AK663))</f>
        <v>1</v>
      </c>
      <c r="AN663" s="177" t="str">
        <f>E663&amp;AJ663</f>
        <v>46073USDUSD</v>
      </c>
      <c r="AO663" s="176"/>
      <c r="AP663" s="178">
        <f>IF(OR(LEFT(AJ663,3)=RIGHT(AJ663,3),AND(OR(AB663="USDUSDT",AB663="USDTUSD"),OR(AJ663="USDUSDT",AJ663="USDTUSD"))),1,VLOOKUP(AJ663,'FX RATES'!$H$1:$I$20,2,FALSE))</f>
        <v>1</v>
      </c>
      <c r="AQ663" s="178">
        <f>IF(OR(AJ663="USDAED",LEFT(AJ663,3)=RIGHT(AJ663,3)),AP663,IF(LEFT(AJ663)="USD",AO663,IF(OR(RIGHT(AB663,3)="USD",RIGHT(AB663,4)="USDT"),1,IFERROR(VLOOKUP(E663&amp;"USD"&amp;RIGHT(AJ663,3),$AN:$AO,2,FALSE),VLOOKUP(E663&amp;"USD"&amp;RIGHT(AB663,3),$AF:$AG,2,FALSE)))))</f>
        <v>1</v>
      </c>
      <c r="AR663" s="179">
        <f>-Q663*(1-Z663)/(1+X663)*IF(W663="CLIENT",IF(S663=RIGHT(AJ663,3),1/AM663,AM663),IF(W663="VENDOR",IF(S663=RIGHT(AJ663,3),1/AE663,AE663),AE663^(VLOOKUP(AB663,'FX RATES'!$H$1:$J$26,3,FALSE))/AM663^(VLOOKUP(AJ663,'FX RATES'!$H$1:$J$26,3,FALSE))))</f>
        <v>-314653.59999999998</v>
      </c>
      <c r="AS663" s="179">
        <f>-I663*(1+X663)/(1-Z663)*IF(W663="VENDOR",IF(K663=RIGHT(AB663,3),1/AE663,AE663),IF(W663="CLIENT",IF(K663=RIGHT(AB663,3),1/AM663,AM663),AM663^(VLOOKUP(AJ663,'FX RATES'!$H$1:$J$26,3,FALSE))/AE663^(VLOOKUP(AB663,'FX RATES'!$H$1:$J$26,3,FALSE))))</f>
        <v>0</v>
      </c>
      <c r="AT663" s="170">
        <f>IF(AB663&lt;&gt;AJ663,J663/IF(K663=RIGHT(AB663,3),AE663,1/AE663),IF(S663="USD",J663/IF(K663=RIGHT(AB663,3),IF(W663="CLIENT",AM663,AE663),1/IF(W663="CLIENT",AM663,AE663)),J663*VLOOKUP(K663,'FX RATES'!$E$1:$F$10,2,FALSE)))</f>
        <v>-314653.59999999998</v>
      </c>
      <c r="AU663" s="170">
        <f>IF(AB663&lt;&gt;AJ663,R663/IF(S663=RIGHT(AJ663,3),AM663,1/AM663),IF(K663="USD",R663/IF(S663=RIGHT(AJ663,3),IF(W663="CLIENT",AM663,AE663),1/IF(W663="CLIENT",AM663,AE663)),R663*VLOOKUP(S663,'FX RATES'!$E$1:$F$10,2,FALSE)))</f>
        <v>313400</v>
      </c>
      <c r="AV663" s="170">
        <f>AT663+AU663</f>
        <v>-1253.5999999999767</v>
      </c>
      <c r="AW663" s="169"/>
      <c r="AX663" s="170">
        <f>IF(AND(ISERROR(SEARCH("INVOICE",T663)),ISERROR(SEARCH("SWITCH",T663)),ISERROR(SEARCH("FOREX",T663)),ISERROR(SEARCH("REFUND",A663)),ISERROR(SEARCH("CANCELLED",A663))),IF(AW663="",-AT663*X663+AU663*Z663,AW663),0)</f>
        <v>-1253.6000000000001</v>
      </c>
      <c r="AY663" s="170">
        <f>IF(AZ663="USD",AT663,IF(AZ663=K663,J663,-R663))</f>
        <v>-314653.59999999998</v>
      </c>
      <c r="AZ663" s="170" t="str">
        <f>LEFT(AB663,3)</f>
        <v>USD</v>
      </c>
      <c r="BA663" s="542">
        <f>IF(OR(A663="REFUND",A663="CANCELLED"),0,IFERROR((IF(OR(AB663="USDAED",LEFT(AB663,3)=RIGHT(AB663,3)),AI663,AG663)-AE663)*-AY663*VLOOKUP(AB663,'FX RATES'!$H$1:$J$26,3,FALSE),0))</f>
        <v>0</v>
      </c>
      <c r="BB663" s="170" t="str">
        <f>RIGHT(AB663,4)</f>
        <v>USDT</v>
      </c>
      <c r="BC663" s="542">
        <f>IF(BA663=0,0,IFERROR(BA663/IF(BB663&lt;&gt;"USD",AI663,1),"???"))</f>
        <v>0</v>
      </c>
      <c r="BD663" s="170">
        <f>IFERROR(-AC663/(IF(OR(AB663="USDAED",LEFT(AB663,3)=RIGHT(AB663,3)),AH663,AG663)-AE663)*BC663,0)</f>
        <v>0</v>
      </c>
      <c r="BE663" s="542">
        <f>BC663-BD663</f>
        <v>0</v>
      </c>
      <c r="BF663" s="170">
        <f>IF(BG663="USD",AU663,IF(BG663=S663,R663,-J663))</f>
        <v>313400</v>
      </c>
      <c r="BG663" s="170" t="str">
        <f>LEFT(AJ663,3)</f>
        <v>USD</v>
      </c>
      <c r="BH663" s="542">
        <f>IF(OR(A663="REFUND",A663="CANCELLED"),0,IFERROR((IF(OR(AJ663="USDAED",LEFT(AJ663,3)=RIGHT(AJ663,3)),AQ663,AO663)-AM663)*-BF663*VLOOKUP(AJ663,'FX RATES'!$H$1:$J$26,3,FALSE),0))</f>
        <v>0</v>
      </c>
      <c r="BI663" s="170" t="str">
        <f>RIGHT(AJ663,3)</f>
        <v>USD</v>
      </c>
      <c r="BJ663" s="542">
        <f>IF(BH663=0,0,IFERROR(BH663/IF(BI663&lt;&gt;"USD",AQ663,1),"???"))</f>
        <v>0</v>
      </c>
      <c r="BK663" s="170">
        <f>IFERROR(-AK663/(IF(OR(AJ663="USDAED",LEFT(AJ663,3)=RIGHT(AJ663,3)),AP663,AO663)-AM663)*BJ663,0)</f>
        <v>0</v>
      </c>
      <c r="BL663" s="542">
        <f>BJ663-BK663</f>
        <v>0</v>
      </c>
      <c r="BM663" s="170">
        <f>IF(AND(ISERROR(SEARCH("REFUND",A663)),ISERROR(SEARCH("CANCELLED",A663))),BD663+BK663,0)</f>
        <v>0</v>
      </c>
      <c r="BN663" s="542">
        <f>IF(AND(ISERROR(SEARCH("REFUND",A663)),ISERROR(SEARCH("CANCELLED",A663))),BE663+BL663,0)</f>
        <v>0</v>
      </c>
    </row>
    <row r="664" spans="1:66" ht="19.5" customHeight="1">
      <c r="A664" s="180"/>
      <c r="E664" s="180"/>
      <c r="F664" s="180"/>
      <c r="L664" s="180"/>
      <c r="M664" s="180"/>
      <c r="N664" s="180"/>
      <c r="O664" s="180"/>
      <c r="P664" s="180"/>
      <c r="V664" s="180"/>
      <c r="W664" s="180"/>
      <c r="BA664" s="180"/>
      <c r="BC664" s="180"/>
      <c r="BE664" s="180"/>
      <c r="BH664" s="180"/>
      <c r="BJ664" s="180"/>
      <c r="BL664" s="180"/>
      <c r="BN664" s="180"/>
    </row>
    <row r="665" spans="1:66" ht="19.5" customHeight="1">
      <c r="A665" s="180"/>
      <c r="E665" s="180"/>
      <c r="F665" s="180"/>
      <c r="L665" s="180"/>
      <c r="M665" s="180"/>
      <c r="N665" s="180"/>
      <c r="O665" s="180"/>
      <c r="P665" s="180"/>
      <c r="V665" s="180"/>
      <c r="W665" s="180"/>
      <c r="BA665" s="180"/>
      <c r="BC665" s="180"/>
      <c r="BE665" s="180"/>
      <c r="BH665" s="180"/>
      <c r="BJ665" s="180"/>
      <c r="BL665" s="180"/>
      <c r="BN665" s="180"/>
    </row>
    <row r="666" spans="1:66" ht="19.5" customHeight="1">
      <c r="A666" s="180"/>
      <c r="E666" s="180"/>
      <c r="F666" s="180"/>
      <c r="L666" s="180"/>
      <c r="M666" s="180"/>
      <c r="N666" s="180"/>
      <c r="O666" s="180"/>
      <c r="P666" s="180"/>
      <c r="V666" s="180"/>
      <c r="W666" s="180"/>
      <c r="BA666" s="180"/>
      <c r="BC666" s="180"/>
      <c r="BE666" s="180"/>
      <c r="BH666" s="180"/>
      <c r="BJ666" s="180"/>
      <c r="BL666" s="180"/>
      <c r="BN666" s="180"/>
    </row>
    <row r="667" spans="1:66" ht="19.5" customHeight="1">
      <c r="A667" s="180"/>
      <c r="E667" s="180"/>
      <c r="F667" s="180"/>
      <c r="L667" s="180"/>
      <c r="M667" s="180"/>
      <c r="N667" s="180"/>
      <c r="O667" s="180"/>
      <c r="P667" s="180"/>
      <c r="V667" s="180"/>
      <c r="W667" s="180"/>
      <c r="BA667" s="180"/>
      <c r="BC667" s="180"/>
      <c r="BE667" s="180"/>
      <c r="BH667" s="180"/>
      <c r="BJ667" s="180"/>
      <c r="BL667" s="180"/>
      <c r="BN667" s="180"/>
    </row>
    <row r="668" spans="1:66" ht="19.5" customHeight="1">
      <c r="A668" s="180"/>
      <c r="E668" s="180"/>
      <c r="F668" s="180"/>
      <c r="L668" s="180"/>
      <c r="M668" s="180"/>
      <c r="N668" s="180"/>
      <c r="O668" s="180"/>
      <c r="P668" s="180"/>
      <c r="V668" s="180"/>
      <c r="W668" s="180"/>
      <c r="BA668" s="180"/>
      <c r="BC668" s="180"/>
      <c r="BE668" s="180"/>
      <c r="BH668" s="180"/>
      <c r="BJ668" s="180"/>
      <c r="BL668" s="180"/>
      <c r="BN668" s="180"/>
    </row>
    <row r="669" spans="1:66" ht="19.5" customHeight="1">
      <c r="A669" s="180"/>
      <c r="E669" s="180"/>
      <c r="F669" s="180"/>
      <c r="L669" s="180"/>
      <c r="M669" s="180"/>
      <c r="N669" s="180"/>
      <c r="O669" s="180"/>
      <c r="P669" s="180"/>
      <c r="V669" s="180"/>
      <c r="W669" s="180"/>
      <c r="BA669" s="180"/>
      <c r="BC669" s="180"/>
      <c r="BE669" s="180"/>
      <c r="BH669" s="180"/>
      <c r="BJ669" s="180"/>
      <c r="BL669" s="180"/>
      <c r="BN669" s="180"/>
    </row>
    <row r="670" spans="1:66" ht="19.5" customHeight="1">
      <c r="A670" s="180"/>
      <c r="E670" s="180"/>
      <c r="F670" s="180"/>
      <c r="L670" s="180"/>
      <c r="M670" s="180"/>
      <c r="N670" s="180"/>
      <c r="O670" s="180"/>
      <c r="P670" s="180"/>
      <c r="V670" s="180"/>
      <c r="W670" s="180"/>
      <c r="BA670" s="180"/>
      <c r="BC670" s="180"/>
      <c r="BE670" s="180"/>
      <c r="BH670" s="180"/>
      <c r="BJ670" s="180"/>
      <c r="BL670" s="180"/>
      <c r="BN670" s="180"/>
    </row>
    <row r="671" spans="1:66" ht="19.5" customHeight="1">
      <c r="A671" s="180"/>
      <c r="E671" s="180"/>
      <c r="F671" s="180"/>
      <c r="L671" s="180"/>
      <c r="M671" s="180"/>
      <c r="N671" s="180"/>
      <c r="O671" s="180"/>
      <c r="P671" s="180"/>
      <c r="V671" s="180"/>
      <c r="W671" s="180"/>
      <c r="BA671" s="180"/>
      <c r="BC671" s="180"/>
      <c r="BE671" s="180"/>
      <c r="BH671" s="180"/>
      <c r="BJ671" s="180"/>
      <c r="BL671" s="180"/>
      <c r="BN671" s="180"/>
    </row>
    <row r="672" spans="1:66" ht="19.5" customHeight="1">
      <c r="A672" s="180"/>
      <c r="E672" s="180"/>
      <c r="F672" s="180"/>
      <c r="L672" s="180"/>
      <c r="M672" s="180"/>
      <c r="N672" s="180"/>
      <c r="O672" s="180"/>
      <c r="P672" s="180"/>
      <c r="V672" s="180"/>
      <c r="W672" s="180"/>
      <c r="BA672" s="180"/>
      <c r="BC672" s="180"/>
      <c r="BE672" s="180"/>
      <c r="BH672" s="180"/>
      <c r="BJ672" s="180"/>
      <c r="BL672" s="180"/>
      <c r="BN672" s="180"/>
    </row>
    <row r="673" spans="1:66" ht="19.5" customHeight="1">
      <c r="A673" s="180"/>
      <c r="E673" s="180"/>
      <c r="F673" s="180"/>
      <c r="L673" s="180"/>
      <c r="M673" s="180"/>
      <c r="N673" s="180"/>
      <c r="O673" s="180"/>
      <c r="P673" s="180"/>
      <c r="V673" s="180"/>
      <c r="W673" s="180"/>
      <c r="BA673" s="180"/>
      <c r="BC673" s="180"/>
      <c r="BE673" s="180"/>
      <c r="BH673" s="180"/>
      <c r="BJ673" s="180"/>
      <c r="BL673" s="180"/>
      <c r="BN673" s="180"/>
    </row>
    <row r="674" spans="1:66" s="187" customFormat="1" ht="23.25" customHeight="1">
      <c r="A674" s="614" t="s">
        <v>661</v>
      </c>
      <c r="B674" s="614"/>
      <c r="C674" s="614"/>
      <c r="D674" s="614"/>
      <c r="E674" s="614"/>
      <c r="F674" s="614"/>
      <c r="G674" s="614"/>
      <c r="H674" s="614"/>
      <c r="I674" s="614"/>
      <c r="J674" s="614"/>
      <c r="K674" s="614"/>
      <c r="L674" s="614"/>
      <c r="M674" s="614"/>
      <c r="N674" s="614"/>
      <c r="O674" s="614"/>
      <c r="P674" s="614"/>
      <c r="Q674" s="614"/>
      <c r="R674" s="614"/>
      <c r="S674" s="614"/>
      <c r="T674" s="614"/>
      <c r="U674" s="614"/>
      <c r="V674" s="614"/>
      <c r="W674" s="614"/>
      <c r="X674" s="614"/>
      <c r="Y674" s="614"/>
      <c r="Z674" s="614"/>
      <c r="AA674" s="614"/>
      <c r="AB674" s="614"/>
      <c r="AC674" s="614"/>
      <c r="AD674" s="614"/>
      <c r="AE674" s="614"/>
      <c r="AF674" s="614"/>
      <c r="AG674" s="614"/>
      <c r="AH674" s="614"/>
      <c r="AI674" s="614"/>
      <c r="AJ674" s="614"/>
      <c r="AK674" s="614"/>
      <c r="AL674" s="614"/>
      <c r="AM674" s="614"/>
      <c r="AN674" s="614"/>
      <c r="AO674" s="614"/>
      <c r="AP674" s="614"/>
      <c r="AQ674" s="614"/>
      <c r="AR674" s="614"/>
      <c r="AS674" s="614"/>
      <c r="AT674" s="614"/>
      <c r="AU674" s="614"/>
      <c r="AV674" s="170"/>
      <c r="AW674" s="170"/>
      <c r="AX674" s="170"/>
      <c r="AY674" s="170"/>
      <c r="AZ674" s="170"/>
      <c r="BA674" s="542"/>
      <c r="BB674" s="170"/>
      <c r="BC674" s="542"/>
      <c r="BD674" s="170"/>
      <c r="BE674" s="542"/>
      <c r="BF674" s="170"/>
      <c r="BG674" s="170"/>
      <c r="BH674" s="542"/>
      <c r="BI674" s="170"/>
      <c r="BJ674" s="542"/>
      <c r="BK674" s="170"/>
      <c r="BL674" s="542"/>
      <c r="BM674" s="170"/>
      <c r="BN674" s="542"/>
    </row>
    <row r="675" spans="1:66" ht="19.5" customHeight="1">
      <c r="A675" s="180"/>
      <c r="E675" s="180"/>
      <c r="F675" s="182"/>
      <c r="L675" s="180"/>
      <c r="M675" s="180"/>
      <c r="N675" s="182"/>
      <c r="O675" s="180"/>
      <c r="P675" s="180"/>
      <c r="V675" s="180"/>
      <c r="W675" s="180"/>
    </row>
    <row r="676" spans="1:66" ht="19.5" customHeight="1">
      <c r="A676" s="167" t="s">
        <v>660</v>
      </c>
      <c r="B676" s="225" t="s">
        <v>39</v>
      </c>
      <c r="C676" s="225" t="s">
        <v>383</v>
      </c>
      <c r="D676" s="225" t="s">
        <v>368</v>
      </c>
      <c r="E676" s="226">
        <v>46044</v>
      </c>
      <c r="F676" s="226"/>
      <c r="G676" s="225" t="s">
        <v>52</v>
      </c>
      <c r="H676" s="228" t="s">
        <v>390</v>
      </c>
      <c r="I676" s="227"/>
      <c r="J676" s="170">
        <f t="shared" ref="J676" si="814">IF(I676="",AR676,I676)</f>
        <v>0</v>
      </c>
      <c r="K676" s="225" t="s">
        <v>9</v>
      </c>
      <c r="L676" s="226" t="s">
        <v>391</v>
      </c>
      <c r="M676" s="225" t="s">
        <v>25</v>
      </c>
      <c r="O676" s="225" t="s">
        <v>42</v>
      </c>
      <c r="P676" s="225" t="s">
        <v>392</v>
      </c>
      <c r="Q676" s="227">
        <f>10000000-R473</f>
        <v>0</v>
      </c>
      <c r="R676" s="170">
        <f t="shared" ref="R676" si="815">IF(Q676="",AS676,Q676)</f>
        <v>0</v>
      </c>
      <c r="S676" s="225" t="s">
        <v>7</v>
      </c>
      <c r="T676" s="226" t="s">
        <v>22</v>
      </c>
      <c r="U676" s="225" t="s">
        <v>22</v>
      </c>
      <c r="W676" s="230" t="s">
        <v>382</v>
      </c>
      <c r="X676" s="173">
        <f>IF(Y676="",VLOOKUP(H676,CLIENTS!$A$1:$O$649,5,FALSE),Y676)</f>
        <v>0</v>
      </c>
      <c r="Y676" s="234"/>
      <c r="Z676" s="173">
        <f>IF(AA676="",VLOOKUP(P676,CLIENTS!$A$1:$O$649,5,FALSE),AA676)</f>
        <v>0</v>
      </c>
      <c r="AA676" s="234"/>
      <c r="AB676" s="173" t="str">
        <f>IF(W676="via USD",IF(K676="EUR",K676&amp;"USD","USD"&amp;K676),IFERROR(VLOOKUP(K676&amp;S676,'FX RATES'!$H$2:$H$20,1,FALSE),S676&amp;K676))</f>
        <v>CNYRUB</v>
      </c>
      <c r="AC676" s="175">
        <f>IF(LEFT(AB676,3)=RIGHT(AB676,3),0,IFERROR(INDEX(CLIENTS!$A$1:$O$649,MATCH(H676,CLIENTS!$A$1:$A$649,0),MATCH(AB676,CLIENTS!$A$1:$O$1,0)),0))</f>
        <v>0</v>
      </c>
      <c r="AD676" s="176">
        <v>11.06</v>
      </c>
      <c r="AE676" s="177">
        <f t="shared" ref="AE676" si="816">IF(W676="CLIENT","",IF(AD676="",AH676+AC676,AD676+AC676))</f>
        <v>11.06</v>
      </c>
      <c r="AF676" s="177" t="str">
        <f t="shared" ref="AF676" si="817">E676&amp;AB676</f>
        <v>46044CNYRUB</v>
      </c>
      <c r="AG676" s="176">
        <v>11.11</v>
      </c>
      <c r="AH676" s="178">
        <f ca="1">IF(LEFT(AB676,3)=RIGHT(AB676,3),1,VLOOKUP(AB676,'FX RATES'!$H$1:$I$20,2,FALSE))</f>
        <v>11.103899999999999</v>
      </c>
      <c r="AI676" s="178">
        <f>IF(OR(AB676="USDAED",LEFT(AB676,3)=RIGHT(AB676,3)),AH676,IF(LEFT(AB676)="USD",AG676,IF(RIGHT(AB676,3)="USD",1,IFERROR(VLOOKUP(E676&amp;"USD"&amp;RIGHT(AB676,3),$AF:$AG,2,FALSE),VLOOKUP(E676&amp;"USD"&amp;RIGHT(AJ676,3),$AN:$AO,2,FALSE)))))</f>
        <v>75.8</v>
      </c>
      <c r="AJ676" s="173" t="str">
        <f>IF(W676="via USD",IF(S676="EUR",S676&amp;"USD","USD"&amp;S676),IFERROR(VLOOKUP(K676&amp;S676,'FX RATES'!$H$2:$H$20,1,FALSE),S676&amp;K676))</f>
        <v>CNYRUB</v>
      </c>
      <c r="AK676" s="175">
        <f>IF(LEFT(AJ676,3)=RIGHT(AJ676,3),0,IFERROR(INDEX(CLIENTS!$A$1:$O$649,MATCH(P676,CLIENTS!$A$1:$A$649,0),MATCH(AJ676,CLIENTS!$A$1:$O$1,0)),0))</f>
        <v>0</v>
      </c>
      <c r="AL676" s="176"/>
      <c r="AM676" s="177" t="str">
        <f t="shared" ref="AM676" si="818">IF(W676="VENDOR","",IF(AL676="",AP676+AK676,AL676+AK676))</f>
        <v/>
      </c>
      <c r="AN676" s="177" t="str">
        <f t="shared" ref="AN676" si="819">E676&amp;AJ676</f>
        <v>46044CNYRUB</v>
      </c>
      <c r="AO676" s="176"/>
      <c r="AP676" s="178">
        <f ca="1">IF(LEFT(AJ676,3)=RIGHT(AJ676,3),1,VLOOKUP(AJ676,'FX RATES'!$H$1:$I$20,2,FALSE))</f>
        <v>11.103899999999999</v>
      </c>
      <c r="AQ676" s="178">
        <f>IF(OR(AJ676="USDAED",LEFT(AJ676,3)=RIGHT(AJ676,3)),AP676,IF(LEFT(AJ676)="USD",AO676,IF(RIGHT(AJ676,3)="USD",1,IFERROR(VLOOKUP(E676&amp;"USD"&amp;RIGHT(AJ676,3),$AN:$AO,2,FALSE),VLOOKUP(E676&amp;"USD"&amp;RIGHT(AB676,3),$AF:$AG,2,FALSE)))))</f>
        <v>75.8</v>
      </c>
      <c r="AR676" s="179">
        <f>-Q676*(1-Z676)/(1+X676)*IF(W676="CLIENT",IF(S676=RIGHT(AJ676,3),1/AM676,AM676),IF(W676="VENDOR",IF(S676=RIGHT(AJ676,3),1/AE676,AE676),AE676^(VLOOKUP(AB676,'FX RATES'!$H$1:$J$26,3,FALSE))/AM676^(VLOOKUP(AJ676,'FX RATES'!$H$1:$J$26,3,FALSE))))</f>
        <v>0</v>
      </c>
      <c r="AS676" s="179">
        <f>-I676*(1+X676)/(1-Z676)*IF(W676="VENDOR",IF(K676=RIGHT(AB676,3),1/AE676,AE676),IF(W676="CLIENT",IF(K676=RIGHT(AB676,3),1/AM676,AM676),AM676^(VLOOKUP(AJ676,'FX RATES'!$H$1:$J$26,3,FALSE))/AE676^(VLOOKUP(AB676,'FX RATES'!$H$1:$J$26,3,FALSE))))</f>
        <v>0</v>
      </c>
      <c r="AT676" s="170">
        <f ca="1">IF(AB676&lt;&gt;AJ676,J676/IF(K676=RIGHT(AB676,3),AE676,1/AE676),IF(S676="USD",J676/IF(K676=RIGHT(AB676,3),IF(W676="CLIENT",AM676,AE676),1/IF(W676="CLIENT",AM676,AE676)),J676*VLOOKUP(K676,'FX RATES'!$E$1:$F$10,2,FALSE)))</f>
        <v>0</v>
      </c>
      <c r="AU676" s="170">
        <f ca="1">IF(AB676&lt;&gt;AJ676,R676/IF(S676=RIGHT(AJ676,3),AM676,1/AM676),IF(K676="USD",R676/IF(S676=RIGHT(AJ676,3),IF(W676="CLIENT",AM676,AE676),1/IF(W676="CLIENT",AM676,AE676)),R676*VLOOKUP(S676,'FX RATES'!$E$1:$F$10,2,FALSE)))</f>
        <v>0</v>
      </c>
      <c r="AV676" s="170">
        <f t="shared" ref="AV676" ca="1" si="820">AT676+AU676</f>
        <v>0</v>
      </c>
      <c r="AW676" s="227"/>
      <c r="AX676" s="170">
        <f t="shared" ref="AX676" ca="1" si="821">IF(AND(ISERROR(SEARCH("INVOICE",T676)),ISERROR(SEARCH("SWITCH",T676)),ISERROR(SEARCH("FOREX",T676)),ISERROR(SEARCH("REFUND",A676)),ISERROR(SEARCH("CANCELLED",A676))),IF(AW676="",-AT676*X676+AU676*Z676,AW676),0)</f>
        <v>0</v>
      </c>
      <c r="AY676" s="170">
        <f t="shared" ref="AY676" si="822">IF(AZ676="USD",AT676,IF(AZ676=K676,J676,-R676))</f>
        <v>0</v>
      </c>
      <c r="AZ676" s="170" t="str">
        <f t="shared" ref="AZ676" si="823">LEFT(AB676,3)</f>
        <v>CNY</v>
      </c>
      <c r="BA676" s="542">
        <f>IF(OR(A676="REFUND",A676="CANCELLED"),0,IFERROR((IF(OR(AB676="USDAED",LEFT(AB676,3)=RIGHT(AB676,3)),AI676,AG676)-AE676)*-AY676*VLOOKUP(AB676,'FX RATES'!$H$1:$J$26,3,FALSE),0))</f>
        <v>0</v>
      </c>
      <c r="BB676" s="170" t="str">
        <f>RIGHT(AB676,3)</f>
        <v>RUB</v>
      </c>
      <c r="BC676" s="542">
        <f t="shared" ref="BC676" si="824">IF(BA676=0,0,IFERROR(BA676/IF(BB676&lt;&gt;"USD",AI676,1),"???"))</f>
        <v>0</v>
      </c>
      <c r="BD676" s="170">
        <f t="shared" ref="BD676" si="825">IFERROR(-AC676/(IF(OR(AB676="USDAED",LEFT(AB676,3)=RIGHT(AB676,3)),AH676,AG676)-AE676)*BC676,0)</f>
        <v>0</v>
      </c>
      <c r="BE676" s="542">
        <f t="shared" ref="BE676" si="826">BC676-BD676</f>
        <v>0</v>
      </c>
      <c r="BF676" s="170">
        <f t="shared" ref="BF676" si="827">IF(BG676="USD",AU676,IF(BG676=S676,R676,-J676))</f>
        <v>0</v>
      </c>
      <c r="BG676" s="170" t="str">
        <f t="shared" ref="BG676" si="828">LEFT(AJ676,3)</f>
        <v>CNY</v>
      </c>
      <c r="BH676" s="542">
        <f>IF(OR(A676="REFUND",A676="CANCELLED"),0,IFERROR((IF(OR(AJ676="USDAED",LEFT(AJ676,3)=RIGHT(AJ676,3)),AQ676,AO676)-AM676)*-BF676*VLOOKUP(AJ676,'FX RATES'!$H$1:$J$26,3,FALSE),0))</f>
        <v>0</v>
      </c>
      <c r="BI676" s="170" t="str">
        <f t="shared" ref="BI676" si="829">RIGHT(AJ676,3)</f>
        <v>RUB</v>
      </c>
      <c r="BJ676" s="542">
        <f t="shared" ref="BJ676" si="830">IF(BH676=0,0,IFERROR(BH676/IF(BI676&lt;&gt;"USD",AQ676,1),"???"))</f>
        <v>0</v>
      </c>
      <c r="BK676" s="170">
        <f t="shared" ref="BK676" si="831">IFERROR(-AK676/(IF(OR(AJ676="USDAED",LEFT(AJ676,3)=RIGHT(AJ676,3)),AP676,AO676)-AM676)*BJ676,0)</f>
        <v>0</v>
      </c>
      <c r="BL676" s="542">
        <f t="shared" ref="BL676" si="832">BJ676-BK676</f>
        <v>0</v>
      </c>
      <c r="BM676" s="170">
        <f t="shared" ref="BM676" si="833">IF(AND(ISERROR(SEARCH("REFUND",A676)),ISERROR(SEARCH("CANCELLED",A676))),BD676+BK676,0)</f>
        <v>0</v>
      </c>
      <c r="BN676" s="542">
        <f t="shared" ref="BN676" si="834">IF(AND(ISERROR(SEARCH("REFUND",A676)),ISERROR(SEARCH("CANCELLED",A676))),BE676+BL676,0)</f>
        <v>0</v>
      </c>
    </row>
    <row r="678" spans="1:66" ht="19.5" customHeight="1">
      <c r="A678" s="167" t="s">
        <v>660</v>
      </c>
      <c r="B678" s="168" t="s">
        <v>39</v>
      </c>
      <c r="C678" s="168" t="s">
        <v>367</v>
      </c>
      <c r="D678" s="168" t="s">
        <v>368</v>
      </c>
      <c r="E678" s="171">
        <v>46073</v>
      </c>
      <c r="F678" s="171" t="s">
        <v>625</v>
      </c>
      <c r="G678" s="168" t="s">
        <v>39</v>
      </c>
      <c r="H678" s="168" t="s">
        <v>662</v>
      </c>
      <c r="I678" s="169"/>
      <c r="J678" s="170">
        <f>IF(I678="",AR678,I678)</f>
        <v>-38329757.890454888</v>
      </c>
      <c r="K678" s="168" t="s">
        <v>8</v>
      </c>
      <c r="L678" s="168" t="s">
        <v>36</v>
      </c>
      <c r="M678" s="168" t="s">
        <v>20</v>
      </c>
      <c r="O678" s="168" t="s">
        <v>39</v>
      </c>
      <c r="P678" s="168" t="s">
        <v>663</v>
      </c>
      <c r="Q678" s="169">
        <v>800919456</v>
      </c>
      <c r="R678" s="170">
        <f>IF(Q678="",AS678,Q678)</f>
        <v>800919456</v>
      </c>
      <c r="S678" s="168" t="s">
        <v>9</v>
      </c>
      <c r="T678" s="171" t="s">
        <v>25</v>
      </c>
      <c r="U678" s="168" t="s">
        <v>374</v>
      </c>
      <c r="W678" s="172" t="s">
        <v>389</v>
      </c>
      <c r="X678" s="173">
        <f>IF(Y678="",VLOOKUP(H678,CLIENTS!$A$1:$O$649,5,FALSE),Y678)</f>
        <v>0</v>
      </c>
      <c r="Y678" s="174">
        <v>0</v>
      </c>
      <c r="Z678" s="173">
        <f>IF(AA678="",VLOOKUP(P678,CLIENTS!$A$1:$O$649,5,FALSE),AA678)</f>
        <v>0</v>
      </c>
      <c r="AA678" s="174">
        <v>0</v>
      </c>
      <c r="AB678" s="173" t="str">
        <f>IF(W678="via USD",IF(K678="EUR",K678&amp;"USD","USD"&amp;K678),IFERROR(VLOOKUP(K678&amp;S678,'FX RATES'!$H$2:$H$20,1,FALSE),S678&amp;K678))</f>
        <v>AEDRUB</v>
      </c>
      <c r="AC678" s="175">
        <f>IF(LEFT(AB678,3)=RIGHT(AB678,3),0,IFERROR(INDEX(CLIENTS!$A$1:$O$649,MATCH(H678,CLIENTS!$A$1:$A$649,0),MATCH(AB678,CLIENTS!$A$1:$O$1,0)),0))</f>
        <v>0</v>
      </c>
      <c r="AD678" s="176"/>
      <c r="AE678" s="177" t="str">
        <f>IF(W678="CLIENT","",IF(AD678="",AH678+AC678,AD678+AC678))</f>
        <v/>
      </c>
      <c r="AF678" s="177" t="str">
        <f>E678&amp;AB678</f>
        <v>46073AEDRUB</v>
      </c>
      <c r="AG678" s="176"/>
      <c r="AH678" s="178">
        <f ca="1">IF(LEFT(AB678,3)=RIGHT(AB678,3),1,VLOOKUP(AB678,'FX RATES'!$H$1:$I$20,2,FALSE))</f>
        <v>20.8843</v>
      </c>
      <c r="AI678" s="178">
        <f>IF(OR(AB678="USDAED",LEFT(AB678,3)=RIGHT(AB678,3)),AH678,IF(LEFT(AB678)="USD",AG678,IF(RIGHT(AB678,3)="USD",1,IFERROR(VLOOKUP(E678&amp;"USD"&amp;RIGHT(AB678,3),$AF:$AG,2,FALSE),VLOOKUP(E678&amp;"USD"&amp;RIGHT(AJ678,3),$AN:$AO,2,FALSE)))))</f>
        <v>76.599999999999994</v>
      </c>
      <c r="AJ678" s="173" t="str">
        <f>IF(W678="via USD",IF(S678="EUR",S678&amp;"USD","USD"&amp;S678),IFERROR(VLOOKUP(K678&amp;S678,'FX RATES'!$H$2:$H$20,1,FALSE),S678&amp;K678))</f>
        <v>AEDRUB</v>
      </c>
      <c r="AK678" s="175">
        <f>IF(LEFT(AJ678,3)=RIGHT(AJ678,3),0,IFERROR(INDEX(CLIENTS!$A$1:$O$649,MATCH(P678,CLIENTS!$A$1:$A$649,0),MATCH(AJ678,CLIENTS!$A$1:$O$1,0)),0))</f>
        <v>0</v>
      </c>
      <c r="AL678" s="176">
        <v>20.895499999999998</v>
      </c>
      <c r="AM678" s="177">
        <f>IF(W678="VENDOR","",IF(AL678="",AP678+AK678,AL678+AK678))</f>
        <v>20.895499999999998</v>
      </c>
      <c r="AN678" s="177" t="str">
        <f>E678&amp;AJ678</f>
        <v>46073AEDRUB</v>
      </c>
      <c r="AO678" s="176">
        <v>20.8032</v>
      </c>
      <c r="AP678" s="178">
        <f ca="1">IF(LEFT(AJ678,3)=RIGHT(AJ678,3),1,VLOOKUP(AJ678,'FX RATES'!$H$1:$I$20,2,FALSE))</f>
        <v>20.8843</v>
      </c>
      <c r="AQ678" s="178">
        <f>IF(OR(AJ678="USDAED",LEFT(AJ678,3)=RIGHT(AJ678,3)),AP678,IF(LEFT(AJ678)="USD",AO678,IF(RIGHT(AJ678,3)="USD",1,IFERROR(VLOOKUP(E678&amp;"USD"&amp;RIGHT(AJ678,3),$AN:$AO,2,FALSE),VLOOKUP(E678&amp;"USD"&amp;RIGHT(AB678,3),$AF:$AG,2,FALSE)))))</f>
        <v>76.599999999999994</v>
      </c>
      <c r="AR678" s="179">
        <f>-Q678*(1-Z678)/(1+X678)*IF(W678="CLIENT",IF(S678=RIGHT(AJ678,3),1/AM678,AM678),IF(W678="VENDOR",IF(S678=RIGHT(AJ678,3),1/AE678,AE678),AE678^(VLOOKUP(AB678,'FX RATES'!$H$1:$J$26,3,FALSE))/AM678^(VLOOKUP(AJ678,'FX RATES'!$H$1:$J$26,3,FALSE))))</f>
        <v>-38329757.890454888</v>
      </c>
      <c r="AS678" s="179">
        <f>-I678*(1+X678)/(1-Z678)*IF(W678="VENDOR",IF(K678=RIGHT(AB678,3),1/AE678,AE678),IF(W678="CLIENT",IF(K678=RIGHT(AB678,3),1/AM678,AM678),AM678^(VLOOKUP(AJ678,'FX RATES'!$H$1:$J$26,3,FALSE))/AE678^(VLOOKUP(AB678,'FX RATES'!$H$1:$J$26,3,FALSE))))</f>
        <v>0</v>
      </c>
      <c r="AT678" s="170">
        <f ca="1">IF(AB678&lt;&gt;AJ678,J678/IF(K678=RIGHT(AB678,3),AE678,1/AE678),IF(S678="USD",J678/IF(K678=RIGHT(AB678,3),IF(W678="CLIENT",AM678,AE678),1/IF(W678="CLIENT",AM678,AE678)),J678*VLOOKUP(K678,'FX RATES'!$E$1:$F$10,2,FALSE)))</f>
        <v>-10436681.884892143</v>
      </c>
      <c r="AU678" s="170">
        <f ca="1">IF(AB678&lt;&gt;AJ678,R678/IF(S678=RIGHT(AJ678,3),AM678,1/AM678),IF(K678="USD",R678/IF(S678=RIGHT(AJ678,3),IF(W678="CLIENT",AM678,AE678),1/IF(W678="CLIENT",AM678,AE678)),R678*VLOOKUP(S678,'FX RATES'!$E$1:$F$10,2,FALSE)))</f>
        <v>10439445.206952509</v>
      </c>
      <c r="AV678" s="170">
        <f ca="1">AT678+AU678</f>
        <v>2763.3220603652298</v>
      </c>
      <c r="AW678" s="169"/>
      <c r="AX678" s="170">
        <f ca="1">IF(AND(ISERROR(SEARCH("INVOICE",T678)),ISERROR(SEARCH("SWITCH",T678)),ISERROR(SEARCH("FOREX",T678)),ISERROR(SEARCH("REFUND",A678)),ISERROR(SEARCH("CANCELLED",A678))),IF(AW678="",-AT678*X678+AU678*Z678,AW678),0)</f>
        <v>0</v>
      </c>
      <c r="AY678" s="170">
        <f>IF(AZ678="USD",AT678,IF(AZ678=K678,J678,-R678))</f>
        <v>-38329757.890454888</v>
      </c>
      <c r="AZ678" s="170" t="str">
        <f>LEFT(AB678,3)</f>
        <v>AED</v>
      </c>
      <c r="BA678" s="542">
        <f>IF(OR(A678="REFUND",A678="CANCELLED"),0,IFERROR((IF(OR(AB678="USDAED",LEFT(AB678,3)=RIGHT(AB678,3)),AI678,AG678)-AE678)*-AY678*VLOOKUP(AB678,'FX RATES'!$H$1:$J$26,3,FALSE),0))</f>
        <v>0</v>
      </c>
      <c r="BB678" s="170" t="str">
        <f>RIGHT(AB678,3)</f>
        <v>RUB</v>
      </c>
      <c r="BC678" s="542">
        <f>IF(BA678=0,0,IFERROR(BA678/IF(BB678&lt;&gt;"USD",AI678,1),"???"))</f>
        <v>0</v>
      </c>
      <c r="BD678" s="170">
        <f>IFERROR(-AC678/(IF(OR(AB678="USDAED",LEFT(AB678,3)=RIGHT(AB678,3)),AH678,AG678)-AE678)*BC678,0)</f>
        <v>0</v>
      </c>
      <c r="BE678" s="542">
        <f>BC678-BD678</f>
        <v>0</v>
      </c>
      <c r="BF678" s="170">
        <f>IF(BG678="USD",AU678,IF(BG678=S678,R678,-J678))</f>
        <v>38329757.890454888</v>
      </c>
      <c r="BG678" s="170" t="str">
        <f>LEFT(AJ678,3)</f>
        <v>AED</v>
      </c>
      <c r="BH678" s="542">
        <f>IF(OR(A678="REFUND",A678="CANCELLED"),0,IFERROR((IF(OR(AJ678="USDAED",LEFT(AJ678,3)=RIGHT(AJ678,3)),AQ678,AO678)-AM678)*-BF678*VLOOKUP(AJ678,'FX RATES'!$H$1:$J$26,3,FALSE),0))</f>
        <v>3537836.6532889116</v>
      </c>
      <c r="BI678" s="170" t="str">
        <f>RIGHT(AJ678,3)</f>
        <v>RUB</v>
      </c>
      <c r="BJ678" s="542">
        <f>IF(BH678=0,0,IFERROR(BH678/IF(BI678&lt;&gt;"USD",AQ678,1),"???"))</f>
        <v>46185.857092544538</v>
      </c>
      <c r="BK678" s="170">
        <f>IFERROR(-AK678/(IF(OR(AJ678="USDAED",LEFT(AJ678,3)=RIGHT(AJ678,3)),AP678,AO678)-AM678)*BJ678,0)</f>
        <v>0</v>
      </c>
      <c r="BL678" s="542">
        <f>BJ678-BK678</f>
        <v>46185.857092544538</v>
      </c>
      <c r="BM678" s="170">
        <f>IF(AND(ISERROR(SEARCH("REFUND",A678)),ISERROR(SEARCH("CANCELLED",A678))),BD678+BK678,0)</f>
        <v>0</v>
      </c>
      <c r="BN678" s="542">
        <f>IF(AND(ISERROR(SEARCH("REFUND",A678)),ISERROR(SEARCH("CANCELLED",A678))),BE678+BL678,0)</f>
        <v>46185.857092544538</v>
      </c>
    </row>
    <row r="680" spans="1:66" ht="19.5" customHeight="1">
      <c r="A680" s="167" t="s">
        <v>660</v>
      </c>
      <c r="B680" s="168" t="s">
        <v>102</v>
      </c>
      <c r="C680" s="168" t="s">
        <v>367</v>
      </c>
      <c r="D680" s="181" t="s">
        <v>368</v>
      </c>
      <c r="E680" s="171">
        <v>46073</v>
      </c>
      <c r="F680" s="171"/>
      <c r="G680" s="168" t="s">
        <v>102</v>
      </c>
      <c r="H680" s="181" t="s">
        <v>664</v>
      </c>
      <c r="I680" s="169">
        <v>-73000</v>
      </c>
      <c r="J680" s="170">
        <f>IF(I680="",AR680,I680)</f>
        <v>-73000</v>
      </c>
      <c r="K680" s="168" t="s">
        <v>6</v>
      </c>
      <c r="L680" s="168" t="s">
        <v>411</v>
      </c>
      <c r="M680" s="168" t="s">
        <v>20</v>
      </c>
      <c r="O680" s="168" t="s">
        <v>39</v>
      </c>
      <c r="P680" s="349" t="s">
        <v>379</v>
      </c>
      <c r="Q680" s="169"/>
      <c r="R680" s="170">
        <f ca="1">IF(Q680="",AS680,Q680)</f>
        <v>6722006.0657921294</v>
      </c>
      <c r="S680" s="168" t="s">
        <v>9</v>
      </c>
      <c r="T680" s="171" t="s">
        <v>380</v>
      </c>
      <c r="U680" s="168" t="s">
        <v>25</v>
      </c>
      <c r="W680" s="172" t="s">
        <v>375</v>
      </c>
      <c r="X680" s="173">
        <f>IF(Y680="",VLOOKUP(H680,CLIENTS!$A$1:$O$649,5,FALSE),Y680)</f>
        <v>0</v>
      </c>
      <c r="Y680" s="174">
        <v>0</v>
      </c>
      <c r="Z680" s="173">
        <f>IF(AA680="",VLOOKUP(P680,CLIENTS!$A$1:$O$649,5,FALSE),AA680)</f>
        <v>8.9999999999999993E-3</v>
      </c>
      <c r="AA680" s="174">
        <v>8.9999999999999993E-3</v>
      </c>
      <c r="AB680" s="173" t="str">
        <f>IF(W680="via USD",IF(K680="EUR",K680&amp;"USD","USD"&amp;K680),IFERROR(VLOOKUP(K680&amp;S680,'FX RATES'!$H$2:$H$20,1,FALSE),S680&amp;K680))</f>
        <v>EURUSD</v>
      </c>
      <c r="AC680" s="175">
        <f>IF(LEFT(AB680,3)=RIGHT(AB680,3),0,IFERROR(INDEX(CLIENTS!$A$1:$O$649,MATCH(H680,CLIENTS!$A$1:$A$649,0),MATCH(AB680,CLIENTS!$A$1:$O$1,0)),0))</f>
        <v>0</v>
      </c>
      <c r="AD680" s="176"/>
      <c r="AE680" s="177">
        <f ca="1">IF(W680="CLIENT","",IF(AD680="",AH680+AC680,AD680+AC680))</f>
        <v>1.1779999999999999</v>
      </c>
      <c r="AF680" s="177" t="str">
        <f>E680&amp;AB680</f>
        <v>46073EURUSD</v>
      </c>
      <c r="AG680" s="176"/>
      <c r="AH680" s="178">
        <f ca="1">IF(LEFT(AB680,3)=RIGHT(AB680,3),1,VLOOKUP(AB680,'FX RATES'!$H$1:$I$20,2,FALSE))</f>
        <v>1.1779999999999999</v>
      </c>
      <c r="AI680" s="178">
        <f>IF(OR(AB680="USDAED",LEFT(AB680,3)=RIGHT(AB680,3)),AH680,IF(LEFT(AB680)="USD",AG680,IF(RIGHT(AB680,3)="USD",1,IFERROR(VLOOKUP(E680&amp;"USD"&amp;RIGHT(AB680,3),$AF:$AG,2,FALSE),VLOOKUP(E680&amp;"USD"&amp;RIGHT(AJ680,3),$AN:$AO,2,FALSE)))))</f>
        <v>1</v>
      </c>
      <c r="AJ680" s="173" t="str">
        <f>IF(W680="via USD",IF(S680="EUR",S680&amp;"USD","USD"&amp;S680),IFERROR(VLOOKUP(K680&amp;S680,'FX RATES'!$H$2:$H$20,1,FALSE),S680&amp;K680))</f>
        <v>USDRUB</v>
      </c>
      <c r="AK680" s="175">
        <f>IF(LEFT(AJ680,3)=RIGHT(AJ680,3),0,IFERROR(INDEX(CLIENTS!$A$1:$O$649,MATCH(P680,CLIENTS!$A$1:$A$649,0),MATCH(AJ680,CLIENTS!$A$1:$O$1,0)),0))</f>
        <v>0</v>
      </c>
      <c r="AL680" s="176">
        <v>77.464799999999997</v>
      </c>
      <c r="AM680" s="177">
        <f>IF(W680="VENDOR","",IF(AL680="",AP680+AK680,AL680+AK680))</f>
        <v>77.464799999999997</v>
      </c>
      <c r="AN680" s="177" t="str">
        <f>E680&amp;AJ680</f>
        <v>46073USDRUB</v>
      </c>
      <c r="AO680" s="176">
        <v>77.150000000000006</v>
      </c>
      <c r="AP680" s="178">
        <f ca="1">IF(LEFT(AJ680,3)=RIGHT(AJ680,3),1,VLOOKUP(AJ680,'FX RATES'!$H$1:$I$20,2,FALSE))</f>
        <v>76.720500000000001</v>
      </c>
      <c r="AQ680" s="178">
        <f>IF(OR(AJ680="USDAED",LEFT(AJ680,3)=RIGHT(AJ680,3)),AP680,IF(LEFT(AJ680)="USD",AO680,IF(RIGHT(AJ680,3)="USD",1,IFERROR(VLOOKUP(E680&amp;"USD"&amp;RIGHT(AJ680,3),$AN:$AO,2,FALSE),VLOOKUP(E680&amp;"USD"&amp;RIGHT(AB680,3),$AF:$AG,2,FALSE)))))</f>
        <v>76.599999999999994</v>
      </c>
      <c r="AR680" s="179">
        <f ca="1">-Q680*(1-Z680)/(1+X680)*IF(W680="CLIENT",IF(S680=RIGHT(AJ680,3),1/AM680,AM680),IF(W680="VENDOR",IF(S680=RIGHT(AJ680,3),1/AE680,AE680),AE680^(VLOOKUP(AB680,'FX RATES'!$H$1:$J$26,3,FALSE))/AM680^(VLOOKUP(AJ680,'FX RATES'!$H$1:$J$26,3,FALSE))))</f>
        <v>0</v>
      </c>
      <c r="AS680" s="179">
        <f ca="1">-I680*(1+X680)/(1-Z680)*IF(W680="VENDOR",IF(K680=RIGHT(AB680,3),1/AE680,AE680),IF(W680="CLIENT",IF(K680=RIGHT(AB680,3),1/AM680,AM680),AM680^(VLOOKUP(AJ680,'FX RATES'!$H$1:$J$26,3,FALSE))/AE680^(VLOOKUP(AB680,'FX RATES'!$H$1:$J$26,3,FALSE))))</f>
        <v>6722006.0657921294</v>
      </c>
      <c r="AT680" s="170">
        <f ca="1">IF(AB680&lt;&gt;AJ680,J680/IF(K680=RIGHT(AB680,3),AE680,1/AE680),IF(S680="USD",J680/IF(K680=RIGHT(AB680,3),IF(W680="CLIENT",AM680,AE680),1/IF(W680="CLIENT",AM680,AE680)),J680*VLOOKUP(K680,'FX RATES'!$E$1:$F$10,2,FALSE)))</f>
        <v>-85994</v>
      </c>
      <c r="AU680" s="170">
        <f ca="1">IF(AB680&lt;&gt;AJ680,R680/IF(S680=RIGHT(AJ680,3),AM680,1/AM680),IF(K680="USD",R680/IF(S680=RIGHT(AJ680,3),IF(W680="CLIENT",AM680,AE680),1/IF(W680="CLIENT",AM680,AE680)),R680*VLOOKUP(S680,'FX RATES'!$E$1:$F$10,2,FALSE)))</f>
        <v>86774.974772956615</v>
      </c>
      <c r="AV680" s="170">
        <f ca="1">AT680+AU680</f>
        <v>780.9747729566152</v>
      </c>
      <c r="AW680" s="169"/>
      <c r="AX680" s="170">
        <f ca="1">IF(AND(ISERROR(SEARCH("INVOICE",T680)),ISERROR(SEARCH("SWITCH",T680)),ISERROR(SEARCH("FOREX",T680)),ISERROR(SEARCH("REFUND",A680)),ISERROR(SEARCH("CANCELLED",A680))),IF(AW680="",-AT680*X680+AU680*Z680,AW680),0)</f>
        <v>780.97477295660951</v>
      </c>
      <c r="AY680" s="170">
        <f>IF(AZ680="USD",AT680,IF(AZ680=K680,J680,-R680))</f>
        <v>-73000</v>
      </c>
      <c r="AZ680" s="170" t="str">
        <f>LEFT(AB680,3)</f>
        <v>EUR</v>
      </c>
      <c r="BA680" s="542">
        <f ca="1">IF(OR(A680="REFUND",A680="CANCELLED"),0,IFERROR((IF(OR(AB680="USDAED",LEFT(AB680,3)=RIGHT(AB680,3)),AI680,AG680)-AE680)*-AY680*VLOOKUP(AB680,'FX RATES'!$H$1:$J$26,3,FALSE),0))</f>
        <v>85994</v>
      </c>
      <c r="BB680" s="170" t="str">
        <f>RIGHT(AB680,3)</f>
        <v>USD</v>
      </c>
      <c r="BC680" s="542">
        <f ca="1">IF(BA680=0,0,IFERROR(BA680/IF(BB680&lt;&gt;"USD",AI680,1),"???"))</f>
        <v>85994</v>
      </c>
      <c r="BD680" s="170">
        <f ca="1">IFERROR(-AC680/(IF(OR(AB680="USDAED",LEFT(AB680,3)=RIGHT(AB680,3)),AH680,AG680)-AE680)*BC680,0)</f>
        <v>0</v>
      </c>
      <c r="BE680" s="542">
        <f ca="1">BC680-BD680</f>
        <v>85994</v>
      </c>
      <c r="BF680" s="170">
        <f ca="1">IF(BG680="USD",AU680,IF(BG680=S680,R680,-J680))</f>
        <v>86774.974772956615</v>
      </c>
      <c r="BG680" s="170" t="str">
        <f>LEFT(AJ680,3)</f>
        <v>USD</v>
      </c>
      <c r="BH680" s="542">
        <f ca="1">IF(OR(A680="REFUND",A680="CANCELLED"),0,IFERROR((IF(OR(AJ680="USDAED",LEFT(AJ680,3)=RIGHT(AJ680,3)),AQ680,AO680)-AM680)*-BF680*VLOOKUP(AJ680,'FX RATES'!$H$1:$J$26,3,FALSE),0))</f>
        <v>27316.762058525968</v>
      </c>
      <c r="BI680" s="170" t="str">
        <f>RIGHT(AJ680,3)</f>
        <v>RUB</v>
      </c>
      <c r="BJ680" s="542">
        <f ca="1">IF(BH680=0,0,IFERROR(BH680/IF(BI680&lt;&gt;"USD",AQ680,1),"???"))</f>
        <v>356.61569267005183</v>
      </c>
      <c r="BK680" s="170">
        <f ca="1">IFERROR(-AK680/(IF(OR(AJ680="USDAED",LEFT(AJ680,3)=RIGHT(AJ680,3)),AP680,AO680)-AM680)*BJ680,0)</f>
        <v>0</v>
      </c>
      <c r="BL680" s="542">
        <f ca="1">BJ680-BK680</f>
        <v>356.61569267005183</v>
      </c>
      <c r="BM680" s="170">
        <f ca="1">IF(AND(ISERROR(SEARCH("REFUND",A680)),ISERROR(SEARCH("CANCELLED",A680))),BD680+BK680,0)</f>
        <v>0</v>
      </c>
      <c r="BN680" s="542">
        <f ca="1">IF(AND(ISERROR(SEARCH("REFUND",A680)),ISERROR(SEARCH("CANCELLED",A680))),BE680+BL680,0)</f>
        <v>86350.61569267005</v>
      </c>
    </row>
    <row r="681" spans="1:66" ht="19.5" customHeight="1">
      <c r="A681" s="167" t="s">
        <v>660</v>
      </c>
      <c r="B681" s="172" t="s">
        <v>102</v>
      </c>
      <c r="C681" s="172" t="s">
        <v>102</v>
      </c>
      <c r="D681" s="172" t="s">
        <v>451</v>
      </c>
      <c r="E681" s="171">
        <v>46073</v>
      </c>
      <c r="F681" s="171"/>
      <c r="G681" s="172" t="s">
        <v>102</v>
      </c>
      <c r="H681" s="172" t="s">
        <v>104</v>
      </c>
      <c r="I681" s="169"/>
      <c r="J681" s="170">
        <f>IF(I681="",AR681,I681)</f>
        <v>-73292</v>
      </c>
      <c r="K681" s="172" t="s">
        <v>53</v>
      </c>
      <c r="L681" s="172" t="s">
        <v>420</v>
      </c>
      <c r="M681" s="172" t="s">
        <v>54</v>
      </c>
      <c r="O681" s="172" t="s">
        <v>102</v>
      </c>
      <c r="P681" s="172" t="s">
        <v>104</v>
      </c>
      <c r="Q681" s="169">
        <f>-J680</f>
        <v>73000</v>
      </c>
      <c r="R681" s="170">
        <f>IF(Q681="",AS681,Q681)</f>
        <v>73000</v>
      </c>
      <c r="S681" s="172" t="s">
        <v>5</v>
      </c>
      <c r="T681" s="171" t="s">
        <v>420</v>
      </c>
      <c r="U681" s="172" t="s">
        <v>54</v>
      </c>
      <c r="W681" s="172" t="s">
        <v>375</v>
      </c>
      <c r="X681" s="173">
        <f>IF(Y681="",VLOOKUP(H681,CLIENTS!$A$1:$O$649,5,FALSE),Y681)</f>
        <v>0</v>
      </c>
      <c r="Y681" s="174">
        <v>0</v>
      </c>
      <c r="Z681" s="173">
        <f>IF(AA681="",VLOOKUP(P681,CLIENTS!$A$1:$O$649,5,FALSE),AA681)</f>
        <v>-4.0000000000000001E-3</v>
      </c>
      <c r="AA681" s="174">
        <v>-4.0000000000000001E-3</v>
      </c>
      <c r="AB681" s="173" t="str">
        <f>IF(W681="via USD",IF(K681="EUR",K681&amp;"USD","USD"&amp;K681),IFERROR(VLOOKUP(K681&amp;S681,'FX RATES'!$H$2:$H$55,1,FALSE),S681&amp;K681))</f>
        <v>USDUSDT</v>
      </c>
      <c r="AC681" s="175">
        <f>IF(LEFT(AB681,3)=RIGHT(AB681,3),0,IFERROR(INDEX(CLIENTS!$A$1:$O$649,MATCH(H681,CLIENTS!$A$1:$A$649,0),MATCH(AB681,CLIENTS!$A$1:$O$1,0)),0))</f>
        <v>0</v>
      </c>
      <c r="AD681" s="176"/>
      <c r="AE681" s="177">
        <f>IF(W681="CLIENT","",IF(AD681="",AH681+AC681,AD681+AC681))</f>
        <v>1</v>
      </c>
      <c r="AF681" s="177" t="str">
        <f>E681&amp;AB681</f>
        <v>46073USDUSDT</v>
      </c>
      <c r="AG681" s="176">
        <v>1</v>
      </c>
      <c r="AH681" s="178">
        <f>IF(OR(LEFT(AB681,3)=RIGHT(AB681,3),OR(AB681="USDUSDT",AB681="USDTUSD")),1,VLOOKUP(AB681,'FX RATES'!$H$1:$I$20,2,FALSE))</f>
        <v>1</v>
      </c>
      <c r="AI681" s="178">
        <f>IF(OR(AB681="USDAED",LEFT(AB681,3)=RIGHT(AB681,3)),AH681,IF(LEFT(AB681)="USD",AG681,IF(OR(RIGHT(AB681,3)="USD",RIGHT(AB681,4)="USDT"),1,IFERROR(VLOOKUP(E681&amp;"USD"&amp;RIGHT(AB681,3),$AF:$AG,2,FALSE),VLOOKUP(E681&amp;"USD"&amp;RIGHT(AJ681,3),$AN:$AO,2,FALSE)))))</f>
        <v>1</v>
      </c>
      <c r="AJ681" s="173" t="str">
        <f>IF(W681="via USD",IF(S681="EUR",S681&amp;"USD","USD"&amp;S681),IFERROR(VLOOKUP(K681&amp;S681,'FX RATES'!$H$2:$H$20,1,FALSE),S681&amp;K681))</f>
        <v>USDUSD</v>
      </c>
      <c r="AK681" s="175">
        <f>IF(LEFT(AJ681,3)=RIGHT(AJ681,3),0,IFERROR(INDEX(CLIENTS!$A$1:$O$649,MATCH(P681,CLIENTS!$A$1:$A$649,0),MATCH(AJ681,CLIENTS!$A$1:$O$1,0)),0))</f>
        <v>0</v>
      </c>
      <c r="AL681" s="176"/>
      <c r="AM681" s="177">
        <f>IF(W681="VENDOR","",IF(AL681="",AP681+AK681,AL681+AK681))</f>
        <v>1</v>
      </c>
      <c r="AN681" s="177" t="str">
        <f>E681&amp;AJ681</f>
        <v>46073USDUSD</v>
      </c>
      <c r="AO681" s="176"/>
      <c r="AP681" s="178">
        <f>IF(OR(LEFT(AJ681,3)=RIGHT(AJ681,3),AND(OR(AB681="USDUSDT",AB681="USDTUSD"),OR(AJ681="USDUSDT",AJ681="USDTUSD"))),1,VLOOKUP(AJ681,'FX RATES'!$H$1:$I$20,2,FALSE))</f>
        <v>1</v>
      </c>
      <c r="AQ681" s="178">
        <f>IF(OR(AJ681="USDAED",LEFT(AJ681,3)=RIGHT(AJ681,3)),AP681,IF(LEFT(AJ681)="USD",AO681,IF(OR(RIGHT(AB681,3)="USD",RIGHT(AB681,4)="USDT"),1,IFERROR(VLOOKUP(E681&amp;"USD"&amp;RIGHT(AJ681,3),$AN:$AO,2,FALSE),VLOOKUP(E681&amp;"USD"&amp;RIGHT(AB681,3),$AF:$AG,2,FALSE)))))</f>
        <v>1</v>
      </c>
      <c r="AR681" s="179">
        <f>-Q681*(1-Z681)/(1+X681)*IF(W681="CLIENT",IF(S681=RIGHT(AJ681,3),1/AM681,AM681),IF(W681="VENDOR",IF(S681=RIGHT(AJ681,3),1/AE681,AE681),AE681^(VLOOKUP(AB681,'FX RATES'!$H$1:$J$26,3,FALSE))/AM681^(VLOOKUP(AJ681,'FX RATES'!$H$1:$J$26,3,FALSE))))</f>
        <v>-73292</v>
      </c>
      <c r="AS681" s="179">
        <f>-I681*(1+X681)/(1-Z681)*IF(W681="VENDOR",IF(K681=RIGHT(AB681,3),1/AE681,AE681),IF(W681="CLIENT",IF(K681=RIGHT(AB681,3),1/AM681,AM681),AM681^(VLOOKUP(AJ681,'FX RATES'!$H$1:$J$26,3,FALSE))/AE681^(VLOOKUP(AB681,'FX RATES'!$H$1:$J$26,3,FALSE))))</f>
        <v>0</v>
      </c>
      <c r="AT681" s="170">
        <f>IF(AB681&lt;&gt;AJ681,J681/IF(K681=RIGHT(AB681,3),AE681,1/AE681),IF(S681="USD",J681/IF(K681=RIGHT(AB681,3),IF(W681="CLIENT",AM681,AE681),1/IF(W681="CLIENT",AM681,AE681)),J681*VLOOKUP(K681,'FX RATES'!$E$1:$F$10,2,FALSE)))</f>
        <v>-73292</v>
      </c>
      <c r="AU681" s="170">
        <f>IF(AB681&lt;&gt;AJ681,R681/IF(S681=RIGHT(AJ681,3),AM681,1/AM681),IF(K681="USD",R681/IF(S681=RIGHT(AJ681,3),IF(W681="CLIENT",AM681,AE681),1/IF(W681="CLIENT",AM681,AE681)),R681*VLOOKUP(S681,'FX RATES'!$E$1:$F$10,2,FALSE)))</f>
        <v>73000</v>
      </c>
      <c r="AV681" s="170">
        <f>AT681+AU681</f>
        <v>-292</v>
      </c>
      <c r="AW681" s="169"/>
      <c r="AX681" s="170">
        <f>IF(AND(ISERROR(SEARCH("INVOICE",T681)),ISERROR(SEARCH("SWITCH",T681)),ISERROR(SEARCH("FOREX",T681)),ISERROR(SEARCH("REFUND",A681)),ISERROR(SEARCH("CANCELLED",A681))),IF(AW681="",-AT681*X681+AU681*Z681,AW681),0)</f>
        <v>-292</v>
      </c>
      <c r="AY681" s="170">
        <f>IF(AZ681="USD",AT681,IF(AZ681=K681,J681,-R681))</f>
        <v>-73292</v>
      </c>
      <c r="AZ681" s="170" t="str">
        <f>LEFT(AB681,3)</f>
        <v>USD</v>
      </c>
      <c r="BA681" s="542">
        <f>IF(OR(A681="REFUND",A681="CANCELLED"),0,IFERROR((IF(OR(AB681="USDAED",LEFT(AB681,3)=RIGHT(AB681,3)),AI681,AG681)-AE681)*-AY681*VLOOKUP(AB681,'FX RATES'!$H$1:$J$26,3,FALSE),0))</f>
        <v>0</v>
      </c>
      <c r="BB681" s="170" t="str">
        <f>RIGHT(AB681,4)</f>
        <v>USDT</v>
      </c>
      <c r="BC681" s="542">
        <f>IF(BA681=0,0,IFERROR(BA681/IF(BB681&lt;&gt;"USD",AI681,1),"???"))</f>
        <v>0</v>
      </c>
      <c r="BD681" s="170">
        <f>IFERROR(-AC681/(IF(OR(AB681="USDAED",LEFT(AB681,3)=RIGHT(AB681,3)),AH681,AG681)-AE681)*BC681,0)</f>
        <v>0</v>
      </c>
      <c r="BE681" s="542">
        <f>BC681-BD681</f>
        <v>0</v>
      </c>
      <c r="BF681" s="170">
        <f>IF(BG681="USD",AU681,IF(BG681=S681,R681,-J681))</f>
        <v>73000</v>
      </c>
      <c r="BG681" s="170" t="str">
        <f>LEFT(AJ681,3)</f>
        <v>USD</v>
      </c>
      <c r="BH681" s="542">
        <f>IF(OR(A681="REFUND",A681="CANCELLED"),0,IFERROR((IF(OR(AJ681="USDAED",LEFT(AJ681,3)=RIGHT(AJ681,3)),AQ681,AO681)-AM681)*-BF681*VLOOKUP(AJ681,'FX RATES'!$H$1:$J$26,3,FALSE),0))</f>
        <v>0</v>
      </c>
      <c r="BI681" s="170" t="str">
        <f>RIGHT(AJ681,3)</f>
        <v>USD</v>
      </c>
      <c r="BJ681" s="542">
        <f>IF(BH681=0,0,IFERROR(BH681/IF(BI681&lt;&gt;"USD",AQ681,1),"???"))</f>
        <v>0</v>
      </c>
      <c r="BK681" s="170">
        <f>IFERROR(-AK681/(IF(OR(AJ681="USDAED",LEFT(AJ681,3)=RIGHT(AJ681,3)),AP681,AO681)-AM681)*BJ681,0)</f>
        <v>0</v>
      </c>
      <c r="BL681" s="542">
        <f>BJ681-BK681</f>
        <v>0</v>
      </c>
      <c r="BM681" s="170">
        <f>IF(AND(ISERROR(SEARCH("REFUND",A681)),ISERROR(SEARCH("CANCELLED",A681))),BD681+BK681,0)</f>
        <v>0</v>
      </c>
      <c r="BN681" s="542">
        <f>IF(AND(ISERROR(SEARCH("REFUND",A681)),ISERROR(SEARCH("CANCELLED",A681))),BE681+BL681,0)</f>
        <v>0</v>
      </c>
    </row>
    <row r="683" spans="1:66" ht="19.5" customHeight="1">
      <c r="A683" s="167" t="s">
        <v>660</v>
      </c>
      <c r="B683" s="168" t="s">
        <v>27</v>
      </c>
      <c r="C683" s="168" t="s">
        <v>367</v>
      </c>
      <c r="D683" s="168" t="s">
        <v>368</v>
      </c>
      <c r="E683" s="171">
        <v>46073</v>
      </c>
      <c r="F683" s="171" t="s">
        <v>625</v>
      </c>
      <c r="G683" s="168" t="s">
        <v>27</v>
      </c>
      <c r="H683" s="168" t="s">
        <v>665</v>
      </c>
      <c r="I683" s="169">
        <v>-2500000</v>
      </c>
      <c r="J683" s="170">
        <f t="shared" ref="J683" si="835">IF(I683="",AR683,I683)</f>
        <v>-2500000</v>
      </c>
      <c r="K683" s="168" t="s">
        <v>8</v>
      </c>
      <c r="L683" s="168" t="s">
        <v>14</v>
      </c>
      <c r="M683" s="168" t="s">
        <v>28</v>
      </c>
      <c r="O683" s="168" t="s">
        <v>52</v>
      </c>
      <c r="P683" s="168" t="s">
        <v>666</v>
      </c>
      <c r="Q683" s="169"/>
      <c r="R683" s="170">
        <f t="shared" ref="R683" si="836">IF(Q683="",AS683,Q683)</f>
        <v>52494805.344327539</v>
      </c>
      <c r="S683" s="168" t="s">
        <v>9</v>
      </c>
      <c r="T683" s="171" t="s">
        <v>475</v>
      </c>
      <c r="U683" s="168" t="s">
        <v>25</v>
      </c>
      <c r="W683" s="172" t="s">
        <v>375</v>
      </c>
      <c r="X683" s="173">
        <f>IF(Y683="",VLOOKUP(H683,CLIENTS!$A$1:$O$649,5,FALSE),Y683)</f>
        <v>0</v>
      </c>
      <c r="Y683" s="174">
        <v>0</v>
      </c>
      <c r="Z683" s="173">
        <f>IF(AA683="",VLOOKUP(P683,CLIENTS!$A$1:$O$649,5,FALSE),AA683)</f>
        <v>6.0000000000000001E-3</v>
      </c>
      <c r="AA683" s="174">
        <v>6.0000000000000001E-3</v>
      </c>
      <c r="AB683" s="173" t="str">
        <f>IF(W683="via USD",IF(K683="EUR",K683&amp;"USD","USD"&amp;K683),IFERROR(VLOOKUP(K683&amp;S683,'FX RATES'!$H$2:$H$20,1,FALSE),S683&amp;K683))</f>
        <v>USDAED</v>
      </c>
      <c r="AC683" s="175">
        <f>IF(LEFT(AB683,3)=RIGHT(AB683,3),0,IFERROR(INDEX(CLIENTS!$A$1:$O$649,MATCH(H683,CLIENTS!$A$1:$A$649,0),MATCH(AB683,CLIENTS!$A$1:$O$1,0)),0))</f>
        <v>0</v>
      </c>
      <c r="AD683" s="176">
        <v>3.67</v>
      </c>
      <c r="AE683" s="177">
        <f t="shared" ref="AE683" si="837">IF(W683="CLIENT","",IF(AD683="",AH683+AC683,AD683+AC683))</f>
        <v>3.67</v>
      </c>
      <c r="AF683" s="177" t="str">
        <f t="shared" ref="AF683" si="838">E683&amp;AB683</f>
        <v>46073USDAED</v>
      </c>
      <c r="AG683" s="176"/>
      <c r="AH683" s="178">
        <f>IF(LEFT(AB683,3)=RIGHT(AB683,3),1,VLOOKUP(AB683,'FX RATES'!$H$1:$I$20,2,FALSE))</f>
        <v>3.6724999999999999</v>
      </c>
      <c r="AI683" s="178">
        <f>IF(OR(AB683="USDAED",LEFT(AB683,3)=RIGHT(AB683,3)),AH683,IF(LEFT(AB683)="USD",AG683,IF(RIGHT(AB683,3)="USD",1,IFERROR(VLOOKUP(E683&amp;"USD"&amp;RIGHT(AB683,3),$AF:$AG,2,FALSE),VLOOKUP(E683&amp;"USD"&amp;RIGHT(AJ683,3),$AN:$AO,2,FALSE)))))</f>
        <v>3.6724999999999999</v>
      </c>
      <c r="AJ683" s="173" t="str">
        <f>IF(W683="via USD",IF(S683="EUR",S683&amp;"USD","USD"&amp;S683),IFERROR(VLOOKUP(K683&amp;S683,'FX RATES'!$H$2:$H$20,1,FALSE),S683&amp;K683))</f>
        <v>USDRUB</v>
      </c>
      <c r="AK683" s="175">
        <f>IF(LEFT(AJ683,3)=RIGHT(AJ683,3),0,IFERROR(INDEX(CLIENTS!$A$1:$O$649,MATCH(P683,CLIENTS!$A$1:$A$649,0),MATCH(AJ683,CLIENTS!$A$1:$O$1,0)),0))</f>
        <v>0</v>
      </c>
      <c r="AL683" s="176">
        <v>76.599999999999994</v>
      </c>
      <c r="AM683" s="177">
        <f t="shared" ref="AM683" si="839">IF(W683="VENDOR","",IF(AL683="",AP683+AK683,AL683+AK683))</f>
        <v>76.599999999999994</v>
      </c>
      <c r="AN683" s="177" t="str">
        <f t="shared" ref="AN683" si="840">E683&amp;AJ683</f>
        <v>46073USDRUB</v>
      </c>
      <c r="AO683" s="176">
        <v>76.599999999999994</v>
      </c>
      <c r="AP683" s="178">
        <f ca="1">IF(LEFT(AJ683,3)=RIGHT(AJ683,3),1,VLOOKUP(AJ683,'FX RATES'!$H$1:$I$20,2,FALSE))</f>
        <v>76.720500000000001</v>
      </c>
      <c r="AQ683" s="178">
        <f>IF(OR(AJ683="USDAED",LEFT(AJ683,3)=RIGHT(AJ683,3)),AP683,IF(LEFT(AJ683)="USD",AO683,IF(RIGHT(AJ683,3)="USD",1,IFERROR(VLOOKUP(E683&amp;"USD"&amp;RIGHT(AJ683,3),$AN:$AO,2,FALSE),VLOOKUP(E683&amp;"USD"&amp;RIGHT(AB683,3),$AF:$AG,2,FALSE)))))</f>
        <v>76.599999999999994</v>
      </c>
      <c r="AR683" s="179">
        <f>-Q683*(1-Z683)/(1+X683)*IF(W683="CLIENT",IF(S683=RIGHT(AJ683,3),1/AM683,AM683),IF(W683="VENDOR",IF(S683=RIGHT(AJ683,3),1/AE683,AE683),AE683^(VLOOKUP(AB683,'FX RATES'!$H$1:$J$26,3,FALSE))/AM683^(VLOOKUP(AJ683,'FX RATES'!$H$1:$J$26,3,FALSE))))</f>
        <v>0</v>
      </c>
      <c r="AS683" s="179">
        <f>-I683*(1+X683)/(1-Z683)*IF(W683="VENDOR",IF(K683=RIGHT(AB683,3),1/AE683,AE683),IF(W683="CLIENT",IF(K683=RIGHT(AB683,3),1/AM683,AM683),AM683^(VLOOKUP(AJ683,'FX RATES'!$H$1:$J$26,3,FALSE))/AE683^(VLOOKUP(AB683,'FX RATES'!$H$1:$J$26,3,FALSE))))</f>
        <v>52494805.344327539</v>
      </c>
      <c r="AT683" s="170">
        <f>IF(AB683&lt;&gt;AJ683,J683/IF(K683=RIGHT(AB683,3),AE683,1/AE683),IF(S683="USD",J683/IF(K683=RIGHT(AB683,3),IF(W683="CLIENT",AM683,AE683),1/IF(W683="CLIENT",AM683,AE683)),J683*VLOOKUP(K683,'FX RATES'!$E$1:$F$10,2,FALSE)))</f>
        <v>-681198.91008174384</v>
      </c>
      <c r="AU683" s="170">
        <f>IF(AB683&lt;&gt;AJ683,R683/IF(S683=RIGHT(AJ683,3),AM683,1/AM683),IF(K683="USD",R683/IF(S683=RIGHT(AJ683,3),IF(W683="CLIENT",AM683,AE683),1/IF(W683="CLIENT",AM683,AE683)),R683*VLOOKUP(S683,'FX RATES'!$E$1:$F$10,2,FALSE)))</f>
        <v>685310.77473012463</v>
      </c>
      <c r="AV683" s="170">
        <f t="shared" ref="AV683" si="841">AT683+AU683</f>
        <v>4111.8646483807825</v>
      </c>
      <c r="AW683" s="169"/>
      <c r="AX683" s="170">
        <f t="shared" ref="AX683" si="842">IF(AND(ISERROR(SEARCH("INVOICE",T683)),ISERROR(SEARCH("SWITCH",T683)),ISERROR(SEARCH("FOREX",T683)),ISERROR(SEARCH("REFUND",A683)),ISERROR(SEARCH("CANCELLED",A683))),IF(AW683="",-AT683*X683+AU683*Z683,AW683),0)</f>
        <v>4111.8646483807479</v>
      </c>
      <c r="AY683" s="170">
        <f t="shared" ref="AY683" si="843">IF(AZ683="USD",AT683,IF(AZ683=K683,J683,-R683))</f>
        <v>-681198.91008174384</v>
      </c>
      <c r="AZ683" s="170" t="str">
        <f t="shared" ref="AZ683" si="844">LEFT(AB683,3)</f>
        <v>USD</v>
      </c>
      <c r="BA683" s="542">
        <f>IF(OR(A683="REFUND",A683="CANCELLED"),0,IFERROR((IF(OR(AB683="USDAED",LEFT(AB683,3)=RIGHT(AB683,3)),AI683,AG683)-AE683)*-AY683*VLOOKUP(AB683,'FX RATES'!$H$1:$J$26,3,FALSE),0))</f>
        <v>1702.9972752043234</v>
      </c>
      <c r="BB683" s="170" t="str">
        <f t="shared" ref="BB683" si="845">RIGHT(AB683,3)</f>
        <v>AED</v>
      </c>
      <c r="BC683" s="542">
        <f t="shared" ref="BC683" si="846">IF(BA683=0,0,IFERROR(BA683/IF(BB683&lt;&gt;"USD",AI683,1),"???"))</f>
        <v>463.71607221356663</v>
      </c>
      <c r="BD683" s="170">
        <f t="shared" ref="BD683" si="847">IFERROR(-AC683/(IF(OR(AB683="USDAED",LEFT(AB683,3)=RIGHT(AB683,3)),AH683,AG683)-AE683)*BC683,0)</f>
        <v>0</v>
      </c>
      <c r="BE683" s="542">
        <f t="shared" ref="BE683" si="848">BC683-BD683</f>
        <v>463.71607221356663</v>
      </c>
      <c r="BF683" s="170">
        <f t="shared" ref="BF683" si="849">IF(BG683="USD",AU683,IF(BG683=S683,R683,-J683))</f>
        <v>685310.77473012463</v>
      </c>
      <c r="BG683" s="170" t="str">
        <f t="shared" ref="BG683" si="850">LEFT(AJ683,3)</f>
        <v>USD</v>
      </c>
      <c r="BH683" s="542">
        <f>IF(OR(A683="REFUND",A683="CANCELLED"),0,IFERROR((IF(OR(AJ683="USDAED",LEFT(AJ683,3)=RIGHT(AJ683,3)),AQ683,AO683)-AM683)*-BF683*VLOOKUP(AJ683,'FX RATES'!$H$1:$J$26,3,FALSE),0))</f>
        <v>0</v>
      </c>
      <c r="BI683" s="170" t="str">
        <f t="shared" ref="BI683" si="851">RIGHT(AJ683,3)</f>
        <v>RUB</v>
      </c>
      <c r="BJ683" s="542">
        <f t="shared" ref="BJ683" si="852">IF(BH683=0,0,IFERROR(BH683/IF(BI683&lt;&gt;"USD",AQ683,1),"???"))</f>
        <v>0</v>
      </c>
      <c r="BK683" s="170">
        <f t="shared" ref="BK683" si="853">IFERROR(-AK683/(IF(OR(AJ683="USDAED",LEFT(AJ683,3)=RIGHT(AJ683,3)),AP683,AO683)-AM683)*BJ683,0)</f>
        <v>0</v>
      </c>
      <c r="BL683" s="542">
        <f t="shared" ref="BL683" si="854">BJ683-BK683</f>
        <v>0</v>
      </c>
      <c r="BM683" s="170">
        <f t="shared" ref="BM683" si="855">IF(AND(ISERROR(SEARCH("REFUND",A683)),ISERROR(SEARCH("CANCELLED",A683))),BD683+BK683,0)</f>
        <v>0</v>
      </c>
      <c r="BN683" s="542">
        <f t="shared" ref="BN683" si="856">IF(AND(ISERROR(SEARCH("REFUND",A683)),ISERROR(SEARCH("CANCELLED",A683))),BE683+BL683,0)</f>
        <v>463.71607221356663</v>
      </c>
    </row>
    <row r="685" spans="1:66" ht="19.5" customHeight="1">
      <c r="A685" s="167" t="s">
        <v>660</v>
      </c>
      <c r="B685" s="168" t="s">
        <v>39</v>
      </c>
      <c r="C685" s="168" t="s">
        <v>367</v>
      </c>
      <c r="D685" s="181" t="s">
        <v>368</v>
      </c>
      <c r="E685" s="171">
        <v>46073</v>
      </c>
      <c r="F685" s="171"/>
      <c r="G685" s="168" t="s">
        <v>39</v>
      </c>
      <c r="H685" s="181" t="s">
        <v>377</v>
      </c>
      <c r="I685" s="169">
        <v>-115000</v>
      </c>
      <c r="J685" s="170">
        <f t="shared" ref="J685" si="857">IF(I685="",AR685,I685)</f>
        <v>-115000</v>
      </c>
      <c r="K685" s="168" t="s">
        <v>5</v>
      </c>
      <c r="L685" s="168" t="s">
        <v>378</v>
      </c>
      <c r="M685" s="168" t="s">
        <v>20</v>
      </c>
      <c r="O685" s="168" t="s">
        <v>39</v>
      </c>
      <c r="P685" s="349" t="s">
        <v>379</v>
      </c>
      <c r="Q685" s="169"/>
      <c r="R685" s="170">
        <f t="shared" ref="R685" si="858">IF(Q685="",AS685,Q685)</f>
        <v>8853266.3316582907</v>
      </c>
      <c r="S685" s="168" t="s">
        <v>9</v>
      </c>
      <c r="T685" s="171" t="s">
        <v>380</v>
      </c>
      <c r="U685" s="168" t="s">
        <v>25</v>
      </c>
      <c r="W685" s="172" t="s">
        <v>375</v>
      </c>
      <c r="X685" s="173">
        <f>IF(Y685="",VLOOKUP(H685,CLIENTS!$A$1:$O$649,5,FALSE),Y685)</f>
        <v>0</v>
      </c>
      <c r="Y685" s="174">
        <v>0</v>
      </c>
      <c r="Z685" s="173">
        <f>IF(AA685="",VLOOKUP(P685,CLIENTS!$A$1:$O$649,5,FALSE),AA685)</f>
        <v>5.0000000000000001E-3</v>
      </c>
      <c r="AA685" s="174">
        <v>5.0000000000000001E-3</v>
      </c>
      <c r="AB685" s="173" t="str">
        <f>IF(W685="via USD",IF(K685="EUR",K685&amp;"USD","USD"&amp;K685),IFERROR(VLOOKUP(K685&amp;S685,'FX RATES'!$H$2:$H$20,1,FALSE),S685&amp;K685))</f>
        <v>USDUSD</v>
      </c>
      <c r="AC685" s="175">
        <f>IF(LEFT(AB685,3)=RIGHT(AB685,3),0,IFERROR(INDEX(CLIENTS!$A$1:$O$649,MATCH(H685,CLIENTS!$A$1:$A$649,0),MATCH(AB685,CLIENTS!$A$1:$O$1,0)),0))</f>
        <v>0</v>
      </c>
      <c r="AD685" s="176"/>
      <c r="AE685" s="177">
        <f t="shared" ref="AE685" si="859">IF(W685="CLIENT","",IF(AD685="",AH685+AC685,AD685+AC685))</f>
        <v>1</v>
      </c>
      <c r="AF685" s="177" t="str">
        <f t="shared" ref="AF685" si="860">E685&amp;AB685</f>
        <v>46073USDUSD</v>
      </c>
      <c r="AG685" s="176"/>
      <c r="AH685" s="178">
        <f>IF(LEFT(AB685,3)=RIGHT(AB685,3),1,VLOOKUP(AB685,'FX RATES'!$H$1:$I$20,2,FALSE))</f>
        <v>1</v>
      </c>
      <c r="AI685" s="178">
        <f>IF(OR(AB685="USDAED",LEFT(AB685,3)=RIGHT(AB685,3)),AH685,IF(LEFT(AB685)="USD",AG685,IF(RIGHT(AB685,3)="USD",1,IFERROR(VLOOKUP(E685&amp;"USD"&amp;RIGHT(AB685,3),$AF:$AG,2,FALSE),VLOOKUP(E685&amp;"USD"&amp;RIGHT(AJ685,3),$AN:$AO,2,FALSE)))))</f>
        <v>1</v>
      </c>
      <c r="AJ685" s="173" t="str">
        <f>IF(W685="via USD",IF(S685="EUR",S685&amp;"USD","USD"&amp;S685),IFERROR(VLOOKUP(K685&amp;S685,'FX RATES'!$H$2:$H$20,1,FALSE),S685&amp;K685))</f>
        <v>USDRUB</v>
      </c>
      <c r="AK685" s="175">
        <f>IF(LEFT(AJ685,3)=RIGHT(AJ685,3),0,IFERROR(INDEX(CLIENTS!$A$1:$O$649,MATCH(P685,CLIENTS!$A$1:$A$649,0),MATCH(AJ685,CLIENTS!$A$1:$O$1,0)),0))</f>
        <v>0</v>
      </c>
      <c r="AL685" s="176">
        <v>76.599999999999994</v>
      </c>
      <c r="AM685" s="177">
        <f t="shared" ref="AM685" si="861">IF(W685="VENDOR","",IF(AL685="",AP685+AK685,AL685+AK685))</f>
        <v>76.599999999999994</v>
      </c>
      <c r="AN685" s="177" t="str">
        <f t="shared" ref="AN685" si="862">E685&amp;AJ685</f>
        <v>46073USDRUB</v>
      </c>
      <c r="AO685" s="176">
        <v>76.599999999999994</v>
      </c>
      <c r="AP685" s="178">
        <f ca="1">IF(LEFT(AJ685,3)=RIGHT(AJ685,3),1,VLOOKUP(AJ685,'FX RATES'!$H$1:$I$20,2,FALSE))</f>
        <v>76.720500000000001</v>
      </c>
      <c r="AQ685" s="178">
        <f>IF(OR(AJ685="USDAED",LEFT(AJ685,3)=RIGHT(AJ685,3)),AP685,IF(LEFT(AJ685)="USD",AO685,IF(RIGHT(AJ685,3)="USD",1,IFERROR(VLOOKUP(E685&amp;"USD"&amp;RIGHT(AJ685,3),$AN:$AO,2,FALSE),VLOOKUP(E685&amp;"USD"&amp;RIGHT(AB685,3),$AF:$AG,2,FALSE)))))</f>
        <v>76.599999999999994</v>
      </c>
      <c r="AR685" s="179">
        <f>-Q685*(1-Z685)/(1+X685)*IF(W685="CLIENT",IF(S685=RIGHT(AJ685,3),1/AM685,AM685),IF(W685="VENDOR",IF(S685=RIGHT(AJ685,3),1/AE685,AE685),AE685^(VLOOKUP(AB685,'FX RATES'!$H$1:$J$26,3,FALSE))/AM685^(VLOOKUP(AJ685,'FX RATES'!$H$1:$J$26,3,FALSE))))</f>
        <v>0</v>
      </c>
      <c r="AS685" s="179">
        <f>-I685*(1+X685)/(1-Z685)*IF(W685="VENDOR",IF(K685=RIGHT(AB685,3),1/AE685,AE685),IF(W685="CLIENT",IF(K685=RIGHT(AB685,3),1/AM685,AM685),AM685^(VLOOKUP(AJ685,'FX RATES'!$H$1:$J$26,3,FALSE))/AE685^(VLOOKUP(AB685,'FX RATES'!$H$1:$J$26,3,FALSE))))</f>
        <v>8853266.3316582907</v>
      </c>
      <c r="AT685" s="170">
        <f>IF(AB685&lt;&gt;AJ685,J685/IF(K685=RIGHT(AB685,3),AE685,1/AE685),IF(S685="USD",J685/IF(K685=RIGHT(AB685,3),IF(W685="CLIENT",AM685,AE685),1/IF(W685="CLIENT",AM685,AE685)),J685*VLOOKUP(K685,'FX RATES'!$E$1:$F$10,2,FALSE)))</f>
        <v>-115000</v>
      </c>
      <c r="AU685" s="170">
        <f>IF(AB685&lt;&gt;AJ685,R685/IF(S685=RIGHT(AJ685,3),AM685,1/AM685),IF(K685="USD",R685/IF(S685=RIGHT(AJ685,3),IF(W685="CLIENT",AM685,AE685),1/IF(W685="CLIENT",AM685,AE685)),R685*VLOOKUP(S685,'FX RATES'!$E$1:$F$10,2,FALSE)))</f>
        <v>115577.88944723619</v>
      </c>
      <c r="AV685" s="170">
        <f t="shared" ref="AV685" si="863">AT685+AU685</f>
        <v>577.88944723618624</v>
      </c>
      <c r="AW685" s="169"/>
      <c r="AX685" s="170">
        <f t="shared" ref="AX685" si="864">IF(AND(ISERROR(SEARCH("INVOICE",T685)),ISERROR(SEARCH("SWITCH",T685)),ISERROR(SEARCH("FOREX",T685)),ISERROR(SEARCH("REFUND",A685)),ISERROR(SEARCH("CANCELLED",A685))),IF(AW685="",-AT685*X685+AU685*Z685,AW685),0)</f>
        <v>577.8894472361809</v>
      </c>
      <c r="AY685" s="170">
        <f t="shared" ref="AY685" si="865">IF(AZ685="USD",AT685,IF(AZ685=K685,J685,-R685))</f>
        <v>-115000</v>
      </c>
      <c r="AZ685" s="170" t="str">
        <f t="shared" ref="AZ685" si="866">LEFT(AB685,3)</f>
        <v>USD</v>
      </c>
      <c r="BA685" s="542">
        <f>IF(OR(A685="REFUND",A685="CANCELLED"),0,IFERROR((IF(OR(AB685="USDAED",LEFT(AB685,3)=RIGHT(AB685,3)),AI685,AG685)-AE685)*-AY685*VLOOKUP(AB685,'FX RATES'!$H$1:$J$26,3,FALSE),0))</f>
        <v>0</v>
      </c>
      <c r="BB685" s="170" t="str">
        <f t="shared" ref="BB685" si="867">RIGHT(AB685,3)</f>
        <v>USD</v>
      </c>
      <c r="BC685" s="542">
        <f t="shared" ref="BC685" si="868">IF(BA685=0,0,IFERROR(BA685/IF(BB685&lt;&gt;"USD",AI685,1),"???"))</f>
        <v>0</v>
      </c>
      <c r="BD685" s="170">
        <f t="shared" ref="BD685" si="869">IFERROR(-AC685/(IF(OR(AB685="USDAED",LEFT(AB685,3)=RIGHT(AB685,3)),AH685,AG685)-AE685)*BC685,0)</f>
        <v>0</v>
      </c>
      <c r="BE685" s="542">
        <f t="shared" ref="BE685" si="870">BC685-BD685</f>
        <v>0</v>
      </c>
      <c r="BF685" s="170">
        <f t="shared" ref="BF685" si="871">IF(BG685="USD",AU685,IF(BG685=S685,R685,-J685))</f>
        <v>115577.88944723619</v>
      </c>
      <c r="BG685" s="170" t="str">
        <f t="shared" ref="BG685" si="872">LEFT(AJ685,3)</f>
        <v>USD</v>
      </c>
      <c r="BH685" s="542">
        <f>IF(OR(A685="REFUND",A685="CANCELLED"),0,IFERROR((IF(OR(AJ685="USDAED",LEFT(AJ685,3)=RIGHT(AJ685,3)),AQ685,AO685)-AM685)*-BF685*VLOOKUP(AJ685,'FX RATES'!$H$1:$J$26,3,FALSE),0))</f>
        <v>0</v>
      </c>
      <c r="BI685" s="170" t="str">
        <f t="shared" ref="BI685" si="873">RIGHT(AJ685,3)</f>
        <v>RUB</v>
      </c>
      <c r="BJ685" s="542">
        <f t="shared" ref="BJ685" si="874">IF(BH685=0,0,IFERROR(BH685/IF(BI685&lt;&gt;"USD",AQ685,1),"???"))</f>
        <v>0</v>
      </c>
      <c r="BK685" s="170">
        <f t="shared" ref="BK685" si="875">IFERROR(-AK685/(IF(OR(AJ685="USDAED",LEFT(AJ685,3)=RIGHT(AJ685,3)),AP685,AO685)-AM685)*BJ685,0)</f>
        <v>0</v>
      </c>
      <c r="BL685" s="542">
        <f t="shared" ref="BL685" si="876">BJ685-BK685</f>
        <v>0</v>
      </c>
      <c r="BM685" s="170">
        <f t="shared" ref="BM685" si="877">IF(AND(ISERROR(SEARCH("REFUND",A685)),ISERROR(SEARCH("CANCELLED",A685))),BD685+BK685,0)</f>
        <v>0</v>
      </c>
      <c r="BN685" s="542">
        <f t="shared" ref="BN685" si="878">IF(AND(ISERROR(SEARCH("REFUND",A685)),ISERROR(SEARCH("CANCELLED",A685))),BE685+BL685,0)</f>
        <v>0</v>
      </c>
    </row>
    <row r="687" spans="1:66" ht="19.5" customHeight="1">
      <c r="A687" s="167" t="s">
        <v>660</v>
      </c>
      <c r="B687" s="168" t="s">
        <v>45</v>
      </c>
      <c r="C687" s="168" t="s">
        <v>367</v>
      </c>
      <c r="D687" s="168" t="s">
        <v>368</v>
      </c>
      <c r="E687" s="171">
        <v>46063</v>
      </c>
      <c r="F687" s="171"/>
      <c r="G687" s="168" t="s">
        <v>45</v>
      </c>
      <c r="H687" s="181" t="s">
        <v>377</v>
      </c>
      <c r="I687" s="169"/>
      <c r="J687" s="170">
        <f>IF(I687="",AR687,I687)</f>
        <v>-23993.802</v>
      </c>
      <c r="K687" s="168" t="s">
        <v>6</v>
      </c>
      <c r="L687" s="168" t="s">
        <v>581</v>
      </c>
      <c r="M687" s="168" t="s">
        <v>49</v>
      </c>
      <c r="O687" s="168" t="s">
        <v>45</v>
      </c>
      <c r="P687" s="168" t="s">
        <v>582</v>
      </c>
      <c r="Q687" s="169">
        <v>24066</v>
      </c>
      <c r="R687" s="202">
        <f>IF(Q687="",AS687,Q687)</f>
        <v>24066</v>
      </c>
      <c r="S687" s="168" t="s">
        <v>6</v>
      </c>
      <c r="T687" s="171" t="s">
        <v>380</v>
      </c>
      <c r="U687" s="168" t="s">
        <v>49</v>
      </c>
      <c r="W687" s="172" t="s">
        <v>382</v>
      </c>
      <c r="X687" s="173">
        <f>IF(Y687="",VLOOKUP(H687,CLIENTS!$A$1:$O$649,5,FALSE),Y687)</f>
        <v>0</v>
      </c>
      <c r="Y687" s="174">
        <v>0</v>
      </c>
      <c r="Z687" s="173">
        <f>IF(AA687="",VLOOKUP(P687,CLIENTS!$A$1:$O$649,5,FALSE),AA687)</f>
        <v>3.0000000000000001E-3</v>
      </c>
      <c r="AA687" s="174">
        <v>3.0000000000000001E-3</v>
      </c>
      <c r="AB687" s="173" t="str">
        <f>IF(W687="via USD",IF(K687="EUR",K687&amp;"USD","USD"&amp;K687),IFERROR(VLOOKUP(K687&amp;S687,'FX RATES'!$H$2:$H$20,1,FALSE),S687&amp;K687))</f>
        <v>EUREUR</v>
      </c>
      <c r="AC687" s="175">
        <f>IF(LEFT(AB687,3)=RIGHT(AB687,3),0,IFERROR(INDEX(CLIENTS!$A$1:$O$649,MATCH(H687,CLIENTS!$A$1:$A$649,0),MATCH(AB687,CLIENTS!$A$1:$O$1,0)),0))</f>
        <v>0</v>
      </c>
      <c r="AD687" s="176"/>
      <c r="AE687" s="177">
        <f>IF(W687="CLIENT","",IF(AD687="",AH687+AC687,AD687+AC687))</f>
        <v>1</v>
      </c>
      <c r="AF687" s="177" t="str">
        <f>E687&amp;AB687</f>
        <v>46063EUREUR</v>
      </c>
      <c r="AG687" s="176"/>
      <c r="AH687" s="178">
        <f>IF(LEFT(AB687,3)=RIGHT(AB687,3),1,VLOOKUP(AB687,'FX RATES'!$H$1:$I$20,2,FALSE))</f>
        <v>1</v>
      </c>
      <c r="AI687" s="178">
        <f>IF(OR(AB687="USDAED",LEFT(AB687,3)=RIGHT(AB687,3)),AH687,IF(LEFT(AB687)="USD",AG687,IF(RIGHT(AB687,3)="USD",1,IFERROR(VLOOKUP(E687&amp;"USD"&amp;RIGHT(AB687,3),$AF:$AG,2,FALSE),VLOOKUP(E687&amp;"USD"&amp;RIGHT(AJ687,3),$AN:$AO,2,FALSE)))))</f>
        <v>1</v>
      </c>
      <c r="AJ687" s="173" t="str">
        <f>IF(W687="via USD",IF(S687="EUR",S687&amp;"USD","USD"&amp;S687),IFERROR(VLOOKUP(K687&amp;S687,'FX RATES'!$H$2:$H$20,1,FALSE),S687&amp;K687))</f>
        <v>EUREUR</v>
      </c>
      <c r="AK687" s="175">
        <f>IF(LEFT(AJ687,3)=RIGHT(AJ687,3),0,IFERROR(INDEX(CLIENTS!$A$1:$O$649,MATCH(P687,CLIENTS!$A$1:$A$649,0),MATCH(AJ687,CLIENTS!$A$1:$O$1,0)),0))</f>
        <v>0</v>
      </c>
      <c r="AL687" s="176"/>
      <c r="AM687" s="177" t="str">
        <f>IF(W687="VENDOR","",IF(AL687="",AP687+AK687,AL687+AK687))</f>
        <v/>
      </c>
      <c r="AN687" s="177" t="str">
        <f>E687&amp;AJ687</f>
        <v>46063EUREUR</v>
      </c>
      <c r="AO687" s="176"/>
      <c r="AP687" s="178">
        <f>IF(LEFT(AJ687,3)=RIGHT(AJ687,3),1,VLOOKUP(AJ687,'FX RATES'!$H$1:$I$20,2,FALSE))</f>
        <v>1</v>
      </c>
      <c r="AQ687" s="178">
        <f>IF(OR(AJ687="USDAED",LEFT(AJ687,3)=RIGHT(AJ687,3)),AP687,IF(LEFT(AJ687)="USD",AO687,IF(RIGHT(AJ687,3)="USD",1,IFERROR(VLOOKUP(E687&amp;"USD"&amp;RIGHT(AJ687,3),$AN:$AO,2,FALSE),VLOOKUP(E687&amp;"USD"&amp;RIGHT(AB687,3),$AF:$AG,2,FALSE)))))</f>
        <v>1</v>
      </c>
      <c r="AR687" s="179">
        <f>-Q687*(1-Z687)/(1+X687)*IF(W687="CLIENT",IF(S687=RIGHT(AJ687,3),1/AM687,AM687),IF(W687="VENDOR",IF(S687=RIGHT(AJ687,3),1/AE687,AE687),AE687^(VLOOKUP(AB687,'FX RATES'!$H$1:$J$26,3,FALSE))/AM687^(VLOOKUP(AJ687,'FX RATES'!$H$1:$J$26,3,FALSE))))</f>
        <v>-23993.802</v>
      </c>
      <c r="AS687" s="179">
        <f>-I687*(1+X687)/(1-Z687)*IF(W687="VENDOR",IF(K687=RIGHT(AB687,3),1/AE687,AE687),IF(W687="CLIENT",IF(K687=RIGHT(AB687,3),1/AM687,AM687),AM687^(VLOOKUP(AJ687,'FX RATES'!$H$1:$J$26,3,FALSE))/AE687^(VLOOKUP(AB687,'FX RATES'!$H$1:$J$26,3,FALSE))))</f>
        <v>0</v>
      </c>
      <c r="AT687" s="170">
        <f ca="1">IF(AB687&lt;&gt;AJ687,J687/IF(K687=RIGHT(AB687,3),AE687,1/AE687),IF(S687="USD",J687/IF(K687=RIGHT(AB687,3),IF(W687="CLIENT",AM687,AE687),1/IF(W687="CLIENT",AM687,AE687)),J687*VLOOKUP(K687,'FX RATES'!$E$1:$F$10,2,FALSE)))</f>
        <v>-28264.698755999998</v>
      </c>
      <c r="AU687" s="170">
        <f ca="1">IF(AB687&lt;&gt;AJ687,R687/IF(S687=RIGHT(AJ687,3),AM687,1/AM687),IF(K687="USD",R687/IF(S687=RIGHT(AJ687,3),IF(W687="CLIENT",AM687,AE687),1/IF(W687="CLIENT",AM687,AE687)),R687*VLOOKUP(S687,'FX RATES'!$E$1:$F$10,2,FALSE)))</f>
        <v>28349.748</v>
      </c>
      <c r="AV687" s="170">
        <f ca="1">AT687+AU687</f>
        <v>85.049244000001636</v>
      </c>
      <c r="AW687" s="169"/>
      <c r="AX687" s="170">
        <f ca="1">IF(AND(ISERROR(SEARCH("INVOICE",T687)),ISERROR(SEARCH("SWITCH",T687)),ISERROR(SEARCH("FOREX",T687)),ISERROR(SEARCH("REFUND",A687)),ISERROR(SEARCH("CANCELLED",A687))),IF(AW687="",-AT687*X687+AU687*Z687,AW687),0)</f>
        <v>85.049244000000002</v>
      </c>
      <c r="AY687" s="170">
        <f>IF(AZ687="USD",AT687,IF(AZ687=K687,J687,-R687))</f>
        <v>-23993.802</v>
      </c>
      <c r="AZ687" s="170" t="str">
        <f>LEFT(AB687,3)</f>
        <v>EUR</v>
      </c>
      <c r="BA687" s="542">
        <f>IF(OR(A687="REFUND",A687="CANCELLED"),0,IFERROR((IF(OR(AB687="USDAED",LEFT(AB687,3)=RIGHT(AB687,3)),AI687,AG687)-AE687)*-AY687*VLOOKUP(AB687,'FX RATES'!$H$1:$J$26,3,FALSE),0))</f>
        <v>0</v>
      </c>
      <c r="BB687" s="170" t="str">
        <f>RIGHT(AB687,3)</f>
        <v>EUR</v>
      </c>
      <c r="BC687" s="542">
        <f>IF(BA687=0,0,IFERROR(BA687/IF(BB687&lt;&gt;"USD",AI687,1),"???"))</f>
        <v>0</v>
      </c>
      <c r="BD687" s="170">
        <f>IFERROR(-AC687/(IF(OR(AB687="USDAED",LEFT(AB687,3)=RIGHT(AB687,3)),AH687,AG687)-AE687)*BC687,0)</f>
        <v>0</v>
      </c>
      <c r="BE687" s="542">
        <f>BC687-BD687</f>
        <v>0</v>
      </c>
      <c r="BF687" s="170">
        <f>IF(BG687="USD",AU687,IF(BG687=S687,R687,-J687))</f>
        <v>24066</v>
      </c>
      <c r="BG687" s="170" t="str">
        <f>LEFT(AJ687,3)</f>
        <v>EUR</v>
      </c>
      <c r="BH687" s="542">
        <f>IF(OR(A687="REFUND",A687="CANCELLED"),0,IFERROR((IF(OR(AJ687="USDAED",LEFT(AJ687,3)=RIGHT(AJ687,3)),AQ687,AO687)-AM687)*-BF687*VLOOKUP(AJ687,'FX RATES'!$H$1:$J$26,3,FALSE),0))</f>
        <v>0</v>
      </c>
      <c r="BI687" s="170" t="str">
        <f>RIGHT(AJ687,3)</f>
        <v>EUR</v>
      </c>
      <c r="BJ687" s="542">
        <f>IF(BH687=0,0,IFERROR(BH687/IF(BI687&lt;&gt;"USD",AQ687,1),"???"))</f>
        <v>0</v>
      </c>
      <c r="BK687" s="170">
        <f>IFERROR(-AK687/(IF(OR(AJ687="USDAED",LEFT(AJ687,3)=RIGHT(AJ687,3)),AP687,AO687)-AM687)*BJ687,0)</f>
        <v>0</v>
      </c>
      <c r="BL687" s="542">
        <f>BJ687-BK687</f>
        <v>0</v>
      </c>
      <c r="BM687" s="170">
        <f>IF(AND(ISERROR(SEARCH("REFUND",A687)),ISERROR(SEARCH("CANCELLED",A687))),BD687+BK687,0)</f>
        <v>0</v>
      </c>
      <c r="BN687" s="542">
        <f>IF(AND(ISERROR(SEARCH("REFUND",A687)),ISERROR(SEARCH("CANCELLED",A687))),BE687+BL687,0)</f>
        <v>0</v>
      </c>
    </row>
    <row r="688" spans="1:66" ht="19.5" customHeight="1">
      <c r="A688" s="167" t="s">
        <v>660</v>
      </c>
      <c r="B688" s="168" t="s">
        <v>45</v>
      </c>
      <c r="C688" s="168" t="s">
        <v>367</v>
      </c>
      <c r="D688" s="168" t="s">
        <v>368</v>
      </c>
      <c r="E688" s="171">
        <v>46063</v>
      </c>
      <c r="F688" s="171"/>
      <c r="G688" s="168" t="s">
        <v>45</v>
      </c>
      <c r="H688" s="181" t="s">
        <v>377</v>
      </c>
      <c r="I688" s="169"/>
      <c r="J688" s="170">
        <f>IF(I688="",AR688,I688)</f>
        <v>-25428.734250000001</v>
      </c>
      <c r="K688" s="168" t="s">
        <v>6</v>
      </c>
      <c r="L688" s="168" t="s">
        <v>581</v>
      </c>
      <c r="M688" s="168" t="s">
        <v>49</v>
      </c>
      <c r="O688" s="168" t="s">
        <v>45</v>
      </c>
      <c r="P688" s="168" t="s">
        <v>582</v>
      </c>
      <c r="Q688" s="169">
        <v>25505.25</v>
      </c>
      <c r="R688" s="202">
        <f>IF(Q688="",AS688,Q688)</f>
        <v>25505.25</v>
      </c>
      <c r="S688" s="168" t="s">
        <v>6</v>
      </c>
      <c r="T688" s="171" t="s">
        <v>380</v>
      </c>
      <c r="U688" s="168" t="s">
        <v>49</v>
      </c>
      <c r="W688" s="172" t="s">
        <v>382</v>
      </c>
      <c r="X688" s="173">
        <f>IF(Y688="",VLOOKUP(H688,CLIENTS!$A$1:$O$649,5,FALSE),Y688)</f>
        <v>0</v>
      </c>
      <c r="Y688" s="174">
        <v>0</v>
      </c>
      <c r="Z688" s="173">
        <f>IF(AA688="",VLOOKUP(P688,CLIENTS!$A$1:$O$649,5,FALSE),AA688)</f>
        <v>3.0000000000000001E-3</v>
      </c>
      <c r="AA688" s="174">
        <v>3.0000000000000001E-3</v>
      </c>
      <c r="AB688" s="173" t="str">
        <f>IF(W688="via USD",IF(K688="EUR",K688&amp;"USD","USD"&amp;K688),IFERROR(VLOOKUP(K688&amp;S688,'FX RATES'!$H$2:$H$20,1,FALSE),S688&amp;K688))</f>
        <v>EUREUR</v>
      </c>
      <c r="AC688" s="175">
        <f>IF(LEFT(AB688,3)=RIGHT(AB688,3),0,IFERROR(INDEX(CLIENTS!$A$1:$O$649,MATCH(H688,CLIENTS!$A$1:$A$649,0),MATCH(AB688,CLIENTS!$A$1:$O$1,0)),0))</f>
        <v>0</v>
      </c>
      <c r="AD688" s="176"/>
      <c r="AE688" s="177">
        <f>IF(W688="CLIENT","",IF(AD688="",AH688+AC688,AD688+AC688))</f>
        <v>1</v>
      </c>
      <c r="AF688" s="177" t="str">
        <f>E688&amp;AB688</f>
        <v>46063EUREUR</v>
      </c>
      <c r="AG688" s="176"/>
      <c r="AH688" s="178">
        <f>IF(LEFT(AB688,3)=RIGHT(AB688,3),1,VLOOKUP(AB688,'FX RATES'!$H$1:$I$20,2,FALSE))</f>
        <v>1</v>
      </c>
      <c r="AI688" s="178">
        <f>IF(OR(AB688="USDAED",LEFT(AB688,3)=RIGHT(AB688,3)),AH688,IF(LEFT(AB688)="USD",AG688,IF(RIGHT(AB688,3)="USD",1,IFERROR(VLOOKUP(E688&amp;"USD"&amp;RIGHT(AB688,3),$AF:$AG,2,FALSE),VLOOKUP(E688&amp;"USD"&amp;RIGHT(AJ688,3),$AN:$AO,2,FALSE)))))</f>
        <v>1</v>
      </c>
      <c r="AJ688" s="173" t="str">
        <f>IF(W688="via USD",IF(S688="EUR",S688&amp;"USD","USD"&amp;S688),IFERROR(VLOOKUP(K688&amp;S688,'FX RATES'!$H$2:$H$20,1,FALSE),S688&amp;K688))</f>
        <v>EUREUR</v>
      </c>
      <c r="AK688" s="175">
        <f>IF(LEFT(AJ688,3)=RIGHT(AJ688,3),0,IFERROR(INDEX(CLIENTS!$A$1:$O$649,MATCH(P688,CLIENTS!$A$1:$A$649,0),MATCH(AJ688,CLIENTS!$A$1:$O$1,0)),0))</f>
        <v>0</v>
      </c>
      <c r="AL688" s="176"/>
      <c r="AM688" s="177" t="str">
        <f>IF(W688="VENDOR","",IF(AL688="",AP688+AK688,AL688+AK688))</f>
        <v/>
      </c>
      <c r="AN688" s="177" t="str">
        <f>E688&amp;AJ688</f>
        <v>46063EUREUR</v>
      </c>
      <c r="AO688" s="176"/>
      <c r="AP688" s="178">
        <f>IF(LEFT(AJ688,3)=RIGHT(AJ688,3),1,VLOOKUP(AJ688,'FX RATES'!$H$1:$I$20,2,FALSE))</f>
        <v>1</v>
      </c>
      <c r="AQ688" s="178">
        <f>IF(OR(AJ688="USDAED",LEFT(AJ688,3)=RIGHT(AJ688,3)),AP688,IF(LEFT(AJ688)="USD",AO688,IF(RIGHT(AJ688,3)="USD",1,IFERROR(VLOOKUP(E688&amp;"USD"&amp;RIGHT(AJ688,3),$AN:$AO,2,FALSE),VLOOKUP(E688&amp;"USD"&amp;RIGHT(AB688,3),$AF:$AG,2,FALSE)))))</f>
        <v>1</v>
      </c>
      <c r="AR688" s="179">
        <f>-Q688*(1-Z688)/(1+X688)*IF(W688="CLIENT",IF(S688=RIGHT(AJ688,3),1/AM688,AM688),IF(W688="VENDOR",IF(S688=RIGHT(AJ688,3),1/AE688,AE688),AE688^(VLOOKUP(AB688,'FX RATES'!$H$1:$J$26,3,FALSE))/AM688^(VLOOKUP(AJ688,'FX RATES'!$H$1:$J$26,3,FALSE))))</f>
        <v>-25428.734250000001</v>
      </c>
      <c r="AS688" s="179">
        <f>-I688*(1+X688)/(1-Z688)*IF(W688="VENDOR",IF(K688=RIGHT(AB688,3),1/AE688,AE688),IF(W688="CLIENT",IF(K688=RIGHT(AB688,3),1/AM688,AM688),AM688^(VLOOKUP(AJ688,'FX RATES'!$H$1:$J$26,3,FALSE))/AE688^(VLOOKUP(AB688,'FX RATES'!$H$1:$J$26,3,FALSE))))</f>
        <v>0</v>
      </c>
      <c r="AT688" s="170">
        <f ca="1">IF(AB688&lt;&gt;AJ688,J688/IF(K688=RIGHT(AB688,3),AE688,1/AE688),IF(S688="USD",J688/IF(K688=RIGHT(AB688,3),IF(W688="CLIENT",AM688,AE688),1/IF(W688="CLIENT",AM688,AE688)),J688*VLOOKUP(K688,'FX RATES'!$E$1:$F$10,2,FALSE)))</f>
        <v>-29955.048946499999</v>
      </c>
      <c r="AU688" s="170">
        <f ca="1">IF(AB688&lt;&gt;AJ688,R688/IF(S688=RIGHT(AJ688,3),AM688,1/AM688),IF(K688="USD",R688/IF(S688=RIGHT(AJ688,3),IF(W688="CLIENT",AM688,AE688),1/IF(W688="CLIENT",AM688,AE688)),R688*VLOOKUP(S688,'FX RATES'!$E$1:$F$10,2,FALSE)))</f>
        <v>30045.184499999999</v>
      </c>
      <c r="AV688" s="170">
        <f ca="1">AT688+AU688</f>
        <v>90.135553500000242</v>
      </c>
      <c r="AW688" s="169"/>
      <c r="AX688" s="170">
        <f ca="1">IF(AND(ISERROR(SEARCH("INVOICE",T688)),ISERROR(SEARCH("SWITCH",T688)),ISERROR(SEARCH("FOREX",T688)),ISERROR(SEARCH("REFUND",A688)),ISERROR(SEARCH("CANCELLED",A688))),IF(AW688="",-AT688*X688+AU688*Z688,AW688),0)</f>
        <v>90.1355535</v>
      </c>
      <c r="AY688" s="170">
        <f>IF(AZ688="USD",AT688,IF(AZ688=K688,J688,-R688))</f>
        <v>-25428.734250000001</v>
      </c>
      <c r="AZ688" s="170" t="str">
        <f>LEFT(AB688,3)</f>
        <v>EUR</v>
      </c>
      <c r="BA688" s="542">
        <f>IF(OR(A688="REFUND",A688="CANCELLED"),0,IFERROR((IF(OR(AB688="USDAED",LEFT(AB688,3)=RIGHT(AB688,3)),AI688,AG688)-AE688)*-AY688*VLOOKUP(AB688,'FX RATES'!$H$1:$J$26,3,FALSE),0))</f>
        <v>0</v>
      </c>
      <c r="BB688" s="170" t="str">
        <f>RIGHT(AB688,3)</f>
        <v>EUR</v>
      </c>
      <c r="BC688" s="542">
        <f>IF(BA688=0,0,IFERROR(BA688/IF(BB688&lt;&gt;"USD",AI688,1),"???"))</f>
        <v>0</v>
      </c>
      <c r="BD688" s="170">
        <f>IFERROR(-AC688/(IF(OR(AB688="USDAED",LEFT(AB688,3)=RIGHT(AB688,3)),AH688,AG688)-AE688)*BC688,0)</f>
        <v>0</v>
      </c>
      <c r="BE688" s="542">
        <f>BC688-BD688</f>
        <v>0</v>
      </c>
      <c r="BF688" s="170">
        <f>IF(BG688="USD",AU688,IF(BG688=S688,R688,-J688))</f>
        <v>25505.25</v>
      </c>
      <c r="BG688" s="170" t="str">
        <f>LEFT(AJ688,3)</f>
        <v>EUR</v>
      </c>
      <c r="BH688" s="542">
        <f>IF(OR(A688="REFUND",A688="CANCELLED"),0,IFERROR((IF(OR(AJ688="USDAED",LEFT(AJ688,3)=RIGHT(AJ688,3)),AQ688,AO688)-AM688)*-BF688*VLOOKUP(AJ688,'FX RATES'!$H$1:$J$26,3,FALSE),0))</f>
        <v>0</v>
      </c>
      <c r="BI688" s="170" t="str">
        <f>RIGHT(AJ688,3)</f>
        <v>EUR</v>
      </c>
      <c r="BJ688" s="542">
        <f>IF(BH688=0,0,IFERROR(BH688/IF(BI688&lt;&gt;"USD",AQ688,1),"???"))</f>
        <v>0</v>
      </c>
      <c r="BK688" s="170">
        <f>IFERROR(-AK688/(IF(OR(AJ688="USDAED",LEFT(AJ688,3)=RIGHT(AJ688,3)),AP688,AO688)-AM688)*BJ688,0)</f>
        <v>0</v>
      </c>
      <c r="BL688" s="542">
        <f>BJ688-BK688</f>
        <v>0</v>
      </c>
      <c r="BM688" s="170">
        <f>IF(AND(ISERROR(SEARCH("REFUND",A688)),ISERROR(SEARCH("CANCELLED",A688))),BD688+BK688,0)</f>
        <v>0</v>
      </c>
      <c r="BN688" s="542">
        <f>IF(AND(ISERROR(SEARCH("REFUND",A688)),ISERROR(SEARCH("CANCELLED",A688))),BE688+BL688,0)</f>
        <v>0</v>
      </c>
    </row>
    <row r="689" spans="1:66" ht="19.5" customHeight="1">
      <c r="A689" s="167" t="s">
        <v>660</v>
      </c>
      <c r="B689" s="168" t="s">
        <v>39</v>
      </c>
      <c r="C689" s="168" t="s">
        <v>367</v>
      </c>
      <c r="D689" s="168" t="s">
        <v>368</v>
      </c>
      <c r="E689" s="171">
        <v>46063</v>
      </c>
      <c r="F689" s="171"/>
      <c r="G689" s="168" t="s">
        <v>39</v>
      </c>
      <c r="H689" s="181" t="s">
        <v>377</v>
      </c>
      <c r="I689" s="169"/>
      <c r="J689" s="170">
        <f>IF(I689="",AR689,I689)</f>
        <v>-34427.516669999997</v>
      </c>
      <c r="K689" s="168" t="s">
        <v>6</v>
      </c>
      <c r="L689" s="168" t="s">
        <v>581</v>
      </c>
      <c r="M689" s="168" t="s">
        <v>14</v>
      </c>
      <c r="O689" s="168" t="s">
        <v>52</v>
      </c>
      <c r="P689" s="168" t="s">
        <v>667</v>
      </c>
      <c r="Q689" s="169">
        <v>34531.11</v>
      </c>
      <c r="R689" s="202">
        <f>IF(Q689="",AS689,Q689)</f>
        <v>34531.11</v>
      </c>
      <c r="S689" s="168" t="s">
        <v>6</v>
      </c>
      <c r="T689" s="171" t="s">
        <v>380</v>
      </c>
      <c r="U689" s="168" t="s">
        <v>14</v>
      </c>
      <c r="W689" s="172" t="s">
        <v>382</v>
      </c>
      <c r="X689" s="173">
        <f>IF(Y689="",VLOOKUP(H689,CLIENTS!$A$1:$O$649,5,FALSE),Y689)</f>
        <v>0</v>
      </c>
      <c r="Y689" s="174">
        <v>0</v>
      </c>
      <c r="Z689" s="173">
        <f>IF(AA689="",VLOOKUP(P689,CLIENTS!$A$1:$O$649,5,FALSE),AA689)</f>
        <v>3.0000000000000001E-3</v>
      </c>
      <c r="AA689" s="174">
        <v>3.0000000000000001E-3</v>
      </c>
      <c r="AB689" s="173" t="str">
        <f>IF(W689="via USD",IF(K689="EUR",K689&amp;"USD","USD"&amp;K689),IFERROR(VLOOKUP(K689&amp;S689,'FX RATES'!$H$2:$H$20,1,FALSE),S689&amp;K689))</f>
        <v>EUREUR</v>
      </c>
      <c r="AC689" s="175">
        <f>IF(LEFT(AB689,3)=RIGHT(AB689,3),0,IFERROR(INDEX(CLIENTS!$A$1:$O$649,MATCH(H689,CLIENTS!$A$1:$A$649,0),MATCH(AB689,CLIENTS!$A$1:$O$1,0)),0))</f>
        <v>0</v>
      </c>
      <c r="AD689" s="176"/>
      <c r="AE689" s="177">
        <f>IF(W689="CLIENT","",IF(AD689="",AH689+AC689,AD689+AC689))</f>
        <v>1</v>
      </c>
      <c r="AF689" s="177" t="str">
        <f>E689&amp;AB689</f>
        <v>46063EUREUR</v>
      </c>
      <c r="AG689" s="176"/>
      <c r="AH689" s="178">
        <f>IF(LEFT(AB689,3)=RIGHT(AB689,3),1,VLOOKUP(AB689,'FX RATES'!$H$1:$I$20,2,FALSE))</f>
        <v>1</v>
      </c>
      <c r="AI689" s="178">
        <f>IF(OR(AB689="USDAED",LEFT(AB689,3)=RIGHT(AB689,3)),AH689,IF(LEFT(AB689)="USD",AG689,IF(RIGHT(AB689,3)="USD",1,IFERROR(VLOOKUP(E689&amp;"USD"&amp;RIGHT(AB689,3),$AF:$AG,2,FALSE),VLOOKUP(E689&amp;"USD"&amp;RIGHT(AJ689,3),$AN:$AO,2,FALSE)))))</f>
        <v>1</v>
      </c>
      <c r="AJ689" s="173" t="str">
        <f>IF(W689="via USD",IF(S689="EUR",S689&amp;"USD","USD"&amp;S689),IFERROR(VLOOKUP(K689&amp;S689,'FX RATES'!$H$2:$H$20,1,FALSE),S689&amp;K689))</f>
        <v>EUREUR</v>
      </c>
      <c r="AK689" s="175">
        <f>IF(LEFT(AJ689,3)=RIGHT(AJ689,3),0,IFERROR(INDEX(CLIENTS!$A$1:$O$649,MATCH(P689,CLIENTS!$A$1:$A$649,0),MATCH(AJ689,CLIENTS!$A$1:$O$1,0)),0))</f>
        <v>0</v>
      </c>
      <c r="AL689" s="176"/>
      <c r="AM689" s="177" t="str">
        <f>IF(W689="VENDOR","",IF(AL689="",AP689+AK689,AL689+AK689))</f>
        <v/>
      </c>
      <c r="AN689" s="177" t="str">
        <f>E689&amp;AJ689</f>
        <v>46063EUREUR</v>
      </c>
      <c r="AO689" s="176"/>
      <c r="AP689" s="178">
        <f>IF(LEFT(AJ689,3)=RIGHT(AJ689,3),1,VLOOKUP(AJ689,'FX RATES'!$H$1:$I$20,2,FALSE))</f>
        <v>1</v>
      </c>
      <c r="AQ689" s="178">
        <f>IF(OR(AJ689="USDAED",LEFT(AJ689,3)=RIGHT(AJ689,3)),AP689,IF(LEFT(AJ689)="USD",AO689,IF(RIGHT(AJ689,3)="USD",1,IFERROR(VLOOKUP(E689&amp;"USD"&amp;RIGHT(AJ689,3),$AN:$AO,2,FALSE),VLOOKUP(E689&amp;"USD"&amp;RIGHT(AB689,3),$AF:$AG,2,FALSE)))))</f>
        <v>1</v>
      </c>
      <c r="AR689" s="179">
        <f>-Q689*(1-Z689)/(1+X689)*IF(W689="CLIENT",IF(S689=RIGHT(AJ689,3),1/AM689,AM689),IF(W689="VENDOR",IF(S689=RIGHT(AJ689,3),1/AE689,AE689),AE689^(VLOOKUP(AB689,'FX RATES'!$H$1:$J$26,3,FALSE))/AM689^(VLOOKUP(AJ689,'FX RATES'!$H$1:$J$26,3,FALSE))))</f>
        <v>-34427.516669999997</v>
      </c>
      <c r="AS689" s="179">
        <f>-I689*(1+X689)/(1-Z689)*IF(W689="VENDOR",IF(K689=RIGHT(AB689,3),1/AE689,AE689),IF(W689="CLIENT",IF(K689=RIGHT(AB689,3),1/AM689,AM689),AM689^(VLOOKUP(AJ689,'FX RATES'!$H$1:$J$26,3,FALSE))/AE689^(VLOOKUP(AB689,'FX RATES'!$H$1:$J$26,3,FALSE))))</f>
        <v>0</v>
      </c>
      <c r="AT689" s="170">
        <f ca="1">IF(AB689&lt;&gt;AJ689,J689/IF(K689=RIGHT(AB689,3),AE689,1/AE689),IF(S689="USD",J689/IF(K689=RIGHT(AB689,3),IF(W689="CLIENT",AM689,AE689),1/IF(W689="CLIENT",AM689,AE689)),J689*VLOOKUP(K689,'FX RATES'!$E$1:$F$10,2,FALSE)))</f>
        <v>-40555.614637259998</v>
      </c>
      <c r="AU689" s="170">
        <f ca="1">IF(AB689&lt;&gt;AJ689,R689/IF(S689=RIGHT(AJ689,3),AM689,1/AM689),IF(K689="USD",R689/IF(S689=RIGHT(AJ689,3),IF(W689="CLIENT",AM689,AE689),1/IF(W689="CLIENT",AM689,AE689)),R689*VLOOKUP(S689,'FX RATES'!$E$1:$F$10,2,FALSE)))</f>
        <v>40677.647579999997</v>
      </c>
      <c r="AV689" s="170">
        <f ca="1">AT689+AU689</f>
        <v>122.03294273999927</v>
      </c>
      <c r="AW689" s="169"/>
      <c r="AX689" s="170">
        <f ca="1">IF(AND(ISERROR(SEARCH("INVOICE",T689)),ISERROR(SEARCH("SWITCH",T689)),ISERROR(SEARCH("FOREX",T689)),ISERROR(SEARCH("REFUND",A689)),ISERROR(SEARCH("CANCELLED",A689))),IF(AW689="",-AT689*X689+AU689*Z689,AW689),0)</f>
        <v>122.03294274</v>
      </c>
      <c r="AY689" s="170">
        <f>IF(AZ689="USD",AT689,IF(AZ689=K689,J689,-R689))</f>
        <v>-34427.516669999997</v>
      </c>
      <c r="AZ689" s="170" t="str">
        <f>LEFT(AB689,3)</f>
        <v>EUR</v>
      </c>
      <c r="BA689" s="542">
        <f>IF(OR(A689="REFUND",A689="CANCELLED"),0,IFERROR((IF(OR(AB689="USDAED",LEFT(AB689,3)=RIGHT(AB689,3)),AI689,AG689)-AE689)*-AY689*VLOOKUP(AB689,'FX RATES'!$H$1:$J$26,3,FALSE),0))</f>
        <v>0</v>
      </c>
      <c r="BB689" s="170" t="str">
        <f>RIGHT(AB689,3)</f>
        <v>EUR</v>
      </c>
      <c r="BC689" s="542">
        <f>IF(BA689=0,0,IFERROR(BA689/IF(BB689&lt;&gt;"USD",AI689,1),"???"))</f>
        <v>0</v>
      </c>
      <c r="BD689" s="170">
        <f>IFERROR(-AC689/(IF(OR(AB689="USDAED",LEFT(AB689,3)=RIGHT(AB689,3)),AH689,AG689)-AE689)*BC689,0)</f>
        <v>0</v>
      </c>
      <c r="BE689" s="542">
        <f>BC689-BD689</f>
        <v>0</v>
      </c>
      <c r="BF689" s="170">
        <f>IF(BG689="USD",AU689,IF(BG689=S689,R689,-J689))</f>
        <v>34531.11</v>
      </c>
      <c r="BG689" s="170" t="str">
        <f>LEFT(AJ689,3)</f>
        <v>EUR</v>
      </c>
      <c r="BH689" s="542">
        <f>IF(OR(A689="REFUND",A689="CANCELLED"),0,IFERROR((IF(OR(AJ689="USDAED",LEFT(AJ689,3)=RIGHT(AJ689,3)),AQ689,AO689)-AM689)*-BF689*VLOOKUP(AJ689,'FX RATES'!$H$1:$J$26,3,FALSE),0))</f>
        <v>0</v>
      </c>
      <c r="BI689" s="170" t="str">
        <f>RIGHT(AJ689,3)</f>
        <v>EUR</v>
      </c>
      <c r="BJ689" s="542">
        <f>IF(BH689=0,0,IFERROR(BH689/IF(BI689&lt;&gt;"USD",AQ689,1),"???"))</f>
        <v>0</v>
      </c>
      <c r="BK689" s="170">
        <f>IFERROR(-AK689/(IF(OR(AJ689="USDAED",LEFT(AJ689,3)=RIGHT(AJ689,3)),AP689,AO689)-AM689)*BJ689,0)</f>
        <v>0</v>
      </c>
      <c r="BL689" s="542">
        <f>BJ689-BK689</f>
        <v>0</v>
      </c>
      <c r="BM689" s="170">
        <f>IF(AND(ISERROR(SEARCH("REFUND",A689)),ISERROR(SEARCH("CANCELLED",A689))),BD689+BK689,0)</f>
        <v>0</v>
      </c>
      <c r="BN689" s="542">
        <f>IF(AND(ISERROR(SEARCH("REFUND",A689)),ISERROR(SEARCH("CANCELLED",A689))),BE689+BL689,0)</f>
        <v>0</v>
      </c>
    </row>
    <row r="690" spans="1:66" ht="19.5" customHeight="1">
      <c r="A690" s="180"/>
      <c r="E690" s="180"/>
      <c r="F690" s="180"/>
      <c r="L690" s="180"/>
      <c r="M690" s="180"/>
      <c r="N690" s="180"/>
      <c r="O690" s="180"/>
      <c r="P690" s="180"/>
      <c r="V690" s="180"/>
      <c r="W690" s="180"/>
      <c r="BA690" s="180"/>
      <c r="BC690" s="180"/>
      <c r="BE690" s="180"/>
      <c r="BH690" s="180"/>
      <c r="BJ690" s="180"/>
      <c r="BL690" s="180"/>
      <c r="BN690" s="180"/>
    </row>
    <row r="691" spans="1:66" ht="19.5" customHeight="1">
      <c r="A691" s="167" t="s">
        <v>660</v>
      </c>
      <c r="B691" s="168" t="s">
        <v>31</v>
      </c>
      <c r="C691" s="168" t="s">
        <v>367</v>
      </c>
      <c r="D691" s="181" t="s">
        <v>368</v>
      </c>
      <c r="E691" s="171">
        <v>46073</v>
      </c>
      <c r="F691" s="171"/>
      <c r="G691" s="168" t="s">
        <v>31</v>
      </c>
      <c r="H691" s="181" t="s">
        <v>668</v>
      </c>
      <c r="I691" s="169">
        <v>-48962.62</v>
      </c>
      <c r="J691" s="170">
        <f t="shared" ref="J691" si="879">IF(I691="",AR691,I691)</f>
        <v>-48962.62</v>
      </c>
      <c r="K691" s="168" t="s">
        <v>6</v>
      </c>
      <c r="L691" s="168" t="s">
        <v>647</v>
      </c>
      <c r="M691" s="168" t="s">
        <v>49</v>
      </c>
      <c r="O691" s="168" t="s">
        <v>39</v>
      </c>
      <c r="P691" s="349" t="s">
        <v>379</v>
      </c>
      <c r="Q691" s="169">
        <v>37396902.159999996</v>
      </c>
      <c r="R691" s="170">
        <f t="shared" ref="R691" si="880">IF(Q691="",AS691,Q691)</f>
        <v>37396902.159999996</v>
      </c>
      <c r="S691" s="168" t="s">
        <v>9</v>
      </c>
      <c r="T691" s="171" t="s">
        <v>380</v>
      </c>
      <c r="U691" s="168" t="s">
        <v>374</v>
      </c>
      <c r="W691" s="172" t="s">
        <v>375</v>
      </c>
      <c r="X691" s="173">
        <f>IF(Y691="",VLOOKUP(H691,CLIENTS!$A$1:$O$649,5,FALSE),Y691)</f>
        <v>0</v>
      </c>
      <c r="Y691" s="174">
        <v>0</v>
      </c>
      <c r="Z691" s="173">
        <f>IF(AA691="",VLOOKUP(P691,CLIENTS!$A$1:$O$649,5,FALSE),AA691)</f>
        <v>3.0000000000000001E-3</v>
      </c>
      <c r="AA691" s="174">
        <v>3.0000000000000001E-3</v>
      </c>
      <c r="AB691" s="173" t="str">
        <f>IF(W691="via USD",IF(K691="EUR",K691&amp;"USD","USD"&amp;K691),IFERROR(VLOOKUP(K691&amp;S691,'FX RATES'!$H$2:$H$20,1,FALSE),S691&amp;K691))</f>
        <v>EURUSD</v>
      </c>
      <c r="AC691" s="175">
        <f>IF(LEFT(AB691,3)=RIGHT(AB691,3),0,IFERROR(INDEX(CLIENTS!$A$1:$O$649,MATCH(H691,CLIENTS!$A$1:$A$649,0),MATCH(AB691,CLIENTS!$A$1:$O$1,0)),0))</f>
        <v>0</v>
      </c>
      <c r="AD691" s="176"/>
      <c r="AE691" s="177">
        <f t="shared" ref="AE691" ca="1" si="881">IF(W691="CLIENT","",IF(AD691="",AH691+AC691,AD691+AC691))</f>
        <v>1.1779999999999999</v>
      </c>
      <c r="AF691" s="177" t="str">
        <f t="shared" ref="AF691" si="882">E691&amp;AB691</f>
        <v>46073EURUSD</v>
      </c>
      <c r="AG691" s="176"/>
      <c r="AH691" s="178">
        <f ca="1">IF(LEFT(AB691,3)=RIGHT(AB691,3),1,VLOOKUP(AB691,'FX RATES'!$H$1:$I$20,2,FALSE))</f>
        <v>1.1779999999999999</v>
      </c>
      <c r="AI691" s="178">
        <f>IF(OR(AB691="USDAED",LEFT(AB691,3)=RIGHT(AB691,3)),AH691,IF(LEFT(AB691)="USD",AG691,IF(RIGHT(AB691,3)="USD",1,IFERROR(VLOOKUP(E691&amp;"USD"&amp;RIGHT(AB691,3),$AF:$AG,2,FALSE),VLOOKUP(E691&amp;"USD"&amp;RIGHT(AJ691,3),$AN:$AO,2,FALSE)))))</f>
        <v>1</v>
      </c>
      <c r="AJ691" s="173" t="str">
        <f>IF(W691="via USD",IF(S691="EUR",S691&amp;"USD","USD"&amp;S691),IFERROR(VLOOKUP(K691&amp;S691,'FX RATES'!$H$2:$H$20,1,FALSE),S691&amp;K691))</f>
        <v>USDRUB</v>
      </c>
      <c r="AK691" s="175">
        <f>IF(LEFT(AJ691,3)=RIGHT(AJ691,3),0,IFERROR(INDEX(CLIENTS!$A$1:$O$649,MATCH(P691,CLIENTS!$A$1:$A$649,0),MATCH(AJ691,CLIENTS!$A$1:$O$1,0)),0))</f>
        <v>0</v>
      </c>
      <c r="AL691" s="176">
        <v>76.599999999999994</v>
      </c>
      <c r="AM691" s="177">
        <f t="shared" ref="AM691" si="883">IF(W691="VENDOR","",IF(AL691="",AP691+AK691,AL691+AK691))</f>
        <v>76.599999999999994</v>
      </c>
      <c r="AN691" s="177" t="str">
        <f t="shared" ref="AN691" si="884">E691&amp;AJ691</f>
        <v>46073USDRUB</v>
      </c>
      <c r="AO691" s="176">
        <v>76.599999999999994</v>
      </c>
      <c r="AP691" s="178">
        <f ca="1">IF(LEFT(AJ691,3)=RIGHT(AJ691,3),1,VLOOKUP(AJ691,'FX RATES'!$H$1:$I$20,2,FALSE))</f>
        <v>76.720500000000001</v>
      </c>
      <c r="AQ691" s="178">
        <f>IF(OR(AJ691="USDAED",LEFT(AJ691,3)=RIGHT(AJ691,3)),AP691,IF(LEFT(AJ691)="USD",AO691,IF(RIGHT(AJ691,3)="USD",1,IFERROR(VLOOKUP(E691&amp;"USD"&amp;RIGHT(AJ691,3),$AN:$AO,2,FALSE),VLOOKUP(E691&amp;"USD"&amp;RIGHT(AB691,3),$AF:$AG,2,FALSE)))))</f>
        <v>76.599999999999994</v>
      </c>
      <c r="AR691" s="179">
        <f ca="1">-Q691*(1-Z691)/(1+X691)*IF(W691="CLIENT",IF(S691=RIGHT(AJ691,3),1/AM691,AM691),IF(W691="VENDOR",IF(S691=RIGHT(AJ691,3),1/AE691,AE691),AE691^(VLOOKUP(AB691,'FX RATES'!$H$1:$J$26,3,FALSE))/AM691^(VLOOKUP(AJ691,'FX RATES'!$H$1:$J$26,3,FALSE))))</f>
        <v>-413196.58771915053</v>
      </c>
      <c r="AS691" s="179">
        <f ca="1">-I691*(1+X691)/(1-Z691)*IF(W691="VENDOR",IF(K691=RIGHT(AB691,3),1/AE691,AE691),IF(W691="CLIENT",IF(K691=RIGHT(AB691,3),1/AM691,AM691),AM691^(VLOOKUP(AJ691,'FX RATES'!$H$1:$J$26,3,FALSE))/AE691^(VLOOKUP(AB691,'FX RATES'!$H$1:$J$26,3,FALSE))))</f>
        <v>4431426.5026840521</v>
      </c>
      <c r="AT691" s="170">
        <f ca="1">IF(AB691&lt;&gt;AJ691,J691/IF(K691=RIGHT(AB691,3),AE691,1/AE691),IF(S691="USD",J691/IF(K691=RIGHT(AB691,3),IF(W691="CLIENT",AM691,AE691),1/IF(W691="CLIENT",AM691,AE691)),J691*VLOOKUP(K691,'FX RATES'!$E$1:$F$10,2,FALSE)))</f>
        <v>-57677.966359999999</v>
      </c>
      <c r="AU691" s="170">
        <f>IF(AB691&lt;&gt;AJ691,R691/IF(S691=RIGHT(AJ691,3),AM691,1/AM691),IF(K691="USD",R691/IF(S691=RIGHT(AJ691,3),IF(W691="CLIENT",AM691,AE691),1/IF(W691="CLIENT",AM691,AE691)),R691*VLOOKUP(S691,'FX RATES'!$E$1:$F$10,2,FALSE)))</f>
        <v>488210.21096605744</v>
      </c>
      <c r="AV691" s="170">
        <f t="shared" ref="AV691" ca="1" si="885">AT691+AU691</f>
        <v>430532.24460605741</v>
      </c>
      <c r="AW691" s="169"/>
      <c r="AX691" s="170">
        <f t="shared" ref="AX691" ca="1" si="886">IF(AND(ISERROR(SEARCH("INVOICE",T691)),ISERROR(SEARCH("SWITCH",T691)),ISERROR(SEARCH("FOREX",T691)),ISERROR(SEARCH("REFUND",A691)),ISERROR(SEARCH("CANCELLED",A691))),IF(AW691="",-AT691*X691+AU691*Z691,AW691),0)</f>
        <v>1464.6306328981723</v>
      </c>
      <c r="AY691" s="170">
        <f t="shared" ref="AY691" si="887">IF(AZ691="USD",AT691,IF(AZ691=K691,J691,-R691))</f>
        <v>-48962.62</v>
      </c>
      <c r="AZ691" s="170" t="str">
        <f t="shared" ref="AZ691" si="888">LEFT(AB691,3)</f>
        <v>EUR</v>
      </c>
      <c r="BA691" s="542">
        <f ca="1">IF(OR(A691="REFUND",A691="CANCELLED"),0,IFERROR((IF(OR(AB691="USDAED",LEFT(AB691,3)=RIGHT(AB691,3)),AI691,AG691)-AE691)*-AY691*VLOOKUP(AB691,'FX RATES'!$H$1:$J$26,3,FALSE),0))</f>
        <v>57677.966359999999</v>
      </c>
      <c r="BB691" s="170" t="str">
        <f t="shared" ref="BB691" si="889">RIGHT(AB691,3)</f>
        <v>USD</v>
      </c>
      <c r="BC691" s="542">
        <f t="shared" ref="BC691" ca="1" si="890">IF(BA691=0,0,IFERROR(BA691/IF(BB691&lt;&gt;"USD",AI691,1),"???"))</f>
        <v>57677.966359999999</v>
      </c>
      <c r="BD691" s="170">
        <f t="shared" ref="BD691" ca="1" si="891">IFERROR(-AC691/(IF(OR(AB691="USDAED",LEFT(AB691,3)=RIGHT(AB691,3)),AH691,AG691)-AE691)*BC691,0)</f>
        <v>0</v>
      </c>
      <c r="BE691" s="542">
        <f t="shared" ref="BE691" ca="1" si="892">BC691-BD691</f>
        <v>57677.966359999999</v>
      </c>
      <c r="BF691" s="170">
        <f t="shared" ref="BF691" si="893">IF(BG691="USD",AU691,IF(BG691=S691,R691,-J691))</f>
        <v>488210.21096605744</v>
      </c>
      <c r="BG691" s="170" t="str">
        <f t="shared" ref="BG691" si="894">LEFT(AJ691,3)</f>
        <v>USD</v>
      </c>
      <c r="BH691" s="542">
        <f>IF(OR(A691="REFUND",A691="CANCELLED"),0,IFERROR((IF(OR(AJ691="USDAED",LEFT(AJ691,3)=RIGHT(AJ691,3)),AQ691,AO691)-AM691)*-BF691*VLOOKUP(AJ691,'FX RATES'!$H$1:$J$26,3,FALSE),0))</f>
        <v>0</v>
      </c>
      <c r="BI691" s="170" t="str">
        <f t="shared" ref="BI691" si="895">RIGHT(AJ691,3)</f>
        <v>RUB</v>
      </c>
      <c r="BJ691" s="542">
        <f t="shared" ref="BJ691" si="896">IF(BH691=0,0,IFERROR(BH691/IF(BI691&lt;&gt;"USD",AQ691,1),"???"))</f>
        <v>0</v>
      </c>
      <c r="BK691" s="170">
        <f t="shared" ref="BK691" si="897">IFERROR(-AK691/(IF(OR(AJ691="USDAED",LEFT(AJ691,3)=RIGHT(AJ691,3)),AP691,AO691)-AM691)*BJ691,0)</f>
        <v>0</v>
      </c>
      <c r="BL691" s="542">
        <f t="shared" ref="BL691" si="898">BJ691-BK691</f>
        <v>0</v>
      </c>
      <c r="BM691" s="170">
        <f t="shared" ref="BM691" ca="1" si="899">IF(AND(ISERROR(SEARCH("REFUND",A691)),ISERROR(SEARCH("CANCELLED",A691))),BD691+BK691,0)</f>
        <v>0</v>
      </c>
      <c r="BN691" s="542">
        <f t="shared" ref="BN691" ca="1" si="900">IF(AND(ISERROR(SEARCH("REFUND",A691)),ISERROR(SEARCH("CANCELLED",A691))),BE691+BL691,0)</f>
        <v>57677.966359999999</v>
      </c>
    </row>
    <row r="693" spans="1:66" ht="19.5" customHeight="1">
      <c r="A693" s="167" t="s">
        <v>660</v>
      </c>
      <c r="B693" s="168" t="s">
        <v>31</v>
      </c>
      <c r="C693" s="168" t="s">
        <v>367</v>
      </c>
      <c r="D693" s="168" t="s">
        <v>368</v>
      </c>
      <c r="E693" s="171">
        <v>46073</v>
      </c>
      <c r="F693" s="171"/>
      <c r="G693" s="168" t="s">
        <v>31</v>
      </c>
      <c r="H693" s="168" t="s">
        <v>605</v>
      </c>
      <c r="I693" s="169"/>
      <c r="J693" s="170">
        <f>IF(I693="",AR693,I693)</f>
        <v>-634206.19710975129</v>
      </c>
      <c r="K693" s="168" t="s">
        <v>8</v>
      </c>
      <c r="L693" s="171" t="s">
        <v>15</v>
      </c>
      <c r="M693" s="168" t="s">
        <v>14</v>
      </c>
      <c r="O693" s="168" t="s">
        <v>52</v>
      </c>
      <c r="P693" s="168" t="s">
        <v>605</v>
      </c>
      <c r="Q693" s="169">
        <v>13300000</v>
      </c>
      <c r="R693" s="170">
        <f>IF(Q693="",AS693,Q693)</f>
        <v>13300000</v>
      </c>
      <c r="S693" s="168" t="s">
        <v>9</v>
      </c>
      <c r="T693" s="171" t="s">
        <v>436</v>
      </c>
      <c r="U693" s="168" t="s">
        <v>25</v>
      </c>
      <c r="W693" s="172" t="s">
        <v>375</v>
      </c>
      <c r="X693" s="173">
        <f>IF(Y693="",VLOOKUP(H693,CLIENTS!$A$1:$O$649,5,FALSE),Y693)</f>
        <v>0</v>
      </c>
      <c r="Y693" s="174">
        <v>0</v>
      </c>
      <c r="Z693" s="173">
        <f>IF(AA693="",VLOOKUP(P693,CLIENTS!$A$1:$O$649,5,FALSE),AA693)</f>
        <v>2E-3</v>
      </c>
      <c r="AA693" s="174">
        <v>2E-3</v>
      </c>
      <c r="AB693" s="173" t="str">
        <f>IF(W693="via USD",IF(K693="EUR",K693&amp;"USD","USD"&amp;K693),IFERROR(VLOOKUP(K693&amp;S693,'FX RATES'!$H$2:$H$20,1,FALSE),S693&amp;K693))</f>
        <v>USDAED</v>
      </c>
      <c r="AC693" s="175">
        <f>IF(LEFT(AB693,3)=RIGHT(AB693,3),0,IFERROR(INDEX(CLIENTS!$A$1:$O$649,MATCH(H693,CLIENTS!$A$1:$A$649,0),MATCH(AB693,CLIENTS!$A$1:$O$1,0)),0))</f>
        <v>0</v>
      </c>
      <c r="AD693" s="176">
        <v>3.67</v>
      </c>
      <c r="AE693" s="177">
        <f>IF(W693="CLIENT","",IF(AD693="",AH693+AC693,AD693+AC693))</f>
        <v>3.67</v>
      </c>
      <c r="AF693" s="177" t="str">
        <f>E693&amp;AB693</f>
        <v>46073USDAED</v>
      </c>
      <c r="AG693" s="176"/>
      <c r="AH693" s="178">
        <f>IF(LEFT(AB693,3)=RIGHT(AB693,3),1,VLOOKUP(AB693,'FX RATES'!$H$1:$I$20,2,FALSE))</f>
        <v>3.6724999999999999</v>
      </c>
      <c r="AI693" s="178">
        <f>IF(OR(AB693="USDAED",LEFT(AB693,3)=RIGHT(AB693,3)),AH693,IF(LEFT(AB693)="USD",AG693,IF(RIGHT(AB693,3)="USD",1,IFERROR(VLOOKUP(E693&amp;"USD"&amp;RIGHT(AB693,3),$AF:$AG,2,FALSE),VLOOKUP(E693&amp;"USD"&amp;RIGHT(AJ693,3),$AN:$AO,2,FALSE)))))</f>
        <v>3.6724999999999999</v>
      </c>
      <c r="AJ693" s="173" t="str">
        <f>IF(W693="via USD",IF(S693="EUR",S693&amp;"USD","USD"&amp;S693),IFERROR(VLOOKUP(K693&amp;S693,'FX RATES'!$H$2:$H$20,1,FALSE),S693&amp;K693))</f>
        <v>USDRUB</v>
      </c>
      <c r="AK693" s="175">
        <f>IF(LEFT(AJ693,3)=RIGHT(AJ693,3),0,IFERROR(INDEX(CLIENTS!$A$1:$O$649,MATCH(P693,CLIENTS!$A$1:$A$649,0),MATCH(AJ693,CLIENTS!$A$1:$O$1,0)),0))</f>
        <v>0</v>
      </c>
      <c r="AL693" s="176">
        <v>76.81</v>
      </c>
      <c r="AM693" s="177">
        <f>IF(W693="VENDOR","",IF(AL693="",AP693+AK693,AL693+AK693))</f>
        <v>76.81</v>
      </c>
      <c r="AN693" s="177" t="str">
        <f>E693&amp;AJ693</f>
        <v>46073USDRUB</v>
      </c>
      <c r="AO693" s="176">
        <v>76.599999999999994</v>
      </c>
      <c r="AP693" s="178">
        <f ca="1">IF(LEFT(AJ693,3)=RIGHT(AJ693,3),1,VLOOKUP(AJ693,'FX RATES'!$H$1:$I$20,2,FALSE))</f>
        <v>76.720500000000001</v>
      </c>
      <c r="AQ693" s="178">
        <f>IF(OR(AJ693="USDAED",LEFT(AJ693,3)=RIGHT(AJ693,3)),AP693,IF(LEFT(AJ693)="USD",AO693,IF(RIGHT(AJ693,3)="USD",1,IFERROR(VLOOKUP(E693&amp;"USD"&amp;RIGHT(AJ693,3),$AN:$AO,2,FALSE),VLOOKUP(E693&amp;"USD"&amp;RIGHT(AB693,3),$AF:$AG,2,FALSE)))))</f>
        <v>76.599999999999994</v>
      </c>
      <c r="AR693" s="179">
        <f>-Q693*(1-Z693)/(1+X693)*IF(W693="CLIENT",IF(S693=RIGHT(AJ693,3),1/AM693,AM693),IF(W693="VENDOR",IF(S693=RIGHT(AJ693,3),1/AE693,AE693),AE693^(VLOOKUP(AB693,'FX RATES'!$H$1:$J$26,3,FALSE))/AM693^(VLOOKUP(AJ693,'FX RATES'!$H$1:$J$26,3,FALSE))))</f>
        <v>-634206.19710975129</v>
      </c>
      <c r="AS693" s="179">
        <f>-I693*(1+X693)/(1-Z693)*IF(W693="VENDOR",IF(K693=RIGHT(AB693,3),1/AE693,AE693),IF(W693="CLIENT",IF(K693=RIGHT(AB693,3),1/AM693,AM693),AM693^(VLOOKUP(AJ693,'FX RATES'!$H$1:$J$26,3,FALSE))/AE693^(VLOOKUP(AB693,'FX RATES'!$H$1:$J$26,3,FALSE))))</f>
        <v>0</v>
      </c>
      <c r="AT693" s="170">
        <f>IF(AB693&lt;&gt;AJ693,J693/IF(K693=RIGHT(AB693,3),AE693,1/AE693),IF(S693="USD",J693/IF(K693=RIGHT(AB693,3),IF(W693="CLIENT",AM693,AE693),1/IF(W693="CLIENT",AM693,AE693)),J693*VLOOKUP(K693,'FX RATES'!$E$1:$F$10,2,FALSE)))</f>
        <v>-172808.22809530009</v>
      </c>
      <c r="AU693" s="170">
        <f>IF(AB693&lt;&gt;AJ693,R693/IF(S693=RIGHT(AJ693,3),AM693,1/AM693),IF(K693="USD",R693/IF(S693=RIGHT(AJ693,3),IF(W693="CLIENT",AM693,AE693),1/IF(W693="CLIENT",AM693,AE693)),R693*VLOOKUP(S693,'FX RATES'!$E$1:$F$10,2,FALSE)))</f>
        <v>173154.53716963937</v>
      </c>
      <c r="AV693" s="170">
        <f>AT693+AU693</f>
        <v>346.30907433928223</v>
      </c>
      <c r="AW693" s="169"/>
      <c r="AX693" s="170">
        <f>IF(AND(ISERROR(SEARCH("INVOICE",T693)),ISERROR(SEARCH("SWITCH",T693)),ISERROR(SEARCH("FOREX",T693)),ISERROR(SEARCH("REFUND",A693)),ISERROR(SEARCH("CANCELLED",A693))),IF(AW693="",-AT693*X693+AU693*Z693,AW693),0)</f>
        <v>346.30907433927877</v>
      </c>
      <c r="AY693" s="170">
        <f>IF(AZ693="USD",AT693,IF(AZ693=K693,J693,-R693))</f>
        <v>-172808.22809530009</v>
      </c>
      <c r="AZ693" s="170" t="str">
        <f>LEFT(AB693,3)</f>
        <v>USD</v>
      </c>
      <c r="BA693" s="542">
        <f>IF(OR(A693="REFUND",A693="CANCELLED"),0,IFERROR((IF(OR(AB693="USDAED",LEFT(AB693,3)=RIGHT(AB693,3)),AI693,AG693)-AE693)*-AY693*VLOOKUP(AB693,'FX RATES'!$H$1:$J$26,3,FALSE),0))</f>
        <v>432.02057023824102</v>
      </c>
      <c r="BB693" s="170" t="str">
        <f>RIGHT(AB693,3)</f>
        <v>AED</v>
      </c>
      <c r="BC693" s="542">
        <f>IF(BA693=0,0,IFERROR(BA693/IF(BB693&lt;&gt;"USD",AI693,1),"???"))</f>
        <v>117.63664267889477</v>
      </c>
      <c r="BD693" s="170">
        <f>IFERROR(-AC693/(IF(OR(AB693="USDAED",LEFT(AB693,3)=RIGHT(AB693,3)),AH693,AG693)-AE693)*BC693,0)</f>
        <v>0</v>
      </c>
      <c r="BE693" s="542">
        <f>BC693-BD693</f>
        <v>117.63664267889477</v>
      </c>
      <c r="BF693" s="170">
        <f>IF(BG693="USD",AU693,IF(BG693=S693,R693,-J693))</f>
        <v>173154.53716963937</v>
      </c>
      <c r="BG693" s="170" t="str">
        <f>LEFT(AJ693,3)</f>
        <v>USD</v>
      </c>
      <c r="BH693" s="542">
        <f>IF(OR(A693="REFUND",A693="CANCELLED"),0,IFERROR((IF(OR(AJ693="USDAED",LEFT(AJ693,3)=RIGHT(AJ693,3)),AQ693,AO693)-AM693)*-BF693*VLOOKUP(AJ693,'FX RATES'!$H$1:$J$26,3,FALSE),0))</f>
        <v>36362.452805625646</v>
      </c>
      <c r="BI693" s="170" t="str">
        <f>RIGHT(AJ693,3)</f>
        <v>RUB</v>
      </c>
      <c r="BJ693" s="542">
        <f>IF(BH693=0,0,IFERROR(BH693/IF(BI693&lt;&gt;"USD",AQ693,1),"???"))</f>
        <v>474.70565020399022</v>
      </c>
      <c r="BK693" s="170">
        <f>IFERROR(-AK693/(IF(OR(AJ693="USDAED",LEFT(AJ693,3)=RIGHT(AJ693,3)),AP693,AO693)-AM693)*BJ693,0)</f>
        <v>0</v>
      </c>
      <c r="BL693" s="542">
        <f>BJ693-BK693</f>
        <v>474.70565020399022</v>
      </c>
      <c r="BM693" s="170">
        <f>IF(AND(ISERROR(SEARCH("REFUND",A693)),ISERROR(SEARCH("CANCELLED",A693))),BD693+BK693,0)</f>
        <v>0</v>
      </c>
      <c r="BN693" s="542">
        <f>IF(AND(ISERROR(SEARCH("REFUND",A693)),ISERROR(SEARCH("CANCELLED",A693))),BE693+BL693,0)</f>
        <v>592.34229288288498</v>
      </c>
    </row>
    <row r="722" spans="1:66" ht="19.5" customHeight="1">
      <c r="A722" s="167" t="s">
        <v>488</v>
      </c>
      <c r="B722" s="168" t="s">
        <v>0</v>
      </c>
      <c r="C722" s="168" t="s">
        <v>489</v>
      </c>
      <c r="D722" s="168" t="s">
        <v>128</v>
      </c>
      <c r="E722" s="171"/>
      <c r="F722" s="171"/>
      <c r="G722" s="168" t="s">
        <v>0</v>
      </c>
      <c r="H722" s="181" t="s">
        <v>0</v>
      </c>
      <c r="I722" s="169"/>
      <c r="J722" s="170">
        <f>IF(I722="",AR722,I722)</f>
        <v>-1793623.4817813765</v>
      </c>
      <c r="K722" s="168" t="s">
        <v>5</v>
      </c>
      <c r="L722" s="171"/>
      <c r="M722" s="168"/>
      <c r="N722" s="167" t="s">
        <v>371</v>
      </c>
      <c r="O722" s="168" t="s">
        <v>0</v>
      </c>
      <c r="P722" s="168" t="s">
        <v>0</v>
      </c>
      <c r="Q722" s="169">
        <v>177210000</v>
      </c>
      <c r="R722" s="170">
        <f>IF(Q722="",AS722,Q722)</f>
        <v>177210000</v>
      </c>
      <c r="S722" s="168" t="s">
        <v>9</v>
      </c>
      <c r="T722" s="171"/>
      <c r="U722" s="168"/>
      <c r="V722" s="167" t="s">
        <v>371</v>
      </c>
      <c r="W722" s="172" t="s">
        <v>389</v>
      </c>
      <c r="X722" s="173">
        <f>IF(Y722="",VLOOKUP(H722,CLIENTS!$A$1:$O$649,5,FALSE),Y722)</f>
        <v>0</v>
      </c>
      <c r="Y722" s="174"/>
      <c r="Z722" s="173">
        <f>IF(AA722="",VLOOKUP(P722,CLIENTS!$A$1:$O$649,5,FALSE),AA722)</f>
        <v>0</v>
      </c>
      <c r="AA722" s="174"/>
      <c r="AB722" s="173" t="str">
        <f>IF(W722="via USD",IF(K722="EUR",K722&amp;"USD","USD"&amp;K722),IFERROR(VLOOKUP(K722&amp;S722,'FX RATES'!$H$2:$H$20,1,FALSE),S722&amp;K722))</f>
        <v>USDRUB</v>
      </c>
      <c r="AC722" s="175">
        <f>IF(LEFT(AB722,3)=RIGHT(AB722,3),0,IFERROR(INDEX(CLIENTS!$A$1:$O$649,MATCH(H722,CLIENTS!$A$1:$A$649,0),MATCH(AB722,CLIENTS!$A$1:$O$1,0)),0))</f>
        <v>0</v>
      </c>
      <c r="AD722" s="176"/>
      <c r="AE722" s="177" t="str">
        <f>IF(W722="CLIENT","",IF(AD722="",AH722+AC722,AD722+AC722))</f>
        <v/>
      </c>
      <c r="AF722" s="177" t="str">
        <f>E722&amp;AB722</f>
        <v>USDRUB</v>
      </c>
      <c r="AG722" s="176"/>
      <c r="AH722" s="178">
        <f ca="1">IF(LEFT(AB722,3)=RIGHT(AB722,3),1,VLOOKUP(AB722,'FX RATES'!$H$1:$I$20,2,FALSE))</f>
        <v>76.720500000000001</v>
      </c>
      <c r="AI722" s="178">
        <f>IF(OR(AB722="USDAED",LEFT(AB722,3)=RIGHT(AB722,3)),AH722,IF(LEFT(AB722)="USD",AG722,IF(RIGHT(AB722,3)="USD",1,IFERROR(VLOOKUP(E722&amp;"USD"&amp;RIGHT(AB722,3),$AF:$AG,2,FALSE),VLOOKUP(E722&amp;"USD"&amp;RIGHT(AJ722,3),$AN:$AO,2,FALSE)))))</f>
        <v>0</v>
      </c>
      <c r="AJ722" s="173" t="str">
        <f>IF(W722="via USD",IF(S722="EUR",S722&amp;"USD","USD"&amp;S722),IFERROR(VLOOKUP(K722&amp;S722,'FX RATES'!$H$2:$H$20,1,FALSE),S722&amp;K722))</f>
        <v>USDRUB</v>
      </c>
      <c r="AK722" s="175">
        <f>IF(LEFT(AJ722,3)=RIGHT(AJ722,3),0,IFERROR(INDEX(CLIENTS!$A$1:$O$649,MATCH(P722,CLIENTS!$A$1:$A$649,0),MATCH(AJ722,CLIENTS!$A$1:$O$1,0)),0))</f>
        <v>0</v>
      </c>
      <c r="AL722" s="176">
        <v>98.8</v>
      </c>
      <c r="AM722" s="177">
        <f>IF(W722="VENDOR","",IF(AL722="",AP722+AK722,AL722+AK722))</f>
        <v>98.8</v>
      </c>
      <c r="AN722" s="177" t="str">
        <f>E722&amp;AJ722</f>
        <v>USDRUB</v>
      </c>
      <c r="AO722" s="176">
        <v>98.8</v>
      </c>
      <c r="AP722" s="178">
        <f ca="1">IF(LEFT(AJ722,3)=RIGHT(AJ722,3),1,VLOOKUP(AJ722,'FX RATES'!$H$1:$I$20,2,FALSE))</f>
        <v>76.720500000000001</v>
      </c>
      <c r="AQ722" s="178">
        <f>IF(OR(AJ722="USDAED",LEFT(AJ722,3)=RIGHT(AJ722,3)),AP722,IF(LEFT(AJ722)="USD",AO722,IF(RIGHT(AJ722,3)="USD",1,IFERROR(VLOOKUP(E722&amp;"USD"&amp;RIGHT(AJ722,3),$AN:$AO,2,FALSE),VLOOKUP(E722&amp;"USD"&amp;RIGHT(AB722,3),$AF:$AG,2,FALSE)))))</f>
        <v>98.8</v>
      </c>
      <c r="AR722" s="179">
        <f>-Q722*(1-Z722)/(1+X722)*IF(W722="CLIENT",IF(S722=RIGHT(AJ722,3),1/AM722,AM722),IF(W722="VENDOR",IF(S722=RIGHT(AJ722,3),1/AE722,AE722),AE722^(VLOOKUP(AB722,'FX RATES'!$H$1:$J$26,3,FALSE))/AM722^(VLOOKUP(AJ722,'FX RATES'!$H$1:$J$26,3,FALSE))))</f>
        <v>-1793623.4817813765</v>
      </c>
      <c r="AS722" s="179">
        <f>-I722*(1+X722)/(1-Z722)*IF(W722="VENDOR",IF(K722=RIGHT(AB722,3),1/AE722,AE722),IF(W722="CLIENT",IF(K722=RIGHT(AB722,3),1/AM722,AM722),AM722^(VLOOKUP(AJ722,'FX RATES'!$H$1:$J$26,3,FALSE))/AE722^(VLOOKUP(AB722,'FX RATES'!$H$1:$J$26,3,FALSE))))</f>
        <v>0</v>
      </c>
      <c r="AT722" s="170">
        <f>IF(AB722&lt;&gt;AJ722,J722/IF(K722=RIGHT(AB722,3),AE722,1/AE722),IF(S722="USD",J722/IF(K722=RIGHT(AB722,3),IF(W722="CLIENT",AM722,AE722),1/IF(W722="CLIENT",AM722,AE722)),J722*VLOOKUP(K722,'FX RATES'!$E$1:$F$10,2,FALSE)))</f>
        <v>-1793623.4817813765</v>
      </c>
      <c r="AU722" s="170">
        <f>IF(AB722&lt;&gt;AJ722,R722/IF(S722=RIGHT(AJ722,3),AM722,1/AM722),IF(K722="USD",R722/IF(S722=RIGHT(AJ722,3),IF(W722="CLIENT",AM722,AE722),1/IF(W722="CLIENT",AM722,AE722)),R722*VLOOKUP(S722,'FX RATES'!$E$1:$F$10,2,FALSE)))</f>
        <v>1793623.4817813765</v>
      </c>
      <c r="AV722" s="170">
        <f>AT722+AU722</f>
        <v>0</v>
      </c>
      <c r="AW722" s="169"/>
      <c r="AX722" s="170">
        <f>IF(AND(T722&lt;&gt;"INVOICE",T722&lt;&gt;"SWITCH",T722&lt;&gt;"FOREX",A722&lt;&gt;"REFUND",A722&lt;&gt;"CANCELLED"),IF(AW722="",-AT722*X722+AU722*Z722,AW722),0)</f>
        <v>0</v>
      </c>
      <c r="AY722" s="170">
        <f>IF(AZ722="USD",AT722,IF(AZ722=K722,J722,-R722))</f>
        <v>-1793623.4817813765</v>
      </c>
      <c r="AZ722" s="170" t="str">
        <f>LEFT(AB722,3)</f>
        <v>USD</v>
      </c>
      <c r="BA722" s="542">
        <f>IF(OR(A722="REFUND",A722="CANCELLED"),0,IFERROR((IF(OR(AB722="USDAED",LEFT(AB722,3)=RIGHT(AB722,3)),AI722,AG722)-AE722)*-AY722*VLOOKUP(AB722,'FX RATES'!$H$1:$J$26,3,FALSE),0))</f>
        <v>0</v>
      </c>
      <c r="BB722" s="170" t="str">
        <f>RIGHT(AB722,3)</f>
        <v>RUB</v>
      </c>
      <c r="BC722" s="542">
        <f>IF(BA722=0,0,IFERROR(BA722/IF(BB722&lt;&gt;"USD",AI722,1),"???"))</f>
        <v>0</v>
      </c>
      <c r="BD722" s="170">
        <f>IFERROR(-AC722/(IF(OR(AB722="USDAED",LEFT(AB722,3)=RIGHT(AB722,3)),AH722,AG722)-AE722)*BC722,0)</f>
        <v>0</v>
      </c>
      <c r="BE722" s="542">
        <f>BC722-BD722</f>
        <v>0</v>
      </c>
      <c r="BF722" s="170">
        <f>IF(BG722="USD",AU722,IF(BG722=S722,R722,-J722))</f>
        <v>1793623.4817813765</v>
      </c>
      <c r="BG722" s="170" t="str">
        <f>LEFT(AJ722,3)</f>
        <v>USD</v>
      </c>
      <c r="BH722" s="542">
        <f>IF(OR(A722="REFUND",A722="CANCELLED"),0,IFERROR((IF(OR(AJ722="USDAED",LEFT(AJ722,3)=RIGHT(AJ722,3)),AQ722,AO722)-AM722)*-BF722*VLOOKUP(AJ722,'FX RATES'!$H$1:$J$26,3,FALSE),0))</f>
        <v>0</v>
      </c>
      <c r="BI722" s="170" t="str">
        <f>RIGHT(AJ722,3)</f>
        <v>RUB</v>
      </c>
      <c r="BJ722" s="542">
        <f>IF(BH722=0,0,IFERROR(BH722/IF(BI722&lt;&gt;"USD",AQ722,1),"???"))</f>
        <v>0</v>
      </c>
      <c r="BK722" s="170">
        <f>IFERROR(-AK722/(IF(OR(AJ722="USDAED",LEFT(AJ722,3)=RIGHT(AJ722,3)),AP722,AO722)-AM722)*BJ722,0)</f>
        <v>0</v>
      </c>
      <c r="BL722" s="542">
        <f>BJ722-BK722</f>
        <v>0</v>
      </c>
      <c r="BM722" s="170">
        <f>BD722+BK722</f>
        <v>0</v>
      </c>
      <c r="BN722" s="542">
        <f>BE722+BL722</f>
        <v>0</v>
      </c>
    </row>
    <row r="723" spans="1:66" ht="19.5" customHeight="1">
      <c r="A723" s="167" t="s">
        <v>492</v>
      </c>
      <c r="B723" s="168" t="s">
        <v>0</v>
      </c>
      <c r="C723" s="168" t="s">
        <v>489</v>
      </c>
      <c r="D723" s="168" t="s">
        <v>128</v>
      </c>
      <c r="E723" s="171"/>
      <c r="F723" s="171"/>
      <c r="G723" s="168" t="s">
        <v>0</v>
      </c>
      <c r="H723" s="181" t="s">
        <v>0</v>
      </c>
      <c r="I723" s="169">
        <v>-177210000</v>
      </c>
      <c r="J723" s="170">
        <f>IF(I723="",AR723,I723)</f>
        <v>-177210000</v>
      </c>
      <c r="K723" s="168" t="s">
        <v>9</v>
      </c>
      <c r="L723" s="171"/>
      <c r="M723" s="168"/>
      <c r="N723" s="167" t="s">
        <v>371</v>
      </c>
      <c r="O723" s="168" t="s">
        <v>0</v>
      </c>
      <c r="P723" s="168" t="s">
        <v>0</v>
      </c>
      <c r="Q723" s="169"/>
      <c r="R723" s="170">
        <f>IF(Q723="",AS723,Q723)</f>
        <v>1793623.4817813765</v>
      </c>
      <c r="S723" s="168" t="s">
        <v>5</v>
      </c>
      <c r="T723" s="171"/>
      <c r="U723" s="168"/>
      <c r="V723" s="167" t="s">
        <v>371</v>
      </c>
      <c r="W723" s="172" t="s">
        <v>382</v>
      </c>
      <c r="X723" s="173">
        <f>IF(Y723="",VLOOKUP(H723,CLIENTS!$A$1:$O$649,5,FALSE),Y723)</f>
        <v>0</v>
      </c>
      <c r="Y723" s="174"/>
      <c r="Z723" s="173">
        <f>IF(AA723="",VLOOKUP(P723,CLIENTS!$A$1:$O$649,5,FALSE),AA723)</f>
        <v>0</v>
      </c>
      <c r="AA723" s="174"/>
      <c r="AB723" s="173" t="str">
        <f>IF(W723="via USD",IF(K723="EUR",K723&amp;"USD","USD"&amp;K723),IFERROR(VLOOKUP(K723&amp;S723,'FX RATES'!$H$2:$H$20,1,FALSE),S723&amp;K723))</f>
        <v>USDRUB</v>
      </c>
      <c r="AC723" s="175">
        <f>IF(LEFT(AB723,3)=RIGHT(AB723,3),0,IFERROR(INDEX(CLIENTS!$A$1:$O$649,MATCH(H723,CLIENTS!$A$1:$A$649,0),MATCH(AB723,CLIENTS!$A$1:$O$1,0)),0))</f>
        <v>0</v>
      </c>
      <c r="AD723" s="176">
        <v>98.8</v>
      </c>
      <c r="AE723" s="177">
        <f>IF(W723="CLIENT","",IF(AD723="",AH723+AC723,AD723+AC723))</f>
        <v>98.8</v>
      </c>
      <c r="AF723" s="177" t="str">
        <f>E723&amp;AB723</f>
        <v>USDRUB</v>
      </c>
      <c r="AG723" s="176">
        <v>99</v>
      </c>
      <c r="AH723" s="178">
        <f ca="1">IF(LEFT(AB723,3)=RIGHT(AB723,3),1,VLOOKUP(AB723,'FX RATES'!$H$1:$I$20,2,FALSE))</f>
        <v>76.720500000000001</v>
      </c>
      <c r="AI723" s="178">
        <f>IF(OR(AB723="USDAED",LEFT(AB723,3)=RIGHT(AB723,3)),AH723,IF(LEFT(AB723)="USD",AG723,IF(RIGHT(AB723,3)="USD",1,IFERROR(VLOOKUP(E723&amp;"USD"&amp;RIGHT(AB723,3),$AF:$AG,2,FALSE),VLOOKUP(E723&amp;"USD"&amp;RIGHT(AJ723,3),$AN:$AO,2,FALSE)))))</f>
        <v>0</v>
      </c>
      <c r="AJ723" s="173" t="str">
        <f>IF(W723="via USD",IF(S723="EUR",S723&amp;"USD","USD"&amp;S723),IFERROR(VLOOKUP(K723&amp;S723,'FX RATES'!$H$2:$H$20,1,FALSE),S723&amp;K723))</f>
        <v>USDRUB</v>
      </c>
      <c r="AK723" s="175">
        <f>IF(LEFT(AJ723,3)=RIGHT(AJ723,3),0,IFERROR(INDEX(CLIENTS!$A$1:$O$649,MATCH(P723,CLIENTS!$A$1:$A$649,0),MATCH(AJ723,CLIENTS!$A$1:$O$1,0)),0))</f>
        <v>0</v>
      </c>
      <c r="AL723" s="176"/>
      <c r="AM723" s="177" t="str">
        <f>IF(W723="VENDOR","",IF(AL723="",AP723+AK723,AL723+AK723))</f>
        <v/>
      </c>
      <c r="AN723" s="177" t="str">
        <f>E723&amp;AJ723</f>
        <v>USDRUB</v>
      </c>
      <c r="AO723" s="176"/>
      <c r="AP723" s="178">
        <f ca="1">IF(LEFT(AJ723,3)=RIGHT(AJ723,3),1,VLOOKUP(AJ723,'FX RATES'!$H$1:$I$20,2,FALSE))</f>
        <v>76.720500000000001</v>
      </c>
      <c r="AQ723" s="178">
        <f>IF(OR(AJ723="USDAED",LEFT(AJ723,3)=RIGHT(AJ723,3)),AP723,IF(LEFT(AJ723)="USD",AO723,IF(RIGHT(AJ723,3)="USD",1,IFERROR(VLOOKUP(E723&amp;"USD"&amp;RIGHT(AJ723,3),$AN:$AO,2,FALSE),VLOOKUP(E723&amp;"USD"&amp;RIGHT(AB723,3),$AF:$AG,2,FALSE)))))</f>
        <v>98.8</v>
      </c>
      <c r="AR723" s="179">
        <f>-Q723*(1-Z723)/(1+X723)*IF(W723="CLIENT",IF(S723=RIGHT(AJ723,3),1/AM723,AM723),IF(W723="VENDOR",IF(S723=RIGHT(AJ723,3),1/AE723,AE723),AE723^(VLOOKUP(AB723,'FX RATES'!$H$1:$J$26,3,FALSE))/AM723^(VLOOKUP(AJ723,'FX RATES'!$H$1:$J$26,3,FALSE))))</f>
        <v>0</v>
      </c>
      <c r="AS723" s="179">
        <f>-I723*(1+X723)/(1-Z723)*IF(W723="VENDOR",IF(K723=RIGHT(AB723,3),1/AE723,AE723),IF(W723="CLIENT",IF(K723=RIGHT(AB723,3),1/AM723,AM723),AM723^(VLOOKUP(AJ723,'FX RATES'!$H$1:$J$26,3,FALSE))/AE723^(VLOOKUP(AB723,'FX RATES'!$H$1:$J$26,3,FALSE))))</f>
        <v>1793623.4817813765</v>
      </c>
      <c r="AT723" s="170">
        <f>IF(AB723&lt;&gt;AJ723,J723/IF(K723=RIGHT(AB723,3),AE723,1/AE723),IF(S723="USD",J723/IF(K723=RIGHT(AB723,3),IF(W723="CLIENT",AM723,AE723),1/IF(W723="CLIENT",AM723,AE723)),J723*VLOOKUP(K723,'FX RATES'!$E$1:$F$10,2,FALSE)))</f>
        <v>-1793623.4817813765</v>
      </c>
      <c r="AU723" s="170">
        <f>IF(AB723&lt;&gt;AJ723,R723/IF(S723=RIGHT(AJ723,3),AM723,1/AM723),IF(K723="USD",R723/IF(S723=RIGHT(AJ723,3),IF(W723="CLIENT",AM723,AE723),1/IF(W723="CLIENT",AM723,AE723)),R723*VLOOKUP(S723,'FX RATES'!$E$1:$F$10,2,FALSE)))</f>
        <v>1793623.4817813765</v>
      </c>
      <c r="AV723" s="170">
        <f>AT723+AU723</f>
        <v>0</v>
      </c>
      <c r="AW723" s="169"/>
      <c r="AX723" s="170">
        <f>IF(AND(T723&lt;&gt;"INVOICE",T723&lt;&gt;"SWITCH",T723&lt;&gt;"FOREX",A723&lt;&gt;"REFUND",A723&lt;&gt;"CANCELLED"),IF(AW723="",-AT723*X723+AU723*Z723,AW723),0)</f>
        <v>0</v>
      </c>
      <c r="AY723" s="170">
        <f>IF(AZ723="USD",AT723,IF(AZ723=K723,J723,-R723))</f>
        <v>-1793623.4817813765</v>
      </c>
      <c r="AZ723" s="170" t="str">
        <f>LEFT(AB723,3)</f>
        <v>USD</v>
      </c>
      <c r="BA723" s="542">
        <f>IF(OR(A723="REFUND",A723="CANCELLED"),0,IFERROR((IF(OR(AB723="USDAED",LEFT(AB723,3)=RIGHT(AB723,3)),AI723,AG723)-AE723)*-AY723*VLOOKUP(AB723,'FX RATES'!$H$1:$J$26,3,FALSE),0))</f>
        <v>358724.69635628042</v>
      </c>
      <c r="BB723" s="170" t="str">
        <f>RIGHT(AB723,3)</f>
        <v>RUB</v>
      </c>
      <c r="BC723" s="542" t="str">
        <f>IF(BA723=0,0,IFERROR(BA723/IF(BB723&lt;&gt;"USD",AI723,1),"???"))</f>
        <v>???</v>
      </c>
      <c r="BD723" s="170">
        <f>IFERROR(-AC723/(IF(OR(AB723="USDAED",LEFT(AB723,3)=RIGHT(AB723,3)),AH723,AG723)-AE723)*BC723,0)</f>
        <v>0</v>
      </c>
      <c r="BE723" s="542" t="e">
        <f>BC723-BD723</f>
        <v>#VALUE!</v>
      </c>
      <c r="BF723" s="170">
        <f>IF(BG723="USD",AU723,IF(BG723=S723,R723,-J723))</f>
        <v>1793623.4817813765</v>
      </c>
      <c r="BG723" s="170" t="str">
        <f>LEFT(AJ723,3)</f>
        <v>USD</v>
      </c>
      <c r="BH723" s="542">
        <f>IF(OR(A723="REFUND",A723="CANCELLED"),0,IFERROR((IF(OR(AJ723="USDAED",LEFT(AJ723,3)=RIGHT(AJ723,3)),AQ723,AO723)-AM723)*-BF723*VLOOKUP(AJ723,'FX RATES'!$H$1:$J$26,3,FALSE),0))</f>
        <v>0</v>
      </c>
      <c r="BI723" s="170" t="str">
        <f>RIGHT(AJ723,3)</f>
        <v>RUB</v>
      </c>
      <c r="BJ723" s="542">
        <f>IF(BH723=0,0,IFERROR(BH723/IF(BI723&lt;&gt;"USD",AQ723,1),"???"))</f>
        <v>0</v>
      </c>
      <c r="BK723" s="170">
        <f>IFERROR(-AK723/(IF(OR(AJ723="USDAED",LEFT(AJ723,3)=RIGHT(AJ723,3)),AP723,AO723)-AM723)*BJ723,0)</f>
        <v>0</v>
      </c>
      <c r="BL723" s="542">
        <f>BJ723-BK723</f>
        <v>0</v>
      </c>
      <c r="BM723" s="170">
        <f>BD723+BK723</f>
        <v>0</v>
      </c>
      <c r="BN723" s="542" t="e">
        <f>BE723+BL723</f>
        <v>#VALUE!</v>
      </c>
    </row>
    <row r="725" spans="1:66" ht="19.5" customHeight="1">
      <c r="A725" s="167" t="s">
        <v>488</v>
      </c>
      <c r="B725" s="168" t="s">
        <v>39</v>
      </c>
      <c r="C725" s="168" t="s">
        <v>489</v>
      </c>
      <c r="D725" s="168" t="s">
        <v>128</v>
      </c>
      <c r="E725" s="171"/>
      <c r="F725" s="171"/>
      <c r="G725" s="168" t="s">
        <v>39</v>
      </c>
      <c r="H725" s="181" t="s">
        <v>39</v>
      </c>
      <c r="I725" s="169">
        <f>-20000000</f>
        <v>-20000000</v>
      </c>
      <c r="J725" s="170">
        <f>IF(I725="",AR725,I725)</f>
        <v>-20000000</v>
      </c>
      <c r="K725" s="168" t="s">
        <v>9</v>
      </c>
      <c r="L725" s="171"/>
      <c r="M725" s="168"/>
      <c r="N725" s="167" t="s">
        <v>371</v>
      </c>
      <c r="O725" s="168" t="s">
        <v>39</v>
      </c>
      <c r="P725" s="168" t="s">
        <v>39</v>
      </c>
      <c r="Q725" s="169"/>
      <c r="R725" s="170">
        <f>IF(Q725="",AS725,Q725)</f>
        <v>198019.80198019801</v>
      </c>
      <c r="S725" s="168" t="s">
        <v>5</v>
      </c>
      <c r="T725" s="171"/>
      <c r="U725" s="168"/>
      <c r="V725" s="167" t="s">
        <v>371</v>
      </c>
      <c r="W725" s="172" t="s">
        <v>382</v>
      </c>
      <c r="X725" s="173">
        <f>IF(Y725="",VLOOKUP(H725,CLIENTS!$A$1:$O$649,5,FALSE),Y725)</f>
        <v>0</v>
      </c>
      <c r="Y725" s="174"/>
      <c r="Z725" s="173">
        <f>IF(AA725="",VLOOKUP(P725,CLIENTS!$A$1:$O$649,5,FALSE),AA725)</f>
        <v>0</v>
      </c>
      <c r="AA725" s="174"/>
      <c r="AB725" s="173" t="str">
        <f>IF(W725="via USD",IF(K725="EUR",K725&amp;"USD","USD"&amp;K725),IFERROR(VLOOKUP(K725&amp;S725,'FX RATES'!$H$2:$H$20,1,FALSE),S725&amp;K725))</f>
        <v>USDRUB</v>
      </c>
      <c r="AC725" s="175">
        <f>IF(LEFT(AB725,3)=RIGHT(AB725,3),0,IFERROR(INDEX(CLIENTS!$A$1:$O$649,MATCH(H725,CLIENTS!$A$1:$A$649,0),MATCH(AB725,CLIENTS!$A$1:$O$1,0)),0))</f>
        <v>0</v>
      </c>
      <c r="AD725" s="176">
        <v>101</v>
      </c>
      <c r="AE725" s="177">
        <f>IF(W725="CLIENT","",IF(AD725="",AH725+AC725,AD725+AC725))</f>
        <v>101</v>
      </c>
      <c r="AF725" s="177" t="str">
        <f>E725&amp;AB725</f>
        <v>USDRUB</v>
      </c>
      <c r="AG725" s="176">
        <v>101</v>
      </c>
      <c r="AH725" s="178">
        <f ca="1">IF(LEFT(AB725,3)=RIGHT(AB725,3),1,VLOOKUP(AB725,'FX RATES'!$H$1:$I$20,2,FALSE))</f>
        <v>76.720500000000001</v>
      </c>
      <c r="AI725" s="178">
        <f>IF(OR(AB725="USDAED",LEFT(AB725,3)=RIGHT(AB725,3)),AH725,IF(LEFT(AB725)="USD",AG725,IF(RIGHT(AB725,3)="USD",1,IFERROR(VLOOKUP(E725&amp;"USD"&amp;RIGHT(AB725,3),$AF:$AG,2,FALSE),VLOOKUP(E725&amp;"USD"&amp;RIGHT(AJ725,3),$AN:$AO,2,FALSE)))))</f>
        <v>0</v>
      </c>
      <c r="AJ725" s="173" t="str">
        <f>IF(W725="via USD",IF(S725="EUR",S725&amp;"USD","USD"&amp;S725),IFERROR(VLOOKUP(K725&amp;S725,'FX RATES'!$H$2:$H$20,1,FALSE),S725&amp;K725))</f>
        <v>USDRUB</v>
      </c>
      <c r="AK725" s="175">
        <f>IF(LEFT(AJ725,3)=RIGHT(AJ725,3),0,IFERROR(INDEX(CLIENTS!$A$1:$O$649,MATCH(P725,CLIENTS!$A$1:$A$649,0),MATCH(AJ725,CLIENTS!$A$1:$O$1,0)),0))</f>
        <v>0</v>
      </c>
      <c r="AL725" s="176"/>
      <c r="AM725" s="177" t="str">
        <f>IF(W725="VENDOR","",IF(AL725="",AP725+AK725,AL725+AK725))</f>
        <v/>
      </c>
      <c r="AN725" s="177" t="str">
        <f>E725&amp;AJ725</f>
        <v>USDRUB</v>
      </c>
      <c r="AO725" s="176"/>
      <c r="AP725" s="178">
        <f ca="1">IF(LEFT(AJ725,3)=RIGHT(AJ725,3),1,VLOOKUP(AJ725,'FX RATES'!$H$1:$I$20,2,FALSE))</f>
        <v>76.720500000000001</v>
      </c>
      <c r="AQ725" s="178">
        <f>IF(OR(AJ725="USDAED",LEFT(AJ725,3)=RIGHT(AJ725,3)),AP725,IF(LEFT(AJ725)="USD",AO725,IF(RIGHT(AJ725,3)="USD",1,IFERROR(VLOOKUP(E725&amp;"USD"&amp;RIGHT(AJ725,3),$AN:$AO,2,FALSE),VLOOKUP(E725&amp;"USD"&amp;RIGHT(AB725,3),$AF:$AG,2,FALSE)))))</f>
        <v>98.8</v>
      </c>
      <c r="AR725" s="179">
        <f>-Q725*(1-Z725)/(1+X725)*IF(W725="CLIENT",IF(S725=RIGHT(AJ725,3),1/AM725,AM725),IF(W725="VENDOR",IF(S725=RIGHT(AJ725,3),1/AE725,AE725),AE725^(VLOOKUP(AB725,'FX RATES'!$H$1:$J$26,3,FALSE))/AM725^(VLOOKUP(AJ725,'FX RATES'!$H$1:$J$26,3,FALSE))))</f>
        <v>0</v>
      </c>
      <c r="AS725" s="179">
        <f>-I725*(1+X725)/(1-Z725)*IF(W725="VENDOR",IF(K725=RIGHT(AB725,3),1/AE725,AE725),IF(W725="CLIENT",IF(K725=RIGHT(AB725,3),1/AM725,AM725),AM725^(VLOOKUP(AJ725,'FX RATES'!$H$1:$J$26,3,FALSE))/AE725^(VLOOKUP(AB725,'FX RATES'!$H$1:$J$26,3,FALSE))))</f>
        <v>198019.80198019801</v>
      </c>
      <c r="AT725" s="170">
        <f>IF(AB725&lt;&gt;AJ725,J725/IF(K725=RIGHT(AB725,3),AE725,1/AE725),IF(S725="USD",J725/IF(K725=RIGHT(AB725,3),IF(W725="CLIENT",AM725,AE725),1/IF(W725="CLIENT",AM725,AE725)),J725*VLOOKUP(K725,'FX RATES'!$E$1:$F$10,2,FALSE)))</f>
        <v>-198019.80198019801</v>
      </c>
      <c r="AU725" s="170">
        <f>IF(AB725&lt;&gt;AJ725,R725/IF(S725=RIGHT(AJ725,3),AM725,1/AM725),IF(K725="USD",R725/IF(S725=RIGHT(AJ725,3),IF(W725="CLIENT",AM725,AE725),1/IF(W725="CLIENT",AM725,AE725)),R725*VLOOKUP(S725,'FX RATES'!$E$1:$F$10,2,FALSE)))</f>
        <v>198019.80198019801</v>
      </c>
      <c r="AV725" s="170">
        <f>AT725+AU725</f>
        <v>0</v>
      </c>
      <c r="AW725" s="169"/>
      <c r="AX725" s="170">
        <f>IF(AND(T725&lt;&gt;"INVOICE",T725&lt;&gt;"SWITCH",T725&lt;&gt;"FOREX",A725&lt;&gt;"REFUND",A725&lt;&gt;"CANCELLED"),IF(AW725="",-AT725*X725+AU725*Z725,AW725),0)</f>
        <v>0</v>
      </c>
      <c r="AY725" s="170">
        <f>IF(AZ725="USD",AT725,IF(AZ725=K725,J725,-R725))</f>
        <v>-198019.80198019801</v>
      </c>
      <c r="AZ725" s="170" t="str">
        <f>LEFT(AB725,3)</f>
        <v>USD</v>
      </c>
      <c r="BA725" s="542">
        <f>IF(OR(A725="REFUND",A725="CANCELLED"),0,IFERROR((IF(OR(AB725="USDAED",LEFT(AB725,3)=RIGHT(AB725,3)),AI725,AG725)-AE725)*-AY725*VLOOKUP(AB725,'FX RATES'!$H$1:$J$26,3,FALSE),0))</f>
        <v>0</v>
      </c>
      <c r="BB725" s="170" t="str">
        <f>RIGHT(AB725,3)</f>
        <v>RUB</v>
      </c>
      <c r="BC725" s="542">
        <f>IF(BA725=0,0,IFERROR(BA725/IF(BB725&lt;&gt;"USD",AI725,1),"???"))</f>
        <v>0</v>
      </c>
      <c r="BD725" s="170">
        <f>IFERROR(-AC725/(IF(OR(AB725="USDAED",LEFT(AB725,3)=RIGHT(AB725,3)),AH725,AG725)-AE725)*BC725,0)</f>
        <v>0</v>
      </c>
      <c r="BE725" s="542">
        <f>BC725-BD725</f>
        <v>0</v>
      </c>
      <c r="BF725" s="170">
        <f>IF(BG725="USD",AU725,IF(BG725=S725,R725,-J725))</f>
        <v>198019.80198019801</v>
      </c>
      <c r="BG725" s="170" t="str">
        <f>LEFT(AJ725,3)</f>
        <v>USD</v>
      </c>
      <c r="BH725" s="542">
        <f>IF(OR(A725="REFUND",A725="CANCELLED"),0,IFERROR((IF(OR(AJ725="USDAED",LEFT(AJ725,3)=RIGHT(AJ725,3)),AQ725,AO725)-AM725)*-BF725*VLOOKUP(AJ725,'FX RATES'!$H$1:$J$26,3,FALSE),0))</f>
        <v>0</v>
      </c>
      <c r="BI725" s="170" t="str">
        <f>RIGHT(AJ725,3)</f>
        <v>RUB</v>
      </c>
      <c r="BJ725" s="542">
        <f>IF(BH725=0,0,IFERROR(BH725/IF(BI725&lt;&gt;"USD",AQ725,1),"???"))</f>
        <v>0</v>
      </c>
      <c r="BK725" s="170">
        <f>IFERROR(-AK725/(IF(OR(AJ725="USDAED",LEFT(AJ725,3)=RIGHT(AJ725,3)),AP725,AO725)-AM725)*BJ725,0)</f>
        <v>0</v>
      </c>
      <c r="BL725" s="542">
        <f>BJ725-BK725</f>
        <v>0</v>
      </c>
      <c r="BM725" s="170">
        <f>BD725+BK725</f>
        <v>0</v>
      </c>
      <c r="BN725" s="542">
        <f>BE725+BL725</f>
        <v>0</v>
      </c>
    </row>
    <row r="726" spans="1:66" ht="19.5" customHeight="1">
      <c r="A726" s="167" t="s">
        <v>492</v>
      </c>
      <c r="B726" s="168" t="s">
        <v>39</v>
      </c>
      <c r="C726" s="168" t="s">
        <v>489</v>
      </c>
      <c r="D726" s="168" t="s">
        <v>128</v>
      </c>
      <c r="E726" s="171"/>
      <c r="F726" s="171"/>
      <c r="G726" s="168" t="s">
        <v>39</v>
      </c>
      <c r="H726" s="181" t="s">
        <v>39</v>
      </c>
      <c r="I726" s="169"/>
      <c r="J726" s="170">
        <f>IF(I726="",AR726,I726)</f>
        <v>-198019.80198019801</v>
      </c>
      <c r="K726" s="168" t="s">
        <v>5</v>
      </c>
      <c r="L726" s="171"/>
      <c r="M726" s="168"/>
      <c r="N726" s="167" t="s">
        <v>371</v>
      </c>
      <c r="O726" s="168" t="s">
        <v>39</v>
      </c>
      <c r="P726" s="168" t="s">
        <v>39</v>
      </c>
      <c r="Q726" s="169">
        <v>20000000</v>
      </c>
      <c r="R726" s="170">
        <f>IF(Q726="",AS726,Q726)</f>
        <v>20000000</v>
      </c>
      <c r="S726" s="168" t="s">
        <v>9</v>
      </c>
      <c r="T726" s="171"/>
      <c r="U726" s="168"/>
      <c r="V726" s="167" t="s">
        <v>371</v>
      </c>
      <c r="W726" s="172" t="s">
        <v>389</v>
      </c>
      <c r="X726" s="173">
        <f>IF(Y726="",VLOOKUP(H726,CLIENTS!$A$1:$O$649,5,FALSE),Y726)</f>
        <v>0</v>
      </c>
      <c r="Y726" s="174"/>
      <c r="Z726" s="173">
        <f>IF(AA726="",VLOOKUP(P726,CLIENTS!$A$1:$O$649,5,FALSE),AA726)</f>
        <v>0</v>
      </c>
      <c r="AA726" s="174"/>
      <c r="AB726" s="173" t="str">
        <f>IF(W726="via USD",IF(K726="EUR",K726&amp;"USD","USD"&amp;K726),IFERROR(VLOOKUP(K726&amp;S726,'FX RATES'!$H$2:$H$20,1,FALSE),S726&amp;K726))</f>
        <v>USDRUB</v>
      </c>
      <c r="AC726" s="175">
        <f>IF(LEFT(AB726,3)=RIGHT(AB726,3),0,IFERROR(INDEX(CLIENTS!$A$1:$O$649,MATCH(H726,CLIENTS!$A$1:$A$649,0),MATCH(AB726,CLIENTS!$A$1:$O$1,0)),0))</f>
        <v>0</v>
      </c>
      <c r="AD726" s="176"/>
      <c r="AE726" s="177" t="str">
        <f>IF(W726="CLIENT","",IF(AD726="",AH726+AC726,AD726+AC726))</f>
        <v/>
      </c>
      <c r="AF726" s="177" t="str">
        <f>E726&amp;AB726</f>
        <v>USDRUB</v>
      </c>
      <c r="AG726" s="176"/>
      <c r="AH726" s="178">
        <f ca="1">IF(LEFT(AB726,3)=RIGHT(AB726,3),1,VLOOKUP(AB726,'FX RATES'!$H$1:$I$20,2,FALSE))</f>
        <v>76.720500000000001</v>
      </c>
      <c r="AI726" s="178">
        <f>IF(OR(AB726="USDAED",LEFT(AB726,3)=RIGHT(AB726,3)),AH726,IF(LEFT(AB726)="USD",AG726,IF(RIGHT(AB726,3)="USD",1,IFERROR(VLOOKUP(E726&amp;"USD"&amp;RIGHT(AB726,3),$AF:$AG,2,FALSE),VLOOKUP(E726&amp;"USD"&amp;RIGHT(AJ726,3),$AN:$AO,2,FALSE)))))</f>
        <v>0</v>
      </c>
      <c r="AJ726" s="173" t="str">
        <f>IF(W726="via USD",IF(S726="EUR",S726&amp;"USD","USD"&amp;S726),IFERROR(VLOOKUP(K726&amp;S726,'FX RATES'!$H$2:$H$20,1,FALSE),S726&amp;K726))</f>
        <v>USDRUB</v>
      </c>
      <c r="AK726" s="175">
        <f>IF(LEFT(AJ726,3)=RIGHT(AJ726,3),0,IFERROR(INDEX(CLIENTS!$A$1:$O$649,MATCH(P726,CLIENTS!$A$1:$A$649,0),MATCH(AJ726,CLIENTS!$A$1:$O$1,0)),0))</f>
        <v>0</v>
      </c>
      <c r="AL726" s="176">
        <v>101</v>
      </c>
      <c r="AM726" s="177">
        <f>IF(W726="VENDOR","",IF(AL726="",AP726+AK726,AL726+AK726))</f>
        <v>101</v>
      </c>
      <c r="AN726" s="177" t="str">
        <f>E726&amp;AJ726</f>
        <v>USDRUB</v>
      </c>
      <c r="AO726" s="176">
        <v>97</v>
      </c>
      <c r="AP726" s="178">
        <f ca="1">IF(LEFT(AJ726,3)=RIGHT(AJ726,3),1,VLOOKUP(AJ726,'FX RATES'!$H$1:$I$20,2,FALSE))</f>
        <v>76.720500000000001</v>
      </c>
      <c r="AQ726" s="178">
        <f>IF(OR(AJ726="USDAED",LEFT(AJ726,3)=RIGHT(AJ726,3)),AP726,IF(LEFT(AJ726)="USD",AO726,IF(RIGHT(AJ726,3)="USD",1,IFERROR(VLOOKUP(E726&amp;"USD"&amp;RIGHT(AJ726,3),$AN:$AO,2,FALSE),VLOOKUP(E726&amp;"USD"&amp;RIGHT(AB726,3),$AF:$AG,2,FALSE)))))</f>
        <v>98.8</v>
      </c>
      <c r="AR726" s="179">
        <f>-Q726*(1-Z726)/(1+X726)*IF(W726="CLIENT",IF(S726=RIGHT(AJ726,3),1/AM726,AM726),IF(W726="VENDOR",IF(S726=RIGHT(AJ726,3),1/AE726,AE726),AE726^(VLOOKUP(AB726,'FX RATES'!$H$1:$J$26,3,FALSE))/AM726^(VLOOKUP(AJ726,'FX RATES'!$H$1:$J$26,3,FALSE))))</f>
        <v>-198019.80198019801</v>
      </c>
      <c r="AS726" s="179">
        <f>-I726*(1+X726)/(1-Z726)*IF(W726="VENDOR",IF(K726=RIGHT(AB726,3),1/AE726,AE726),IF(W726="CLIENT",IF(K726=RIGHT(AB726,3),1/AM726,AM726),AM726^(VLOOKUP(AJ726,'FX RATES'!$H$1:$J$26,3,FALSE))/AE726^(VLOOKUP(AB726,'FX RATES'!$H$1:$J$26,3,FALSE))))</f>
        <v>0</v>
      </c>
      <c r="AT726" s="170">
        <f>IF(AB726&lt;&gt;AJ726,J726/IF(K726=RIGHT(AB726,3),AE726,1/AE726),IF(S726="USD",J726/IF(K726=RIGHT(AB726,3),IF(W726="CLIENT",AM726,AE726),1/IF(W726="CLIENT",AM726,AE726)),J726*VLOOKUP(K726,'FX RATES'!$E$1:$F$10,2,FALSE)))</f>
        <v>-198019.80198019801</v>
      </c>
      <c r="AU726" s="170">
        <f>IF(AB726&lt;&gt;AJ726,R726/IF(S726=RIGHT(AJ726,3),AM726,1/AM726),IF(K726="USD",R726/IF(S726=RIGHT(AJ726,3),IF(W726="CLIENT",AM726,AE726),1/IF(W726="CLIENT",AM726,AE726)),R726*VLOOKUP(S726,'FX RATES'!$E$1:$F$10,2,FALSE)))</f>
        <v>198019.80198019801</v>
      </c>
      <c r="AV726" s="170">
        <f>AT726+AU726</f>
        <v>0</v>
      </c>
      <c r="AW726" s="169"/>
      <c r="AX726" s="170">
        <f>IF(AND(T726&lt;&gt;"INVOICE",T726&lt;&gt;"SWITCH",T726&lt;&gt;"FOREX",A726&lt;&gt;"REFUND",A726&lt;&gt;"CANCELLED"),IF(AW726="",-AT726*X726+AU726*Z726,AW726),0)</f>
        <v>0</v>
      </c>
      <c r="AY726" s="170">
        <f>IF(AZ726="USD",AT726,IF(AZ726=K726,J726,-R726))</f>
        <v>-198019.80198019801</v>
      </c>
      <c r="AZ726" s="170" t="str">
        <f>LEFT(AB726,3)</f>
        <v>USD</v>
      </c>
      <c r="BA726" s="542">
        <f>IF(OR(A726="REFUND",A726="CANCELLED"),0,IFERROR((IF(OR(AB726="USDAED",LEFT(AB726,3)=RIGHT(AB726,3)),AI726,AG726)-AE726)*-AY726*VLOOKUP(AB726,'FX RATES'!$H$1:$J$26,3,FALSE),0))</f>
        <v>0</v>
      </c>
      <c r="BB726" s="170" t="str">
        <f>RIGHT(AB726,3)</f>
        <v>RUB</v>
      </c>
      <c r="BC726" s="542">
        <f>IF(BA726=0,0,IFERROR(BA726/IF(BB726&lt;&gt;"USD",AI726,1),"???"))</f>
        <v>0</v>
      </c>
      <c r="BD726" s="170">
        <f>IFERROR(-AC726/(IF(OR(AB726="USDAED",LEFT(AB726,3)=RIGHT(AB726,3)),AH726,AG726)-AE726)*BC726,0)</f>
        <v>0</v>
      </c>
      <c r="BE726" s="542">
        <f>BC726-BD726</f>
        <v>0</v>
      </c>
      <c r="BF726" s="170">
        <f>IF(BG726="USD",AU726,IF(BG726=S726,R726,-J726))</f>
        <v>198019.80198019801</v>
      </c>
      <c r="BG726" s="170" t="str">
        <f>LEFT(AJ726,3)</f>
        <v>USD</v>
      </c>
      <c r="BH726" s="542">
        <f>IF(OR(A726="REFUND",A726="CANCELLED"),0,IFERROR((IF(OR(AJ726="USDAED",LEFT(AJ726,3)=RIGHT(AJ726,3)),AQ726,AO726)-AM726)*-BF726*VLOOKUP(AJ726,'FX RATES'!$H$1:$J$26,3,FALSE),0))</f>
        <v>792079.20792079205</v>
      </c>
      <c r="BI726" s="170" t="str">
        <f>RIGHT(AJ726,3)</f>
        <v>RUB</v>
      </c>
      <c r="BJ726" s="542">
        <f>IF(BH726=0,0,IFERROR(BH726/IF(BI726&lt;&gt;"USD",AQ726,1),"???"))</f>
        <v>8016.9960315869639</v>
      </c>
      <c r="BK726" s="170">
        <f>IFERROR(-AK726/(IF(OR(AJ726="USDAED",LEFT(AJ726,3)=RIGHT(AJ726,3)),AP726,AO726)-AM726)*BJ726,0)</f>
        <v>0</v>
      </c>
      <c r="BL726" s="542">
        <f>BJ726-BK726</f>
        <v>8016.9960315869639</v>
      </c>
      <c r="BM726" s="170">
        <f>BD726+BK726</f>
        <v>0</v>
      </c>
      <c r="BN726" s="542">
        <f>BE726+BL726</f>
        <v>8016.9960315869639</v>
      </c>
    </row>
    <row r="728" spans="1:66" ht="19.5" customHeight="1">
      <c r="A728" s="167" t="s">
        <v>488</v>
      </c>
      <c r="B728" s="168" t="s">
        <v>39</v>
      </c>
      <c r="C728" s="168" t="s">
        <v>489</v>
      </c>
      <c r="D728" s="168" t="s">
        <v>128</v>
      </c>
      <c r="E728" s="171"/>
      <c r="F728" s="171"/>
      <c r="G728" s="168" t="s">
        <v>39</v>
      </c>
      <c r="H728" s="181" t="s">
        <v>34</v>
      </c>
      <c r="I728" s="169"/>
      <c r="J728" s="170">
        <f>IF(I728="",AR728,I728)</f>
        <v>-485908.64917395532</v>
      </c>
      <c r="K728" s="168" t="s">
        <v>5</v>
      </c>
      <c r="L728" s="171"/>
      <c r="M728" s="168"/>
      <c r="N728" s="167" t="s">
        <v>371</v>
      </c>
      <c r="O728" s="168" t="s">
        <v>39</v>
      </c>
      <c r="P728" s="168" t="s">
        <v>39</v>
      </c>
      <c r="Q728" s="169">
        <v>50000000</v>
      </c>
      <c r="R728" s="170">
        <f>IF(Q728="",AS728,Q728)</f>
        <v>50000000</v>
      </c>
      <c r="S728" s="168" t="s">
        <v>9</v>
      </c>
      <c r="T728" s="171"/>
      <c r="U728" s="168"/>
      <c r="V728" s="167" t="s">
        <v>371</v>
      </c>
      <c r="W728" s="172" t="s">
        <v>389</v>
      </c>
      <c r="X728" s="173">
        <f>IF(Y728="",VLOOKUP(H728,CLIENTS!$A$1:$O$649,5,FALSE),Y728)</f>
        <v>0</v>
      </c>
      <c r="Y728" s="174"/>
      <c r="Z728" s="173">
        <f>IF(AA728="",VLOOKUP(P728,CLIENTS!$A$1:$O$649,5,FALSE),AA728)</f>
        <v>0</v>
      </c>
      <c r="AA728" s="174"/>
      <c r="AB728" s="173" t="str">
        <f>IF(W728="via USD",IF(K728="EUR",K728&amp;"USD","USD"&amp;K728),IFERROR(VLOOKUP(K728&amp;S728,'FX RATES'!$H$2:$H$20,1,FALSE),S728&amp;K728))</f>
        <v>USDRUB</v>
      </c>
      <c r="AC728" s="175">
        <f>IF(LEFT(AB728,3)=RIGHT(AB728,3),0,IFERROR(INDEX(CLIENTS!$A$1:$O$649,MATCH(H728,CLIENTS!$A$1:$A$649,0),MATCH(AB728,CLIENTS!$A$1:$O$1,0)),0))</f>
        <v>0</v>
      </c>
      <c r="AD728" s="176"/>
      <c r="AE728" s="177" t="str">
        <f>IF(W728="CLIENT","",IF(AD728="",AH728+AC728,AD728+AC728))</f>
        <v/>
      </c>
      <c r="AF728" s="177" t="str">
        <f>E728&amp;AB728</f>
        <v>USDRUB</v>
      </c>
      <c r="AG728" s="176">
        <v>102.9</v>
      </c>
      <c r="AH728" s="178">
        <f ca="1">IF(LEFT(AB728,3)=RIGHT(AB728,3),1,VLOOKUP(AB728,'FX RATES'!$H$1:$I$20,2,FALSE))</f>
        <v>76.720500000000001</v>
      </c>
      <c r="AI728" s="178">
        <f>IF(OR(AB728="USDAED",LEFT(AB728,3)=RIGHT(AB728,3)),AH728,IF(LEFT(AB728)="USD",AG728,IF(RIGHT(AB728,3)="USD",1,IFERROR(VLOOKUP(E728&amp;"USD"&amp;RIGHT(AB728,3),$AF:$AG,2,FALSE),VLOOKUP(E728&amp;"USD"&amp;RIGHT(AJ728,3),$AN:$AO,2,FALSE)))))</f>
        <v>0</v>
      </c>
      <c r="AJ728" s="173" t="str">
        <f>IF(W728="via USD",IF(S728="EUR",S728&amp;"USD","USD"&amp;S728),IFERROR(VLOOKUP(K728&amp;S728,'FX RATES'!$H$2:$H$20,1,FALSE),S728&amp;K728))</f>
        <v>USDRUB</v>
      </c>
      <c r="AK728" s="175">
        <f>IF(LEFT(AJ728,3)=RIGHT(AJ728,3),0,IFERROR(INDEX(CLIENTS!$A$1:$O$649,MATCH(P728,CLIENTS!$A$1:$A$649,0),MATCH(AJ728,CLIENTS!$A$1:$O$1,0)),0))</f>
        <v>0</v>
      </c>
      <c r="AL728" s="176">
        <v>102.9</v>
      </c>
      <c r="AM728" s="177">
        <f>IF(W728="VENDOR","",IF(AL728="",AP728+AK728,AL728+AK728))</f>
        <v>102.9</v>
      </c>
      <c r="AN728" s="177" t="str">
        <f>E728&amp;AJ728</f>
        <v>USDRUB</v>
      </c>
      <c r="AO728" s="176">
        <v>102.9</v>
      </c>
      <c r="AP728" s="178">
        <f ca="1">IF(LEFT(AJ728,3)=RIGHT(AJ728,3),1,VLOOKUP(AJ728,'FX RATES'!$H$1:$I$20,2,FALSE))</f>
        <v>76.720500000000001</v>
      </c>
      <c r="AQ728" s="178">
        <f>IF(OR(AJ728="USDAED",LEFT(AJ728,3)=RIGHT(AJ728,3)),AP728,IF(LEFT(AJ728)="USD",AO728,IF(RIGHT(AJ728,3)="USD",1,IFERROR(VLOOKUP(E728&amp;"USD"&amp;RIGHT(AJ728,3),$AN:$AO,2,FALSE),VLOOKUP(E728&amp;"USD"&amp;RIGHT(AB728,3),$AF:$AG,2,FALSE)))))</f>
        <v>98.8</v>
      </c>
      <c r="AR728" s="179">
        <f>-Q728*(1-Z728)/(1+X728)*IF(W728="CLIENT",IF(S728=RIGHT(AJ728,3),1/AM728,AM728),IF(W728="VENDOR",IF(S728=RIGHT(AJ728,3),1/AE728,AE728),AE728^(VLOOKUP(AB728,'FX RATES'!$H$1:$J$26,3,FALSE))/AM728^(VLOOKUP(AJ728,'FX RATES'!$H$1:$J$26,3,FALSE))))</f>
        <v>-485908.64917395532</v>
      </c>
      <c r="AS728" s="179">
        <f>-I728*(1+X728)/(1-Z728)*IF(W728="VENDOR",IF(K728=RIGHT(AB728,3),1/AE728,AE728),IF(W728="CLIENT",IF(K728=RIGHT(AB728,3),1/AM728,AM728),AM728^(VLOOKUP(AJ728,'FX RATES'!$H$1:$J$26,3,FALSE))/AE728^(VLOOKUP(AB728,'FX RATES'!$H$1:$J$26,3,FALSE))))</f>
        <v>0</v>
      </c>
      <c r="AT728" s="170">
        <f>IF(AB728&lt;&gt;AJ728,J728/IF(K728=RIGHT(AB728,3),AE728,1/AE728),IF(S728="USD",J728/IF(K728=RIGHT(AB728,3),IF(W728="CLIENT",AM728,AE728),1/IF(W728="CLIENT",AM728,AE728)),J728*VLOOKUP(K728,'FX RATES'!$E$1:$F$10,2,FALSE)))</f>
        <v>-485908.64917395532</v>
      </c>
      <c r="AU728" s="170">
        <f>IF(AB728&lt;&gt;AJ728,R728/IF(S728=RIGHT(AJ728,3),AM728,1/AM728),IF(K728="USD",R728/IF(S728=RIGHT(AJ728,3),IF(W728="CLIENT",AM728,AE728),1/IF(W728="CLIENT",AM728,AE728)),R728*VLOOKUP(S728,'FX RATES'!$E$1:$F$10,2,FALSE)))</f>
        <v>485908.64917395526</v>
      </c>
      <c r="AV728" s="170">
        <f>AT728+AU728</f>
        <v>0</v>
      </c>
      <c r="AW728" s="169"/>
      <c r="AX728" s="170">
        <f>IF(AND(T728&lt;&gt;"INVOICE",T728&lt;&gt;"SWITCH",T728&lt;&gt;"FOREX",A728&lt;&gt;"REFUND",A728&lt;&gt;"CANCELLED"),IF(AW728="",-AT728*X728+AU728*Z728,AW728),0)</f>
        <v>0</v>
      </c>
      <c r="AY728" s="170">
        <f>IF(AZ728="USD",AT728,IF(AZ728=K728,J728,-R728))</f>
        <v>-485908.64917395532</v>
      </c>
      <c r="AZ728" s="170" t="str">
        <f>LEFT(AB728,3)</f>
        <v>USD</v>
      </c>
      <c r="BA728" s="542">
        <f>IF(OR(A728="REFUND",A728="CANCELLED"),0,IFERROR((IF(OR(AB728="USDAED",LEFT(AB728,3)=RIGHT(AB728,3)),AI728,AG728)-AE728)*-AY728*VLOOKUP(AB728,'FX RATES'!$H$1:$J$26,3,FALSE),0))</f>
        <v>0</v>
      </c>
      <c r="BB728" s="170" t="str">
        <f>RIGHT(AB728,3)</f>
        <v>RUB</v>
      </c>
      <c r="BC728" s="542">
        <f>IF(BA728=0,0,IFERROR(BA728/IF(BB728&lt;&gt;"USD",AI728,1),"???"))</f>
        <v>0</v>
      </c>
      <c r="BD728" s="170">
        <f>IFERROR(-AC728/(IF(OR(AB728="USDAED",LEFT(AB728,3)=RIGHT(AB728,3)),AH728,AG728)-AE728)*BC728,0)</f>
        <v>0</v>
      </c>
      <c r="BE728" s="542">
        <f>BC728-BD728</f>
        <v>0</v>
      </c>
      <c r="BF728" s="170">
        <f>IF(BG728="USD",AU728,IF(BG728=S728,R728,-J728))</f>
        <v>485908.64917395526</v>
      </c>
      <c r="BG728" s="170" t="str">
        <f>LEFT(AJ728,3)</f>
        <v>USD</v>
      </c>
      <c r="BH728" s="542">
        <f>IF(OR(A728="REFUND",A728="CANCELLED"),0,IFERROR((IF(OR(AJ728="USDAED",LEFT(AJ728,3)=RIGHT(AJ728,3)),AQ728,AO728)-AM728)*-BF728*VLOOKUP(AJ728,'FX RATES'!$H$1:$J$26,3,FALSE),0))</f>
        <v>0</v>
      </c>
      <c r="BI728" s="170" t="str">
        <f>RIGHT(AJ728,3)</f>
        <v>RUB</v>
      </c>
      <c r="BJ728" s="542">
        <f>IF(BH728=0,0,IFERROR(BH728/IF(BI728&lt;&gt;"USD",AQ728,1),"???"))</f>
        <v>0</v>
      </c>
      <c r="BK728" s="170">
        <f>IFERROR(-AK728/(IF(OR(AJ728="USDAED",LEFT(AJ728,3)=RIGHT(AJ728,3)),AP728,AO728)-AM728)*BJ728,0)</f>
        <v>0</v>
      </c>
      <c r="BL728" s="542">
        <f>BJ728-BK728</f>
        <v>0</v>
      </c>
      <c r="BM728" s="170">
        <f>BD728+BK728</f>
        <v>0</v>
      </c>
      <c r="BN728" s="542">
        <f>BE728+BL728</f>
        <v>0</v>
      </c>
    </row>
    <row r="729" spans="1:66" ht="19.5" customHeight="1">
      <c r="A729" s="167" t="s">
        <v>492</v>
      </c>
      <c r="B729" s="168" t="s">
        <v>39</v>
      </c>
      <c r="C729" s="168" t="s">
        <v>489</v>
      </c>
      <c r="D729" s="168" t="s">
        <v>128</v>
      </c>
      <c r="E729" s="171"/>
      <c r="F729" s="171"/>
      <c r="G729" s="168" t="s">
        <v>39</v>
      </c>
      <c r="H729" s="181" t="s">
        <v>34</v>
      </c>
      <c r="I729" s="169">
        <v>-50000000</v>
      </c>
      <c r="J729" s="170">
        <f>IF(I729="",AR729,I729)</f>
        <v>-50000000</v>
      </c>
      <c r="K729" s="168" t="s">
        <v>9</v>
      </c>
      <c r="L729" s="171"/>
      <c r="M729" s="168"/>
      <c r="N729" s="167" t="s">
        <v>371</v>
      </c>
      <c r="O729" s="168" t="s">
        <v>39</v>
      </c>
      <c r="P729" s="168" t="s">
        <v>39</v>
      </c>
      <c r="Q729" s="169"/>
      <c r="R729" s="170">
        <f>IF(Q729="",AS729,Q729)</f>
        <v>488791.99945255287</v>
      </c>
      <c r="S729" s="168" t="s">
        <v>5</v>
      </c>
      <c r="T729" s="171"/>
      <c r="U729" s="168"/>
      <c r="V729" s="167" t="s">
        <v>371</v>
      </c>
      <c r="W729" s="172" t="s">
        <v>382</v>
      </c>
      <c r="X729" s="173">
        <f>IF(Y729="",VLOOKUP(H729,CLIENTS!$A$1:$O$649,5,FALSE),Y729)</f>
        <v>0</v>
      </c>
      <c r="Y729" s="174"/>
      <c r="Z729" s="173">
        <f>IF(AA729="",VLOOKUP(P729,CLIENTS!$A$1:$O$649,5,FALSE),AA729)</f>
        <v>0</v>
      </c>
      <c r="AA729" s="174"/>
      <c r="AB729" s="173" t="str">
        <f>IF(W729="via USD",IF(K729="EUR",K729&amp;"USD","USD"&amp;K729),IFERROR(VLOOKUP(K729&amp;S729,'FX RATES'!$H$2:$H$20,1,FALSE),S729&amp;K729))</f>
        <v>USDRUB</v>
      </c>
      <c r="AC729" s="175">
        <f>IF(LEFT(AB729,3)=RIGHT(AB729,3),0,IFERROR(INDEX(CLIENTS!$A$1:$O$649,MATCH(H729,CLIENTS!$A$1:$A$649,0),MATCH(AB729,CLIENTS!$A$1:$O$1,0)),0))</f>
        <v>0</v>
      </c>
      <c r="AD729" s="176">
        <v>102.29300000000001</v>
      </c>
      <c r="AE729" s="177">
        <f>IF(W729="CLIENT","",IF(AD729="",AH729+AC729,AD729+AC729))</f>
        <v>102.29300000000001</v>
      </c>
      <c r="AF729" s="177" t="str">
        <f>E729&amp;AB729</f>
        <v>USDRUB</v>
      </c>
      <c r="AG729" s="176">
        <v>102.9</v>
      </c>
      <c r="AH729" s="178">
        <f ca="1">IF(LEFT(AB729,3)=RIGHT(AB729,3),1,VLOOKUP(AB729,'FX RATES'!$H$1:$I$20,2,FALSE))</f>
        <v>76.720500000000001</v>
      </c>
      <c r="AI729" s="178">
        <f>IF(OR(AB729="USDAED",LEFT(AB729,3)=RIGHT(AB729,3)),AH729,IF(LEFT(AB729)="USD",AG729,IF(RIGHT(AB729,3)="USD",1,IFERROR(VLOOKUP(E729&amp;"USD"&amp;RIGHT(AB729,3),$AF:$AG,2,FALSE),VLOOKUP(E729&amp;"USD"&amp;RIGHT(AJ729,3),$AN:$AO,2,FALSE)))))</f>
        <v>0</v>
      </c>
      <c r="AJ729" s="173" t="str">
        <f>IF(W729="via USD",IF(S729="EUR",S729&amp;"USD","USD"&amp;S729),IFERROR(VLOOKUP(K729&amp;S729,'FX RATES'!$H$2:$H$20,1,FALSE),S729&amp;K729))</f>
        <v>USDRUB</v>
      </c>
      <c r="AK729" s="175">
        <f>IF(LEFT(AJ729,3)=RIGHT(AJ729,3),0,IFERROR(INDEX(CLIENTS!$A$1:$O$649,MATCH(P729,CLIENTS!$A$1:$A$649,0),MATCH(AJ729,CLIENTS!$A$1:$O$1,0)),0))</f>
        <v>0</v>
      </c>
      <c r="AL729" s="176"/>
      <c r="AM729" s="177" t="str">
        <f>IF(W729="VENDOR","",IF(AL729="",AP729+AK729,AL729+AK729))</f>
        <v/>
      </c>
      <c r="AN729" s="177" t="str">
        <f>E729&amp;AJ729</f>
        <v>USDRUB</v>
      </c>
      <c r="AO729" s="176"/>
      <c r="AP729" s="178">
        <f ca="1">IF(LEFT(AJ729,3)=RIGHT(AJ729,3),1,VLOOKUP(AJ729,'FX RATES'!$H$1:$I$20,2,FALSE))</f>
        <v>76.720500000000001</v>
      </c>
      <c r="AQ729" s="178">
        <f>IF(OR(AJ729="USDAED",LEFT(AJ729,3)=RIGHT(AJ729,3)),AP729,IF(LEFT(AJ729)="USD",AO729,IF(RIGHT(AJ729,3)="USD",1,IFERROR(VLOOKUP(E729&amp;"USD"&amp;RIGHT(AJ729,3),$AN:$AO,2,FALSE),VLOOKUP(E729&amp;"USD"&amp;RIGHT(AB729,3),$AF:$AG,2,FALSE)))))</f>
        <v>98.8</v>
      </c>
      <c r="AR729" s="179">
        <f>-Q729*(1-Z729)/(1+X729)*IF(W729="CLIENT",IF(S729=RIGHT(AJ729,3),1/AM729,AM729),IF(W729="VENDOR",IF(S729=RIGHT(AJ729,3),1/AE729,AE729),AE729^(VLOOKUP(AB729,'FX RATES'!$H$1:$J$26,3,FALSE))/AM729^(VLOOKUP(AJ729,'FX RATES'!$H$1:$J$26,3,FALSE))))</f>
        <v>0</v>
      </c>
      <c r="AS729" s="179">
        <f>-I729*(1+X729)/(1-Z729)*IF(W729="VENDOR",IF(K729=RIGHT(AB729,3),1/AE729,AE729),IF(W729="CLIENT",IF(K729=RIGHT(AB729,3),1/AM729,AM729),AM729^(VLOOKUP(AJ729,'FX RATES'!$H$1:$J$26,3,FALSE))/AE729^(VLOOKUP(AB729,'FX RATES'!$H$1:$J$26,3,FALSE))))</f>
        <v>488791.99945255287</v>
      </c>
      <c r="AT729" s="170">
        <f>IF(AB729&lt;&gt;AJ729,J729/IF(K729=RIGHT(AB729,3),AE729,1/AE729),IF(S729="USD",J729/IF(K729=RIGHT(AB729,3),IF(W729="CLIENT",AM729,AE729),1/IF(W729="CLIENT",AM729,AE729)),J729*VLOOKUP(K729,'FX RATES'!$E$1:$F$10,2,FALSE)))</f>
        <v>-488791.99945255293</v>
      </c>
      <c r="AU729" s="170">
        <f>IF(AB729&lt;&gt;AJ729,R729/IF(S729=RIGHT(AJ729,3),AM729,1/AM729),IF(K729="USD",R729/IF(S729=RIGHT(AJ729,3),IF(W729="CLIENT",AM729,AE729),1/IF(W729="CLIENT",AM729,AE729)),R729*VLOOKUP(S729,'FX RATES'!$E$1:$F$10,2,FALSE)))</f>
        <v>488791.99945255287</v>
      </c>
      <c r="AV729" s="170">
        <f>AT729+AU729</f>
        <v>0</v>
      </c>
      <c r="AW729" s="169"/>
      <c r="AX729" s="170">
        <f>IF(AND(T729&lt;&gt;"INVOICE",T729&lt;&gt;"SWITCH",T729&lt;&gt;"FOREX",A729&lt;&gt;"REFUND",A729&lt;&gt;"CANCELLED"),IF(AW729="",-AT729*X729+AU729*Z729,AW729),0)</f>
        <v>0</v>
      </c>
      <c r="AY729" s="170">
        <f>IF(AZ729="USD",AT729,IF(AZ729=K729,J729,-R729))</f>
        <v>-488791.99945255293</v>
      </c>
      <c r="AZ729" s="170" t="str">
        <f>LEFT(AB729,3)</f>
        <v>USD</v>
      </c>
      <c r="BA729" s="542">
        <f>IF(OR(A729="REFUND",A729="CANCELLED"),0,IFERROR((IF(OR(AB729="USDAED",LEFT(AB729,3)=RIGHT(AB729,3)),AI729,AG729)-AE729)*-AY729*VLOOKUP(AB729,'FX RATES'!$H$1:$J$26,3,FALSE),0))</f>
        <v>296696.74366769928</v>
      </c>
      <c r="BB729" s="170" t="str">
        <f>RIGHT(AB729,3)</f>
        <v>RUB</v>
      </c>
      <c r="BC729" s="542" t="str">
        <f>IF(BA729=0,0,IFERROR(BA729/IF(BB729&lt;&gt;"USD",AI729,1),"???"))</f>
        <v>???</v>
      </c>
      <c r="BD729" s="170">
        <f>IFERROR(-AC729/(IF(OR(AB729="USDAED",LEFT(AB729,3)=RIGHT(AB729,3)),AH729,AG729)-AE729)*BC729,0)</f>
        <v>0</v>
      </c>
      <c r="BE729" s="542" t="e">
        <f>BC729-BD729</f>
        <v>#VALUE!</v>
      </c>
      <c r="BF729" s="170">
        <f>IF(BG729="USD",AU729,IF(BG729=S729,R729,-J729))</f>
        <v>488791.99945255287</v>
      </c>
      <c r="BG729" s="170" t="str">
        <f>LEFT(AJ729,3)</f>
        <v>USD</v>
      </c>
      <c r="BH729" s="542">
        <f>IF(OR(A729="REFUND",A729="CANCELLED"),0,IFERROR((IF(OR(AJ729="USDAED",LEFT(AJ729,3)=RIGHT(AJ729,3)),AQ729,AO729)-AM729)*-BF729*VLOOKUP(AJ729,'FX RATES'!$H$1:$J$26,3,FALSE),0))</f>
        <v>0</v>
      </c>
      <c r="BI729" s="170" t="str">
        <f>RIGHT(AJ729,3)</f>
        <v>RUB</v>
      </c>
      <c r="BJ729" s="542">
        <f>IF(BH729=0,0,IFERROR(BH729/IF(BI729&lt;&gt;"USD",AQ729,1),"???"))</f>
        <v>0</v>
      </c>
      <c r="BK729" s="170">
        <f>IFERROR(-AK729/(IF(OR(AJ729="USDAED",LEFT(AJ729,3)=RIGHT(AJ729,3)),AP729,AO729)-AM729)*BJ729,0)</f>
        <v>0</v>
      </c>
      <c r="BL729" s="542">
        <f>BJ729-BK729</f>
        <v>0</v>
      </c>
      <c r="BM729" s="170">
        <f>BD729+BK729</f>
        <v>0</v>
      </c>
      <c r="BN729" s="542" t="e">
        <f>BE729+BL729</f>
        <v>#VALUE!</v>
      </c>
    </row>
  </sheetData>
  <sheetProtection formatCells="0" insertColumns="0" insertRows="0" deleteRows="0"/>
  <mergeCells count="1">
    <mergeCell ref="A674:AU674"/>
  </mergeCells>
  <dataValidations count="1">
    <dataValidation allowBlank="1" showInputMessage="1" showErrorMessage="1" sqref="T16:T23 T12:T13 T31:T32 L9:L10 T5 K6 T25 L25:L26 L31 L28:L29 T28 T34:T35 L35 T65 L76:L78 T7 K65:L65 L37:L38 T37 T76:T77 T74 T55 L55 K43 T42 T62 L40:L42 T58 K57:L57 T60 L58:L59 L62:L63 L44:L51 L80:L81 T80:T81 T44:T51 T53 K52 K68:L68 L66 T83 T69:T71 K70:L71 L72:L73 L69 K14:K15 K82 T85:T86 L85 L88:L89 L92 T92:T93 T90 L95 L2:L5 T95:T96 L98 T98:T99 L101:L102 T101:T102 L114 T113:T114 L110 L117 K102:L102 T106:T111 L104:L107 K116:L116 T121:T122 L121:L122 K129 T124:T128 T119 L124:L128 L119 K142:K148 L156 T155 K155:L155 T144:T147 K131:K132 T136:T140 L674 T158 L162 L12:L22 T131 L243 T160 L160 L165:L166 L175:L177 T172:T174 T163:T167 L172:M174 L163:M164 L185 T169:T170 K169:L169 L136:L152 L130:L134 K140 L191 T190:T191 L188 L179:L181 T196:T197 L196:M197 T179:T182 T188 T185:T186 L233 K217 T216:T218 L216:L218 L220:L222 T220:T221 K221 T232 L252:L253 L224:L231 T224:T230 K205:L207 L198:L207 L235:L238 K236:L238 T199:T208 L209:L214 T235:T239 L256:L258 T259 L241 T241 K174:L174 K123:L125 K245:L248 L249 T252:T254 T256 L288:L289 L261:L264 T261:T265 T267:T268 L267:L269 K273:L273 T193:T194 L295:L296 L194 L271:L273 T271:T273 L276 T276:T277 T295 L279 T279:T280 L285 T285:T286 L282:L283 T245:T250 L291:L293 T291:T292 K292:L292 L298:L299 L302:L305 L307:L308 T304:T306 T298:T300 L311 T310:T311 L314 T313:T314 L324 T324 K316:L316 T316:T319 L317:L318 T321:T322 L321 L326:L327 K328:L328 T330:T331 T326:T328 L330 L365 T365:T366 K333:L334 K340:L340 L344 T344:T345 T333:T342 L335:L340 T349 T361:T362 L395 L376 L352:L356 T376:T377 K351:L351 T351:T358 L368:L373 T368:T374 L388:L389 L347:L348 L379 T379:T380 L382 T382:T383 L385 L360:L363 L392 L397 K400:L401 L417 L404 L439 L411:L414 L407:L408 T418:T419 L420 T421:T422 L423 T424:T425 T385:T416 L432 K435:L436 K427:L427 L426:L427 L442:L446 K430:L431 L448:L451 K458:L458 L464:L466 L461 T464:T465 K465:L465 T452:T462 L453:L459 K493:L493 K477:L477 K468:L468 T467:T472 K472 L480 L471:L473 T474:T475 L475:L478 L484 K485 L487 L489 L492 L540:L541 L528 L503 T477:T497 K519:L519 K496:L497 L506 L509 T499:T514 L521:L522 L517 K514 L512:L515 T516:T521 L499:L500 L525 L531 K537:L537 L533:L538 K543:L543 T427:T449 K547:L547 K545:L545 K552:L552 L546 L548:L554 T523:T552 K556:L556 T555:T556 T558:T562 L558:L563 L565:L572 T570:U570 T564:T569 T571 L676 L574 T574 T581:T582 T604 L604 T576:T579 L595:L596 K584:M586 L581:L585 T592:T594 K587:L587 T584:T587 K592:L594 K576:L579 T598:T599 L598 T601:T602 L601 K612:L612 L608:L611 K614:L616 K606:L606 T606 T619:T620 L629:L637 T612:T616 K622:L622 T680:T681 L623:L624 L626 K625:L625 L680:L681 T622:T627 L678 T629:T635 L639 T639:T640 K640 L613:L620 L642 T642:T643 L645 T683 K684 K663:L663 L685 T685 T657:T659 L657:L658 K686 T687:T689 L687:L689 T646 K693:L693 K692 K655 T693 L691 T691 K694:K1048576 T648:T655 L648:L654 K679:K682 K661:L661 T661:T663 L662:M662" xr:uid="{278D2C47-FFC1-4D20-A553-38DD773A296A}"/>
  </dataValidations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7D2ED8AA-5CA1-4BED-809B-D562CB5A3D3A}">
          <x14:formula1>
            <xm:f>DATA!$D$2:$D$31</xm:f>
          </x14:formula1>
          <xm:sqref>L9:L10 T28:T29 T10 L28:L29 T5 L25:L26 L31 T74 T31:T32 T25:T26 L34:L35 T34:T35 L65:L66 T65 T7 T37:T38 L37:L38 T76:T77 L76:L78 T55 L55 L40:L42 L62:L63 T42 T57:T60 L57:L59 T62:T63 T53 L80:L81 T80:T81 T44:T51 L44:L51 T68:T71 L68:L73 T83 L85 T85:T86 T89:T90 L88:L89 L92 T92:T93 L95 L2:L5 T95:T96 L98 T98:T99 T101:T102 L113:L114 T113:T114 L110 L101:L102 L104:L107 L116:L117 T106:T111 T116:T117 T119 L119 T155 L155:L156 T158 T162:T167 L162:L166 T12:T23 L12:L22 T185:T186 T243 L243 T160 L160 L175:L177 M163:M164 T130:T134 T179:T182 L169 T169:T170 L130:L134 T176:T177 T136:T153 L136:L152 L190:L191 T190:T191 L179:L181 L188 L196:M197 T188 L185:L186 L216:L218 T216:T218 T220:T222 L220:L222 L233 L252:L253 T224:T233 L224:L231 T196:T214 L235:L238 L198:L207 L209:L214 T235:T239 L256:L258 T259 L241 T241 T172:T174 T121:T128 L172:M174 L121:L128 T252:T254 T256 L288:L289 L261:L264 T261:T265 T267:T269 L267:L269 L193:L194 T193:T194 L271:L273 T271:T273 L276 T276:T277 L295:L296 T295 L279 T279:T280 L285 T285:T286 L282:L283 T283 L245:L249 T245:T250 T289 L291:L293 T291:T293 L302:L305 L307:L308 T304:T308 T298:T300 L298:L299 L310:L311 T310:T311 L313:L314 T313:T314 T324 L324 L316:L318 T316:T319 L321 T321:T322 L326:L328 T326:T328 L330 T330:T331 L365 T365:T366 T333:T336 L338:L340 T338:T342 L344 T344:T345 L333:L336 L347:L348 L360:L363 L371:L373 T371:T374 L376 T376:T377 T351:T358 L351:L356 L388:L389 T347:T349 L379 T379:T380 L382 T382:T383 L385 T361:T363 L395 L392 L397 L400:L401 L404 L417 L407:L408 T418:T419 L420 T421:T422 L423 T424:T425 T385:T416 L411:L414 L439 L442:L446 L435:L436 L426:L427 L430:L432 L448:L451 L468 L461 L464:L466 L453:L459 L480 L471:L473 L475:L478 L528 L483:L484 L486:L487 L489 L492:L493 L540:L541 L503 T464:T497 L496:L497 L519 L506 L509 L517 L521:L522 L512:L515 L499:L500 L525 L531 L533:L538 L543 T427:T462 L545:L554 L556 T499:T556 L558:L563 L565:L572 U570 T676 L676 L574 T574 T558:T572 T581:T582 L592:L596 L674 T604 L604 T576:T579 L584:M586 L581:L585 L587 T584:T587 T592:T596 L576:L579 T598:T599 L598 T601:T602 L601 T606 L606 T629:T637 L680:L681 T680:T681 L622:L626 T622:T627 L678 T639:T640 L639:L640 L629:L637 T612:T620 L608:L620 L642 T642:T643 T683 T685 L685 T657:T659 L657:L658 T645:T646 L648:L655 L645 L687:L689 T687:T689 T693 L693 L691 T691 T648:T655 L661:L663 T661:T663 M662</xm:sqref>
        </x14:dataValidation>
        <x14:dataValidation type="list" allowBlank="1" showInputMessage="1" showErrorMessage="1" xr:uid="{8781D2FE-CD66-4F51-8F8F-B27302BFB5BE}">
          <x14:formula1>
            <xm:f>DATA!$B$2:$B$51</xm:f>
          </x14:formula1>
          <xm:sqref>D62:D63 D9:D10 D25:D26 D31:D32 D28:D29 D68:D74 D34:D35 D65:D66 D37:D38 D76:D78 D55 D57:D60 D80:D83 D40:D53 D85:D86 D88:D90 D92:D93 D95:D96 D2:D7 D98:D99 D113:D114 D101:D102 D104:D111 D116:D117 D119 D155:D156 D382:D383 D158 D162:D167 D12:D23 D184:D186 D243 D160 D169:D170 D136:D153 D190:D191 D179:D182 D188 D216:D218 D220:D222 D224:D233 D196:D214 D235:D239 D241 D172:D177 D121:D134 D288:D289 D252:D254 D256:D259 D261:D265 D267:D269 D193:D194 D271:D274 D276:D277 D295:D296 D279:D280 D285:D286 D282:D283 D245:D250 D291:D293 D302:D308 D298:D300 D310:D311 D313:D314 D324 D316:D319 D321:D322 D326:D328 D330:D331 D365:D366 D338:D342 D344:D345 D333:D336 D371:D374 D376:D377 D351:D358 D347:D349 D379:D380 D360:D363 D464:D497 D385:D462 D499:D556 D574 D676 D558:D572 D674 D604 D576:D579 D592:D596 D598:D599 D601:D602 D581:D590 D606 D629:D637 D680:D681 D622:D627 D678 D639:D640 D608:D620 D642:D643 D683 D685 D657:D659 D648:D655 D645:D646 D687:D689 D693 D691 D661:D663</xm:sqref>
        </x14:dataValidation>
        <x14:dataValidation type="list" allowBlank="1" showInputMessage="1" showErrorMessage="1" xr:uid="{6B893BE2-1035-4C35-B083-954D07961518}">
          <x14:formula1>
            <xm:f>DATA!$C$2:$C$31</xm:f>
          </x14:formula1>
          <xm:sqref>K9:K10 S9:S10 S25:S26 S31:S32 K25:K26 K31:K32 K28:K29 S28:S29 K68:K74 S34:S35 K34:K35 S65:S66 K65:K66 K37:K38 S37:S38 S76:S78 K76:K78 K55 S55 S62:S63 S57:S60 K57:K60 K62:K63 K80:K83 S80:S83 S40:S53 K40:K53 S68:S74 S85:S86 K85:K86 S88:S90 K88:K90 K92:K93 S92:S93 K95:K96 K2:K7 S95:S96 S2:S7 K98:K99 S98:S99 S113:S114 K113:K114 K101:K102 S101:S102 K104:K111 K116:K117 S104:S111 S116:S117 S119 K119 K155:K156 S155:S156 S382:S383 S158 K158 K162:K167 S162:S167 S12:S23 K12:K23 K184:K186 K243 S243 S160 K160 S184:S186 K169:K170 S169:S170 S136:S153 K136:K153 S190:S191 K190:K191 K179:K182 S179:S182 S188 K188 K216:K218 S216:S218 K220:K222 S220:S222 K224:K233 S224:S233 S196:S214 K196:K214 K235:K239 S235:S239 S241 K241 K172:K177 K121:K134 S172:S177 S121:S134 S288:S289 S252:S254 K252:K254 K256:K259 S256:S259 S261:S265 K261:K265 K267:K269 S267:S269 S193:S194 K193:K194 K271:K274 S271:S274 S276:S277 K276:K277 S295:S296 K295:K296 K279:K280 S279:S280 S285:S286 K285:K286 K282:K283 S282:S283 K288:K289 K245:K250 S245:S250 K291:K293 S291:S293 S302:S308 K302:K308 K298:K300 S298:S300 S310:S311 K310:K311 S313:S314 K313:K314 S324 K324 S316:S319 K316:K319 S321:S322 K321:K322 S326:S328 K326:K328 S330:S331 K330:K331 K365:K366 S365:S366 K333:K336 S338:S342 K338:K342 S344:S345 K344:K345 S333:S336 S371:S374 K371:K374 K376:K377 S376:S377 K351:K358 S351:S358 S360:S363 K347:K349 S347:S349 K379:K380 S379:S380 K382:K383 K360:K363 S464:S497 K464:K497 K385:K462 S385:S462 S499:S556 K499:K556 S574 K676 S676 S558:S572 K558:K572 K574 K674 S674 K604 S604 S576:S579 K576:K579 K592:K596 S592:S596 S598:S599 K598:K599 S601:S602 K601:K602 K581:K590 S581:S590 S606 K606 S629:S637 K680:K681 S680:S681 K622:K627 S622:S627 K678 S678 K639:K640 S639:S640 K629:K637 S608:S620 K608:K620 K642:K643 S642:S643 S683 K683 S685 K685 S657:S659 K657:K659 K645:K646 S648:S655 S645:S646 S687:S689 K687:K689 S693 K693 K691 S691 K648:K655 S661:S663 K661:K663</xm:sqref>
        </x14:dataValidation>
        <x14:dataValidation type="list" allowBlank="1" showInputMessage="1" showErrorMessage="1" xr:uid="{851DC25D-5AB1-ED45-B183-1E2927C20199}">
          <x14:formula1>
            <xm:f>DATA!$H$2:$H$10</xm:f>
          </x14:formula1>
          <xm:sqref>C62:C63 C9:C10 C25:C26 C31:C32 C28:C29 C68:C74 C34:C35 C65:C66 C37:C38 C76:C78 C55 C57:C60 C80:C83 C40:C53 C85:C86 C88:C90 C92:C93 C95:C96 C2:C7 C98:C99 C113:C114 C101:C102 C104:C111 C116:C117 C119 C155:C156 C382:C383 C158 C162:C167 C12:C23 C184:C186 C243 C160 C169:C170 C136:C153 C190:C191 C179:C182 C188 C216:C218 C220:C222 C224:C233 C196:C214 C235:C239 C241 C172:C177 C121:C134 C288:C289 C252:C254 C256:C259 C261:C265 C267:C269 C193:C194 C271:C274 C276:C277 C295:C296 C279:C280 C285:C286 C282:C283 C245:C250 C291:C293 C302:C308 C298:C300 C310:C311 C313:C314 C324 C316:C319 C321:C322 C326:C328 C330:C331 C365:C366 C338:C342 C344:C345 C333:C336 C371:C374 C376:C377 C351:C358 C347:C349 C379:C380 C360:C363 C464:C497 C385:C462 C499:C556 C574 C676 C558:C572 C674 C604 C576:C579 C592:C596 C598:C599 C601:C602 C581:C590 C606 C629:C637 C680:C681 C622:C627 C678 C639:C640 C608:C620 C642:C643 C683 C685 C657:C659 C648:C655 C645:C646 C687:C689 C693 C691 C661:C663</xm:sqref>
        </x14:dataValidation>
        <x14:dataValidation type="list" allowBlank="1" showInputMessage="1" showErrorMessage="1" xr:uid="{761E651D-EFD1-E14F-B4CB-13E2B6291535}">
          <x14:formula1>
            <xm:f>DATA!$J$2:$J$10</xm:f>
          </x14:formula1>
          <xm:sqref>W62:W63 W9:W10 W25:W26 W31:W32 W28:W29 W68:W74 W34:W35 W65:W66 W37:W38 W76:W78 W55 W57:W60 W80:W83 W40:W53 W85:W86 W88:W90 W92:W93 W95:W96 W2:W7 W98:W99 W113:W114 W101:W102 W104:W111 W116:W117 W119 W155:W156 W382:W383 W158 W162:W167 W12:W23 W184:W186 W243 W160 W169:W170 W136:W153 W190:W191 W179:W182 W188 W216:W218 W220:W222 W224:W233 W196:W214 W235:W239 W241 W172:W177 W121:W134 W288:W289 W252:W254 W256:W259 W261:W265 W267:W269 W193:W194 W271:W274 W276:W277 W295:W296 W279:W280 W285:W286 W282:W283 W245:W250 W291:W293 W302:W308 W298:W300 W310:W311 W313:W314 W324 W316:W319 W321:W322 W326:W328 W330:W331 W365:W366 W338:W342 W344:W345 W333:W336 W371:W374 W376:W377 W351:W358 W347:W349 W379:W380 W360:W363 W464:W497 W385:W462 W499:W556 W574 W676 W558:W572 W674 W604 W576:W579 W592:W596 W598:W599 W601:W602 W581:W590 W606 W629:W637 W680:W681 W622:W627 W639:W640 W678 W608:W620 W642:W643 W683 W685 W657:W659 W648:W655 W645:W646 W687:W689 W693 W691 W661:W663</xm:sqref>
        </x14:dataValidation>
        <x14:dataValidation type="list" allowBlank="1" showInputMessage="1" showErrorMessage="1" xr:uid="{6365A5DA-78CB-A445-BCC7-916E105BFBCF}">
          <x14:formula1>
            <xm:f>DATA!$I$2:$I$10</xm:f>
          </x14:formula1>
          <xm:sqref>V28:V29 N28:N29 N40:N53 V9:V10 N31:N32 V25:V26 N12:N23 V34:V35 N34:N35 N62:N63 V65:V66 V37:V38 V62:V63 V76:V78 N68:N74 V55 N57:N60 V31:V32 V57:V60 N80:N83 N85:N86 V40:V53 N37:N38 N76:N78 N65:N66 V68:V74 N9:N10 N55 N88:N90 V85:V86 V88:V90 N92:N93 V92:V93 V116:V117 V95:V96 V2:V7 N95:N96 N2:N7 V98:V99 N98:N99 V80:V83 V113:V114 N113:N114 N101:N102 V101:V102 N119 V104:V111 N104:N111 V119 N116:N117 N121:N134 N155:N156 V155:V156 V382:V383 V158 N158 V162:V167 N169:N170 V12:V23 N25:N26 N188 N245:N250 V243 V160 N162:N167 V184:V186 N172:N177 V169:V170 V136:V153 N160 V190:V191 N190:N191 N184:N186 V179:V182 V188 N196:N214 N220:N222 V216:V218 N224:N233 V220:V222 N235:N239 V224:V233 V256:V259 V196:V214 N241 V241 N243 V172:V177 V121:V134 N179:N182 N136:N153 V235:V239 N256:N259 V252:V254 N279:N280 N261:N265 N216:N218 N267:N269 V261:V265 N271:N274 V267:V269 V193:V194 N193:N194 V271:V274 V276:V277 N291:N293 N298:N300 V295:V296 N282:N283 V279:V280 N288:N289 V285:V286 N285:N286 V282:V283 V288:V289 N252:N254 V245:V250 V291:V293 N295:N296 V302:V308 V298:V300 N302:N308 V310:V311 N310:N311 V313:V314 N313:N314 V324 N326:N328 N321:N322 V316:V319 N324 V321:V322 V326:V328 N330:N331 N333:N342 V330:V331 N368:N374 V365:V366 N379:N380 V344:V345 N347:N349 N344:N345 V333:V342 V351:V358 N365:N366 N376:N377 V368:V374 V347:V349 V376:V377 V379:V380 N382:N383 V360:V363 N351:N358 N385:N462 N276:N277 N360:N363 V464:V497 N499:N556 N316:N319 N464:N497 V385:V462 V499:V556 V574 N676 V676 V558:V572 N558:N572 N574 N674 V674 V604 N604 N576:N579 V576:V579 N592:N596 V592:V596 V598:V599 N598:N599 N601:N602 N581:N590 V581:V590 N606 V606 N622:N627 V601:V602 V680:V681 N680:N681 N608:N620 N678 V678 N639:N640 V639:V640 V608:V620 V648:V655 V642:V643 N642:N643 V629:V637 N683 V683 N685 V685 V622:V627 N657:N659 V657:V659 V645:V646 N629:N637 N645:N646 N687:N689 V687:V689 V693 N693 V691 N691 N648:N655 N661:N663 V661:V663</xm:sqref>
        </x14:dataValidation>
        <x14:dataValidation type="list" allowBlank="1" showInputMessage="1" showErrorMessage="1" xr:uid="{672BAA61-18C8-5C46-99E2-F4E2C51445AE}">
          <x14:formula1>
            <xm:f>DATA!$K$2:$K$10</xm:f>
          </x14:formula1>
          <xm:sqref>A57:A60 A12:A23 A28:A29 A25:A26 A65:A66 A31:A32 A62:A63 A34:A35 A68:A74 A40:A53 A55 A76:A78 A37:A38 A80:A83 A85:A86 A88:A90 A92:A93 A2:A7 A95:A96 A104:A111 A98:A99 A101:A102 A113:A114 A116:A117 A136:A153 A169:A170 A155:A156 A160 A9:A10 A179:A182 A241 A158 A121:A134 A162:A167 A190:A191 A172:A177 A184:A186 A196:A214 A216:A218 A220:A222 A193:A194 A224:A233 A235:A239 A376:A377 A119 A285:A286 A245:A250 A252:A254 A256:A259 A261:A265 A188 A267:A269 A271:A274 A291:A293 A276:A277 A282:A283 A279:A280 A243 A288:A289 A298:A300 A295:A296 A302:A308 A310:A311 A321:A322 A313:A314 A316:A319 A324 A326:A328 A360:A363 A333:A342 A330:A331 A368:A374 A347:A349 A365:A366 A344:A345 A382:A383 A351:A358 A385:A462 A379:A380 A499:A556 A464:A497 A574 A676 A558:A572 A674 A604 A576:A579 A592:A596 A598:A599 A601:A602 A581:A590 A606 A629:A637 A680:A681 A622:A627 A639:A640 A678 A608:A620 A642:A643 A683 A685 A657:A659 A648:A655 A645:A646 A687:A689 A693 A691 A661:A663</xm:sqref>
        </x14:dataValidation>
        <x14:dataValidation type="list" allowBlank="1" showInputMessage="1" showErrorMessage="1" xr:uid="{8A0781D9-06BA-422B-B9FB-8E49788D3A5B}">
          <x14:formula1>
            <xm:f>DATA!$E$2:$E$51</xm:f>
          </x14:formula1>
          <xm:sqref>O9:O10 B9:B10 G9:G10 O25:O26 O31:O32 B25:B26 B31:B32 G25:G26 G31:G32 G28:G29 O28:O29 B28:B29 O68:O74 O34:O35 G34:G35 B34:B35 G65:G66 O65:O66 O37:O38 B37:B38 G37:G38 O76:O78 B76:B78 G76:G78 O55 G55 B55 B62:B63 B57:B60 O57:O60 G57:G60 G62:G63 O62:O63 G80:G83 B80:B83 O40:O53 G40:G53 B40:B53 B65:B66 B68:B74 G68:G74 P15 O80:O83 G85:G86 B85:B86 O85:O86 G88:G90 B88:B90 O88:O90 G92:G93 B92:B93 O92:O93 G95:G96 G2:G7 B95:B96 B2:B7 O2:O7 O95:O96 G98:G99 B98:B99 O98:O99 O113:O114 G113:G114 B113:B114 G101:G102 B101:B102 O101:O102 O104:O111 O116:O117 G104:G111 G116:G117 B104:B111 B116:B117 B119 O119 G119 O129:P129 H129 B155:B156 G155:G156 O155:O156 P132 G382:G383 B158 O158 G158 B162:B167 O12:O23 G12:G23 B12:B23 G184:G186 B243 G243 O243 B160 O160 G160 G162:G167 O162:O167 O184:O186 B184:B186 G132:H132 B169:B170 G169:G170 O169:O170 O130:O134 G133:G134 H142:H143 B136:B153 P142:P143 O136:O153 G141:G153 G140:H140 G136:G139 P140 O190:O191 G190:G191 B190:B191 G179:G182 O179:O182 B179:B182 B188 O188 G188 G216:G218 B216:B218 O216:O218 G220:G222 O220:O222 B220:B222 G224:G233 O224:O233 B224:B233 H205:H207 P205:P207 O238:P238 H236:H238 P236:P238 G238:H238 G196:G214 B196:B214 G207:H207 O207:P207 O196:O214 B235:B239 O235:O239 G235:G239 B241 O241 G241 G172:G177 G121:G131 B172:B177 B121:B134 O172:O177 O121:O128 G288:G289 O252:O254 B252:B254 G252:G254 G256:G259 B256:B259 O256:O259 G261:G265 B261:B265 O261:O265 O282:O283 G267:G269 B267:B269 O193:O194 G193:G194 B193:B194 G271:G274 B271:B274 O271:O274 O273:P273 G273:H273 O276:O277 B276:B277 G276:G277 G295:G296 O295:O296 B295:B296 G279:G280 B279:B280 O279:O280 G285:G286 B285:B286 O285:O286 O288:O289 G282:G283 B282:B283 B302:B308 B288:B289 G245:G250 B245:B250 O245:O250 G291:G293 O291:O293 B291:B293 O292:P292 G292:H292 O267:O269 O302:O308 G302:G308 O298:O300 B298:B300 G298:G300 O310:O311 G310:G311 B310:B311 O313:O314 G313:G314 B313:B314 B324 O324 G324 G316:G319 B316:B319 O316:O319 G321:G322 B321:B322 O321:O322 B326:B328 O326:O328 G326:G328 O330:O331 B330:B331 G330:G331 G365:G366 B365:B366 O365:O366 B333:B336 O333:O336 O340:P340 G340:H340 O338:O342 B338:B342 G338:G342 O344:O345 B344:B345 G344:G345 G333:G336 B376:B377 O376:O377 G376:G377 B351:B358 O351:O358 G351:G358 O360:O363 G360:G363 O368:O374 G368:G374 B368:B374 O347:O349 G347:G349 B347:B349 B379:B380 O379:O380 G379:G380 B382:B383 O382:O383 B360:B363 G427:H427 O427:P427 G458:H458 O458:P458 G465:H465 O465:P465 O477:P477 G477:H477 G464:G497 B464:B497 O464:O497 H514 P514 H522 P522 G537:H537 O537:P537 O385:O462 B385:B462 G385:G462 O499:O556 G499:G556 B499:B556 O574 G676 B676 O676 B558:B572 G558:G572 P563 O558:O572 P572 G574 B574 B674 O674 G674 B604 O604 G604 B576:B579 O596:P596 O592:O595 G592:G596 B592:B596 H577:H578 G576:G579 O576:O579 P577:P578 B598:B599 G598:G599 O598:O599 B601:B602 G601:G602 O601:O602 O581:O590 G581:G590 B581:B590 O619:O620 B606 G606 O606 O608:O616 O636:P637 G680:G681 B680:B681 O680:O681 O622:O627 B622:B627 G622:G627 O678 B678 G678 G639:G640 B639:B640 O639:O640 O629:O635 O617:P618 B629:B637 G608:G620 B608:B620 G629:G637 G642:G643 B642:B643 O642:O643 O683 B683 G683 O685 B685 G685 B657:B659 G657:G659 G645:G646 B645:B646 G648:G655 O645:O646 O687:O689 G687:G689 B687:B689 B693 O693 G693 G691 B691 O691 O648:O655 B648:B655 O661:O663 B661:B663 G661:G663 O657:O659</xm:sqref>
        </x14:dataValidation>
        <x14:dataValidation type="list" allowBlank="1" showInputMessage="1" showErrorMessage="1" xr:uid="{A2A238BD-5989-443E-A6C6-C81C5E992E5E}">
          <x14:formula1>
            <xm:f>DATA!$D$2:$D$50</xm:f>
          </x14:formula1>
          <xm:sqref>L6 T6 L43 T43</xm:sqref>
        </x14:dataValidation>
        <x14:dataValidation type="list" allowBlank="1" showInputMessage="1" showErrorMessage="1" xr:uid="{C5242F50-2877-4D61-B14D-8FAD868129CE}">
          <x14:formula1>
            <xm:f>DATA!$D$2:$D$60</xm:f>
          </x14:formula1>
          <xm:sqref>L52 T52 T82 L82 M57:M119 U57:U119 T129:U129 L129:M129 L142:L143 T142:T144 M162 L158 M160 M165:M167 U162:U167 T132 U169:U170 M169:M170 L153 M130:M134 U130:U134 L132 T140 L140 U136:U160 M136:M158 T184 T217 M216:M218 U216:U218 U220:U222 M220:M222 T221 M224:M233 U224:U233 L205:L207 T236:T238 T205:T207 U235:U239 L236:L239 M235:M239 M172:M177 M121:M128 U172:U177 U121:U128 U179:U214 L273 T273 M179:M214 L292 T292 U241:U308 U310:U319 M310:M319 M241:M308 L340 T340 U321:U342 M321:M342 T427 L427 T458 L458 T465 L465 T477 T472 L477 M464:M497 U464:U497 T514 L537 T537 M344:M462 U344:U462 U499:U556 M499:M556 U558:U569 U571:U572 M558:M572 M574 U574 L578 U576:U579 M576:M579 T587 M592:M596 U592:U596 T577:T578 U601:U602 M598:M599 U598:U599 M601:M602 M604 U604 M581:M590 U581:U590 U606 M606 U629:U637 T625 M674:M676 U674:U676 M622:M627 U622:U627 M629:M637 U639:U640 U608:U620 M608:M620 U642:U643 M642:M643 U1:U55 M1:M55 M639:M640 L683:M683 M645:M646 U645:U646 U648:U655 M648:M655 M663 M678:M682 M661 U661:U663 U657:U659 U678:U689 M657:M659 M684:M689 U691:U1048576 M691:M1048576</xm:sqref>
        </x14:dataValidation>
        <x14:dataValidation type="list" allowBlank="1" showInputMessage="1" showErrorMessage="1" xr:uid="{2300FB59-5DAB-4763-B946-A93B0901DB09}">
          <x14:formula1>
            <xm:f>DATA!$N$2:$N$15</xm:f>
          </x14:formula1>
          <xm:sqref>F574 F576:F579 F592:F596 F598:F599 F601:F602 F604 F581:F590 F629:F637 F606 F622:F627 F674:F676 F639:F640 F608:F620 F642:F643 F2:F572 F645:F646 F648:F655 F661:F663 F678:F689 F657:F659 F691:F1048576</xm:sqref>
        </x14:dataValidation>
        <x14:dataValidation type="list" allowBlank="1" showInputMessage="1" showErrorMessage="1" xr:uid="{F4BC77F4-597A-E249-8FE2-2A086ED7E206}">
          <x14:formula1>
            <xm:f>CLIENTS!$A$2:$A$894</xm:f>
          </x14:formula1>
          <xm:sqref>H608:H620 H648:H655 P648:P655 P691 H691 P693 H693 H687:H689 P687:P689 P645:P646 H645:H646 P629:P635 H657:H659 P657:P659 H685 P685 H683 P683 P642:P643 H642:H643 P601:P602 H601:H602 P598:P599 H598:H599 H592:H596 P674 P592:P595 H579 H604 P604 P574 P564:P571 P558:P562 H576 P576 H558:H572 H676 P676 P515:P521 H515:H521 P499:P513 H499:H513 H478:H497 P478:P497 H385:H426 P385:P426 P382:P383 H379:H380 P379:P380 H347:H349 P347:P349 P344:P345 H351:H358 P351:P358 H376:H377 P376:P377 H371:H374 P371:P374 H360:H363 H333:H336 H261:H265 P261:P265 H256:H259 P256:P259 P252:P254 H252:H254 H288:H289 H121:H128 H172:H177 P121:P128 P172:P177 H241 P241 H239 P239 H208:H214 P196:P206 P235:P236 H235 P208:P214 H196:H204 H188 P188 H179:H182 P179:P182 P190:P191 H190:H191 P141 P136:P139 H136:H139 H169:H170 P169:P170 H162:H167 P162:P167 H160 P160 H382:H383 P130:P131 H130:H131 H141 P133:P134 H155:H156 P155:P156 H133:H134 H119 P119 H92:H93 P92:P93 H88:H90 P88:P90 H85:H86 P85:P86 P80:P83 H80:H83 P62:P63 H57:H60 P57:P60 H62:H63 P40:P53 H55 P55 H76:H78 P76:P78 P37:P38 H37:H38 H65:H66 P65:P66 P34:P35 H34:H35 H31:H32 H28:H29 P28:P29 P9:P10 H9:H10 P25:P26 P31:P32 H25:H26 P68:P74 H40:H53 H68:H74 P12:P14 P16:P23 H2:H7 P2:P7 H95:H96 P95:P96 H98:H99 P98:P99 P113:P114 H113:H114 H101:H102 P101:P102 P104:P111 P116:P117 H104:H111 H116:H117 H158 P158 P184:P186 H184:H186 H12:H23 P144:P153 H144:H153 P243 H243 H216:H218 P216:P218 H220:H222 P220:P222 H224:H233 P224:P233 P267:P269 H267:H269 P193:P194 H193:H194 H271:H272 P271:P272 H274 P274 P276:P277 H276:H277 H295:H296 P295:P296 H279:H280 P279:P280 H285:H286 P285:P286 P282:P283 H282:H283 P288:P289 H245:H250 P245:P250 P291:P293 H291:H293 H302:H308 P302:P308 P298:P300 H298:H300 P310:P311 H310:H311 P313:P314 H313:H314 H324 P321:P322 H316:H319 P316:P319 H321:H322 P324 P326:P328 H326:H328 P330:P331 H330:H331 H365:H366 P365:P366 P341:P342 H341:H342 P333:P336 H338:H339 P338:P339 H344:H345 P360:P363 P459:P462 H459:H462 P464 H464 P466:P476 H466:H476 H523:H536 P523:P536 H428:H457 P428:P457 P538:P556 H538:H556 H574 H674 P579 H581:H590 P581:P590 H606 P606 P619:P620 H629:H637 P608:P616 H680:H681 P680:P681 P622:P627 H622:H627 H678 P678 H639:H640 P639:P640 H661:H663 P661:P663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5BCA-E069-D040-906C-6773837A1E5C}">
  <sheetPr codeName="Sheet13">
    <tabColor theme="3" tint="0.39997558519241921"/>
  </sheetPr>
  <dimension ref="B3:H60"/>
  <sheetViews>
    <sheetView topLeftCell="A7" zoomScale="70" zoomScaleNormal="70" workbookViewId="0">
      <selection activeCell="H11" sqref="H11"/>
    </sheetView>
  </sheetViews>
  <sheetFormatPr baseColWidth="10" defaultColWidth="9.5" defaultRowHeight="19.5" customHeight="1"/>
  <cols>
    <col min="1" max="1" width="14.5" style="57" customWidth="1"/>
    <col min="2" max="6" width="15.5" style="57" customWidth="1"/>
    <col min="7" max="7" width="14.1640625" style="57" customWidth="1"/>
    <col min="8" max="8" width="18" style="57" customWidth="1"/>
    <col min="9" max="9" width="9.5" style="57" bestFit="1"/>
    <col min="10" max="10" width="22.5" style="57" bestFit="1" customWidth="1"/>
    <col min="11" max="16384" width="9.5" style="57"/>
  </cols>
  <sheetData>
    <row r="3" spans="2:8" ht="19.5" customHeight="1" thickBot="1">
      <c r="B3" s="113" t="s">
        <v>74</v>
      </c>
      <c r="C3" s="113"/>
      <c r="D3" s="113"/>
      <c r="E3" s="615">
        <f ca="1">TODAY()</f>
        <v>46074</v>
      </c>
      <c r="F3" s="615"/>
      <c r="G3" s="113"/>
      <c r="H3" s="113"/>
    </row>
    <row r="4" spans="2:8" ht="46.5" customHeight="1" thickBot="1">
      <c r="B4" s="107" t="s">
        <v>305</v>
      </c>
      <c r="C4" s="107" t="s">
        <v>669</v>
      </c>
      <c r="D4" s="107" t="s">
        <v>670</v>
      </c>
      <c r="E4" s="107" t="s">
        <v>671</v>
      </c>
      <c r="F4" s="107" t="s">
        <v>672</v>
      </c>
      <c r="G4" s="107" t="s">
        <v>673</v>
      </c>
      <c r="H4" s="107" t="s">
        <v>674</v>
      </c>
    </row>
    <row r="5" spans="2:8" ht="19.5" customHeight="1">
      <c r="B5" s="35" t="s">
        <v>0</v>
      </c>
      <c r="C5" s="111" cm="1">
        <f t="array" aca="1" ref="C5" ca="1">SUM(SUMIFS(DEALS!$AU:$AU,DEALS!$E:$E,$E$3,DEALS!$B:$B,$B5,DEALS!$A:$A,{"*EXECUTED*","*SETTLED*"},DEALS!$C:$C,"*EXPORT*"))</f>
        <v>0</v>
      </c>
      <c r="D5" s="111" cm="1">
        <f t="array" aca="1" ref="D5" ca="1">SUM(SUMIFS(DEALS!$AU:$AU,DEALS!$E:$E,$E$3,DEALS!$B:$B,$B5,DEALS!$A:$A,{"*EXECUTED*","*SETTLED*"},DEALS!$C:$C,"*IMPORT*"))</f>
        <v>0</v>
      </c>
      <c r="E5" s="114">
        <f ca="1">F5+G5+H5</f>
        <v>0</v>
      </c>
      <c r="F5" s="114" cm="1">
        <f t="array" aca="1" ref="F5" ca="1">SUM(SUMIFS(DEALS!$AX:$AX,DEALS!$E:$E,$E$3,DEALS!$B:$B,$B5,DEALS!$A:$A,{"*SETTLED*","*EXECUTED*","*CLOSED*"}))</f>
        <v>0</v>
      </c>
      <c r="G5" s="114" cm="1">
        <f t="array" aca="1" ref="G5" ca="1">SUM(SUMIFS(DEALS!$BM:$BM,DEALS!$E:$E,$E$3,DEALS!$B:$B,$B5,DEALS!$A:$A,{"*SETTLED*","*EXECUTED*","*CLOSED*"}))</f>
        <v>0</v>
      </c>
      <c r="H5" s="114" cm="1">
        <f t="array" aca="1" ref="H5" ca="1">SUM(SUMIFS(DEALS!$BN:$BN,DEALS!$E:$E,$E$3,DEALS!$B:$B,$B5,DEALS!$A:$A,{"*SETTLED*","*EXECUTED*","*CLOSED*"}))</f>
        <v>0</v>
      </c>
    </row>
    <row r="6" spans="2:8" ht="19.5" customHeight="1">
      <c r="B6" s="35" t="s">
        <v>31</v>
      </c>
      <c r="C6" s="111" cm="1">
        <f t="array" aca="1" ref="C6" ca="1">SUM(SUMIFS(DEALS!$AU:$AU,DEALS!$E:$E,$E$3,DEALS!$B:$B,$B6,DEALS!$A:$A,{"*EXECUTED*","*SETTLED*"},DEALS!$C:$C,"*EXPORT*"))</f>
        <v>0</v>
      </c>
      <c r="D6" s="111" cm="1">
        <f t="array" aca="1" ref="D6" ca="1">SUM(SUMIFS(DEALS!$AU:$AU,DEALS!$E:$E,$E$3,DEALS!$B:$B,$B6,DEALS!$A:$A,{"*EXECUTED*","*SETTLED*"},DEALS!$C:$C,"*IMPORT*"))</f>
        <v>0</v>
      </c>
      <c r="E6" s="114">
        <f t="shared" ref="E6:E9" ca="1" si="0">F6+G6+H6</f>
        <v>0</v>
      </c>
      <c r="F6" s="114" cm="1">
        <f t="array" aca="1" ref="F6" ca="1">SUM(SUMIFS(DEALS!$AX:$AX,DEALS!$E:$E,$E$3,DEALS!$B:$B,$B6,DEALS!$A:$A,{"*SETTLED*","*EXECUTED*","*CLOSED*"}))</f>
        <v>0</v>
      </c>
      <c r="G6" s="114" cm="1">
        <f t="array" aca="1" ref="G6" ca="1">SUM(SUMIFS(DEALS!$BM:$BM,DEALS!$E:$E,$E$3,DEALS!$B:$B,$B6,DEALS!$A:$A,{"*SETTLED*","*EXECUTED*","*CLOSED*"}))</f>
        <v>0</v>
      </c>
      <c r="H6" s="114" cm="1">
        <f t="array" aca="1" ref="H6" ca="1">SUM(SUMIFS(DEALS!$BN:$BN,DEALS!$E:$E,$E$3,DEALS!$B:$B,$B6,DEALS!$A:$A,{"*SETTLED*","*EXECUTED*","*CLOSED*"}))</f>
        <v>0</v>
      </c>
    </row>
    <row r="7" spans="2:8" ht="19.5" customHeight="1">
      <c r="B7" s="35" t="s">
        <v>27</v>
      </c>
      <c r="C7" s="111" cm="1">
        <f t="array" aca="1" ref="C7" ca="1">SUM(SUMIFS(DEALS!$AU:$AU,DEALS!$E:$E,$E$3,DEALS!$B:$B,$B7,DEALS!$A:$A,{"*EXECUTED*","*SETTLED*"},DEALS!$C:$C,"*EXPORT*"))</f>
        <v>0</v>
      </c>
      <c r="D7" s="111" cm="1">
        <f t="array" aca="1" ref="D7" ca="1">SUM(SUMIFS(DEALS!$AU:$AU,DEALS!$E:$E,$E$3,DEALS!$B:$B,$B7,DEALS!$A:$A,{"*EXECUTED*","*SETTLED*"},DEALS!$C:$C,"*IMPORT*"))</f>
        <v>0</v>
      </c>
      <c r="E7" s="114">
        <f t="shared" ca="1" si="0"/>
        <v>0</v>
      </c>
      <c r="F7" s="114" cm="1">
        <f t="array" aca="1" ref="F7" ca="1">SUM(SUMIFS(DEALS!$AX:$AX,DEALS!$E:$E,$E$3,DEALS!$B:$B,$B7,DEALS!$A:$A,{"*SETTLED*","*EXECUTED*","*CLOSED*"}))</f>
        <v>0</v>
      </c>
      <c r="G7" s="114" cm="1">
        <f t="array" aca="1" ref="G7" ca="1">SUM(SUMIFS(DEALS!$BM:$BM,DEALS!$E:$E,$E$3,DEALS!$B:$B,$B7,DEALS!$A:$A,{"*SETTLED*","*EXECUTED*","*CLOSED*"}))</f>
        <v>0</v>
      </c>
      <c r="H7" s="114" cm="1">
        <f t="array" aca="1" ref="H7" ca="1">SUM(SUMIFS(DEALS!$BN:$BN,DEALS!$E:$E,$E$3,DEALS!$B:$B,$B7,DEALS!$A:$A,{"*SETTLED*","*EXECUTED*","*CLOSED*"}))</f>
        <v>0</v>
      </c>
    </row>
    <row r="8" spans="2:8" ht="19.5" customHeight="1">
      <c r="B8" s="35" t="s">
        <v>34</v>
      </c>
      <c r="C8" s="204" cm="1">
        <f t="array" aca="1" ref="C8" ca="1">SUM(SUMIFS(DEALS!$AU:$AU,DEALS!$E:$E,$E$3,DEALS!$B:$B,$B8,DEALS!$A:$A,{"*EXECUTED*","*SETTLED*"},DEALS!$C:$C,"*EXPORT*"))</f>
        <v>0</v>
      </c>
      <c r="D8" s="204" cm="1">
        <f t="array" aca="1" ref="D8" ca="1">SUM(SUMIFS(DEALS!$AU:$AU,DEALS!$E:$E,$E$3,DEALS!$B:$B,$B8,DEALS!$A:$A,{"*EXECUTED*","*SETTLED*"},DEALS!$C:$C,"*IMPORT*"))</f>
        <v>0</v>
      </c>
      <c r="E8" s="205">
        <f t="shared" ca="1" si="0"/>
        <v>0</v>
      </c>
      <c r="F8" s="205" cm="1">
        <f t="array" aca="1" ref="F8" ca="1">SUM(SUMIFS(DEALS!$AX:$AX,DEALS!$E:$E,$E$3,DEALS!$B:$B,$B8,DEALS!$A:$A,{"*SETTLED*","*EXECUTED*","*CLOSED*"}))</f>
        <v>0</v>
      </c>
      <c r="G8" s="205" cm="1">
        <f t="array" aca="1" ref="G8" ca="1">SUM(SUMIFS(DEALS!$BM:$BM,DEALS!$E:$E,$E$3,DEALS!$B:$B,$B8,DEALS!$A:$A,{"*SETTLED*","*EXECUTED*","*CLOSED*"}))</f>
        <v>0</v>
      </c>
      <c r="H8" s="205" cm="1">
        <f t="array" aca="1" ref="H8" ca="1">SUM(SUMIFS(DEALS!$BN:$BN,DEALS!$E:$E,$E$3,DEALS!$B:$B,$B8,DEALS!$A:$A,{"*SETTLED*","*EXECUTED*","*CLOSED*"}))</f>
        <v>0</v>
      </c>
    </row>
    <row r="9" spans="2:8" ht="19.5" customHeight="1">
      <c r="B9" s="35" t="s">
        <v>39</v>
      </c>
      <c r="C9" s="204" cm="1">
        <f t="array" aca="1" ref="C9" ca="1">SUM(SUMIFS(DEALS!$AU:$AU,DEALS!$E:$E,$E$3,DEALS!$B:$B,$B9,DEALS!$A:$A,{"*EXECUTED*","*SETTLED*"},DEALS!$C:$C,"*EXPORT*"))</f>
        <v>0</v>
      </c>
      <c r="D9" s="204" cm="1">
        <f t="array" aca="1" ref="D9" ca="1">SUM(SUMIFS(DEALS!$AU:$AU,DEALS!$E:$E,$E$3,DEALS!$B:$B,$B9,DEALS!$A:$A,{"*EXECUTED*","*SETTLED*"},DEALS!$C:$C,"*IMPORT*"))</f>
        <v>0</v>
      </c>
      <c r="E9" s="205">
        <f t="shared" ca="1" si="0"/>
        <v>0</v>
      </c>
      <c r="F9" s="205" cm="1">
        <f t="array" aca="1" ref="F9" ca="1">SUM(SUMIFS(DEALS!$AX:$AX,DEALS!$E:$E,$E$3,DEALS!$B:$B,$B9,DEALS!$A:$A,{"*SETTLED*","*EXECUTED*","*CLOSED*"}))</f>
        <v>0</v>
      </c>
      <c r="G9" s="205" cm="1">
        <f t="array" aca="1" ref="G9" ca="1">SUM(SUMIFS(DEALS!$BM:$BM,DEALS!$E:$E,$E$3,DEALS!$B:$B,$B9,DEALS!$A:$A,{"*SETTLED*","*EXECUTED*","*CLOSED*"}))</f>
        <v>0</v>
      </c>
      <c r="H9" s="205" cm="1">
        <f t="array" aca="1" ref="H9" ca="1">SUM(SUMIFS(DEALS!$BN:$BN,DEALS!$E:$E,$E$3,DEALS!$B:$B,$B9,DEALS!$A:$A,{"*SETTLED*","*EXECUTED*","*CLOSED*"}))</f>
        <v>0</v>
      </c>
    </row>
    <row r="10" spans="2:8" ht="19.5" customHeight="1">
      <c r="B10" s="35" t="s">
        <v>42</v>
      </c>
      <c r="C10" s="204" cm="1">
        <f t="array" aca="1" ref="C10" ca="1">SUM(SUMIFS(DEALS!$AU:$AU,DEALS!$E:$E,$E$3,DEALS!$B:$B,$B10,DEALS!$A:$A,{"*EXECUTED*","*SETTLED*"},DEALS!$C:$C,"*EXPORT*"))</f>
        <v>0</v>
      </c>
      <c r="D10" s="204" cm="1">
        <f t="array" aca="1" ref="D10" ca="1">SUM(SUMIFS(DEALS!$AU:$AU,DEALS!$E:$E,$E$3,DEALS!$B:$B,$B10,DEALS!$A:$A,{"*EXECUTED*","*SETTLED*"},DEALS!$C:$C,"*IMPORT*"))</f>
        <v>0</v>
      </c>
      <c r="E10" s="205">
        <f ca="1">F10+G10+H10</f>
        <v>0</v>
      </c>
      <c r="F10" s="205" cm="1">
        <f t="array" aca="1" ref="F10" ca="1">SUM(SUMIFS(DEALS!$AX:$AX,DEALS!$E:$E,$E$3,DEALS!$B:$B,$B10,DEALS!$A:$A,{"*SETTLED*","*EXECUTED*","*CLOSED*"}))</f>
        <v>0</v>
      </c>
      <c r="G10" s="205" cm="1">
        <f t="array" aca="1" ref="G10" ca="1">SUM(SUMIFS(DEALS!$BM:$BM,DEALS!$E:$E,$E$3,DEALS!$B:$B,$B10,DEALS!$A:$A,{"*SETTLED*","*EXECUTED*","*CLOSED*"}))</f>
        <v>0</v>
      </c>
      <c r="H10" s="205" cm="1">
        <f t="array" aca="1" ref="H10" ca="1">SUM(SUMIFS(DEALS!$BN:$BN,DEALS!$E:$E,$E$3,DEALS!$B:$B,$B10,DEALS!$A:$A,{"*SETTLED*","*EXECUTED*","*CLOSED*"}))</f>
        <v>0</v>
      </c>
    </row>
    <row r="11" spans="2:8" ht="19.5" customHeight="1">
      <c r="B11" s="35" t="s">
        <v>52</v>
      </c>
      <c r="C11" s="204" cm="1">
        <f t="array" aca="1" ref="C11" ca="1">SUM(SUMIFS(DEALS!$AU:$AU,DEALS!$E:$E,$E$3,DEALS!$B:$B,$B11,DEALS!$A:$A,{"*EXECUTED*","*SETTLED*"},DEALS!$C:$C,"*EXPORT*"))</f>
        <v>0</v>
      </c>
      <c r="D11" s="204" cm="1">
        <f t="array" aca="1" ref="D11" ca="1">SUM(SUMIFS(DEALS!$AU:$AU,DEALS!$E:$E,$E$3,DEALS!$B:$B,$B11,DEALS!$A:$A,{"*EXECUTED*","*SETTLED*"},DEALS!$C:$C,"*IMPORT*"))</f>
        <v>0</v>
      </c>
      <c r="E11" s="205">
        <f ca="1">F11+G11+H11</f>
        <v>0</v>
      </c>
      <c r="F11" s="205" cm="1">
        <f t="array" aca="1" ref="F11" ca="1">SUM(SUMIFS(DEALS!$AX:$AX,DEALS!$E:$E,$E$3,DEALS!$B:$B,$B11,DEALS!$A:$A,{"*SETTLED*","*EXECUTED*","*CLOSED*"}))</f>
        <v>0</v>
      </c>
      <c r="G11" s="205" cm="1">
        <f t="array" aca="1" ref="G11" ca="1">SUM(SUMIFS(DEALS!$BM:$BM,DEALS!$E:$E,$E$3,DEALS!$B:$B,$B11,DEALS!$A:$A,{"*SETTLED*","*EXECUTED*","*CLOSED*"}))</f>
        <v>0</v>
      </c>
      <c r="H11" s="205" cm="1">
        <f t="array" aca="1" ref="H11" ca="1">SUM(SUMIFS(DEALS!$BN:$BN,DEALS!$E:$E,$E$3,DEALS!$B:$B,$B11,DEALS!$A:$A,{"*SETTLED*","*EXECUTED*","*CLOSED*"}))</f>
        <v>0</v>
      </c>
    </row>
    <row r="12" spans="2:8" ht="19.5" customHeight="1">
      <c r="B12" s="35" t="s">
        <v>43</v>
      </c>
      <c r="C12" s="204" cm="1">
        <f t="array" aca="1" ref="C12" ca="1">SUM(SUMIFS(DEALS!$AU:$AU,DEALS!$E:$E,$E$3,DEALS!$B:$B,$B12,DEALS!$A:$A,{"*EXECUTED*","*SETTLED*"},DEALS!$C:$C,"*EXPORT*"))</f>
        <v>0</v>
      </c>
      <c r="D12" s="204" cm="1">
        <f t="array" aca="1" ref="D12" ca="1">SUM(SUMIFS(DEALS!$AU:$AU,DEALS!$E:$E,$E$3,DEALS!$B:$B,$B12,DEALS!$A:$A,{"*EXECUTED*","*SETTLED*"},DEALS!$C:$C,"*IMPORT*"))</f>
        <v>0</v>
      </c>
      <c r="E12" s="205">
        <f ca="1">F12+G12+H12</f>
        <v>0</v>
      </c>
      <c r="F12" s="205" cm="1">
        <f t="array" aca="1" ref="F12" ca="1">SUM(SUMIFS(DEALS!$AX:$AX,DEALS!$E:$E,$E$3,DEALS!$B:$B,$B12,DEALS!$A:$A,{"*SETTLED*","*EXECUTED*","*CLOSED*"}))</f>
        <v>0</v>
      </c>
      <c r="G12" s="205" cm="1">
        <f t="array" aca="1" ref="G12" ca="1">SUM(SUMIFS(DEALS!$BM:$BM,DEALS!$E:$E,$E$3,DEALS!$B:$B,$B12,DEALS!$A:$A,{"*SETTLED*","*EXECUTED*","*CLOSED*"}))</f>
        <v>0</v>
      </c>
      <c r="H12" s="205" cm="1">
        <f t="array" aca="1" ref="H12" ca="1">SUM(SUMIFS(DEALS!$BN:$BN,DEALS!$E:$E,$E$3,DEALS!$B:$B,$B12,DEALS!$A:$A,{"*SETTLED*","*EXECUTED*","*CLOSED*"}))</f>
        <v>0</v>
      </c>
    </row>
    <row r="13" spans="2:8" ht="19.5" customHeight="1">
      <c r="B13" s="35" t="s">
        <v>44</v>
      </c>
      <c r="C13" s="204" cm="1">
        <f t="array" aca="1" ref="C13" ca="1">SUM(SUMIFS(DEALS!$AU:$AU,DEALS!$E:$E,$E$3,DEALS!$B:$B,$B13,DEALS!$A:$A,{"*EXECUTED*","*SETTLED*"},DEALS!$C:$C,"*EXPORT*"))</f>
        <v>0</v>
      </c>
      <c r="D13" s="204" cm="1">
        <f t="array" aca="1" ref="D13" ca="1">SUM(SUMIFS(DEALS!$AU:$AU,DEALS!$E:$E,$E$3,DEALS!$B:$B,$B13,DEALS!$A:$A,{"*EXECUTED*","*SETTLED*"},DEALS!$C:$C,"*IMPORT*"))</f>
        <v>0</v>
      </c>
      <c r="E13" s="205">
        <f ca="1">F13+G13+H13</f>
        <v>0</v>
      </c>
      <c r="F13" s="205" cm="1">
        <f t="array" aca="1" ref="F13" ca="1">SUM(SUMIFS(DEALS!$AX:$AX,DEALS!$E:$E,$E$3,DEALS!$B:$B,$B13,DEALS!$A:$A,{"*SETTLED*","*EXECUTED*","*CLOSED*"}))</f>
        <v>0</v>
      </c>
      <c r="G13" s="205" cm="1">
        <f t="array" aca="1" ref="G13" ca="1">SUM(SUMIFS(DEALS!$BM:$BM,DEALS!$E:$E,$E$3,DEALS!$B:$B,$B13,DEALS!$A:$A,{"*SETTLED*","*EXECUTED*","*CLOSED*"}))</f>
        <v>0</v>
      </c>
      <c r="H13" s="205" cm="1">
        <f t="array" aca="1" ref="H13" ca="1">SUM(SUMIFS(DEALS!$BN:$BN,DEALS!$E:$E,$E$3,DEALS!$B:$B,$B13,DEALS!$A:$A,{"*SETTLED*","*EXECUTED*","*CLOSED*"}))</f>
        <v>0</v>
      </c>
    </row>
    <row r="14" spans="2:8" ht="19.5" customHeight="1">
      <c r="B14" s="35" t="s">
        <v>45</v>
      </c>
      <c r="C14" s="204" cm="1">
        <f t="array" aca="1" ref="C14" ca="1">SUM(SUMIFS(DEALS!$AU:$AU,DEALS!$E:$E,$E$3,DEALS!$B:$B,$B14,DEALS!$A:$A,{"*EXECUTED*","*SETTLED*"},DEALS!$C:$C,"*EXPORT*"))</f>
        <v>0</v>
      </c>
      <c r="D14" s="204" cm="1">
        <f t="array" aca="1" ref="D14" ca="1">SUM(SUMIFS(DEALS!$AU:$AU,DEALS!$E:$E,$E$3,DEALS!$B:$B,$B14,DEALS!$A:$A,{"*EXECUTED*","*SETTLED*"},DEALS!$C:$C,"*IMPORT*"))</f>
        <v>0</v>
      </c>
      <c r="E14" s="205">
        <f t="shared" ref="E14" ca="1" si="1">F14+G14+H14</f>
        <v>0</v>
      </c>
      <c r="F14" s="205" cm="1">
        <f t="array" aca="1" ref="F14" ca="1">SUM(SUMIFS(DEALS!$AX:$AX,DEALS!$E:$E,$E$3,DEALS!$B:$B,$B14,DEALS!$A:$A,{"*SETTLED*","*EXECUTED*","*CLOSED*"}))</f>
        <v>0</v>
      </c>
      <c r="G14" s="205" cm="1">
        <f t="array" aca="1" ref="G14" ca="1">SUM(SUMIFS(DEALS!$BM:$BM,DEALS!$E:$E,$E$3,DEALS!$B:$B,$B14,DEALS!$A:$A,{"*SETTLED*","*EXECUTED*","*CLOSED*"}))</f>
        <v>0</v>
      </c>
      <c r="H14" s="205" cm="1">
        <f t="array" aca="1" ref="H14" ca="1">SUM(SUMIFS(DEALS!$BN:$BN,DEALS!$E:$E,$E$3,DEALS!$B:$B,$B14,DEALS!$A:$A,{"*SETTLED*","*EXECUTED*","*CLOSED*"}))</f>
        <v>0</v>
      </c>
    </row>
    <row r="15" spans="2:8" ht="19.5" customHeight="1">
      <c r="B15" s="35" t="s">
        <v>99</v>
      </c>
      <c r="C15" s="111" cm="1">
        <f t="array" aca="1" ref="C15" ca="1">SUM(SUMIFS(DEALS!$AU:$AU,DEALS!$E:$E,$E$3,DEALS!$B:$B,$B15,DEALS!$A:$A,{"*EXECUTED*","*SETTLED*"},DEALS!$C:$C,"*EXPORT*"))</f>
        <v>0</v>
      </c>
      <c r="D15" s="111" cm="1">
        <f t="array" aca="1" ref="D15" ca="1">SUM(SUMIFS(DEALS!$AU:$AU,DEALS!$E:$E,$E$3,DEALS!$B:$B,$B15,DEALS!$A:$A,{"*EXECUTED*","*SETTLED*"},DEALS!$C:$C,"*IMPORT*"))</f>
        <v>0</v>
      </c>
      <c r="E15" s="205">
        <f ca="1">F15+G15+H15</f>
        <v>0</v>
      </c>
      <c r="F15" s="114" cm="1">
        <f t="array" aca="1" ref="F15" ca="1">SUM(SUMIFS(DEALS!$AX:$AX,DEALS!$E:$E,$E$3,DEALS!$B:$B,$B15,DEALS!$A:$A,{"*SETTLED*","*EXECUTED*","*CLOSED*"}))</f>
        <v>0</v>
      </c>
      <c r="G15" s="114" cm="1">
        <f t="array" aca="1" ref="G15" ca="1">SUM(SUMIFS(DEALS!$BM:$BM,DEALS!$E:$E,$E$3,DEALS!$B:$B,$B15,DEALS!$A:$A,{"*SETTLED*","*EXECUTED*","*CLOSED*"}))</f>
        <v>0</v>
      </c>
      <c r="H15" s="114" cm="1">
        <f t="array" aca="1" ref="H15" ca="1">SUM(SUMIFS(DEALS!$BN:$BN,DEALS!$E:$E,$E$3,DEALS!$B:$B,$B15,DEALS!$A:$A,{"*SETTLED*","*EXECUTED*","*CLOSED*"}))</f>
        <v>0</v>
      </c>
    </row>
    <row r="16" spans="2:8" ht="19.5" customHeight="1">
      <c r="B16" s="35" t="s">
        <v>55</v>
      </c>
      <c r="C16" s="111" cm="1">
        <f t="array" aca="1" ref="C16" ca="1">SUM(SUMIFS(DEALS!$AU:$AU,DEALS!$E:$E,$E$3,DEALS!$B:$B,$B16,DEALS!$A:$A,{"*EXECUTED*","*SETTLED*"},DEALS!$C:$C,"*EXPORT*"))</f>
        <v>0</v>
      </c>
      <c r="D16" s="111" cm="1">
        <f t="array" aca="1" ref="D16" ca="1">SUM(SUMIFS(DEALS!$AU:$AU,DEALS!$E:$E,$E$3,DEALS!$B:$B,$B16,DEALS!$A:$A,{"*EXECUTED*","*SETTLED*"},DEALS!$C:$C,"*IMPORT*"))</f>
        <v>0</v>
      </c>
      <c r="E16" s="205">
        <f ca="1">F16+G16+H16</f>
        <v>0</v>
      </c>
      <c r="F16" s="114" cm="1">
        <f t="array" aca="1" ref="F16" ca="1">SUM(SUMIFS(DEALS!$AX:$AX,DEALS!$E:$E,$E$3,DEALS!$B:$B,$B16,DEALS!$A:$A,{"*SETTLED*","*EXECUTED*","*CLOSED*"}))</f>
        <v>0</v>
      </c>
      <c r="G16" s="114" cm="1">
        <f t="array" aca="1" ref="G16" ca="1">SUM(SUMIFS(DEALS!$BM:$BM,DEALS!$E:$E,$E$3,DEALS!$B:$B,$B16,DEALS!$A:$A,{"*SETTLED*","*EXECUTED*","*CLOSED*"}))</f>
        <v>0</v>
      </c>
      <c r="H16" s="114" cm="1">
        <f t="array" aca="1" ref="H16" ca="1">SUM(SUMIFS(DEALS!$BN:$BN,DEALS!$E:$E,$E$3,DEALS!$B:$B,$B16,DEALS!$A:$A,{"*SETTLED*","*EXECUTED*","*CLOSED*"}))</f>
        <v>0</v>
      </c>
    </row>
    <row r="17" spans="2:8" ht="19.5" customHeight="1">
      <c r="B17" s="433" t="s">
        <v>102</v>
      </c>
      <c r="C17" s="434" cm="1">
        <f t="array" aca="1" ref="C17" ca="1">SUM(SUMIFS(DEALS!$AU:$AU,DEALS!$E:$E,$E$3,DEALS!$B:$B,$B17,DEALS!$A:$A,{"*EXECUTED*","*SETTLED*"},DEALS!$C:$C,"*EXPORT*"))</f>
        <v>0</v>
      </c>
      <c r="D17" s="434" cm="1">
        <f t="array" aca="1" ref="D17" ca="1">SUM(SUMIFS(DEALS!$AU:$AU,DEALS!$E:$E,$E$3,DEALS!$B:$B,$B17,DEALS!$A:$A,{"*EXECUTED*","*SETTLED*"},DEALS!$C:$C,"*IMPORT*"))</f>
        <v>0</v>
      </c>
      <c r="E17" s="435">
        <f t="shared" ref="E17" ca="1" si="2">F17+G17+H17</f>
        <v>0</v>
      </c>
      <c r="F17" s="435" cm="1">
        <f t="array" aca="1" ref="F17" ca="1">SUM(SUMIFS(DEALS!$AX:$AX,DEALS!$E:$E,$E$3,DEALS!$B:$B,$B17,DEALS!$A:$A,{"*SETTLED*","*EXECUTED*","*CLOSED*"}))</f>
        <v>0</v>
      </c>
      <c r="G17" s="435" cm="1">
        <f t="array" aca="1" ref="G17" ca="1">SUM(SUMIFS(DEALS!$BM:$BM,DEALS!$E:$E,$E$3,DEALS!$B:$B,$B17,DEALS!$A:$A,{"*SETTLED*","*EXECUTED*","*CLOSED*"}))</f>
        <v>0</v>
      </c>
      <c r="H17" s="435" cm="1">
        <f t="array" aca="1" ref="H17" ca="1">SUM(SUMIFS(DEALS!$BN:$BN,DEALS!$E:$E,$E$3,DEALS!$B:$B,$B17,DEALS!$A:$A,{"*SETTLED*","*EXECUTED*","*CLOSED*"}))</f>
        <v>0</v>
      </c>
    </row>
    <row r="18" spans="2:8" ht="19.5" customHeight="1">
      <c r="B18" s="35" t="s">
        <v>675</v>
      </c>
      <c r="C18" s="119">
        <f t="shared" ref="C18:G18" ca="1" si="3">SUM(C5:C17)</f>
        <v>0</v>
      </c>
      <c r="D18" s="119">
        <f t="shared" ca="1" si="3"/>
        <v>0</v>
      </c>
      <c r="E18" s="120">
        <f t="shared" ca="1" si="3"/>
        <v>0</v>
      </c>
      <c r="F18" s="121">
        <f t="shared" ca="1" si="3"/>
        <v>0</v>
      </c>
      <c r="G18" s="121">
        <f t="shared" ca="1" si="3"/>
        <v>0</v>
      </c>
      <c r="H18" s="122">
        <f ca="1">SUM(H5:H17)</f>
        <v>0</v>
      </c>
    </row>
    <row r="19" spans="2:8" ht="19.5" customHeight="1" thickBot="1">
      <c r="B19" s="34" t="s">
        <v>676</v>
      </c>
      <c r="C19" s="34"/>
      <c r="D19" s="115"/>
      <c r="E19" s="116" t="str">
        <f ca="1">IFERROR(E18/$D$18,"")</f>
        <v/>
      </c>
      <c r="F19" s="117" t="str">
        <f ca="1">IFERROR(F18/$D$18,"")</f>
        <v/>
      </c>
      <c r="G19" s="117" t="str">
        <f ca="1">IFERROR(G18/$D$18,"")</f>
        <v/>
      </c>
      <c r="H19" s="118" t="str">
        <f ca="1">IFERROR(H18/$D$18,"")</f>
        <v/>
      </c>
    </row>
    <row r="20" spans="2:8" ht="19.5" customHeight="1" thickBot="1">
      <c r="B20" s="7"/>
      <c r="C20" s="7"/>
      <c r="D20" s="7"/>
      <c r="E20" s="126" t="str">
        <f ca="1">IFERROR(E18/E18,"")</f>
        <v/>
      </c>
      <c r="F20" s="126" t="str">
        <f ca="1">IFERROR(F18/E18,"")</f>
        <v/>
      </c>
      <c r="G20" s="126" t="str">
        <f ca="1">IFERROR(G18/E18,"")</f>
        <v/>
      </c>
      <c r="H20" s="127" t="str">
        <f ca="1">IFERROR(H18/E18,"")</f>
        <v/>
      </c>
    </row>
    <row r="23" spans="2:8" ht="19.5" customHeight="1" thickBot="1">
      <c r="B23" s="113" t="s">
        <v>677</v>
      </c>
      <c r="C23" s="615" t="s">
        <v>678</v>
      </c>
      <c r="D23" s="615"/>
      <c r="E23" s="123">
        <f ca="1">TODAY()-WEEKDAY(TODAY(),2)+1</f>
        <v>46069</v>
      </c>
      <c r="F23" s="113" t="s">
        <v>233</v>
      </c>
      <c r="G23" s="123">
        <f ca="1">E3</f>
        <v>46074</v>
      </c>
      <c r="H23" s="113"/>
    </row>
    <row r="24" spans="2:8" ht="46.5" customHeight="1" thickBot="1">
      <c r="B24" s="107" t="s">
        <v>305</v>
      </c>
      <c r="C24" s="107" t="s">
        <v>669</v>
      </c>
      <c r="D24" s="107" t="s">
        <v>670</v>
      </c>
      <c r="E24" s="107" t="s">
        <v>671</v>
      </c>
      <c r="F24" s="107" t="s">
        <v>672</v>
      </c>
      <c r="G24" s="107" t="s">
        <v>673</v>
      </c>
      <c r="H24" s="107" t="s">
        <v>674</v>
      </c>
    </row>
    <row r="25" spans="2:8" ht="19.5" customHeight="1">
      <c r="B25" s="35" t="str">
        <f t="shared" ref="B25:B32" si="4">B5</f>
        <v>OWL</v>
      </c>
      <c r="C25" s="158" cm="1">
        <f t="array" aca="1" ref="C25" ca="1">SUM(SUMIFS(DEALS!$AU:$AU,DEALS!$E:$E,"&gt;="&amp;$E$23,DEALS!$E:$E,"&lt;="&amp;$G$23,DEALS!$B:$B,$B25,DEALS!$A:$A,{"*EXECUTED*","*SETTLED*"},DEALS!$C:$C,"*EXPORT*"))</f>
        <v>0</v>
      </c>
      <c r="D25" s="158" cm="1">
        <f t="array" aca="1" ref="D25" ca="1">SUM(SUMIFS(DEALS!$AU:$AU,DEALS!$E:$E,"&gt;="&amp;$E$23,DEALS!$E:$E,"&lt;="&amp;$G$23,DEALS!$B:$B,$B25,DEALS!$A:$A,{"*EXECUTED*","*SETTLED*"},DEALS!$C:$C,"*IMPORT*"))</f>
        <v>0</v>
      </c>
      <c r="E25" s="114">
        <f ca="1">F25+G25+H25</f>
        <v>0</v>
      </c>
      <c r="F25" s="114" cm="1">
        <f t="array" aca="1" ref="F25" ca="1">SUM(SUMIFS(DEALS!$AX:$AX,DEALS!$E:$E,"&gt;="&amp;$E$23,DEALS!$E:$E,"&lt;="&amp;$G$23,DEALS!$B:$B,$B25,DEALS!$A:$A,{"*SETTLED*","*EXECUTED*","*CLOSED*"}))</f>
        <v>0</v>
      </c>
      <c r="G25" s="159" cm="1">
        <f t="array" aca="1" ref="G25" ca="1">SUM(SUMIFS(DEALS!$BM:$BM,DEALS!$E:$E,"&gt;="&amp;$E$23,DEALS!$E:$E,"&lt;="&amp;$G$23,DEALS!$B:$B,$B25,DEALS!$A:$A,{"*SETTLED*","*EXECUTED*","*CLOSED*"}))</f>
        <v>0</v>
      </c>
      <c r="H25" s="114" cm="1">
        <f t="array" aca="1" ref="H25" ca="1">SUM(SUMIFS(DEALS!$BN:$BN,DEALS!$E:$E,"&gt;="&amp;$E$23,DEALS!$E:$E,"&lt;="&amp;$G$23,DEALS!$B:$B,$B25,DEALS!$A:$A,{"*SETTLED*","*EXECUTED*","*CLOSED*"}))</f>
        <v>0</v>
      </c>
    </row>
    <row r="26" spans="2:8" ht="19.5" customHeight="1">
      <c r="B26" s="35" t="str">
        <f t="shared" si="4"/>
        <v>AWB</v>
      </c>
      <c r="C26" s="111" cm="1">
        <f t="array" aca="1" ref="C26" ca="1">SUM(SUMIFS(DEALS!$AU:$AU,DEALS!$E:$E,"&gt;="&amp;$E$23,DEALS!$E:$E,"&lt;="&amp;$G$23,DEALS!$B:$B,$B26,DEALS!$A:$A,{"*EXECUTED*","*SETTLED*"},DEALS!$C:$C,"*EXPORT*"))</f>
        <v>8313199.0594474385</v>
      </c>
      <c r="D26" s="111" cm="1">
        <f t="array" aca="1" ref="D26" ca="1">SUM(SUMIFS(DEALS!$AU:$AU,DEALS!$E:$E,"&gt;="&amp;$E$23,DEALS!$E:$E,"&lt;="&amp;$G$23,DEALS!$B:$B,$B26,DEALS!$A:$A,{"*EXECUTED*","*SETTLED*"},DEALS!$C:$C,"*IMPORT*"))</f>
        <v>2521837.3560602032</v>
      </c>
      <c r="E26" s="114">
        <f t="shared" ref="E26:E37" ca="1" si="5">F26+G26+H26</f>
        <v>51802.38951079228</v>
      </c>
      <c r="F26" s="114" cm="1">
        <f t="array" aca="1" ref="F26" ca="1">SUM(SUMIFS(DEALS!$AX:$AX,DEALS!$E:$E,"&gt;="&amp;$E$23,DEALS!$E:$E,"&lt;="&amp;$G$23,DEALS!$B:$B,$B26,DEALS!$A:$A,{"*SETTLED*","*EXECUTED*","*CLOSED*"}))</f>
        <v>6935.9420855616527</v>
      </c>
      <c r="G26" s="114" cm="1">
        <f t="array" aca="1" ref="G26" ca="1">SUM(SUMIFS(DEALS!$BM:$BM,DEALS!$E:$E,"&gt;="&amp;$E$23,DEALS!$E:$E,"&lt;="&amp;$G$23,DEALS!$B:$B,$B26,DEALS!$A:$A,{"*SETTLED*","*EXECUTED*","*CLOSED*"}))</f>
        <v>0</v>
      </c>
      <c r="H26" s="114" cm="1">
        <f t="array" aca="1" ref="H26" ca="1">SUM(SUMIFS(DEALS!$BN:$BN,DEALS!$E:$E,"&gt;="&amp;$E$23,DEALS!$E:$E,"&lt;="&amp;$G$23,DEALS!$B:$B,$B26,DEALS!$A:$A,{"*SETTLED*","*EXECUTED*","*CLOSED*"}))</f>
        <v>44866.447425230625</v>
      </c>
    </row>
    <row r="27" spans="2:8" ht="19.5" customHeight="1">
      <c r="B27" s="35" t="str">
        <f t="shared" si="4"/>
        <v>VST</v>
      </c>
      <c r="C27" s="111" cm="1">
        <f t="array" aca="1" ref="C27" ca="1">SUM(SUMIFS(DEALS!$AU:$AU,DEALS!$E:$E,"&gt;="&amp;$E$23,DEALS!$E:$E,"&lt;="&amp;$G$23,DEALS!$B:$B,$B27,DEALS!$A:$A,{"*EXECUTED*","*SETTLED*"},DEALS!$C:$C,"*EXPORT*"))</f>
        <v>0</v>
      </c>
      <c r="D27" s="111" cm="1">
        <f t="array" aca="1" ref="D27" ca="1">SUM(SUMIFS(DEALS!$AU:$AU,DEALS!$E:$E,"&gt;="&amp;$E$23,DEALS!$E:$E,"&lt;="&amp;$G$23,DEALS!$B:$B,$B27,DEALS!$A:$A,{"*EXECUTED*","*SETTLED*"},DEALS!$C:$C,"*IMPORT*"))</f>
        <v>1171639.0240856851</v>
      </c>
      <c r="E27" s="114">
        <f t="shared" ca="1" si="5"/>
        <v>6531.0463174801262</v>
      </c>
      <c r="F27" s="114" cm="1">
        <f t="array" aca="1" ref="F27" ca="1">SUM(SUMIFS(DEALS!$AX:$AX,DEALS!$E:$E,"&gt;="&amp;$E$23,DEALS!$E:$E,"&lt;="&amp;$G$23,DEALS!$B:$B,$B27,DEALS!$A:$A,{"*SETTLED*","*EXECUTED*","*CLOSED*"}))</f>
        <v>5010.0190856852241</v>
      </c>
      <c r="G27" s="114" cm="1">
        <f t="array" aca="1" ref="G27" ca="1">SUM(SUMIFS(DEALS!$BM:$BM,DEALS!$E:$E,"&gt;="&amp;$E$23,DEALS!$E:$E,"&lt;="&amp;$G$23,DEALS!$B:$B,$B27,DEALS!$A:$A,{"*SETTLED*","*EXECUTED*","*CLOSED*"}))</f>
        <v>0</v>
      </c>
      <c r="H27" s="114" cm="1">
        <f t="array" aca="1" ref="H27" ca="1">SUM(SUMIFS(DEALS!$BN:$BN,DEALS!$E:$E,"&gt;="&amp;$E$23,DEALS!$E:$E,"&lt;="&amp;$G$23,DEALS!$B:$B,$B27,DEALS!$A:$A,{"*SETTLED*","*EXECUTED*","*CLOSED*"}))</f>
        <v>1521.0272317949023</v>
      </c>
    </row>
    <row r="28" spans="2:8" ht="19.5" customHeight="1">
      <c r="B28" s="35" t="str">
        <f t="shared" si="4"/>
        <v>NLK</v>
      </c>
      <c r="C28" s="204" cm="1">
        <f t="array" aca="1" ref="C28" ca="1">SUM(SUMIFS(DEALS!$AU:$AU,DEALS!$E:$E,"&gt;="&amp;$E$23,DEALS!$E:$E,"&lt;="&amp;$G$23,DEALS!$B:$B,$B28,DEALS!$A:$A,{"*EXECUTED*","*SETTLED*"},DEALS!$C:$C,"*EXPORT*"))</f>
        <v>6983350.0000384469</v>
      </c>
      <c r="D28" s="204" cm="1">
        <f t="array" aca="1" ref="D28" ca="1">SUM(SUMIFS(DEALS!$AU:$AU,DEALS!$E:$E,"&gt;="&amp;$E$23,DEALS!$E:$E,"&lt;="&amp;$G$23,DEALS!$B:$B,$B28,DEALS!$A:$A,{"*EXECUTED*","*SETTLED*"},DEALS!$C:$C,"*IMPORT*"))</f>
        <v>831450.81950179371</v>
      </c>
      <c r="E28" s="205">
        <f t="shared" ca="1" si="5"/>
        <v>31277.583094309262</v>
      </c>
      <c r="F28" s="205" cm="1">
        <f t="array" aca="1" ref="F28" ca="1">SUM(SUMIFS(DEALS!$AX:$AX,DEALS!$E:$E,"&gt;="&amp;$E$23,DEALS!$E:$E,"&lt;="&amp;$G$23,DEALS!$B:$B,$B28,DEALS!$A:$A,{"*SETTLED*","*EXECUTED*","*CLOSED*"}))</f>
        <v>2824.2987644665527</v>
      </c>
      <c r="G28" s="205" cm="1">
        <f t="array" aca="1" ref="G28" ca="1">SUM(SUMIFS(DEALS!$BM:$BM,DEALS!$E:$E,"&gt;="&amp;$E$23,DEALS!$E:$E,"&lt;="&amp;$G$23,DEALS!$B:$B,$B28,DEALS!$A:$A,{"*SETTLED*","*EXECUTED*","*CLOSED*"}))</f>
        <v>0</v>
      </c>
      <c r="H28" s="205" cm="1">
        <f t="array" aca="1" ref="H28" ca="1">SUM(SUMIFS(DEALS!$BN:$BN,DEALS!$E:$E,"&gt;="&amp;$E$23,DEALS!$E:$E,"&lt;="&amp;$G$23,DEALS!$B:$B,$B28,DEALS!$A:$A,{"*SETTLED*","*EXECUTED*","*CLOSED*"}))</f>
        <v>28453.284329842711</v>
      </c>
    </row>
    <row r="29" spans="2:8" ht="19.5" customHeight="1">
      <c r="B29" s="35" t="str">
        <f t="shared" si="4"/>
        <v>EVC</v>
      </c>
      <c r="C29" s="204" cm="1">
        <f t="array" aca="1" ref="C29" ca="1">SUM(SUMIFS(DEALS!$AU:$AU,DEALS!$E:$E,"&gt;="&amp;$E$23,DEALS!$E:$E,"&lt;="&amp;$G$23,DEALS!$B:$B,$B29,DEALS!$A:$A,{"*EXECUTED*","*SETTLED*"},DEALS!$C:$C,"*EXPORT*"))</f>
        <v>6251597.7340730149</v>
      </c>
      <c r="D29" s="204" cm="1">
        <f t="array" aca="1" ref="D29" ca="1">SUM(SUMIFS(DEALS!$AU:$AU,DEALS!$E:$E,"&gt;="&amp;$E$23,DEALS!$E:$E,"&lt;="&amp;$G$23,DEALS!$B:$B,$B29,DEALS!$A:$A,{"*EXECUTED*","*SETTLED*"},DEALS!$C:$C,"*IMPORT*"))</f>
        <v>21706515.329767592</v>
      </c>
      <c r="E29" s="205">
        <f t="shared" ca="1" si="5"/>
        <v>91833.217009020489</v>
      </c>
      <c r="F29" s="205" cm="1">
        <f t="array" aca="1" ref="F29" ca="1">SUM(SUMIFS(DEALS!$AX:$AX,DEALS!$E:$E,"&gt;="&amp;$E$23,DEALS!$E:$E,"&lt;="&amp;$G$23,DEALS!$B:$B,$B29,DEALS!$A:$A,{"*SETTLED*","*EXECUTED*","*CLOSED*"}))</f>
        <v>71256.072247210119</v>
      </c>
      <c r="G29" s="205" cm="1">
        <f t="array" aca="1" ref="G29" ca="1">SUM(SUMIFS(DEALS!$BM:$BM,DEALS!$E:$E,"&gt;="&amp;$E$23,DEALS!$E:$E,"&lt;="&amp;$G$23,DEALS!$B:$B,$B29,DEALS!$A:$A,{"*SETTLED*","*EXECUTED*","*CLOSED*"}))</f>
        <v>1250.832276095038</v>
      </c>
      <c r="H29" s="205" cm="1">
        <f t="array" aca="1" ref="H29" ca="1">SUM(SUMIFS(DEALS!$BN:$BN,DEALS!$E:$E,"&gt;="&amp;$E$23,DEALS!$E:$E,"&lt;="&amp;$G$23,DEALS!$B:$B,$B29,DEALS!$A:$A,{"*SETTLED*","*EXECUTED*","*CLOSED*"}))</f>
        <v>19326.312485715331</v>
      </c>
    </row>
    <row r="30" spans="2:8" ht="19.5" customHeight="1">
      <c r="B30" s="35" t="str">
        <f t="shared" si="4"/>
        <v>EVC HK</v>
      </c>
      <c r="C30" s="204" cm="1">
        <f t="array" aca="1" ref="C30" ca="1">SUM(SUMIFS(DEALS!$AU:$AU,DEALS!$E:$E,"&gt;="&amp;$E$23,DEALS!$E:$E,"&lt;="&amp;$G$23,DEALS!$B:$B,$B30,DEALS!$A:$A,{"*EXECUTED*","*SETTLED*"},DEALS!$C:$C,"*EXPORT*"))</f>
        <v>0</v>
      </c>
      <c r="D30" s="204" cm="1">
        <f t="array" aca="1" ref="D30" ca="1">SUM(SUMIFS(DEALS!$AU:$AU,DEALS!$E:$E,"&gt;="&amp;$E$23,DEALS!$E:$E,"&lt;="&amp;$G$23,DEALS!$B:$B,$B30,DEALS!$A:$A,{"*EXECUTED*","*SETTLED*"},DEALS!$C:$C,"*IMPORT*"))</f>
        <v>0</v>
      </c>
      <c r="E30" s="205">
        <f t="shared" ca="1" si="5"/>
        <v>0</v>
      </c>
      <c r="F30" s="205" cm="1">
        <f t="array" aca="1" ref="F30" ca="1">SUM(SUMIFS(DEALS!$AX:$AX,DEALS!$E:$E,"&gt;="&amp;$E$23,DEALS!$E:$E,"&lt;="&amp;$G$23,DEALS!$B:$B,$B30,DEALS!$A:$A,{"*SETTLED*","*EXECUTED*","*CLOSED*"}))</f>
        <v>0</v>
      </c>
      <c r="G30" s="205" cm="1">
        <f t="array" aca="1" ref="G30" ca="1">SUM(SUMIFS(DEALS!$BM:$BM,DEALS!$E:$E,"&gt;="&amp;$E$23,DEALS!$E:$E,"&lt;="&amp;$G$23,DEALS!$B:$B,$B30,DEALS!$A:$A,{"*SETTLED*","*EXECUTED*","*CLOSED*"}))</f>
        <v>0</v>
      </c>
      <c r="H30" s="205" cm="1">
        <f t="array" aca="1" ref="H30" ca="1">SUM(SUMIFS(DEALS!$BN:$BN,DEALS!$E:$E,"&gt;="&amp;$E$23,DEALS!$E:$E,"&lt;="&amp;$G$23,DEALS!$B:$B,$B30,DEALS!$A:$A,{"*SETTLED*","*EXECUTED*","*CLOSED*"}))</f>
        <v>0</v>
      </c>
    </row>
    <row r="31" spans="2:8" ht="19.5" customHeight="1">
      <c r="B31" s="35" t="str">
        <f t="shared" si="4"/>
        <v>RVG</v>
      </c>
      <c r="C31" s="204" cm="1">
        <f t="array" aca="1" ref="C31" ca="1">SUM(SUMIFS(DEALS!$AU:$AU,DEALS!$E:$E,"&gt;="&amp;$E$23,DEALS!$E:$E,"&lt;="&amp;$G$23,DEALS!$B:$B,$B31,DEALS!$A:$A,{"*EXECUTED*","*SETTLED*"},DEALS!$C:$C,"*EXPORT*"))</f>
        <v>5734581.5548044983</v>
      </c>
      <c r="D31" s="204" cm="1">
        <f t="array" aca="1" ref="D31" ca="1">SUM(SUMIFS(DEALS!$AU:$AU,DEALS!$E:$E,"&gt;="&amp;$E$23,DEALS!$E:$E,"&lt;="&amp;$G$23,DEALS!$B:$B,$B31,DEALS!$A:$A,{"*EXECUTED*","*SETTLED*"},DEALS!$C:$C,"*IMPORT*"))</f>
        <v>2000010</v>
      </c>
      <c r="E31" s="205">
        <f t="shared" ca="1" si="5"/>
        <v>13867.632076861726</v>
      </c>
      <c r="F31" s="205" cm="1">
        <f t="array" aca="1" ref="F31" ca="1">SUM(SUMIFS(DEALS!$AX:$AX,DEALS!$E:$E,"&gt;="&amp;$E$23,DEALS!$E:$E,"&lt;="&amp;$G$23,DEALS!$B:$B,$B31,DEALS!$A:$A,{"*SETTLED*","*EXECUTED*","*CLOSED*"}))</f>
        <v>-5437.9916665770061</v>
      </c>
      <c r="G31" s="205" cm="1">
        <f t="array" aca="1" ref="G31" ca="1">SUM(SUMIFS(DEALS!$BM:$BM,DEALS!$E:$E,"&gt;="&amp;$E$23,DEALS!$E:$E,"&lt;="&amp;$G$23,DEALS!$B:$B,$B31,DEALS!$A:$A,{"*SETTLED*","*EXECUTED*","*CLOSED*"}))</f>
        <v>0</v>
      </c>
      <c r="H31" s="205" cm="1">
        <f t="array" aca="1" ref="H31" ca="1">SUM(SUMIFS(DEALS!$BN:$BN,DEALS!$E:$E,"&gt;="&amp;$E$23,DEALS!$E:$E,"&lt;="&amp;$G$23,DEALS!$B:$B,$B31,DEALS!$A:$A,{"*SETTLED*","*EXECUTED*","*CLOSED*"}))</f>
        <v>19305.623743438733</v>
      </c>
    </row>
    <row r="32" spans="2:8" ht="19.5" customHeight="1">
      <c r="B32" s="35" t="str">
        <f t="shared" si="4"/>
        <v>MDS</v>
      </c>
      <c r="C32" s="204" cm="1">
        <f t="array" aca="1" ref="C32" ca="1">SUM(SUMIFS(DEALS!$AU:$AU,DEALS!$E:$E,"&gt;="&amp;$E$23,DEALS!$E:$E,"&lt;="&amp;$G$23,DEALS!$B:$B,$B32,DEALS!$A:$A,{"*EXECUTED*","*SETTLED*"},DEALS!$C:$C,"*EXPORT*"))</f>
        <v>0</v>
      </c>
      <c r="D32" s="204" cm="1">
        <f t="array" aca="1" ref="D32" ca="1">SUM(SUMIFS(DEALS!$AU:$AU,DEALS!$E:$E,"&gt;="&amp;$E$23,DEALS!$E:$E,"&lt;="&amp;$G$23,DEALS!$B:$B,$B32,DEALS!$A:$A,{"*EXECUTED*","*SETTLED*"},DEALS!$C:$C,"*IMPORT*"))</f>
        <v>0</v>
      </c>
      <c r="E32" s="205">
        <f t="shared" ca="1" si="5"/>
        <v>0</v>
      </c>
      <c r="F32" s="205" cm="1">
        <f t="array" aca="1" ref="F32" ca="1">SUM(SUMIFS(DEALS!$AX:$AX,DEALS!$E:$E,"&gt;="&amp;$E$23,DEALS!$E:$E,"&lt;="&amp;$G$23,DEALS!$B:$B,$B32,DEALS!$A:$A,{"*SETTLED*","*EXECUTED*","*CLOSED*"}))</f>
        <v>0</v>
      </c>
      <c r="G32" s="205" cm="1">
        <f t="array" aca="1" ref="G32" ca="1">SUM(SUMIFS(DEALS!$BM:$BM,DEALS!$E:$E,"&gt;="&amp;$E$23,DEALS!$E:$E,"&lt;="&amp;$G$23,DEALS!$B:$B,$B32,DEALS!$A:$A,{"*SETTLED*","*EXECUTED*","*CLOSED*"}))</f>
        <v>0</v>
      </c>
      <c r="H32" s="205" cm="1">
        <f t="array" aca="1" ref="H32" ca="1">SUM(SUMIFS(DEALS!$BN:$BN,DEALS!$E:$E,"&gt;="&amp;$E$23,DEALS!$E:$E,"&lt;="&amp;$G$23,DEALS!$B:$B,$B32,DEALS!$A:$A,{"*SETTLED*","*EXECUTED*","*CLOSED*"}))</f>
        <v>0</v>
      </c>
    </row>
    <row r="33" spans="2:8" ht="19.5" customHeight="1">
      <c r="B33" s="35" t="s">
        <v>44</v>
      </c>
      <c r="C33" s="204" cm="1">
        <f t="array" aca="1" ref="C33" ca="1">SUM(SUMIFS(DEALS!$AU:$AU,DEALS!$E:$E,"&gt;="&amp;$E$23,DEALS!$E:$E,"&lt;="&amp;$G$23,DEALS!$B:$B,$B33,DEALS!$A:$A,{"*EXECUTED*","*SETTLED*"},DEALS!$C:$C,"*EXPORT*"))</f>
        <v>0</v>
      </c>
      <c r="D33" s="204" cm="1">
        <f t="array" aca="1" ref="D33" ca="1">SUM(SUMIFS(DEALS!$AU:$AU,DEALS!$E:$E,"&gt;="&amp;$E$23,DEALS!$E:$E,"&lt;="&amp;$G$23,DEALS!$B:$B,$B33,DEALS!$A:$A,{"*EXECUTED*","*SETTLED*"},DEALS!$C:$C,"*IMPORT*"))</f>
        <v>0</v>
      </c>
      <c r="E33" s="205">
        <f t="shared" ca="1" si="5"/>
        <v>0</v>
      </c>
      <c r="F33" s="205" cm="1">
        <f t="array" aca="1" ref="F33" ca="1">SUM(SUMIFS(DEALS!$AX:$AX,DEALS!$E:$E,"&gt;="&amp;$E$23,DEALS!$E:$E,"&lt;="&amp;$G$23,DEALS!$B:$B,$B33,DEALS!$A:$A,{"*SETTLED*","*EXECUTED*","*CLOSED*"}))</f>
        <v>0</v>
      </c>
      <c r="G33" s="205" cm="1">
        <f t="array" aca="1" ref="G33" ca="1">SUM(SUMIFS(DEALS!$BM:$BM,DEALS!$E:$E,"&gt;="&amp;$E$23,DEALS!$E:$E,"&lt;="&amp;$G$23,DEALS!$B:$B,$B33,DEALS!$A:$A,{"*SETTLED*","*EXECUTED*","*CLOSED*"}))</f>
        <v>0</v>
      </c>
      <c r="H33" s="205" cm="1">
        <f t="array" aca="1" ref="H33" ca="1">SUM(SUMIFS(DEALS!$BN:$BN,DEALS!$E:$E,"&gt;="&amp;$E$23,DEALS!$E:$E,"&lt;="&amp;$G$23,DEALS!$B:$B,$B33,DEALS!$A:$A,{"*SETTLED*","*EXECUTED*","*CLOSED*"}))</f>
        <v>0</v>
      </c>
    </row>
    <row r="34" spans="2:8" ht="19.5" customHeight="1">
      <c r="B34" s="35" t="s">
        <v>45</v>
      </c>
      <c r="C34" s="204" cm="1">
        <f t="array" aca="1" ref="C34" ca="1">SUM(SUMIFS(DEALS!$AU:$AU,DEALS!$E:$E,"&gt;="&amp;$E$23,DEALS!$E:$E,"&lt;="&amp;$G$23,DEALS!$B:$B,$B34,DEALS!$A:$A,{"*EXECUTED*","*SETTLED*"},DEALS!$C:$C,"*EXPORT*"))</f>
        <v>0</v>
      </c>
      <c r="D34" s="204" cm="1">
        <f t="array" aca="1" ref="D34" ca="1">SUM(SUMIFS(DEALS!$AU:$AU,DEALS!$E:$E,"&gt;="&amp;$E$23,DEALS!$E:$E,"&lt;="&amp;$G$23,DEALS!$B:$B,$B34,DEALS!$A:$A,{"*EXECUTED*","*SETTLED*"},DEALS!$C:$C,"*IMPORT*"))</f>
        <v>1374048.5179109292</v>
      </c>
      <c r="E34" s="205">
        <f t="shared" ca="1" si="5"/>
        <v>9589.3204861356044</v>
      </c>
      <c r="F34" s="205" cm="1">
        <f t="array" aca="1" ref="F34" ca="1">SUM(SUMIFS(DEALS!$AX:$AX,DEALS!$E:$E,"&gt;="&amp;$E$23,DEALS!$E:$E,"&lt;="&amp;$G$23,DEALS!$B:$B,$B34,DEALS!$A:$A,{"*SETTLED*","*EXECUTED*","*CLOSED*"}))</f>
        <v>6730.3036843690525</v>
      </c>
      <c r="G34" s="205" cm="1">
        <f t="array" aca="1" ref="G34" ca="1">SUM(SUMIFS(DEALS!$BM:$BM,DEALS!$E:$E,"&gt;="&amp;$E$23,DEALS!$E:$E,"&lt;="&amp;$G$23,DEALS!$B:$B,$B34,DEALS!$A:$A,{"*SETTLED*","*EXECUTED*","*CLOSED*"}))</f>
        <v>0</v>
      </c>
      <c r="H34" s="205" cm="1">
        <f t="array" aca="1" ref="H34" ca="1">SUM(SUMIFS(DEALS!$BN:$BN,DEALS!$E:$E,"&gt;="&amp;$E$23,DEALS!$E:$E,"&lt;="&amp;$G$23,DEALS!$B:$B,$B34,DEALS!$A:$A,{"*SETTLED*","*EXECUTED*","*CLOSED*"}))</f>
        <v>2859.0168017665524</v>
      </c>
    </row>
    <row r="35" spans="2:8" ht="19.5" customHeight="1">
      <c r="B35" s="35" t="s">
        <v>99</v>
      </c>
      <c r="C35" s="111" cm="1">
        <f t="array" aca="1" ref="C35" ca="1">SUM(SUMIFS(DEALS!$AU:$AU,DEALS!$E:$E,"&gt;="&amp;$E$23,DEALS!$E:$E,"&lt;="&amp;$G$23,DEALS!$B:$B,$B35,DEALS!$A:$A,{"*EXECUTED*","*SETTLED*"},DEALS!$C:$C,"*EXPORT*"))</f>
        <v>0</v>
      </c>
      <c r="D35" s="111" cm="1">
        <f t="array" aca="1" ref="D35" ca="1">SUM(SUMIFS(DEALS!$AU:$AU,DEALS!$E:$E,"&gt;="&amp;$E$23,DEALS!$E:$E,"&lt;="&amp;$G$23,DEALS!$B:$B,$B35,DEALS!$A:$A,{"*EXECUTED*","*SETTLED*"},DEALS!$C:$C,"*IMPORT*"))</f>
        <v>0</v>
      </c>
      <c r="E35" s="205">
        <f ca="1">F35+G35+H35</f>
        <v>0</v>
      </c>
      <c r="F35" s="114" cm="1">
        <f t="array" aca="1" ref="F35" ca="1">SUM(SUMIFS(DEALS!$AX:$AX,DEALS!$E:$E,"&gt;="&amp;$E$23,DEALS!$E:$E,"&lt;="&amp;$G$23,DEALS!$B:$B,$B35,DEALS!$A:$A,{"*SETTLED*","*EXECUTED*","*CLOSED*"}))</f>
        <v>0</v>
      </c>
      <c r="G35" s="114" cm="1">
        <f t="array" aca="1" ref="G35" ca="1">SUM(SUMIFS(DEALS!$BM:$BM,DEALS!$E:$E,"&gt;="&amp;$E$23,DEALS!$E:$E,"&lt;="&amp;$G$23,DEALS!$B:$B,$B35,DEALS!$A:$A,{"*SETTLED*","*EXECUTED*","*CLOSED*"}))</f>
        <v>0</v>
      </c>
      <c r="H35" s="114" cm="1">
        <f t="array" aca="1" ref="H35" ca="1">SUM(SUMIFS(DEALS!$BN:$BN,DEALS!$E:$E,"&gt;="&amp;$E$23,DEALS!$E:$E,"&lt;="&amp;$G$23,DEALS!$B:$B,$B35,DEALS!$A:$A,{"*SETTLED*","*EXECUTED*","*CLOSED*"}))</f>
        <v>0</v>
      </c>
    </row>
    <row r="36" spans="2:8" ht="19.5" customHeight="1">
      <c r="B36" s="35" t="s">
        <v>55</v>
      </c>
      <c r="C36" s="111" cm="1">
        <f t="array" aca="1" ref="C36" ca="1">SUM(SUMIFS(DEALS!$AU:$AU,DEALS!$E:$E,"&gt;="&amp;$E$23,DEALS!$E:$E,"&lt;="&amp;$G$23,DEALS!$B:$B,$B36,DEALS!$A:$A,{"*EXECUTED*","*SETTLED*"},DEALS!$C:$C,"*EXPORT*"))</f>
        <v>0</v>
      </c>
      <c r="D36" s="111" cm="1">
        <f t="array" aca="1" ref="D36" ca="1">SUM(SUMIFS(DEALS!$AU:$AU,DEALS!$E:$E,"&gt;="&amp;$E$23,DEALS!$E:$E,"&lt;="&amp;$G$23,DEALS!$B:$B,$B36,DEALS!$A:$A,{"*EXECUTED*","*SETTLED*"},DEALS!$C:$C,"*IMPORT*"))</f>
        <v>0</v>
      </c>
      <c r="E36" s="205">
        <f ca="1">F36+G36+H36</f>
        <v>0</v>
      </c>
      <c r="F36" s="114" cm="1">
        <f t="array" aca="1" ref="F36" ca="1">SUM(SUMIFS(DEALS!$AX:$AX,DEALS!$E:$E,"&gt;="&amp;$E$23,DEALS!$E:$E,"&lt;="&amp;$G$23,DEALS!$B:$B,$B36,DEALS!$A:$A,{"*SETTLED*","*EXECUTED*","*CLOSED*"}))</f>
        <v>0</v>
      </c>
      <c r="G36" s="114" cm="1">
        <f t="array" aca="1" ref="G36" ca="1">SUM(SUMIFS(DEALS!$BM:$BM,DEALS!$E:$E,"&gt;="&amp;$E$23,DEALS!$E:$E,"&lt;="&amp;$G$23,DEALS!$B:$B,$B36,DEALS!$A:$A,{"*SETTLED*","*EXECUTED*","*CLOSED*"}))</f>
        <v>0</v>
      </c>
      <c r="H36" s="114" cm="1">
        <f t="array" aca="1" ref="H36" ca="1">SUM(SUMIFS(DEALS!$BN:$BN,DEALS!$E:$E,"&gt;="&amp;$E$23,DEALS!$E:$E,"&lt;="&amp;$G$23,DEALS!$B:$B,$B36,DEALS!$A:$A,{"*SETTLED*","*EXECUTED*","*CLOSED*"}))</f>
        <v>0</v>
      </c>
    </row>
    <row r="37" spans="2:8" ht="19.5" customHeight="1">
      <c r="B37" s="433" t="s">
        <v>102</v>
      </c>
      <c r="C37" s="434" cm="1">
        <f t="array" aca="1" ref="C37" ca="1">SUM(SUMIFS(DEALS!$AU:$AU,DEALS!$E:$E,"&gt;="&amp;$E$23,DEALS!$E:$E,"&lt;="&amp;$G$23,DEALS!$B:$B,$B37,DEALS!$A:$A,{"*EXECUTED*","*SETTLED*"},DEALS!$C:$C,"*EXPORT*"))</f>
        <v>0</v>
      </c>
      <c r="D37" s="434" cm="1">
        <f t="array" aca="1" ref="D37" ca="1">SUM(SUMIFS(DEALS!$AU:$AU,DEALS!$E:$E,"&gt;="&amp;$E$23,DEALS!$E:$E,"&lt;="&amp;$G$23,DEALS!$B:$B,$B37,DEALS!$A:$A,{"*EXECUTED*","*SETTLED*"},DEALS!$C:$C,"*IMPORT*"))</f>
        <v>321565.1832144548</v>
      </c>
      <c r="E37" s="435">
        <f t="shared" ca="1" si="5"/>
        <v>8218.8589415647766</v>
      </c>
      <c r="F37" s="435" cm="1">
        <f t="array" aca="1" ref="F37" ca="1">SUM(SUMIFS(DEALS!$AX:$AX,DEALS!$E:$E,"&gt;="&amp;$E$23,DEALS!$E:$E,"&lt;="&amp;$G$23,DEALS!$B:$B,$B37,DEALS!$A:$A,{"*SETTLED*","*EXECUTED*","*CLOSED*"}))</f>
        <v>3391.1832144547925</v>
      </c>
      <c r="G37" s="435" cm="1">
        <f t="array" aca="1" ref="G37" ca="1">SUM(SUMIFS(DEALS!$BM:$BM,DEALS!$E:$E,"&gt;="&amp;$E$23,DEALS!$E:$E,"&lt;="&amp;$G$23,DEALS!$B:$B,$B37,DEALS!$A:$A,{"*SETTLED*","*EXECUTED*","*CLOSED*"}))</f>
        <v>0</v>
      </c>
      <c r="H37" s="435" cm="1">
        <f t="array" aca="1" ref="H37" ca="1">SUM(SUMIFS(DEALS!$BN:$BN,DEALS!$E:$E,"&gt;="&amp;$E$23,DEALS!$E:$E,"&lt;="&amp;$G$23,DEALS!$B:$B,$B37,DEALS!$A:$A,{"*SETTLED*","*EXECUTED*","*CLOSED*"}))</f>
        <v>4827.675727109985</v>
      </c>
    </row>
    <row r="38" spans="2:8" ht="19.5" customHeight="1">
      <c r="B38" s="35" t="s">
        <v>675</v>
      </c>
      <c r="C38" s="119">
        <f t="shared" ref="C38:H38" ca="1" si="6">SUM(C25:C37)</f>
        <v>27282728.3483634</v>
      </c>
      <c r="D38" s="119">
        <f t="shared" ca="1" si="6"/>
        <v>29927066.230540656</v>
      </c>
      <c r="E38" s="120">
        <f t="shared" ca="1" si="6"/>
        <v>213120.04743616426</v>
      </c>
      <c r="F38" s="121">
        <f t="shared" ca="1" si="6"/>
        <v>90709.827415170395</v>
      </c>
      <c r="G38" s="121">
        <f t="shared" ca="1" si="6"/>
        <v>1250.832276095038</v>
      </c>
      <c r="H38" s="122">
        <f t="shared" ca="1" si="6"/>
        <v>121159.38774489885</v>
      </c>
    </row>
    <row r="39" spans="2:8" ht="19.5" customHeight="1" thickBot="1">
      <c r="B39" s="34" t="s">
        <v>676</v>
      </c>
      <c r="C39" s="34"/>
      <c r="D39" s="115"/>
      <c r="E39" s="116">
        <f ca="1">IFERROR(E38/$D$38,"")</f>
        <v>7.1213143912741651E-3</v>
      </c>
      <c r="F39" s="117">
        <f ca="1">IFERROR(F38/$D$38,"")</f>
        <v>3.0310297279524433E-3</v>
      </c>
      <c r="G39" s="117">
        <f ca="1">IFERROR(G38/$D$38,"")</f>
        <v>4.1796020580813235E-5</v>
      </c>
      <c r="H39" s="118">
        <f ca="1">IFERROR(H38/$D$38,"")</f>
        <v>4.0484886427409094E-3</v>
      </c>
    </row>
    <row r="40" spans="2:8" ht="19.5" customHeight="1" thickBot="1">
      <c r="E40" s="126">
        <f ca="1">E38/E38</f>
        <v>1</v>
      </c>
      <c r="F40" s="126">
        <f ca="1">F38/E38</f>
        <v>0.42562784921648755</v>
      </c>
      <c r="G40" s="126">
        <f ca="1">G38/E38</f>
        <v>5.8691441332833745E-3</v>
      </c>
      <c r="H40" s="127">
        <f ca="1">H38/E38</f>
        <v>0.56850300665022924</v>
      </c>
    </row>
    <row r="43" spans="2:8" ht="19.5" customHeight="1" thickBot="1">
      <c r="B43" s="113" t="s">
        <v>677</v>
      </c>
      <c r="C43" s="615" t="s">
        <v>679</v>
      </c>
      <c r="D43" s="615"/>
      <c r="E43" s="123">
        <f ca="1">TODAY()-DAY(TODAY())+1</f>
        <v>46054</v>
      </c>
      <c r="F43" s="113" t="s">
        <v>233</v>
      </c>
      <c r="G43" s="123">
        <f ca="1">E3</f>
        <v>46074</v>
      </c>
      <c r="H43" s="113"/>
    </row>
    <row r="44" spans="2:8" ht="42" customHeight="1" thickBot="1">
      <c r="B44" s="107" t="s">
        <v>305</v>
      </c>
      <c r="C44" s="107" t="s">
        <v>669</v>
      </c>
      <c r="D44" s="107" t="s">
        <v>670</v>
      </c>
      <c r="E44" s="107" t="s">
        <v>671</v>
      </c>
      <c r="F44" s="107" t="s">
        <v>672</v>
      </c>
      <c r="G44" s="107" t="s">
        <v>673</v>
      </c>
      <c r="H44" s="107" t="s">
        <v>674</v>
      </c>
    </row>
    <row r="45" spans="2:8" ht="19.5" customHeight="1">
      <c r="B45" s="35" t="str">
        <f t="shared" ref="B45:B52" si="7">B5</f>
        <v>OWL</v>
      </c>
      <c r="C45" s="158" cm="1">
        <f t="array" aca="1" ref="C45" ca="1">SUM(SUMIFS(DEALS!$AU:$AU,DEALS!$E:$E,"&gt;="&amp;$E$43,DEALS!$E:$E,"&lt;="&amp;$G$43,DEALS!$B:$B,$B45,DEALS!$A:$A,{"*EXECUTED*","*SETTLED*"},DEALS!$C:$C,"*EXPORT*"))</f>
        <v>644702.37743995956</v>
      </c>
      <c r="D45" s="158" cm="1">
        <f t="array" aca="1" ref="D45" ca="1">SUM(SUMIFS(DEALS!$AU:$AU,DEALS!$E:$E,"&gt;="&amp;$E$43,DEALS!$E:$E,"&lt;="&amp;$G$43,DEALS!$B:$B,$B45,DEALS!$A:$A,{"*EXECUTED*","*SETTLED*"},DEALS!$C:$C,"*IMPORT*"))</f>
        <v>0</v>
      </c>
      <c r="E45" s="114">
        <f ca="1">F45+G45+H45</f>
        <v>5274.8438739638414</v>
      </c>
      <c r="F45" s="114" cm="1">
        <f t="array" aca="1" ref="F45" ca="1">SUM(SUMIFS(DEALS!$AX:$AX,DEALS!$E:$E,"&gt;="&amp;$E$43,DEALS!$E:$E,"&lt;="&amp;$G$43,DEALS!$B:$B,$B45,DEALS!$A:$A,{"*SETTLED*","*EXECUTED*","*CLOSED*"}))</f>
        <v>0</v>
      </c>
      <c r="G45" s="159" cm="1">
        <f t="array" aca="1" ref="G45" ca="1">SUM(SUMIFS(DEALS!$BM:$BM,DEALS!$E:$E,"&gt;="&amp;$E$43,DEALS!$E:$E,"&lt;="&amp;$G$43,DEALS!$B:$B,$B45,DEALS!$A:$A,{"*SETTLED*","*EXECUTED*","*CLOSED*"}))</f>
        <v>0</v>
      </c>
      <c r="H45" s="114" cm="1">
        <f t="array" aca="1" ref="H45" ca="1">SUM(SUMIFS(DEALS!$BN:$BN,DEALS!$E:$E,"&gt;="&amp;$E$43,DEALS!$E:$E,"&lt;="&amp;$G$43,DEALS!$B:$B,$B45,DEALS!$A:$A,{"*SETTLED*","*EXECUTED*","*CLOSED*"}))</f>
        <v>5274.8438739638414</v>
      </c>
    </row>
    <row r="46" spans="2:8" ht="19.5" customHeight="1">
      <c r="B46" s="35" t="str">
        <f t="shared" si="7"/>
        <v>AWB</v>
      </c>
      <c r="C46" s="111" cm="1">
        <f t="array" aca="1" ref="C46" ca="1">SUM(SUMIFS(DEALS!$AU:$AU,DEALS!$E:$E,"&gt;="&amp;$E$43,DEALS!$E:$E,"&lt;="&amp;$G$43,DEALS!$B:$B,$B46,DEALS!$A:$A,{"*EXECUTED*","*SETTLED*"},DEALS!$C:$C,"*EXPORT*"))</f>
        <v>12243818.070728622</v>
      </c>
      <c r="D46" s="111" cm="1">
        <f t="array" aca="1" ref="D46" ca="1">SUM(SUMIFS(DEALS!$AU:$AU,DEALS!$E:$E,"&gt;="&amp;$E$43,DEALS!$E:$E,"&lt;="&amp;$G$43,DEALS!$B:$B,$B46,DEALS!$A:$A,{"*EXECUTED*","*SETTLED*"},DEALS!$C:$C,"*IMPORT*"))</f>
        <v>4668853.305778563</v>
      </c>
      <c r="E46" s="114">
        <f t="shared" ref="E46:E57" ca="1" si="8">F46+G46+H46</f>
        <v>97802.000336241501</v>
      </c>
      <c r="F46" s="114" cm="1">
        <f t="array" aca="1" ref="F46" ca="1">SUM(SUMIFS(DEALS!$AX:$AX,DEALS!$E:$E,"&gt;="&amp;$E$43,DEALS!$E:$E,"&lt;="&amp;$G$43,DEALS!$B:$B,$B46,DEALS!$A:$A,{"*SETTLED*","*EXECUTED*","*CLOSED*"}))</f>
        <v>19546.979293912511</v>
      </c>
      <c r="G46" s="114" cm="1">
        <f t="array" aca="1" ref="G46" ca="1">SUM(SUMIFS(DEALS!$BM:$BM,DEALS!$E:$E,"&gt;="&amp;$E$43,DEALS!$E:$E,"&lt;="&amp;$G$43,DEALS!$B:$B,$B46,DEALS!$A:$A,{"*SETTLED*","*EXECUTED*","*CLOSED*"}))</f>
        <v>1152.7299608645399</v>
      </c>
      <c r="H46" s="114" cm="1">
        <f t="array" aca="1" ref="H46" ca="1">SUM(SUMIFS(DEALS!$BN:$BN,DEALS!$E:$E,"&gt;="&amp;$E$43,DEALS!$E:$E,"&lt;="&amp;$G$43,DEALS!$B:$B,$B46,DEALS!$A:$A,{"*SETTLED*","*EXECUTED*","*CLOSED*"}))</f>
        <v>77102.291081464442</v>
      </c>
    </row>
    <row r="47" spans="2:8" ht="19.5" customHeight="1">
      <c r="B47" s="35" t="str">
        <f t="shared" si="7"/>
        <v>VST</v>
      </c>
      <c r="C47" s="111" cm="1">
        <f t="array" aca="1" ref="C47" ca="1">SUM(SUMIFS(DEALS!$AU:$AU,DEALS!$E:$E,"&gt;="&amp;$E$43,DEALS!$E:$E,"&lt;="&amp;$G$43,DEALS!$B:$B,$B47,DEALS!$A:$A,{"*EXECUTED*","*SETTLED*"},DEALS!$C:$C,"*EXPORT*"))</f>
        <v>0</v>
      </c>
      <c r="D47" s="111" cm="1">
        <f t="array" aca="1" ref="D47" ca="1">SUM(SUMIFS(DEALS!$AU:$AU,DEALS!$E:$E,"&gt;="&amp;$E$43,DEALS!$E:$E,"&lt;="&amp;$G$43,DEALS!$B:$B,$B47,DEALS!$A:$A,{"*EXECUTED*","*SETTLED*"},DEALS!$C:$C,"*IMPORT*"))</f>
        <v>1171639.0240856851</v>
      </c>
      <c r="E47" s="114">
        <f t="shared" ca="1" si="8"/>
        <v>6531.0463174801262</v>
      </c>
      <c r="F47" s="114" cm="1">
        <f t="array" aca="1" ref="F47" ca="1">SUM(SUMIFS(DEALS!$AX:$AX,DEALS!$E:$E,"&gt;="&amp;$E$43,DEALS!$E:$E,"&lt;="&amp;$G$43,DEALS!$B:$B,$B47,DEALS!$A:$A,{"*SETTLED*","*EXECUTED*","*CLOSED*"}))</f>
        <v>5010.0190856852241</v>
      </c>
      <c r="G47" s="114" cm="1">
        <f t="array" aca="1" ref="G47" ca="1">SUM(SUMIFS(DEALS!$BM:$BM,DEALS!$E:$E,"&gt;="&amp;$E$43,DEALS!$E:$E,"&lt;="&amp;$G$43,DEALS!$B:$B,$B47,DEALS!$A:$A,{"*SETTLED*","*EXECUTED*","*CLOSED*"}))</f>
        <v>0</v>
      </c>
      <c r="H47" s="114" cm="1">
        <f t="array" aca="1" ref="H47" ca="1">SUM(SUMIFS(DEALS!$BN:$BN,DEALS!$E:$E,"&gt;="&amp;$E$43,DEALS!$E:$E,"&lt;="&amp;$G$43,DEALS!$B:$B,$B47,DEALS!$A:$A,{"*SETTLED*","*EXECUTED*","*CLOSED*"}))</f>
        <v>1521.0272317949023</v>
      </c>
    </row>
    <row r="48" spans="2:8" ht="19.5" customHeight="1">
      <c r="B48" s="35" t="str">
        <f t="shared" si="7"/>
        <v>NLK</v>
      </c>
      <c r="C48" s="204" cm="1">
        <f t="array" aca="1" ref="C48" ca="1">SUM(SUMIFS(DEALS!$AU:$AU,DEALS!$E:$E,"&gt;="&amp;$E$43,DEALS!$E:$E,"&lt;="&amp;$G$43,DEALS!$B:$B,$B48,DEALS!$A:$A,{"*EXECUTED*","*SETTLED*"},DEALS!$C:$C,"*EXPORT*"))</f>
        <v>6983350.0000384469</v>
      </c>
      <c r="D48" s="204" cm="1">
        <f t="array" aca="1" ref="D48" ca="1">SUM(SUMIFS(DEALS!$AU:$AU,DEALS!$E:$E,"&gt;="&amp;$E$43,DEALS!$E:$E,"&lt;="&amp;$G$43,DEALS!$B:$B,$B48,DEALS!$A:$A,{"*EXECUTED*","*SETTLED*"},DEALS!$C:$C,"*IMPORT*"))</f>
        <v>831450.81950179371</v>
      </c>
      <c r="E48" s="205">
        <f t="shared" ca="1" si="8"/>
        <v>31277.583094309262</v>
      </c>
      <c r="F48" s="205" cm="1">
        <f t="array" aca="1" ref="F48" ca="1">SUM(SUMIFS(DEALS!$AX:$AX,DEALS!$E:$E,"&gt;="&amp;$E$43,DEALS!$E:$E,"&lt;="&amp;$G$43,DEALS!$B:$B,$B48,DEALS!$A:$A,{"*SETTLED*","*EXECUTED*","*CLOSED*"}))</f>
        <v>2824.2987644665527</v>
      </c>
      <c r="G48" s="205" cm="1">
        <f t="array" aca="1" ref="G48" ca="1">SUM(SUMIFS(DEALS!$BM:$BM,DEALS!$E:$E,"&gt;="&amp;$E$43,DEALS!$E:$E,"&lt;="&amp;$G$43,DEALS!$B:$B,$B48,DEALS!$A:$A,{"*SETTLED*","*EXECUTED*","*CLOSED*"}))</f>
        <v>0</v>
      </c>
      <c r="H48" s="205" cm="1">
        <f t="array" aca="1" ref="H48" ca="1">SUM(SUMIFS(DEALS!$BN:$BN,DEALS!$E:$E,"&gt;="&amp;$E$43,DEALS!$E:$E,"&lt;="&amp;$G$43,DEALS!$B:$B,$B48,DEALS!$A:$A,{"*SETTLED*","*EXECUTED*","*CLOSED*"}))</f>
        <v>28453.284329842711</v>
      </c>
    </row>
    <row r="49" spans="2:8" ht="19.5" customHeight="1">
      <c r="B49" s="35" t="str">
        <f t="shared" si="7"/>
        <v>EVC</v>
      </c>
      <c r="C49" s="204" cm="1">
        <f t="array" aca="1" ref="C49" ca="1">SUM(SUMIFS(DEALS!$AU:$AU,DEALS!$E:$E,"&gt;="&amp;$E$43,DEALS!$E:$E,"&lt;="&amp;$G$43,DEALS!$B:$B,$B49,DEALS!$A:$A,{"*EXECUTED*","*SETTLED*"},DEALS!$C:$C,"*EXPORT*"))</f>
        <v>37055429.185560219</v>
      </c>
      <c r="D49" s="204" cm="1">
        <f t="array" aca="1" ref="D49" ca="1">SUM(SUMIFS(DEALS!$AU:$AU,DEALS!$E:$E,"&gt;="&amp;$E$43,DEALS!$E:$E,"&lt;="&amp;$G$43,DEALS!$B:$B,$B49,DEALS!$A:$A,{"*EXECUTED*","*SETTLED*"},DEALS!$C:$C,"*IMPORT*"))</f>
        <v>54340115.797540382</v>
      </c>
      <c r="E49" s="205">
        <f t="shared" ca="1" si="8"/>
        <v>245025.85030546441</v>
      </c>
      <c r="F49" s="205" cm="1">
        <f t="array" aca="1" ref="F49" ca="1">SUM(SUMIFS(DEALS!$AX:$AX,DEALS!$E:$E,"&gt;="&amp;$E$43,DEALS!$E:$E,"&lt;="&amp;$G$43,DEALS!$B:$B,$B49,DEALS!$A:$A,{"*SETTLED*","*EXECUTED*","*CLOSED*"}))</f>
        <v>198738.154421841</v>
      </c>
      <c r="G49" s="205" cm="1">
        <f t="array" aca="1" ref="G49" ca="1">SUM(SUMIFS(DEALS!$BM:$BM,DEALS!$E:$E,"&gt;="&amp;$E$43,DEALS!$E:$E,"&lt;="&amp;$G$43,DEALS!$B:$B,$B49,DEALS!$A:$A,{"*SETTLED*","*EXECUTED*","*CLOSED*"}))</f>
        <v>3783.9869545981696</v>
      </c>
      <c r="H49" s="205" cm="1">
        <f t="array" aca="1" ref="H49" ca="1">SUM(SUMIFS(DEALS!$BN:$BN,DEALS!$E:$E,"&gt;="&amp;$E$43,DEALS!$E:$E,"&lt;="&amp;$G$43,DEALS!$B:$B,$B49,DEALS!$A:$A,{"*SETTLED*","*EXECUTED*","*CLOSED*"}))</f>
        <v>42503.708929025262</v>
      </c>
    </row>
    <row r="50" spans="2:8" ht="19.5" customHeight="1">
      <c r="B50" s="35" t="str">
        <f t="shared" si="7"/>
        <v>EVC HK</v>
      </c>
      <c r="C50" s="204" cm="1">
        <f t="array" aca="1" ref="C50" ca="1">SUM(SUMIFS(DEALS!$AU:$AU,DEALS!$E:$E,"&gt;="&amp;$E$43,DEALS!$E:$E,"&lt;="&amp;$G$43,DEALS!$B:$B,$B50,DEALS!$A:$A,{"*EXECUTED*","*SETTLED*"},DEALS!$C:$C,"*EXPORT*"))</f>
        <v>0</v>
      </c>
      <c r="D50" s="204" cm="1">
        <f t="array" aca="1" ref="D50" ca="1">SUM(SUMIFS(DEALS!$AU:$AU,DEALS!$E:$E,"&gt;="&amp;$E$43,DEALS!$E:$E,"&lt;="&amp;$G$43,DEALS!$B:$B,$B50,DEALS!$A:$A,{"*EXECUTED*","*SETTLED*"},DEALS!$C:$C,"*IMPORT*"))</f>
        <v>3072570.6399058197</v>
      </c>
      <c r="E50" s="205">
        <f t="shared" ca="1" si="8"/>
        <v>-1116.8380735501541</v>
      </c>
      <c r="F50" s="205" cm="1">
        <f t="array" aca="1" ref="F50" ca="1">SUM(SUMIFS(DEALS!$AX:$AX,DEALS!$E:$E,"&gt;="&amp;$E$43,DEALS!$E:$E,"&lt;="&amp;$G$43,DEALS!$B:$B,$B50,DEALS!$A:$A,{"*SETTLED*","*EXECUTED*","*CLOSED*"}))</f>
        <v>10314.789122782946</v>
      </c>
      <c r="G50" s="205" cm="1">
        <f t="array" aca="1" ref="G50" ca="1">SUM(SUMIFS(DEALS!$BM:$BM,DEALS!$E:$E,"&gt;="&amp;$E$43,DEALS!$E:$E,"&lt;="&amp;$G$43,DEALS!$B:$B,$B50,DEALS!$A:$A,{"*SETTLED*","*EXECUTED*","*CLOSED*"}))</f>
        <v>0</v>
      </c>
      <c r="H50" s="205" cm="1">
        <f t="array" aca="1" ref="H50" ca="1">SUM(SUMIFS(DEALS!$BN:$BN,DEALS!$E:$E,"&gt;="&amp;$E$43,DEALS!$E:$E,"&lt;="&amp;$G$43,DEALS!$B:$B,$B50,DEALS!$A:$A,{"*SETTLED*","*EXECUTED*","*CLOSED*"}))</f>
        <v>-11431.6271963331</v>
      </c>
    </row>
    <row r="51" spans="2:8" ht="19.5" customHeight="1">
      <c r="B51" s="35" t="str">
        <f t="shared" si="7"/>
        <v>RVG</v>
      </c>
      <c r="C51" s="204" cm="1">
        <f t="array" aca="1" ref="C51" ca="1">SUM(SUMIFS(DEALS!$AU:$AU,DEALS!$E:$E,"&gt;="&amp;$E$43,DEALS!$E:$E,"&lt;="&amp;$G$43,DEALS!$B:$B,$B51,DEALS!$A:$A,{"*EXECUTED*","*SETTLED*"},DEALS!$C:$C,"*EXPORT*"))</f>
        <v>12388255.872607376</v>
      </c>
      <c r="D51" s="204" cm="1">
        <f t="array" aca="1" ref="D51" ca="1">SUM(SUMIFS(DEALS!$AU:$AU,DEALS!$E:$E,"&gt;="&amp;$E$43,DEALS!$E:$E,"&lt;="&amp;$G$43,DEALS!$B:$B,$B51,DEALS!$A:$A,{"*EXECUTED*","*SETTLED*"},DEALS!$C:$C,"*IMPORT*"))</f>
        <v>4716810</v>
      </c>
      <c r="E51" s="205">
        <f t="shared" ca="1" si="8"/>
        <v>48891.055221776012</v>
      </c>
      <c r="F51" s="205" cm="1">
        <f t="array" aca="1" ref="F51" ca="1">SUM(SUMIFS(DEALS!$AX:$AX,DEALS!$E:$E,"&gt;="&amp;$E$43,DEALS!$E:$E,"&lt;="&amp;$G$43,DEALS!$B:$B,$B51,DEALS!$A:$A,{"*SETTLED*","*EXECUTED*","*CLOSED*"}))</f>
        <v>-15077.202013751954</v>
      </c>
      <c r="G51" s="205" cm="1">
        <f t="array" aca="1" ref="G51" ca="1">SUM(SUMIFS(DEALS!$BM:$BM,DEALS!$E:$E,"&gt;="&amp;$E$43,DEALS!$E:$E,"&lt;="&amp;$G$43,DEALS!$B:$B,$B51,DEALS!$A:$A,{"*SETTLED*","*EXECUTED*","*CLOSED*"}))</f>
        <v>0</v>
      </c>
      <c r="H51" s="205" cm="1">
        <f t="array" aca="1" ref="H51" ca="1">SUM(SUMIFS(DEALS!$BN:$BN,DEALS!$E:$E,"&gt;="&amp;$E$43,DEALS!$E:$E,"&lt;="&amp;$G$43,DEALS!$B:$B,$B51,DEALS!$A:$A,{"*SETTLED*","*EXECUTED*","*CLOSED*"}))</f>
        <v>63968.257235527963</v>
      </c>
    </row>
    <row r="52" spans="2:8" ht="19.5" customHeight="1">
      <c r="B52" s="35" t="str">
        <f t="shared" si="7"/>
        <v>MDS</v>
      </c>
      <c r="C52" s="204" cm="1">
        <f t="array" aca="1" ref="C52" ca="1">SUM(SUMIFS(DEALS!$AU:$AU,DEALS!$E:$E,"&gt;="&amp;$E$43,DEALS!$E:$E,"&lt;="&amp;$G$43,DEALS!$B:$B,$B52,DEALS!$A:$A,{"*EXECUTED*","*SETTLED*"},DEALS!$C:$C,"*EXPORT*"))</f>
        <v>0</v>
      </c>
      <c r="D52" s="204" cm="1">
        <f t="array" aca="1" ref="D52" ca="1">SUM(SUMIFS(DEALS!$AU:$AU,DEALS!$E:$E,"&gt;="&amp;$E$43,DEALS!$E:$E,"&lt;="&amp;$G$43,DEALS!$B:$B,$B52,DEALS!$A:$A,{"*EXECUTED*","*SETTLED*"},DEALS!$C:$C,"*IMPORT*"))</f>
        <v>0</v>
      </c>
      <c r="E52" s="205">
        <f t="shared" ca="1" si="8"/>
        <v>0</v>
      </c>
      <c r="F52" s="205" cm="1">
        <f t="array" aca="1" ref="F52" ca="1">SUM(SUMIFS(DEALS!$AX:$AX,DEALS!$E:$E,"&gt;="&amp;$E$43,DEALS!$E:$E,"&lt;="&amp;$G$43,DEALS!$B:$B,$B52,DEALS!$A:$A,{"*SETTLED*","*EXECUTED*","*CLOSED*"}))</f>
        <v>0</v>
      </c>
      <c r="G52" s="205" cm="1">
        <f t="array" aca="1" ref="G52" ca="1">SUM(SUMIFS(DEALS!$BM:$BM,DEALS!$E:$E,"&gt;="&amp;$E$43,DEALS!$E:$E,"&lt;="&amp;$G$43,DEALS!$B:$B,$B52,DEALS!$A:$A,{"*SETTLED*","*EXECUTED*","*CLOSED*"}))</f>
        <v>0</v>
      </c>
      <c r="H52" s="205" cm="1">
        <f t="array" aca="1" ref="H52" ca="1">SUM(SUMIFS(DEALS!$BN:$BN,DEALS!$E:$E,"&gt;="&amp;$E$43,DEALS!$E:$E,"&lt;="&amp;$G$43,DEALS!$B:$B,$B52,DEALS!$A:$A,{"*SETTLED*","*EXECUTED*","*CLOSED*"}))</f>
        <v>0</v>
      </c>
    </row>
    <row r="53" spans="2:8" ht="19.5" customHeight="1">
      <c r="B53" s="35" t="s">
        <v>44</v>
      </c>
      <c r="C53" s="204" cm="1">
        <f t="array" aca="1" ref="C53" ca="1">SUM(SUMIFS(DEALS!$AU:$AU,DEALS!$E:$E,"&gt;="&amp;$E$43,DEALS!$E:$E,"&lt;="&amp;$G$43,DEALS!$B:$B,$B53,DEALS!$A:$A,{"*EXECUTED*","*SETTLED*"},DEALS!$C:$C,"*EXPORT*"))</f>
        <v>0</v>
      </c>
      <c r="D53" s="204" cm="1">
        <f t="array" aca="1" ref="D53" ca="1">SUM(SUMIFS(DEALS!$AU:$AU,DEALS!$E:$E,"&gt;="&amp;$E$43,DEALS!$E:$E,"&lt;="&amp;$G$43,DEALS!$B:$B,$B53,DEALS!$A:$A,{"*EXECUTED*","*SETTLED*"},DEALS!$C:$C,"*IMPORT*"))</f>
        <v>285940.63359858183</v>
      </c>
      <c r="E53" s="205">
        <f t="shared" ca="1" si="8"/>
        <v>-2952.3848793461293</v>
      </c>
      <c r="F53" s="205" cm="1">
        <f t="array" aca="1" ref="F53" ca="1">SUM(SUMIFS(DEALS!$AX:$AX,DEALS!$E:$E,"&gt;="&amp;$E$43,DEALS!$E:$E,"&lt;="&amp;$G$43,DEALS!$B:$B,$B53,DEALS!$A:$A,{"*SETTLED*","*EXECUTED*","*CLOSED*"}))</f>
        <v>1715.643801591491</v>
      </c>
      <c r="G53" s="205" cm="1">
        <f t="array" aca="1" ref="G53" ca="1">SUM(SUMIFS(DEALS!$BM:$BM,DEALS!$E:$E,"&gt;="&amp;$E$43,DEALS!$E:$E,"&lt;="&amp;$G$43,DEALS!$B:$B,$B53,DEALS!$A:$A,{"*SETTLED*","*EXECUTED*","*CLOSED*"}))</f>
        <v>0</v>
      </c>
      <c r="H53" s="205" cm="1">
        <f t="array" aca="1" ref="H53" ca="1">SUM(SUMIFS(DEALS!$BN:$BN,DEALS!$E:$E,"&gt;="&amp;$E$43,DEALS!$E:$E,"&lt;="&amp;$G$43,DEALS!$B:$B,$B53,DEALS!$A:$A,{"*SETTLED*","*EXECUTED*","*CLOSED*"}))</f>
        <v>-4668.0286809376203</v>
      </c>
    </row>
    <row r="54" spans="2:8" ht="19.5" customHeight="1">
      <c r="B54" s="35" t="s">
        <v>45</v>
      </c>
      <c r="C54" s="204" cm="1">
        <f t="array" aca="1" ref="C54" ca="1">SUM(SUMIFS(DEALS!$AU:$AU,DEALS!$E:$E,"&gt;="&amp;$E$43,DEALS!$E:$E,"&lt;="&amp;$G$43,DEALS!$B:$B,$B54,DEALS!$A:$A,{"*EXECUTED*","*SETTLED*"},DEALS!$C:$C,"*EXPORT*"))</f>
        <v>0</v>
      </c>
      <c r="D54" s="204" cm="1">
        <f t="array" aca="1" ref="D54" ca="1">SUM(SUMIFS(DEALS!$AU:$AU,DEALS!$E:$E,"&gt;="&amp;$E$43,DEALS!$E:$E,"&lt;="&amp;$G$43,DEALS!$B:$B,$B54,DEALS!$A:$A,{"*EXECUTED*","*SETTLED*"},DEALS!$C:$C,"*IMPORT*"))</f>
        <v>4800550.0150503172</v>
      </c>
      <c r="E54" s="205">
        <f t="shared" ca="1" si="8"/>
        <v>24624.741238455284</v>
      </c>
      <c r="F54" s="205" cm="1">
        <f t="array" aca="1" ref="F54" ca="1">SUM(SUMIFS(DEALS!$AX:$AX,DEALS!$E:$E,"&gt;="&amp;$E$43,DEALS!$E:$E,"&lt;="&amp;$G$43,DEALS!$B:$B,$B54,DEALS!$A:$A,{"*SETTLED*","*EXECUTED*","*CLOSED*"}))</f>
        <v>22419.708496716823</v>
      </c>
      <c r="G54" s="205" cm="1">
        <f t="array" aca="1" ref="G54" ca="1">SUM(SUMIFS(DEALS!$BM:$BM,DEALS!$E:$E,"&gt;="&amp;$E$43,DEALS!$E:$E,"&lt;="&amp;$G$43,DEALS!$B:$B,$B54,DEALS!$A:$A,{"*SETTLED*","*EXECUTED*","*CLOSED*"}))</f>
        <v>0</v>
      </c>
      <c r="H54" s="205" cm="1">
        <f t="array" aca="1" ref="H54" ca="1">SUM(SUMIFS(DEALS!$BN:$BN,DEALS!$E:$E,"&gt;="&amp;$E$43,DEALS!$E:$E,"&lt;="&amp;$G$43,DEALS!$B:$B,$B54,DEALS!$A:$A,{"*SETTLED*","*EXECUTED*","*CLOSED*"}))</f>
        <v>2205.0327417384601</v>
      </c>
    </row>
    <row r="55" spans="2:8" ht="19.5" customHeight="1">
      <c r="B55" s="35" t="s">
        <v>99</v>
      </c>
      <c r="C55" s="111" cm="1">
        <f t="array" aca="1" ref="C55" ca="1">SUM(SUMIFS(DEALS!$AU:$AU,DEALS!$E:$E,"&gt;="&amp;$E$43,DEALS!$E:$E,"&lt;="&amp;$G$43,DEALS!$B:$B,$B55,DEALS!$A:$A,{"*EXECUTED*","*SETTLED*"},DEALS!$C:$C,"*EXPORT*"))</f>
        <v>0</v>
      </c>
      <c r="D55" s="111" cm="1">
        <f t="array" aca="1" ref="D55" ca="1">SUM(SUMIFS(DEALS!$AU:$AU,DEALS!$E:$E,"&gt;="&amp;$E$43,DEALS!$E:$E,"&lt;="&amp;$G$43,DEALS!$B:$B,$B55,DEALS!$A:$A,{"*EXECUTED*","*SETTLED*"},DEALS!$C:$C,"*IMPORT*"))</f>
        <v>0</v>
      </c>
      <c r="E55" s="205">
        <f ca="1">F55+G55+H55</f>
        <v>0</v>
      </c>
      <c r="F55" s="114" cm="1">
        <f t="array" aca="1" ref="F55" ca="1">SUM(SUMIFS(DEALS!$AX:$AX,DEALS!$E:$E,"&gt;="&amp;$E$43,DEALS!$E:$E,"&lt;="&amp;$G$43,DEALS!$B:$B,$B55,DEALS!$A:$A,{"*SETTLED*","*EXECUTED*","*CLOSED*"}))</f>
        <v>0</v>
      </c>
      <c r="G55" s="114" cm="1">
        <f t="array" aca="1" ref="G55" ca="1">SUM(SUMIFS(DEALS!$BM:$BM,DEALS!$E:$E,"&gt;="&amp;$E$43,DEALS!$E:$E,"&lt;="&amp;$G$43,DEALS!$B:$B,$B55,DEALS!$A:$A,{"*SETTLED*","*EXECUTED*","*CLOSED*"}))</f>
        <v>0</v>
      </c>
      <c r="H55" s="114" cm="1">
        <f t="array" aca="1" ref="H55" ca="1">SUM(SUMIFS(DEALS!$BN:$BN,DEALS!$E:$E,"&gt;="&amp;$E$43,DEALS!$E:$E,"&lt;="&amp;$G$43,DEALS!$B:$B,$B55,DEALS!$A:$A,{"*SETTLED*","*EXECUTED*","*CLOSED*"}))</f>
        <v>0</v>
      </c>
    </row>
    <row r="56" spans="2:8" ht="19.5" customHeight="1">
      <c r="B56" s="35" t="s">
        <v>55</v>
      </c>
      <c r="C56" s="111" cm="1">
        <f t="array" aca="1" ref="C56" ca="1">SUM(SUMIFS(DEALS!$AU:$AU,DEALS!$E:$E,"&gt;="&amp;$E$43,DEALS!$E:$E,"&lt;="&amp;$G$43,DEALS!$B:$B,$B56,DEALS!$A:$A,{"*EXECUTED*","*SETTLED*"},DEALS!$C:$C,"*EXPORT*"))</f>
        <v>0</v>
      </c>
      <c r="D56" s="111" cm="1">
        <f t="array" aca="1" ref="D56" ca="1">SUM(SUMIFS(DEALS!$AU:$AU,DEALS!$E:$E,"&gt;="&amp;$E$43,DEALS!$E:$E,"&lt;="&amp;$G$43,DEALS!$B:$B,$B56,DEALS!$A:$A,{"*EXECUTED*","*SETTLED*"},DEALS!$C:$C,"*IMPORT*"))</f>
        <v>0</v>
      </c>
      <c r="E56" s="205">
        <f ca="1">F56+G56+H56</f>
        <v>0</v>
      </c>
      <c r="F56" s="114" cm="1">
        <f t="array" aca="1" ref="F56" ca="1">SUM(SUMIFS(DEALS!$AX:$AX,DEALS!$E:$E,"&gt;="&amp;$E$43,DEALS!$E:$E,"&lt;="&amp;$G$43,DEALS!$B:$B,$B56,DEALS!$A:$A,{"*SETTLED*","*EXECUTED*","*CLOSED*"}))</f>
        <v>0</v>
      </c>
      <c r="G56" s="114" cm="1">
        <f t="array" aca="1" ref="G56" ca="1">SUM(SUMIFS(DEALS!$BM:$BM,DEALS!$E:$E,"&gt;="&amp;$E$43,DEALS!$E:$E,"&lt;="&amp;$G$43,DEALS!$B:$B,$B56,DEALS!$A:$A,{"*SETTLED*","*EXECUTED*","*CLOSED*"}))</f>
        <v>0</v>
      </c>
      <c r="H56" s="114" cm="1">
        <f t="array" aca="1" ref="H56" ca="1">SUM(SUMIFS(DEALS!$BN:$BN,DEALS!$E:$E,"&gt;="&amp;$E$43,DEALS!$E:$E,"&lt;="&amp;$G$43,DEALS!$B:$B,$B56,DEALS!$A:$A,{"*SETTLED*","*EXECUTED*","*CLOSED*"}))</f>
        <v>0</v>
      </c>
    </row>
    <row r="57" spans="2:8" ht="19.5" customHeight="1">
      <c r="B57" s="433" t="s">
        <v>102</v>
      </c>
      <c r="C57" s="434" cm="1">
        <f t="array" aca="1" ref="C57" ca="1">SUM(SUMIFS(DEALS!$AU:$AU,DEALS!$E:$E,"&gt;="&amp;$E$43,DEALS!$E:$E,"&lt;="&amp;$G$43,DEALS!$B:$B,$B57,DEALS!$A:$A,{"*EXECUTED*","*SETTLED*"},DEALS!$C:$C,"*EXPORT*"))</f>
        <v>0</v>
      </c>
      <c r="D57" s="434" cm="1">
        <f t="array" aca="1" ref="D57" ca="1">SUM(SUMIFS(DEALS!$AU:$AU,DEALS!$E:$E,"&gt;="&amp;$E$43,DEALS!$E:$E,"&lt;="&amp;$G$43,DEALS!$B:$B,$B57,DEALS!$A:$A,{"*EXECUTED*","*SETTLED*"},DEALS!$C:$C,"*IMPORT*"))</f>
        <v>366801.57680409565</v>
      </c>
      <c r="E57" s="435">
        <f t="shared" ca="1" si="8"/>
        <v>8934.2941779301691</v>
      </c>
      <c r="F57" s="435" cm="1">
        <f t="array" aca="1" ref="F57" ca="1">SUM(SUMIFS(DEALS!$AX:$AX,DEALS!$E:$E,"&gt;="&amp;$E$43,DEALS!$E:$E,"&lt;="&amp;$G$43,DEALS!$B:$B,$B57,DEALS!$A:$A,{"*SETTLED*","*EXECUTED*","*CLOSED*"}))</f>
        <v>4054.3445640956452</v>
      </c>
      <c r="G57" s="435" cm="1">
        <f t="array" aca="1" ref="G57" ca="1">SUM(SUMIFS(DEALS!$BM:$BM,DEALS!$E:$E,"&gt;="&amp;$E$43,DEALS!$E:$E,"&lt;="&amp;$G$43,DEALS!$B:$B,$B57,DEALS!$A:$A,{"*SETTLED*","*EXECUTED*","*CLOSED*"}))</f>
        <v>0</v>
      </c>
      <c r="H57" s="435" cm="1">
        <f t="array" aca="1" ref="H57" ca="1">SUM(SUMIFS(DEALS!$BN:$BN,DEALS!$E:$E,"&gt;="&amp;$E$43,DEALS!$E:$E,"&lt;="&amp;$G$43,DEALS!$B:$B,$B57,DEALS!$A:$A,{"*SETTLED*","*EXECUTED*","*CLOSED*"}))</f>
        <v>4879.9496138345239</v>
      </c>
    </row>
    <row r="58" spans="2:8" ht="19.5" customHeight="1">
      <c r="B58" s="35" t="s">
        <v>675</v>
      </c>
      <c r="C58" s="119">
        <f t="shared" ref="C58:H58" ca="1" si="9">SUM(C45:C57)</f>
        <v>69315555.506374627</v>
      </c>
      <c r="D58" s="119">
        <f t="shared" ca="1" si="9"/>
        <v>74254731.812265247</v>
      </c>
      <c r="E58" s="120">
        <f t="shared" ca="1" si="9"/>
        <v>464292.19161272433</v>
      </c>
      <c r="F58" s="121">
        <f t="shared" ca="1" si="9"/>
        <v>249546.73553734025</v>
      </c>
      <c r="G58" s="121">
        <f t="shared" ca="1" si="9"/>
        <v>4936.7169154627099</v>
      </c>
      <c r="H58" s="122">
        <f t="shared" ca="1" si="9"/>
        <v>209808.73915992136</v>
      </c>
    </row>
    <row r="59" spans="2:8" ht="19.5" customHeight="1" thickBot="1">
      <c r="B59" s="34" t="s">
        <v>676</v>
      </c>
      <c r="C59" s="34"/>
      <c r="D59" s="115"/>
      <c r="E59" s="116">
        <f ca="1">IFERROR(E58/$D$58,"")</f>
        <v>6.2526950172895716E-3</v>
      </c>
      <c r="F59" s="117">
        <f ca="1">IFERROR(F58/$D$58,"")</f>
        <v>3.3606846250318102E-3</v>
      </c>
      <c r="G59" s="117">
        <f ca="1">IFERROR(G58/$D$58,"")</f>
        <v>6.6483533035227699E-5</v>
      </c>
      <c r="H59" s="118">
        <f ca="1">IFERROR(H58/$D$58,"")</f>
        <v>2.8255268592225335E-3</v>
      </c>
    </row>
    <row r="60" spans="2:8" ht="19.5" customHeight="1" thickBot="1">
      <c r="E60" s="126">
        <f ca="1">E58/E58</f>
        <v>1</v>
      </c>
      <c r="F60" s="126">
        <f ca="1">F58/E58</f>
        <v>0.53747777810033104</v>
      </c>
      <c r="G60" s="126">
        <f ca="1">G58/E58</f>
        <v>1.0632780401313591E-2</v>
      </c>
      <c r="H60" s="127">
        <f ca="1">H58/E58</f>
        <v>0.4518894414983553</v>
      </c>
    </row>
  </sheetData>
  <mergeCells count="3">
    <mergeCell ref="E3:F3"/>
    <mergeCell ref="C23:D23"/>
    <mergeCell ref="C43:D43"/>
  </mergeCells>
  <dataValidations count="1">
    <dataValidation allowBlank="1" showInputMessage="1" showErrorMessage="1" sqref="A4 B3:E3 G3:H3 E23 G23:H23 G43:H43 B23:C23 B43:C43 E43" xr:uid="{75772202-098B-BE45-BDCF-CC7DD687522B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723A73-EB59-BD44-A433-6916B35CA755}">
          <x14:formula1>
            <xm:f>DATA!$E$2:$E$15</xm:f>
          </x14:formula1>
          <xm:sqref>A5:A17</xm:sqref>
        </x14:dataValidation>
        <x14:dataValidation type="list" allowBlank="1" showInputMessage="1" showErrorMessage="1" xr:uid="{DCC2752A-955E-48DF-953C-D9630E72D6E4}">
          <x14:formula1>
            <xm:f>DATA!$E$2:$E$50</xm:f>
          </x14:formula1>
          <xm:sqref>B5:B17 B25:B37 B45:B57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F7D6-4208-44FD-8687-F35F492CE062}">
  <sheetPr>
    <tabColor rgb="FF00B0F0"/>
  </sheetPr>
  <dimension ref="A2:X51"/>
  <sheetViews>
    <sheetView topLeftCell="A6" workbookViewId="0">
      <selection activeCell="R6" sqref="R6"/>
    </sheetView>
  </sheetViews>
  <sheetFormatPr baseColWidth="10" defaultColWidth="8.83203125" defaultRowHeight="15"/>
  <cols>
    <col min="1" max="1" width="9.1640625" bestFit="1" customWidth="1"/>
    <col min="3" max="3" width="17.1640625" customWidth="1"/>
    <col min="4" max="4" width="17.33203125" customWidth="1"/>
    <col min="6" max="6" width="18" customWidth="1"/>
    <col min="7" max="7" width="17.5" bestFit="1" customWidth="1"/>
    <col min="8" max="8" width="14.1640625" customWidth="1"/>
    <col min="9" max="9" width="18" customWidth="1"/>
    <col min="10" max="10" width="14.1640625" customWidth="1"/>
    <col min="11" max="11" width="13" customWidth="1"/>
    <col min="12" max="12" width="11.6640625" customWidth="1"/>
    <col min="13" max="13" width="11.83203125" customWidth="1"/>
    <col min="14" max="14" width="15" customWidth="1"/>
    <col min="15" max="15" width="14.5" customWidth="1"/>
    <col min="16" max="16" width="15.1640625" customWidth="1"/>
    <col min="17" max="17" width="14.5" customWidth="1"/>
    <col min="18" max="18" width="13.1640625" customWidth="1"/>
    <col min="19" max="19" width="14.33203125" customWidth="1"/>
    <col min="21" max="21" width="12.83203125" customWidth="1"/>
    <col min="22" max="22" width="12" customWidth="1"/>
    <col min="23" max="23" width="13.83203125" customWidth="1"/>
    <col min="24" max="24" width="18.1640625" customWidth="1"/>
  </cols>
  <sheetData>
    <row r="2" spans="3:24">
      <c r="G2" s="466"/>
      <c r="H2" s="467" t="s">
        <v>680</v>
      </c>
      <c r="I2" s="466"/>
      <c r="J2" s="492">
        <v>46055</v>
      </c>
      <c r="K2" s="493"/>
      <c r="L2" s="532">
        <v>46297</v>
      </c>
      <c r="M2" s="534"/>
      <c r="N2" s="575" t="s">
        <v>681</v>
      </c>
      <c r="O2" s="575"/>
    </row>
    <row r="3" spans="3:24" ht="19">
      <c r="G3" s="497" t="s">
        <v>682</v>
      </c>
      <c r="H3" s="468">
        <v>7669449</v>
      </c>
      <c r="I3" s="495">
        <f>H3+H6+H13+H14+H15+H16+H17+H18+H19+H20+H21+I14+I15+I16+I17+I18+I19</f>
        <v>3240544.2662871974</v>
      </c>
      <c r="J3" s="494">
        <v>3232000</v>
      </c>
      <c r="K3" s="496">
        <f>J3+K6+K7+K8+K9+K10+J14+K13+J15+J16</f>
        <v>5803071.1933693681</v>
      </c>
      <c r="L3" s="534">
        <f>K3</f>
        <v>5803071.1933693681</v>
      </c>
      <c r="M3" s="534"/>
      <c r="N3" s="576">
        <v>9525411</v>
      </c>
      <c r="O3" s="574"/>
    </row>
    <row r="4" spans="3:24">
      <c r="C4" s="372" t="s">
        <v>220</v>
      </c>
      <c r="D4" s="372" t="s">
        <v>220</v>
      </c>
      <c r="G4" s="473" t="s">
        <v>683</v>
      </c>
      <c r="H4" s="472"/>
      <c r="I4" s="472"/>
      <c r="J4" s="472"/>
      <c r="K4" s="472"/>
      <c r="L4" s="472"/>
      <c r="M4" s="472"/>
      <c r="N4" s="472"/>
      <c r="O4" s="472"/>
    </row>
    <row r="5" spans="3:24">
      <c r="C5" s="373" t="s">
        <v>684</v>
      </c>
      <c r="D5" s="374"/>
      <c r="G5" s="447"/>
      <c r="H5" s="448"/>
      <c r="I5" s="448"/>
      <c r="J5" s="448"/>
      <c r="K5" s="448"/>
      <c r="L5" s="448"/>
      <c r="M5" s="448"/>
      <c r="N5" s="448"/>
      <c r="O5" s="448"/>
      <c r="W5" s="567" t="s">
        <v>220</v>
      </c>
      <c r="X5" s="568" t="s">
        <v>685</v>
      </c>
    </row>
    <row r="6" spans="3:24">
      <c r="C6" s="373" t="s">
        <v>686</v>
      </c>
      <c r="D6" s="374"/>
      <c r="G6" s="469" t="s">
        <v>63</v>
      </c>
      <c r="H6" s="470">
        <v>35975</v>
      </c>
      <c r="I6" s="466"/>
      <c r="J6" s="580" t="s">
        <v>63</v>
      </c>
      <c r="K6" s="581">
        <v>862123</v>
      </c>
      <c r="L6" s="579" t="s">
        <v>687</v>
      </c>
      <c r="M6" s="577">
        <v>9138888</v>
      </c>
      <c r="N6" s="493"/>
      <c r="O6" s="585"/>
      <c r="W6" s="569" t="s">
        <v>688</v>
      </c>
      <c r="X6" s="570">
        <v>3823989</v>
      </c>
    </row>
    <row r="7" spans="3:24">
      <c r="C7" s="373" t="s">
        <v>689</v>
      </c>
      <c r="D7" s="374"/>
      <c r="G7" s="469"/>
      <c r="H7" s="470"/>
      <c r="I7" s="466"/>
      <c r="J7" s="580" t="s">
        <v>690</v>
      </c>
      <c r="K7" s="581">
        <f>1305106/3.67</f>
        <v>355614.71389645775</v>
      </c>
      <c r="L7" s="579" t="s">
        <v>63</v>
      </c>
      <c r="M7" s="577">
        <v>353560</v>
      </c>
      <c r="N7" s="493"/>
      <c r="O7" s="585"/>
      <c r="W7" s="569" t="s">
        <v>691</v>
      </c>
      <c r="X7" s="570">
        <v>-3876851</v>
      </c>
    </row>
    <row r="8" spans="3:24">
      <c r="C8" s="373" t="s">
        <v>692</v>
      </c>
      <c r="D8" s="374"/>
      <c r="G8" s="469" t="s">
        <v>693</v>
      </c>
      <c r="H8" s="466"/>
      <c r="I8" s="466"/>
      <c r="J8" s="580" t="s">
        <v>690</v>
      </c>
      <c r="K8" s="581">
        <v>357963</v>
      </c>
      <c r="L8" s="579" t="s">
        <v>63</v>
      </c>
      <c r="M8" s="577">
        <v>88673</v>
      </c>
      <c r="N8" s="493"/>
      <c r="O8" s="585"/>
      <c r="W8" s="569" t="s">
        <v>31</v>
      </c>
      <c r="X8" s="570">
        <v>2922844</v>
      </c>
    </row>
    <row r="9" spans="3:24">
      <c r="C9" s="373" t="s">
        <v>694</v>
      </c>
      <c r="D9" s="374"/>
      <c r="G9" s="469" t="s">
        <v>31</v>
      </c>
      <c r="H9" s="466"/>
      <c r="I9" s="466"/>
      <c r="J9" s="580" t="s">
        <v>690</v>
      </c>
      <c r="K9" s="581">
        <v>1782043</v>
      </c>
      <c r="L9" s="579" t="s">
        <v>693</v>
      </c>
      <c r="M9" s="577">
        <v>6912672.7999999998</v>
      </c>
      <c r="N9" s="493"/>
      <c r="O9" s="585"/>
      <c r="P9" s="420"/>
      <c r="W9" s="569" t="s">
        <v>695</v>
      </c>
      <c r="X9" s="570">
        <v>6655429</v>
      </c>
    </row>
    <row r="10" spans="3:24">
      <c r="C10" s="373" t="s">
        <v>696</v>
      </c>
      <c r="D10" s="375"/>
      <c r="G10" s="466"/>
      <c r="H10" s="466"/>
      <c r="I10" s="466"/>
      <c r="J10" s="580" t="s">
        <v>690</v>
      </c>
      <c r="K10" s="581">
        <v>9473</v>
      </c>
      <c r="L10" s="579"/>
      <c r="M10" s="578"/>
      <c r="N10" s="493"/>
      <c r="O10" s="585"/>
      <c r="Q10" s="420"/>
      <c r="W10" s="571" t="s">
        <v>697</v>
      </c>
      <c r="X10" s="572">
        <v>9525411</v>
      </c>
    </row>
    <row r="11" spans="3:24">
      <c r="C11" s="376" t="s">
        <v>220</v>
      </c>
      <c r="D11" s="377" t="s">
        <v>220</v>
      </c>
      <c r="G11" s="473" t="s">
        <v>698</v>
      </c>
      <c r="H11" s="473"/>
      <c r="I11" s="473"/>
      <c r="J11" s="473"/>
      <c r="K11" s="473"/>
      <c r="L11" s="473"/>
      <c r="M11" s="473"/>
      <c r="N11" s="473"/>
      <c r="O11" s="473"/>
      <c r="W11" s="573" t="s">
        <v>220</v>
      </c>
    </row>
    <row r="12" spans="3:24" ht="14.25" customHeight="1">
      <c r="C12" s="373" t="s">
        <v>699</v>
      </c>
      <c r="D12" s="375"/>
      <c r="G12" s="447"/>
      <c r="H12" s="449"/>
      <c r="I12" s="448"/>
      <c r="J12" s="448"/>
      <c r="K12" s="448"/>
      <c r="L12" s="448"/>
      <c r="M12" s="448"/>
      <c r="N12" s="448"/>
      <c r="O12" s="448"/>
    </row>
    <row r="13" spans="3:24">
      <c r="C13" s="373" t="s">
        <v>700</v>
      </c>
      <c r="D13" s="397" t="s">
        <v>220</v>
      </c>
      <c r="G13" s="527" t="s">
        <v>701</v>
      </c>
      <c r="H13" s="528">
        <v>-490000</v>
      </c>
      <c r="I13" s="529"/>
      <c r="J13" s="582"/>
      <c r="K13" s="584">
        <v>-151444</v>
      </c>
      <c r="L13" s="533">
        <v>-510000</v>
      </c>
      <c r="M13" s="577">
        <f>-3152-313</f>
        <v>-3465</v>
      </c>
      <c r="N13" s="493"/>
      <c r="O13" s="585"/>
    </row>
    <row r="14" spans="3:24">
      <c r="C14" s="373" t="s">
        <v>702</v>
      </c>
      <c r="D14" s="381">
        <f>K3</f>
        <v>5803071.1933693681</v>
      </c>
      <c r="G14" s="469" t="s">
        <v>682</v>
      </c>
      <c r="H14" s="471">
        <v>-61440</v>
      </c>
      <c r="I14" s="471">
        <v>-10525</v>
      </c>
      <c r="J14" s="583">
        <v>-486977</v>
      </c>
      <c r="K14" s="585"/>
      <c r="L14" s="531"/>
      <c r="M14" s="577">
        <v>-861605.3</v>
      </c>
      <c r="N14" s="493"/>
      <c r="O14" s="585"/>
    </row>
    <row r="15" spans="3:24">
      <c r="C15" s="378" t="s">
        <v>703</v>
      </c>
      <c r="D15" s="461">
        <f>620550</f>
        <v>620550</v>
      </c>
      <c r="G15" s="469" t="s">
        <v>682</v>
      </c>
      <c r="H15" s="471">
        <v>-188634</v>
      </c>
      <c r="I15" s="471">
        <v>-180645.64</v>
      </c>
      <c r="J15" s="583">
        <v>-141149</v>
      </c>
      <c r="K15" s="585"/>
      <c r="L15" s="531"/>
      <c r="M15" s="577">
        <v>-1647027.05</v>
      </c>
      <c r="N15" s="493"/>
      <c r="O15" s="585"/>
    </row>
    <row r="16" spans="3:24">
      <c r="C16" s="378" t="s">
        <v>704</v>
      </c>
      <c r="D16" s="379"/>
      <c r="G16" s="469" t="s">
        <v>682</v>
      </c>
      <c r="H16" s="471">
        <v>-619414.72281947394</v>
      </c>
      <c r="I16" s="471">
        <v>-875532.96</v>
      </c>
      <c r="J16" s="583">
        <v>-16575.520527089499</v>
      </c>
      <c r="K16" s="585"/>
      <c r="L16" s="531"/>
      <c r="M16" s="577">
        <v>-1421986</v>
      </c>
      <c r="N16" s="493"/>
      <c r="O16" s="585"/>
    </row>
    <row r="17" spans="1:19">
      <c r="C17" s="373" t="s">
        <v>705</v>
      </c>
      <c r="D17" s="380" t="s">
        <v>233</v>
      </c>
      <c r="G17" s="469" t="s">
        <v>682</v>
      </c>
      <c r="H17" s="471">
        <v>-135288.94476006899</v>
      </c>
      <c r="I17" s="471">
        <f>-555951.59/3.67</f>
        <v>-151485.446866485</v>
      </c>
      <c r="J17" s="580"/>
      <c r="K17" s="585"/>
      <c r="L17" s="531"/>
      <c r="M17" s="577">
        <v>-2997198</v>
      </c>
      <c r="N17" s="493"/>
      <c r="O17" s="585"/>
    </row>
    <row r="18" spans="1:19">
      <c r="C18" s="373" t="s">
        <v>706</v>
      </c>
      <c r="D18" s="384"/>
      <c r="G18" s="469" t="s">
        <v>682</v>
      </c>
      <c r="H18" s="471">
        <v>-14249.227823593499</v>
      </c>
      <c r="I18" s="471">
        <v>-658134</v>
      </c>
      <c r="J18" s="580"/>
      <c r="K18" s="585"/>
      <c r="L18" s="531"/>
      <c r="M18" s="577">
        <v>-579523</v>
      </c>
      <c r="N18" s="493"/>
      <c r="O18" s="585"/>
    </row>
    <row r="19" spans="1:19">
      <c r="C19" s="378" t="s">
        <v>707</v>
      </c>
      <c r="D19" s="379"/>
      <c r="G19" s="469" t="s">
        <v>682</v>
      </c>
      <c r="H19" s="471">
        <v>-130145.802342364</v>
      </c>
      <c r="I19" s="471">
        <v>-546472</v>
      </c>
      <c r="J19" s="580"/>
      <c r="K19" s="585"/>
      <c r="L19" s="531"/>
      <c r="M19" s="577">
        <v>-3318432</v>
      </c>
      <c r="N19" s="493"/>
      <c r="O19" s="585"/>
    </row>
    <row r="20" spans="1:19">
      <c r="G20" s="469" t="s">
        <v>682</v>
      </c>
      <c r="H20" s="471">
        <f>-675890/3.67</f>
        <v>-184166.21253405995</v>
      </c>
      <c r="I20" s="471"/>
      <c r="J20" s="580"/>
      <c r="K20" s="585"/>
      <c r="L20" s="531"/>
      <c r="M20" s="577">
        <v>-644014.16</v>
      </c>
      <c r="N20" s="493"/>
      <c r="O20" s="585"/>
    </row>
    <row r="21" spans="1:19">
      <c r="G21" s="469" t="s">
        <v>682</v>
      </c>
      <c r="H21" s="471">
        <f>-802797/3.67</f>
        <v>-218745.7765667575</v>
      </c>
      <c r="I21" s="471"/>
      <c r="J21" s="580"/>
      <c r="K21" s="585"/>
      <c r="L21" s="531"/>
      <c r="M21" s="577">
        <v>-774030</v>
      </c>
      <c r="N21" s="493"/>
      <c r="O21" s="585"/>
    </row>
    <row r="22" spans="1:19">
      <c r="G22" s="445"/>
      <c r="H22" s="446"/>
    </row>
    <row r="24" spans="1:19">
      <c r="Q24" t="s">
        <v>708</v>
      </c>
      <c r="R24" s="499">
        <v>2549645</v>
      </c>
      <c r="S24" t="s">
        <v>381</v>
      </c>
    </row>
    <row r="25" spans="1:19">
      <c r="C25" s="372" t="s">
        <v>709</v>
      </c>
      <c r="D25" s="372" t="s">
        <v>220</v>
      </c>
      <c r="Q25" t="s">
        <v>708</v>
      </c>
      <c r="R25" s="499">
        <v>1763040</v>
      </c>
    </row>
    <row r="26" spans="1:19">
      <c r="C26" s="373" t="s">
        <v>682</v>
      </c>
      <c r="D26" s="408">
        <f>-D14</f>
        <v>-5803071.1933693681</v>
      </c>
      <c r="F26" t="s">
        <v>710</v>
      </c>
      <c r="G26" t="s">
        <v>711</v>
      </c>
      <c r="R26" s="420">
        <f>R24+R25</f>
        <v>4312685</v>
      </c>
    </row>
    <row r="27" spans="1:19">
      <c r="C27" s="378" t="s">
        <v>712</v>
      </c>
      <c r="D27" s="409"/>
      <c r="G27" t="s">
        <v>713</v>
      </c>
      <c r="H27" s="381">
        <v>12000000</v>
      </c>
    </row>
    <row r="28" spans="1:19">
      <c r="A28">
        <v>0.9</v>
      </c>
      <c r="C28" s="378" t="s">
        <v>714</v>
      </c>
      <c r="D28" s="409"/>
    </row>
    <row r="29" spans="1:19">
      <c r="C29" s="411" t="s">
        <v>704</v>
      </c>
      <c r="D29" s="412"/>
      <c r="G29" s="455" t="s">
        <v>711</v>
      </c>
      <c r="H29" s="456">
        <v>7900000</v>
      </c>
      <c r="I29" s="455"/>
      <c r="K29" s="455" t="s">
        <v>711</v>
      </c>
      <c r="L29" s="456"/>
      <c r="M29" s="455"/>
      <c r="N29" s="455"/>
      <c r="Q29" s="504">
        <f>N31</f>
        <v>5897026.1752765104</v>
      </c>
      <c r="R29" s="420">
        <f>Q29-R26</f>
        <v>1584341.1752765104</v>
      </c>
    </row>
    <row r="30" spans="1:19">
      <c r="C30" s="413" t="s">
        <v>715</v>
      </c>
      <c r="D30" s="409"/>
      <c r="G30" s="516" t="s">
        <v>716</v>
      </c>
      <c r="H30" s="517">
        <f>633663</f>
        <v>633663</v>
      </c>
      <c r="K30" s="445" t="s">
        <v>717</v>
      </c>
      <c r="L30" s="500">
        <v>29029487.18</v>
      </c>
    </row>
    <row r="31" spans="1:19">
      <c r="C31" s="373" t="s">
        <v>718</v>
      </c>
      <c r="D31" s="408"/>
      <c r="G31" s="445" t="s">
        <v>719</v>
      </c>
      <c r="H31" s="452">
        <v>2591039</v>
      </c>
      <c r="I31" s="519">
        <v>1907896.06</v>
      </c>
      <c r="K31" s="445" t="s">
        <v>720</v>
      </c>
      <c r="L31" s="500">
        <f>425173032</f>
        <v>425173032</v>
      </c>
      <c r="M31">
        <v>77.022300000000001</v>
      </c>
      <c r="N31" s="501">
        <f>(L31+L30)/M31</f>
        <v>5897026.1752765104</v>
      </c>
    </row>
    <row r="32" spans="1:19">
      <c r="C32" s="415" t="s">
        <v>190</v>
      </c>
      <c r="D32" s="409"/>
      <c r="G32" s="445" t="s">
        <v>721</v>
      </c>
      <c r="H32" s="452">
        <f>3183362</f>
        <v>3183362</v>
      </c>
      <c r="K32" s="445"/>
      <c r="L32" s="452">
        <f>L30+L31</f>
        <v>454202519.18000001</v>
      </c>
      <c r="N32" t="s">
        <v>711</v>
      </c>
      <c r="O32" t="s">
        <v>690</v>
      </c>
      <c r="P32" s="502">
        <v>201700.8</v>
      </c>
      <c r="Q32" s="503">
        <f>P32/3.6725</f>
        <v>54921.933287950989</v>
      </c>
      <c r="R32" t="s">
        <v>722</v>
      </c>
      <c r="S32" t="s">
        <v>723</v>
      </c>
    </row>
    <row r="33" spans="3:23">
      <c r="C33" s="416" t="s">
        <v>724</v>
      </c>
      <c r="D33" s="408"/>
      <c r="G33" s="453" t="s">
        <v>725</v>
      </c>
      <c r="H33" s="452">
        <f>H29-H31-H32</f>
        <v>2125599</v>
      </c>
      <c r="I33" s="454">
        <f>H33*3.67</f>
        <v>7800948.3300000001</v>
      </c>
      <c r="J33" s="519">
        <v>3648740.64</v>
      </c>
      <c r="K33" s="453"/>
      <c r="L33" s="452"/>
      <c r="M33" s="454"/>
      <c r="N33" t="s">
        <v>711</v>
      </c>
      <c r="O33" t="s">
        <v>690</v>
      </c>
      <c r="P33" s="502">
        <v>5600803</v>
      </c>
      <c r="Q33" s="503">
        <f>P33/3.6725</f>
        <v>1525065.4867256638</v>
      </c>
      <c r="R33" t="s">
        <v>722</v>
      </c>
      <c r="S33" t="s">
        <v>723</v>
      </c>
    </row>
    <row r="34" spans="3:23">
      <c r="C34" s="415"/>
      <c r="D34" s="417"/>
      <c r="G34" s="445"/>
      <c r="H34" s="452">
        <f>H31+H33</f>
        <v>4716638</v>
      </c>
      <c r="I34" s="515">
        <f>H31+H33+500000</f>
        <v>5216638</v>
      </c>
      <c r="J34" s="420">
        <f>I31+J33</f>
        <v>5556636.7000000002</v>
      </c>
      <c r="N34" s="511" t="s">
        <v>711</v>
      </c>
      <c r="O34" s="511" t="s">
        <v>690</v>
      </c>
      <c r="P34" s="512">
        <f>P38-P35</f>
        <v>4473348.3999999994</v>
      </c>
      <c r="Q34" s="513">
        <f>Q38-Q35</f>
        <v>1218066.2763784886</v>
      </c>
      <c r="R34" t="s">
        <v>722</v>
      </c>
      <c r="S34" t="s">
        <v>723</v>
      </c>
    </row>
    <row r="35" spans="3:23">
      <c r="C35" s="416" t="s">
        <v>726</v>
      </c>
      <c r="D35" s="408"/>
      <c r="H35" s="452"/>
      <c r="N35" s="511" t="s">
        <v>711</v>
      </c>
      <c r="O35" s="511" t="s">
        <v>690</v>
      </c>
      <c r="P35" s="512">
        <f>2001416</f>
        <v>2001416</v>
      </c>
      <c r="Q35" s="513">
        <f>P35/3.6725</f>
        <v>544973.72362151125</v>
      </c>
      <c r="R35" t="s">
        <v>727</v>
      </c>
      <c r="S35" t="s">
        <v>723</v>
      </c>
    </row>
    <row r="36" spans="3:23">
      <c r="C36" s="416"/>
      <c r="D36" s="408"/>
      <c r="H36" s="452">
        <f>H29-H32</f>
        <v>4716638</v>
      </c>
    </row>
    <row r="37" spans="3:23">
      <c r="C37" s="410" t="s">
        <v>704</v>
      </c>
      <c r="D37" s="409"/>
      <c r="G37" s="426"/>
      <c r="H37" s="452"/>
      <c r="I37" s="518"/>
      <c r="N37" s="466" t="s">
        <v>708</v>
      </c>
      <c r="O37" s="466" t="s">
        <v>728</v>
      </c>
      <c r="P37" s="522">
        <f>Q37*3.6725</f>
        <v>9363571.2624999993</v>
      </c>
      <c r="Q37" s="523">
        <f>R24</f>
        <v>2549645</v>
      </c>
      <c r="R37" s="466" t="s">
        <v>727</v>
      </c>
      <c r="S37" s="466" t="s">
        <v>729</v>
      </c>
    </row>
    <row r="38" spans="3:23">
      <c r="C38" s="410" t="s">
        <v>700</v>
      </c>
      <c r="D38" s="409"/>
      <c r="H38" s="452"/>
      <c r="N38" s="466" t="s">
        <v>708</v>
      </c>
      <c r="O38" s="466" t="s">
        <v>728</v>
      </c>
      <c r="P38" s="522">
        <f>Q38*3.6725</f>
        <v>6474764.3999999994</v>
      </c>
      <c r="Q38" s="523">
        <f>R25</f>
        <v>1763040</v>
      </c>
      <c r="R38" s="466" t="s">
        <v>730</v>
      </c>
      <c r="S38" s="466" t="s">
        <v>729</v>
      </c>
    </row>
    <row r="39" spans="3:23">
      <c r="C39" s="414" t="s">
        <v>731</v>
      </c>
      <c r="D39" s="412"/>
      <c r="H39" s="452"/>
    </row>
    <row r="40" spans="3:23">
      <c r="C40" s="410"/>
      <c r="D40" s="409"/>
      <c r="H40" s="452"/>
      <c r="N40" s="505" t="s">
        <v>213</v>
      </c>
      <c r="O40" s="506"/>
      <c r="P40" s="507">
        <f>P32+P33+P37+P38</f>
        <v>21640839.462499999</v>
      </c>
      <c r="Q40" s="508">
        <f>Q32+Q33+Q37+Q38</f>
        <v>5892672.4200136149</v>
      </c>
    </row>
    <row r="41" spans="3:23">
      <c r="H41" s="452"/>
      <c r="Q41" s="510">
        <f>Q40-Q33-Q32-Q35-Q37</f>
        <v>1218066.2763784886</v>
      </c>
    </row>
    <row r="42" spans="3:23">
      <c r="H42" s="452"/>
      <c r="I42" s="530">
        <f>H36+Q40</f>
        <v>10609310.420013614</v>
      </c>
      <c r="Q42" s="510">
        <f>Q32+Q33+Q35+Q37</f>
        <v>4674606.1436351258</v>
      </c>
    </row>
    <row r="43" spans="3:23">
      <c r="D43" s="430"/>
      <c r="H43" s="452"/>
      <c r="N43" s="520">
        <v>5883658.7800000003</v>
      </c>
      <c r="O43" s="518">
        <f>I34</f>
        <v>5216638</v>
      </c>
      <c r="P43" s="518"/>
      <c r="Q43" s="518">
        <f>N43-O43</f>
        <v>667020.78000000026</v>
      </c>
    </row>
    <row r="44" spans="3:23">
      <c r="H44" s="452"/>
    </row>
    <row r="45" spans="3:23">
      <c r="I45" s="465" t="s">
        <v>220</v>
      </c>
    </row>
    <row r="46" spans="3:23">
      <c r="I46" s="465" t="s">
        <v>220</v>
      </c>
      <c r="U46" s="524" t="s">
        <v>732</v>
      </c>
      <c r="V46" s="525">
        <v>201700.8</v>
      </c>
      <c r="W46" s="525">
        <v>54921.93</v>
      </c>
    </row>
    <row r="47" spans="3:23">
      <c r="D47" t="s">
        <v>690</v>
      </c>
      <c r="E47" t="s">
        <v>31</v>
      </c>
      <c r="F47" t="s">
        <v>27</v>
      </c>
      <c r="G47" t="s">
        <v>733</v>
      </c>
      <c r="H47" t="s">
        <v>734</v>
      </c>
      <c r="I47" t="s">
        <v>735</v>
      </c>
      <c r="J47" t="s">
        <v>213</v>
      </c>
      <c r="K47" t="s">
        <v>213</v>
      </c>
      <c r="L47" s="514"/>
      <c r="U47" s="524" t="s">
        <v>736</v>
      </c>
      <c r="V47" s="525">
        <v>5600803.5999999996</v>
      </c>
      <c r="W47" s="525">
        <v>1525065.65</v>
      </c>
    </row>
    <row r="48" spans="3:23">
      <c r="C48" t="s">
        <v>737</v>
      </c>
      <c r="D48" s="452">
        <v>0</v>
      </c>
      <c r="E48" s="452">
        <v>0</v>
      </c>
      <c r="F48" s="452">
        <v>0</v>
      </c>
      <c r="G48" s="452">
        <v>2700000</v>
      </c>
      <c r="H48" s="452">
        <v>0</v>
      </c>
      <c r="I48" s="452">
        <v>950000</v>
      </c>
      <c r="J48" s="452">
        <f>D48+E48+F48+G48+H48+I48</f>
        <v>3650000</v>
      </c>
      <c r="K48" s="452">
        <f>G48+I48</f>
        <v>3650000</v>
      </c>
      <c r="U48" s="524" t="s">
        <v>738</v>
      </c>
      <c r="V48" s="525">
        <v>2001416.63</v>
      </c>
      <c r="W48" s="525">
        <v>544973.9</v>
      </c>
    </row>
    <row r="49" spans="3:23">
      <c r="C49" t="s">
        <v>739</v>
      </c>
      <c r="E49" s="452"/>
      <c r="U49" s="524" t="s">
        <v>738</v>
      </c>
      <c r="V49" s="525">
        <v>9363574.1400000006</v>
      </c>
      <c r="W49" s="525">
        <v>2549645.7799999998</v>
      </c>
    </row>
    <row r="50" spans="3:23">
      <c r="C50" t="s">
        <v>683</v>
      </c>
      <c r="E50" s="521">
        <v>9138000</v>
      </c>
      <c r="W50" s="420">
        <f>W46+W47+W48+W49</f>
        <v>4674607.26</v>
      </c>
    </row>
    <row r="51" spans="3:23">
      <c r="C51" t="s">
        <v>740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BB78-4B9E-CE49-8FA3-7BB53F4DACED}">
  <sheetPr codeName="Sheet4">
    <tabColor theme="9" tint="-0.249977111117893"/>
  </sheetPr>
  <dimension ref="A1:R646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498" sqref="A498"/>
    </sheetView>
  </sheetViews>
  <sheetFormatPr baseColWidth="10" defaultColWidth="10.33203125" defaultRowHeight="19"/>
  <cols>
    <col min="1" max="1" width="38.5" style="7" customWidth="1"/>
    <col min="2" max="2" width="14.5" style="7" customWidth="1"/>
    <col min="3" max="3" width="13" style="7" customWidth="1"/>
    <col min="4" max="4" width="24" style="7" customWidth="1"/>
    <col min="5" max="5" width="15.5" style="43" customWidth="1"/>
    <col min="6" max="6" width="12.5" style="104" customWidth="1"/>
    <col min="7" max="7" width="21.5" style="105" customWidth="1"/>
    <col min="8" max="11" width="10.33203125" style="106" customWidth="1"/>
    <col min="12" max="12" width="10.33203125" style="104" customWidth="1"/>
    <col min="13" max="13" width="12" style="7" customWidth="1"/>
    <col min="14" max="14" width="13.5" style="103" customWidth="1"/>
    <col min="15" max="16" width="28.5" style="103" customWidth="1"/>
    <col min="17" max="17" width="13.33203125" style="103" bestFit="1" customWidth="1"/>
    <col min="18" max="18" width="16.83203125" style="103" bestFit="1" customWidth="1"/>
    <col min="19" max="16368" width="10.33203125" style="103"/>
    <col min="16369" max="16369" width="10.33203125" style="103" bestFit="1" customWidth="1"/>
    <col min="16370" max="16384" width="10.33203125" style="103"/>
  </cols>
  <sheetData>
    <row r="1" spans="1:18" ht="20" thickBot="1">
      <c r="A1" s="97" t="s">
        <v>741</v>
      </c>
      <c r="B1" s="97" t="s">
        <v>742</v>
      </c>
      <c r="C1" s="97" t="s">
        <v>743</v>
      </c>
      <c r="D1" s="97" t="s">
        <v>744</v>
      </c>
      <c r="E1" s="98" t="s">
        <v>745</v>
      </c>
      <c r="F1" s="99" t="s">
        <v>746</v>
      </c>
      <c r="G1" s="100" t="s">
        <v>747</v>
      </c>
      <c r="H1" s="101" t="s">
        <v>748</v>
      </c>
      <c r="I1" s="101" t="s">
        <v>749</v>
      </c>
      <c r="J1" s="101" t="s">
        <v>750</v>
      </c>
      <c r="K1" s="101" t="s">
        <v>751</v>
      </c>
      <c r="L1" s="99" t="s">
        <v>752</v>
      </c>
      <c r="M1" s="102" t="s">
        <v>753</v>
      </c>
      <c r="N1" s="102" t="s">
        <v>754</v>
      </c>
      <c r="O1" s="102" t="s">
        <v>755</v>
      </c>
      <c r="P1" s="102" t="s">
        <v>756</v>
      </c>
      <c r="Q1" s="102" t="s">
        <v>102</v>
      </c>
      <c r="R1" s="102" t="s">
        <v>757</v>
      </c>
    </row>
    <row r="2" spans="1:18">
      <c r="A2" s="41" t="s">
        <v>0</v>
      </c>
      <c r="B2" s="41" t="s">
        <v>758</v>
      </c>
      <c r="C2" s="41" t="s">
        <v>759</v>
      </c>
      <c r="D2" s="41" t="s">
        <v>759</v>
      </c>
      <c r="E2" s="44">
        <v>0</v>
      </c>
      <c r="F2" s="104">
        <v>0</v>
      </c>
      <c r="G2" s="106">
        <v>0</v>
      </c>
      <c r="H2" s="106">
        <v>0</v>
      </c>
      <c r="I2" s="106">
        <v>0</v>
      </c>
      <c r="J2" s="106">
        <v>0</v>
      </c>
      <c r="K2" s="106">
        <v>0</v>
      </c>
      <c r="L2" s="106">
        <v>0</v>
      </c>
      <c r="M2" s="44"/>
      <c r="N2" s="41" t="s">
        <v>760</v>
      </c>
      <c r="O2" s="106"/>
      <c r="P2" s="106"/>
    </row>
    <row r="3" spans="1:18">
      <c r="A3" s="41" t="s">
        <v>34</v>
      </c>
      <c r="B3" s="41" t="s">
        <v>761</v>
      </c>
      <c r="C3" s="41" t="s">
        <v>759</v>
      </c>
      <c r="D3" s="41" t="s">
        <v>759</v>
      </c>
      <c r="E3" s="44">
        <v>0</v>
      </c>
      <c r="F3" s="104">
        <v>0</v>
      </c>
      <c r="G3" s="106">
        <v>0</v>
      </c>
      <c r="H3" s="106">
        <v>0</v>
      </c>
      <c r="I3" s="106">
        <v>0</v>
      </c>
      <c r="J3" s="106">
        <v>0</v>
      </c>
      <c r="K3" s="106">
        <v>0</v>
      </c>
      <c r="L3" s="106">
        <v>0</v>
      </c>
      <c r="M3" s="44"/>
      <c r="N3" s="41" t="s">
        <v>760</v>
      </c>
      <c r="O3" s="106"/>
      <c r="P3" s="106"/>
    </row>
    <row r="4" spans="1:18">
      <c r="A4" s="41" t="s">
        <v>39</v>
      </c>
      <c r="B4" s="41" t="s">
        <v>761</v>
      </c>
      <c r="C4" s="41" t="s">
        <v>759</v>
      </c>
      <c r="D4" s="41" t="s">
        <v>759</v>
      </c>
      <c r="E4" s="44">
        <v>0</v>
      </c>
      <c r="F4" s="104">
        <v>0</v>
      </c>
      <c r="G4" s="106">
        <v>0</v>
      </c>
      <c r="H4" s="106">
        <v>0</v>
      </c>
      <c r="I4" s="106">
        <v>0</v>
      </c>
      <c r="J4" s="106">
        <v>0</v>
      </c>
      <c r="K4" s="106">
        <v>0</v>
      </c>
      <c r="L4" s="106">
        <v>0</v>
      </c>
      <c r="M4" s="44"/>
      <c r="N4" s="41" t="s">
        <v>760</v>
      </c>
      <c r="O4" s="106"/>
      <c r="P4" s="106"/>
    </row>
    <row r="5" spans="1:18">
      <c r="A5" s="41" t="s">
        <v>42</v>
      </c>
      <c r="B5" s="41" t="s">
        <v>762</v>
      </c>
      <c r="C5" s="41" t="s">
        <v>759</v>
      </c>
      <c r="D5" s="41" t="s">
        <v>759</v>
      </c>
      <c r="E5" s="44">
        <v>0</v>
      </c>
      <c r="F5" s="104">
        <v>0</v>
      </c>
      <c r="G5" s="106">
        <v>0</v>
      </c>
      <c r="H5" s="106">
        <v>0</v>
      </c>
      <c r="I5" s="106">
        <v>0</v>
      </c>
      <c r="J5" s="106">
        <v>0</v>
      </c>
      <c r="K5" s="106">
        <v>0</v>
      </c>
      <c r="L5" s="106">
        <v>0</v>
      </c>
      <c r="M5" s="44"/>
      <c r="N5" s="41" t="s">
        <v>760</v>
      </c>
      <c r="O5" s="106"/>
      <c r="P5" s="106"/>
    </row>
    <row r="6" spans="1:18">
      <c r="A6" s="41" t="s">
        <v>190</v>
      </c>
      <c r="B6" s="41" t="s">
        <v>763</v>
      </c>
      <c r="C6" s="41" t="s">
        <v>759</v>
      </c>
      <c r="D6" s="41" t="s">
        <v>759</v>
      </c>
      <c r="E6" s="44">
        <v>0</v>
      </c>
      <c r="F6" s="104">
        <v>0</v>
      </c>
      <c r="G6" s="106">
        <v>0</v>
      </c>
      <c r="H6" s="106">
        <v>0</v>
      </c>
      <c r="I6" s="106">
        <v>0</v>
      </c>
      <c r="J6" s="106">
        <v>0</v>
      </c>
      <c r="K6" s="106">
        <v>0</v>
      </c>
      <c r="L6" s="106">
        <v>0</v>
      </c>
      <c r="M6" s="44"/>
      <c r="N6" s="41" t="s">
        <v>760</v>
      </c>
      <c r="O6" s="106"/>
      <c r="P6" s="106"/>
    </row>
    <row r="7" spans="1:18">
      <c r="A7" s="41" t="s">
        <v>499</v>
      </c>
      <c r="B7" s="41" t="s">
        <v>763</v>
      </c>
      <c r="C7" s="41" t="s">
        <v>759</v>
      </c>
      <c r="D7" s="41" t="s">
        <v>759</v>
      </c>
      <c r="E7" s="44">
        <v>0</v>
      </c>
      <c r="F7" s="104">
        <v>0</v>
      </c>
      <c r="G7" s="106">
        <v>0</v>
      </c>
      <c r="H7" s="106">
        <v>0</v>
      </c>
      <c r="I7" s="106">
        <v>0</v>
      </c>
      <c r="J7" s="106">
        <v>0</v>
      </c>
      <c r="K7" s="106">
        <v>0</v>
      </c>
      <c r="L7" s="106">
        <v>0</v>
      </c>
      <c r="M7" s="44"/>
      <c r="N7" s="41" t="s">
        <v>760</v>
      </c>
      <c r="O7" s="106"/>
      <c r="P7" s="106"/>
    </row>
    <row r="8" spans="1:18">
      <c r="A8" s="41" t="s">
        <v>764</v>
      </c>
      <c r="B8" s="41" t="s">
        <v>758</v>
      </c>
      <c r="C8" s="41" t="s">
        <v>759</v>
      </c>
      <c r="D8" s="41" t="s">
        <v>759</v>
      </c>
      <c r="E8" s="44">
        <v>0</v>
      </c>
      <c r="F8" s="104">
        <v>0</v>
      </c>
      <c r="G8" s="106">
        <v>0</v>
      </c>
      <c r="H8" s="106">
        <v>0</v>
      </c>
      <c r="I8" s="106">
        <v>0</v>
      </c>
      <c r="J8" s="106">
        <v>0</v>
      </c>
      <c r="K8" s="106">
        <v>0</v>
      </c>
      <c r="L8" s="106">
        <v>0</v>
      </c>
      <c r="M8" s="44"/>
      <c r="N8" s="41" t="s">
        <v>760</v>
      </c>
      <c r="O8" s="106"/>
      <c r="P8" s="106"/>
    </row>
    <row r="9" spans="1:18">
      <c r="A9" s="41" t="s">
        <v>765</v>
      </c>
      <c r="B9" s="41" t="s">
        <v>758</v>
      </c>
      <c r="C9" s="41" t="s">
        <v>759</v>
      </c>
      <c r="D9" s="41" t="s">
        <v>759</v>
      </c>
      <c r="E9" s="44">
        <v>0</v>
      </c>
      <c r="F9" s="104">
        <v>0</v>
      </c>
      <c r="G9" s="106">
        <v>0</v>
      </c>
      <c r="H9" s="106">
        <v>0</v>
      </c>
      <c r="I9" s="106">
        <v>0</v>
      </c>
      <c r="J9" s="106">
        <v>0</v>
      </c>
      <c r="K9" s="106">
        <v>0</v>
      </c>
      <c r="L9" s="106">
        <v>0</v>
      </c>
      <c r="M9" s="44"/>
      <c r="N9" s="41" t="s">
        <v>760</v>
      </c>
      <c r="O9" s="106"/>
      <c r="P9" s="106"/>
    </row>
    <row r="10" spans="1:18">
      <c r="A10" s="41" t="s">
        <v>55</v>
      </c>
      <c r="B10" s="41" t="s">
        <v>761</v>
      </c>
      <c r="C10" s="41" t="s">
        <v>759</v>
      </c>
      <c r="D10" s="41" t="s">
        <v>759</v>
      </c>
      <c r="E10" s="44">
        <v>1.4999999999999999E-2</v>
      </c>
      <c r="F10" s="104">
        <v>0</v>
      </c>
      <c r="G10" s="106">
        <v>0</v>
      </c>
      <c r="H10" s="106">
        <v>0</v>
      </c>
      <c r="I10" s="106">
        <v>0</v>
      </c>
      <c r="J10" s="106">
        <v>0</v>
      </c>
      <c r="K10" s="106">
        <v>0</v>
      </c>
      <c r="L10" s="106">
        <v>0</v>
      </c>
      <c r="M10" s="44"/>
      <c r="N10" s="41" t="s">
        <v>760</v>
      </c>
      <c r="O10" s="106"/>
      <c r="P10" s="106"/>
    </row>
    <row r="11" spans="1:18">
      <c r="A11" s="41" t="s">
        <v>27</v>
      </c>
      <c r="B11" s="41" t="s">
        <v>93</v>
      </c>
      <c r="C11" s="41" t="s">
        <v>759</v>
      </c>
      <c r="D11" s="41" t="s">
        <v>759</v>
      </c>
      <c r="E11" s="44">
        <v>0</v>
      </c>
      <c r="F11" s="104">
        <v>0</v>
      </c>
      <c r="G11" s="106">
        <v>0</v>
      </c>
      <c r="H11" s="106">
        <v>0</v>
      </c>
      <c r="I11" s="106">
        <v>0</v>
      </c>
      <c r="J11" s="106">
        <v>0</v>
      </c>
      <c r="K11" s="106">
        <v>0</v>
      </c>
      <c r="L11" s="106">
        <v>0</v>
      </c>
      <c r="M11" s="44"/>
      <c r="N11" s="41" t="s">
        <v>760</v>
      </c>
      <c r="O11" s="106"/>
      <c r="P11" s="106"/>
    </row>
    <row r="12" spans="1:18">
      <c r="A12" s="41" t="s">
        <v>31</v>
      </c>
      <c r="B12" s="41" t="s">
        <v>761</v>
      </c>
      <c r="C12" s="41" t="s">
        <v>759</v>
      </c>
      <c r="D12" s="41" t="s">
        <v>759</v>
      </c>
      <c r="E12" s="44">
        <v>0</v>
      </c>
      <c r="F12" s="104">
        <v>0</v>
      </c>
      <c r="G12" s="106">
        <v>0</v>
      </c>
      <c r="H12" s="106">
        <v>0</v>
      </c>
      <c r="I12" s="106">
        <v>0</v>
      </c>
      <c r="J12" s="106">
        <v>0</v>
      </c>
      <c r="K12" s="106">
        <v>0</v>
      </c>
      <c r="L12" s="106">
        <v>0</v>
      </c>
      <c r="M12" s="44"/>
      <c r="N12" s="41" t="s">
        <v>760</v>
      </c>
      <c r="O12" s="106"/>
      <c r="P12" s="106"/>
    </row>
    <row r="13" spans="1:18">
      <c r="A13" s="41" t="s">
        <v>43</v>
      </c>
      <c r="B13" s="41" t="s">
        <v>761</v>
      </c>
      <c r="C13" s="41" t="s">
        <v>759</v>
      </c>
      <c r="D13" s="41" t="s">
        <v>759</v>
      </c>
      <c r="E13" s="44">
        <v>0</v>
      </c>
      <c r="F13" s="104">
        <v>0</v>
      </c>
      <c r="G13" s="106">
        <v>0</v>
      </c>
      <c r="H13" s="106">
        <v>0</v>
      </c>
      <c r="I13" s="106">
        <v>0</v>
      </c>
      <c r="J13" s="106">
        <v>0</v>
      </c>
      <c r="K13" s="106">
        <v>0</v>
      </c>
      <c r="L13" s="106">
        <v>0</v>
      </c>
      <c r="M13" s="44"/>
      <c r="N13" s="41" t="s">
        <v>760</v>
      </c>
      <c r="O13" s="106"/>
      <c r="P13" s="106"/>
    </row>
    <row r="14" spans="1:18">
      <c r="A14" s="41" t="s">
        <v>52</v>
      </c>
      <c r="B14" s="41" t="s">
        <v>766</v>
      </c>
      <c r="C14" s="41" t="s">
        <v>759</v>
      </c>
      <c r="D14" s="41" t="s">
        <v>759</v>
      </c>
      <c r="E14" s="44">
        <v>0</v>
      </c>
      <c r="F14" s="104">
        <v>0</v>
      </c>
      <c r="G14" s="106">
        <v>0</v>
      </c>
      <c r="H14" s="106">
        <v>0</v>
      </c>
      <c r="I14" s="106">
        <v>0</v>
      </c>
      <c r="J14" s="106">
        <v>0</v>
      </c>
      <c r="K14" s="106">
        <v>0</v>
      </c>
      <c r="L14" s="106">
        <v>0</v>
      </c>
      <c r="M14" s="44"/>
      <c r="N14" s="41" t="s">
        <v>760</v>
      </c>
      <c r="O14" s="106"/>
      <c r="P14" s="106"/>
    </row>
    <row r="15" spans="1:18">
      <c r="A15" s="41" t="s">
        <v>99</v>
      </c>
      <c r="B15" s="41" t="s">
        <v>762</v>
      </c>
      <c r="C15" s="41" t="s">
        <v>759</v>
      </c>
      <c r="D15" s="41" t="s">
        <v>759</v>
      </c>
      <c r="E15" s="44">
        <v>0</v>
      </c>
      <c r="F15" s="104">
        <v>0</v>
      </c>
      <c r="G15" s="106">
        <v>0</v>
      </c>
      <c r="H15" s="106">
        <v>0</v>
      </c>
      <c r="I15" s="106">
        <v>0</v>
      </c>
      <c r="J15" s="106">
        <v>0</v>
      </c>
      <c r="K15" s="106">
        <v>0</v>
      </c>
      <c r="L15" s="106">
        <v>0</v>
      </c>
      <c r="M15" s="44"/>
      <c r="N15" s="41" t="s">
        <v>760</v>
      </c>
      <c r="O15" s="106"/>
      <c r="P15" s="106"/>
    </row>
    <row r="16" spans="1:18">
      <c r="A16" s="41" t="s">
        <v>44</v>
      </c>
      <c r="B16" s="41" t="s">
        <v>762</v>
      </c>
      <c r="C16" s="41" t="s">
        <v>759</v>
      </c>
      <c r="D16" s="41" t="s">
        <v>759</v>
      </c>
      <c r="E16" s="44">
        <v>0</v>
      </c>
      <c r="F16" s="104">
        <v>0</v>
      </c>
      <c r="G16" s="106">
        <v>0</v>
      </c>
      <c r="H16" s="106">
        <v>0</v>
      </c>
      <c r="I16" s="106">
        <v>0</v>
      </c>
      <c r="J16" s="106">
        <v>0</v>
      </c>
      <c r="K16" s="106">
        <v>0</v>
      </c>
      <c r="L16" s="106">
        <v>0</v>
      </c>
      <c r="M16" s="44"/>
      <c r="N16" s="41" t="s">
        <v>760</v>
      </c>
      <c r="O16" s="106"/>
      <c r="P16" s="106"/>
    </row>
    <row r="17" spans="1:16">
      <c r="A17" s="41" t="s">
        <v>45</v>
      </c>
      <c r="B17" s="41" t="s">
        <v>767</v>
      </c>
      <c r="C17" s="41" t="s">
        <v>759</v>
      </c>
      <c r="D17" s="41" t="s">
        <v>759</v>
      </c>
      <c r="E17" s="44">
        <v>0</v>
      </c>
      <c r="F17" s="104">
        <v>0</v>
      </c>
      <c r="G17" s="106">
        <v>0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44"/>
      <c r="N17" s="41" t="s">
        <v>760</v>
      </c>
      <c r="O17" s="106"/>
      <c r="P17" s="106"/>
    </row>
    <row r="18" spans="1:16">
      <c r="A18" s="41" t="s">
        <v>420</v>
      </c>
      <c r="B18" s="41" t="s">
        <v>761</v>
      </c>
      <c r="C18" s="41" t="s">
        <v>759</v>
      </c>
      <c r="D18" s="41" t="s">
        <v>759</v>
      </c>
      <c r="E18" s="44">
        <v>0</v>
      </c>
      <c r="F18" s="104">
        <v>0</v>
      </c>
      <c r="G18" s="106">
        <v>0</v>
      </c>
      <c r="H18" s="106">
        <v>0</v>
      </c>
      <c r="I18" s="106">
        <v>0</v>
      </c>
      <c r="J18" s="106">
        <v>0</v>
      </c>
      <c r="K18" s="106">
        <v>0</v>
      </c>
      <c r="L18" s="106">
        <v>0</v>
      </c>
      <c r="M18" s="44"/>
      <c r="N18" s="41" t="s">
        <v>760</v>
      </c>
      <c r="O18" s="106"/>
      <c r="P18" s="106"/>
    </row>
    <row r="19" spans="1:16">
      <c r="A19" s="41" t="s">
        <v>100</v>
      </c>
      <c r="B19" s="41" t="s">
        <v>768</v>
      </c>
      <c r="C19" s="41" t="s">
        <v>759</v>
      </c>
      <c r="D19" s="41" t="s">
        <v>759</v>
      </c>
      <c r="E19" s="44">
        <v>0</v>
      </c>
      <c r="F19" s="104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44"/>
      <c r="N19" s="41" t="s">
        <v>760</v>
      </c>
      <c r="O19" s="106"/>
      <c r="P19" s="106"/>
    </row>
    <row r="20" spans="1:16">
      <c r="A20" s="41" t="s">
        <v>769</v>
      </c>
      <c r="B20" s="41" t="s">
        <v>761</v>
      </c>
      <c r="C20" s="41" t="s">
        <v>759</v>
      </c>
      <c r="D20" s="41" t="s">
        <v>759</v>
      </c>
      <c r="E20" s="44">
        <v>0</v>
      </c>
      <c r="F20" s="104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44"/>
      <c r="N20" s="41" t="s">
        <v>760</v>
      </c>
      <c r="O20" s="106"/>
      <c r="P20" s="106"/>
    </row>
    <row r="21" spans="1:16">
      <c r="A21" s="41" t="s">
        <v>770</v>
      </c>
      <c r="B21" s="41" t="s">
        <v>761</v>
      </c>
      <c r="C21" s="41" t="s">
        <v>759</v>
      </c>
      <c r="D21" s="41" t="s">
        <v>759</v>
      </c>
      <c r="E21" s="44">
        <v>0</v>
      </c>
      <c r="F21" s="104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44"/>
      <c r="N21" s="41" t="s">
        <v>760</v>
      </c>
      <c r="O21" s="106"/>
      <c r="P21" s="106"/>
    </row>
    <row r="22" spans="1:16">
      <c r="A22" s="41" t="s">
        <v>25</v>
      </c>
      <c r="B22" s="41" t="s">
        <v>758</v>
      </c>
      <c r="C22" s="41" t="s">
        <v>4</v>
      </c>
      <c r="D22" s="41" t="s">
        <v>771</v>
      </c>
      <c r="E22" s="44">
        <v>0</v>
      </c>
      <c r="F22" s="104">
        <v>0</v>
      </c>
      <c r="G22" s="106">
        <v>0</v>
      </c>
      <c r="H22" s="106">
        <v>0</v>
      </c>
      <c r="I22" s="106">
        <v>0</v>
      </c>
      <c r="J22" s="106">
        <v>0</v>
      </c>
      <c r="K22" s="106">
        <v>0</v>
      </c>
      <c r="L22" s="106">
        <v>0</v>
      </c>
      <c r="M22" s="44"/>
      <c r="N22" s="41" t="s">
        <v>760</v>
      </c>
      <c r="O22" s="106"/>
      <c r="P22" s="106"/>
    </row>
    <row r="24" spans="1:16">
      <c r="A24" s="41" t="s">
        <v>476</v>
      </c>
      <c r="B24" s="41" t="s">
        <v>758</v>
      </c>
      <c r="C24" s="41" t="s">
        <v>772</v>
      </c>
      <c r="D24" s="41" t="s">
        <v>773</v>
      </c>
      <c r="E24" s="44">
        <v>0</v>
      </c>
      <c r="F24" s="104">
        <v>-7.0000000000000007E-2</v>
      </c>
      <c r="G24" s="106"/>
      <c r="J24" s="106">
        <v>-1.4999999999999999E-2</v>
      </c>
      <c r="L24" s="106"/>
      <c r="M24" s="44"/>
      <c r="N24" s="41" t="s">
        <v>760</v>
      </c>
      <c r="O24" s="106"/>
      <c r="P24" s="106"/>
    </row>
    <row r="25" spans="1:16">
      <c r="A25" s="41" t="s">
        <v>774</v>
      </c>
      <c r="B25" s="41" t="s">
        <v>758</v>
      </c>
      <c r="C25" s="41" t="s">
        <v>772</v>
      </c>
      <c r="D25" s="41" t="s">
        <v>773</v>
      </c>
      <c r="E25" s="44">
        <v>0</v>
      </c>
      <c r="F25" s="104">
        <v>-7.0000000000000007E-2</v>
      </c>
      <c r="G25" s="106"/>
      <c r="J25" s="106">
        <v>-1.4999999999999999E-2</v>
      </c>
      <c r="L25" s="106"/>
      <c r="M25" s="44"/>
      <c r="N25" s="41" t="s">
        <v>760</v>
      </c>
    </row>
    <row r="26" spans="1:16">
      <c r="A26" s="41" t="s">
        <v>775</v>
      </c>
      <c r="B26" s="41" t="s">
        <v>758</v>
      </c>
      <c r="C26" s="41" t="s">
        <v>772</v>
      </c>
      <c r="D26" s="41" t="s">
        <v>773</v>
      </c>
      <c r="E26" s="44">
        <v>0</v>
      </c>
      <c r="F26" s="104">
        <v>-7.0000000000000007E-2</v>
      </c>
      <c r="G26" s="106"/>
      <c r="J26" s="106">
        <v>-1.4999999999999999E-2</v>
      </c>
      <c r="L26" s="106"/>
      <c r="M26" s="44"/>
      <c r="N26" s="41" t="s">
        <v>760</v>
      </c>
    </row>
    <row r="27" spans="1:16">
      <c r="A27" s="41" t="s">
        <v>776</v>
      </c>
      <c r="B27" s="41" t="s">
        <v>758</v>
      </c>
      <c r="C27" s="41" t="s">
        <v>772</v>
      </c>
      <c r="D27" s="41" t="s">
        <v>773</v>
      </c>
      <c r="E27" s="44">
        <v>0</v>
      </c>
      <c r="F27" s="104">
        <v>-7.0000000000000007E-2</v>
      </c>
      <c r="G27" s="106"/>
      <c r="J27" s="106">
        <v>-1.4999999999999999E-2</v>
      </c>
      <c r="L27" s="106"/>
      <c r="M27" s="44"/>
      <c r="N27" s="41" t="s">
        <v>760</v>
      </c>
    </row>
    <row r="28" spans="1:16">
      <c r="A28" s="41" t="s">
        <v>777</v>
      </c>
      <c r="B28" s="41" t="s">
        <v>758</v>
      </c>
      <c r="C28" s="41" t="s">
        <v>772</v>
      </c>
      <c r="D28" s="41" t="s">
        <v>773</v>
      </c>
      <c r="E28" s="44">
        <v>0</v>
      </c>
      <c r="F28" s="104">
        <v>-7.0000000000000007E-2</v>
      </c>
      <c r="G28" s="106"/>
      <c r="J28" s="106">
        <v>-1.4999999999999999E-2</v>
      </c>
      <c r="L28" s="106"/>
      <c r="M28" s="44"/>
      <c r="N28" s="41" t="s">
        <v>760</v>
      </c>
    </row>
    <row r="29" spans="1:16">
      <c r="A29" s="41" t="s">
        <v>778</v>
      </c>
      <c r="B29" s="41" t="s">
        <v>758</v>
      </c>
      <c r="C29" s="41" t="s">
        <v>772</v>
      </c>
      <c r="D29" s="41" t="s">
        <v>773</v>
      </c>
      <c r="E29" s="44">
        <v>0</v>
      </c>
      <c r="F29" s="104">
        <v>-7.0000000000000007E-2</v>
      </c>
      <c r="G29" s="106"/>
      <c r="J29" s="106">
        <v>-1.4999999999999999E-2</v>
      </c>
      <c r="L29" s="106"/>
      <c r="M29" s="44"/>
      <c r="N29" s="41" t="s">
        <v>760</v>
      </c>
    </row>
    <row r="30" spans="1:16">
      <c r="A30" s="41" t="s">
        <v>779</v>
      </c>
      <c r="B30" s="41" t="s">
        <v>758</v>
      </c>
      <c r="C30" s="41" t="s">
        <v>772</v>
      </c>
      <c r="D30" s="41" t="s">
        <v>773</v>
      </c>
      <c r="E30" s="44">
        <v>0</v>
      </c>
      <c r="F30" s="104">
        <v>-7.0000000000000007E-2</v>
      </c>
      <c r="G30" s="106"/>
      <c r="J30" s="106">
        <v>-1.4999999999999999E-2</v>
      </c>
      <c r="L30" s="106"/>
      <c r="M30" s="44"/>
      <c r="N30" s="41" t="s">
        <v>760</v>
      </c>
    </row>
    <row r="31" spans="1:16">
      <c r="A31" s="41" t="s">
        <v>549</v>
      </c>
      <c r="B31" s="41" t="s">
        <v>758</v>
      </c>
      <c r="C31" s="41" t="s">
        <v>772</v>
      </c>
      <c r="D31" s="41" t="s">
        <v>773</v>
      </c>
      <c r="E31" s="44">
        <v>0</v>
      </c>
      <c r="F31" s="104">
        <v>-7.0000000000000007E-2</v>
      </c>
      <c r="G31" s="106"/>
      <c r="J31" s="106">
        <v>-1.4999999999999999E-2</v>
      </c>
      <c r="L31" s="106"/>
      <c r="M31" s="44"/>
      <c r="N31" s="41" t="s">
        <v>760</v>
      </c>
    </row>
    <row r="32" spans="1:16">
      <c r="A32" s="41" t="s">
        <v>534</v>
      </c>
      <c r="B32" s="41" t="s">
        <v>761</v>
      </c>
      <c r="C32" s="41" t="s">
        <v>772</v>
      </c>
      <c r="D32" s="41" t="s">
        <v>773</v>
      </c>
      <c r="E32" s="44">
        <v>0</v>
      </c>
      <c r="G32" s="106"/>
      <c r="L32" s="106"/>
      <c r="M32" s="44"/>
      <c r="N32" s="41" t="s">
        <v>760</v>
      </c>
    </row>
    <row r="33" spans="1:16">
      <c r="A33" s="41" t="s">
        <v>780</v>
      </c>
      <c r="B33" s="41" t="s">
        <v>762</v>
      </c>
      <c r="C33" s="41" t="s">
        <v>772</v>
      </c>
      <c r="D33" s="41" t="s">
        <v>781</v>
      </c>
      <c r="E33" s="44">
        <v>0</v>
      </c>
      <c r="G33" s="106"/>
      <c r="L33" s="106"/>
      <c r="M33" s="44"/>
      <c r="N33" s="41" t="s">
        <v>760</v>
      </c>
      <c r="O33" s="41" t="s">
        <v>782</v>
      </c>
    </row>
    <row r="34" spans="1:16">
      <c r="A34" s="41" t="s">
        <v>392</v>
      </c>
      <c r="B34" s="41" t="s">
        <v>762</v>
      </c>
      <c r="C34" s="41" t="s">
        <v>772</v>
      </c>
      <c r="D34" s="41" t="s">
        <v>781</v>
      </c>
      <c r="E34" s="44">
        <v>0</v>
      </c>
      <c r="G34" s="106"/>
      <c r="L34" s="106"/>
      <c r="M34" s="44"/>
      <c r="N34" s="41" t="s">
        <v>760</v>
      </c>
      <c r="O34" s="41" t="s">
        <v>782</v>
      </c>
    </row>
    <row r="35" spans="1:16">
      <c r="A35" s="41" t="s">
        <v>390</v>
      </c>
      <c r="B35" s="41" t="s">
        <v>758</v>
      </c>
      <c r="C35" s="41" t="s">
        <v>772</v>
      </c>
      <c r="D35" s="41" t="s">
        <v>781</v>
      </c>
      <c r="E35" s="44">
        <v>0</v>
      </c>
      <c r="G35" s="106"/>
      <c r="L35" s="106"/>
      <c r="M35" s="44"/>
      <c r="N35" s="41" t="s">
        <v>760</v>
      </c>
      <c r="O35" s="41" t="s">
        <v>782</v>
      </c>
    </row>
    <row r="37" spans="1:16">
      <c r="A37" s="41" t="s">
        <v>384</v>
      </c>
      <c r="B37" s="41" t="s">
        <v>783</v>
      </c>
      <c r="C37" s="41" t="s">
        <v>784</v>
      </c>
      <c r="D37" s="41" t="s">
        <v>384</v>
      </c>
      <c r="E37" s="44">
        <v>0</v>
      </c>
      <c r="G37" s="106"/>
      <c r="L37" s="106"/>
      <c r="M37" s="44"/>
      <c r="N37" s="41"/>
      <c r="O37" s="41"/>
    </row>
    <row r="38" spans="1:16">
      <c r="A38" s="41" t="s">
        <v>410</v>
      </c>
      <c r="B38" s="41" t="s">
        <v>785</v>
      </c>
      <c r="C38" s="41" t="s">
        <v>784</v>
      </c>
      <c r="D38" s="41" t="s">
        <v>410</v>
      </c>
      <c r="E38" s="44">
        <v>0</v>
      </c>
      <c r="G38" s="106"/>
      <c r="L38" s="106"/>
      <c r="M38" s="44"/>
      <c r="N38" s="41"/>
      <c r="O38" s="41"/>
    </row>
    <row r="39" spans="1:16">
      <c r="A39" s="41" t="s">
        <v>786</v>
      </c>
      <c r="B39" s="41" t="s">
        <v>761</v>
      </c>
      <c r="C39" s="41" t="s">
        <v>784</v>
      </c>
      <c r="D39" s="41" t="s">
        <v>786</v>
      </c>
      <c r="E39" s="44">
        <v>0</v>
      </c>
      <c r="F39" s="104">
        <v>0</v>
      </c>
      <c r="G39" s="106">
        <v>0</v>
      </c>
      <c r="H39" s="106">
        <v>0</v>
      </c>
      <c r="I39" s="106">
        <v>0</v>
      </c>
      <c r="J39" s="106">
        <v>0</v>
      </c>
      <c r="K39" s="106">
        <v>0</v>
      </c>
      <c r="L39" s="106">
        <v>0</v>
      </c>
      <c r="M39" s="44"/>
      <c r="N39" s="41" t="s">
        <v>787</v>
      </c>
      <c r="O39" s="106"/>
      <c r="P39" s="106"/>
    </row>
    <row r="40" spans="1:16">
      <c r="A40" s="41" t="s">
        <v>485</v>
      </c>
      <c r="B40" s="41" t="s">
        <v>788</v>
      </c>
      <c r="C40" s="41" t="s">
        <v>784</v>
      </c>
      <c r="D40" s="41" t="s">
        <v>485</v>
      </c>
      <c r="E40" s="44">
        <v>0</v>
      </c>
      <c r="F40" s="104">
        <v>0</v>
      </c>
      <c r="G40" s="106">
        <v>0</v>
      </c>
      <c r="H40" s="106">
        <v>0</v>
      </c>
      <c r="I40" s="106">
        <v>0</v>
      </c>
      <c r="J40" s="106">
        <v>0</v>
      </c>
      <c r="K40" s="106">
        <v>0</v>
      </c>
      <c r="L40" s="106">
        <v>0</v>
      </c>
      <c r="M40" s="44"/>
      <c r="N40" s="41" t="s">
        <v>787</v>
      </c>
      <c r="O40" s="106"/>
      <c r="P40" s="106"/>
    </row>
    <row r="41" spans="1:16">
      <c r="A41" s="41"/>
      <c r="B41" s="41"/>
      <c r="C41" s="41"/>
      <c r="D41" s="41"/>
      <c r="E41" s="44"/>
      <c r="G41" s="106"/>
      <c r="L41" s="106"/>
      <c r="M41" s="44"/>
      <c r="N41" s="41"/>
      <c r="O41" s="41"/>
    </row>
    <row r="42" spans="1:16">
      <c r="A42" s="7" t="s">
        <v>487</v>
      </c>
      <c r="B42" s="7" t="s">
        <v>758</v>
      </c>
      <c r="C42" s="7" t="s">
        <v>784</v>
      </c>
      <c r="D42" s="7" t="s">
        <v>789</v>
      </c>
      <c r="N42" s="41" t="s">
        <v>787</v>
      </c>
      <c r="O42" s="41" t="s">
        <v>790</v>
      </c>
      <c r="P42" s="41" t="s">
        <v>756</v>
      </c>
    </row>
    <row r="43" spans="1:16">
      <c r="A43" s="41"/>
      <c r="B43" s="41"/>
      <c r="C43" s="41"/>
      <c r="D43" s="41"/>
      <c r="E43" s="44"/>
      <c r="G43" s="106"/>
      <c r="L43" s="106"/>
      <c r="M43" s="44"/>
      <c r="N43" s="41"/>
      <c r="O43" s="41"/>
    </row>
    <row r="44" spans="1:16">
      <c r="A44" s="41" t="s">
        <v>103</v>
      </c>
      <c r="B44" s="41" t="s">
        <v>762</v>
      </c>
      <c r="C44" s="41" t="s">
        <v>102</v>
      </c>
      <c r="D44" s="41" t="s">
        <v>420</v>
      </c>
      <c r="E44" s="44">
        <v>0</v>
      </c>
      <c r="F44" s="104">
        <v>0</v>
      </c>
      <c r="G44" s="106">
        <v>0</v>
      </c>
      <c r="H44" s="106">
        <v>0</v>
      </c>
      <c r="I44" s="106">
        <v>0</v>
      </c>
      <c r="J44" s="106">
        <v>0</v>
      </c>
      <c r="K44" s="106">
        <v>0</v>
      </c>
      <c r="L44" s="106">
        <v>0</v>
      </c>
      <c r="M44" s="44"/>
      <c r="N44" s="41" t="s">
        <v>787</v>
      </c>
      <c r="O44" s="106"/>
      <c r="P44" s="106"/>
    </row>
    <row r="45" spans="1:16">
      <c r="A45" s="41" t="s">
        <v>104</v>
      </c>
      <c r="B45" s="41" t="s">
        <v>762</v>
      </c>
      <c r="C45" s="41" t="s">
        <v>102</v>
      </c>
      <c r="D45" s="41" t="s">
        <v>420</v>
      </c>
      <c r="E45" s="44">
        <v>0</v>
      </c>
      <c r="F45" s="104">
        <v>0</v>
      </c>
      <c r="G45" s="106">
        <v>0</v>
      </c>
      <c r="H45" s="106">
        <v>0</v>
      </c>
      <c r="I45" s="106">
        <v>0</v>
      </c>
      <c r="J45" s="106">
        <v>0</v>
      </c>
      <c r="K45" s="106">
        <v>0</v>
      </c>
      <c r="L45" s="106">
        <v>0</v>
      </c>
      <c r="M45" s="44"/>
      <c r="N45" s="41" t="s">
        <v>787</v>
      </c>
      <c r="O45" s="106"/>
      <c r="P45" s="106"/>
    </row>
    <row r="46" spans="1:16">
      <c r="A46" s="41" t="s">
        <v>105</v>
      </c>
      <c r="B46" s="41" t="s">
        <v>762</v>
      </c>
      <c r="C46" s="41" t="s">
        <v>102</v>
      </c>
      <c r="D46" s="41" t="s">
        <v>420</v>
      </c>
      <c r="E46" s="44">
        <v>0</v>
      </c>
      <c r="F46" s="104">
        <v>0</v>
      </c>
      <c r="G46" s="106">
        <v>0</v>
      </c>
      <c r="H46" s="106">
        <v>0</v>
      </c>
      <c r="I46" s="106">
        <v>0</v>
      </c>
      <c r="J46" s="106">
        <v>0</v>
      </c>
      <c r="K46" s="106">
        <v>0</v>
      </c>
      <c r="L46" s="106">
        <v>0</v>
      </c>
      <c r="M46" s="44"/>
      <c r="N46" s="41" t="s">
        <v>787</v>
      </c>
      <c r="O46" s="106"/>
      <c r="P46" s="106"/>
    </row>
    <row r="47" spans="1:16">
      <c r="A47" s="41" t="s">
        <v>106</v>
      </c>
      <c r="B47" s="41" t="s">
        <v>791</v>
      </c>
      <c r="C47" s="41" t="s">
        <v>102</v>
      </c>
      <c r="D47" s="41" t="s">
        <v>420</v>
      </c>
      <c r="E47" s="44">
        <v>0</v>
      </c>
      <c r="F47" s="104">
        <v>0</v>
      </c>
      <c r="G47" s="106">
        <v>0</v>
      </c>
      <c r="H47" s="106">
        <v>0</v>
      </c>
      <c r="I47" s="106">
        <v>0</v>
      </c>
      <c r="J47" s="106">
        <v>0</v>
      </c>
      <c r="K47" s="106">
        <v>0</v>
      </c>
      <c r="L47" s="106">
        <v>0</v>
      </c>
      <c r="M47" s="44"/>
      <c r="N47" s="41" t="s">
        <v>787</v>
      </c>
      <c r="O47" s="106"/>
      <c r="P47" s="106"/>
    </row>
    <row r="49" spans="1:18">
      <c r="A49" s="41" t="s">
        <v>792</v>
      </c>
      <c r="B49" s="41" t="s">
        <v>762</v>
      </c>
      <c r="C49" s="41" t="s">
        <v>382</v>
      </c>
      <c r="D49" s="194" t="s">
        <v>793</v>
      </c>
      <c r="E49" s="44">
        <v>0</v>
      </c>
      <c r="G49" s="106">
        <v>-9.4999999999999998E-3</v>
      </c>
      <c r="H49" s="106">
        <v>0</v>
      </c>
      <c r="M49" s="44"/>
      <c r="N49" s="41" t="s">
        <v>760</v>
      </c>
      <c r="O49" s="41" t="s">
        <v>782</v>
      </c>
      <c r="P49" s="41" t="s">
        <v>794</v>
      </c>
    </row>
    <row r="50" spans="1:18">
      <c r="A50" s="41" t="s">
        <v>795</v>
      </c>
      <c r="B50" s="41" t="s">
        <v>761</v>
      </c>
      <c r="C50" s="41" t="s">
        <v>796</v>
      </c>
      <c r="D50" s="194" t="s">
        <v>793</v>
      </c>
      <c r="E50" s="44">
        <v>0</v>
      </c>
      <c r="G50" s="106">
        <v>-9.4999999999999998E-3</v>
      </c>
      <c r="M50" s="44"/>
      <c r="N50" s="41" t="s">
        <v>760</v>
      </c>
      <c r="O50" s="41" t="s">
        <v>782</v>
      </c>
      <c r="P50" s="41" t="s">
        <v>794</v>
      </c>
    </row>
    <row r="51" spans="1:18">
      <c r="A51" s="41" t="s">
        <v>797</v>
      </c>
      <c r="B51" s="41" t="s">
        <v>758</v>
      </c>
      <c r="C51" s="41" t="s">
        <v>796</v>
      </c>
      <c r="D51" s="194" t="s">
        <v>793</v>
      </c>
      <c r="E51" s="44">
        <v>8.0000000000000002E-3</v>
      </c>
      <c r="F51" s="104">
        <v>0.2</v>
      </c>
      <c r="G51" s="106"/>
      <c r="M51" s="44"/>
      <c r="N51" s="41" t="s">
        <v>760</v>
      </c>
      <c r="O51" s="41" t="s">
        <v>782</v>
      </c>
      <c r="P51" s="41" t="s">
        <v>794</v>
      </c>
    </row>
    <row r="52" spans="1:18">
      <c r="A52" s="41" t="s">
        <v>798</v>
      </c>
      <c r="B52" s="41" t="s">
        <v>761</v>
      </c>
      <c r="C52" s="41" t="s">
        <v>382</v>
      </c>
      <c r="D52" s="194" t="s">
        <v>799</v>
      </c>
      <c r="E52" s="43">
        <v>0</v>
      </c>
      <c r="F52" s="104">
        <v>0.15</v>
      </c>
      <c r="G52" s="106">
        <v>-1.2500000000000001E-2</v>
      </c>
      <c r="M52" s="44"/>
      <c r="N52" s="41" t="s">
        <v>787</v>
      </c>
      <c r="O52" s="41" t="s">
        <v>800</v>
      </c>
      <c r="P52" s="41" t="s">
        <v>794</v>
      </c>
      <c r="Q52" s="233" t="s">
        <v>801</v>
      </c>
      <c r="R52" s="233">
        <v>3.5000000000000001E-3</v>
      </c>
    </row>
    <row r="53" spans="1:18">
      <c r="A53" s="41" t="s">
        <v>802</v>
      </c>
      <c r="B53" s="41" t="s">
        <v>803</v>
      </c>
      <c r="C53" s="41" t="s">
        <v>382</v>
      </c>
      <c r="D53" s="194" t="s">
        <v>799</v>
      </c>
      <c r="E53" s="43">
        <v>0</v>
      </c>
      <c r="F53" s="104">
        <v>0.15</v>
      </c>
      <c r="G53" s="106">
        <v>-1.2500000000000001E-2</v>
      </c>
      <c r="I53" s="106">
        <v>4.0000000000000001E-3</v>
      </c>
      <c r="M53" s="44"/>
      <c r="N53" s="41" t="s">
        <v>787</v>
      </c>
      <c r="O53" s="41" t="s">
        <v>800</v>
      </c>
      <c r="P53" s="41" t="s">
        <v>794</v>
      </c>
      <c r="Q53" s="233"/>
      <c r="R53" s="233"/>
    </row>
    <row r="54" spans="1:18">
      <c r="A54" s="41" t="s">
        <v>804</v>
      </c>
      <c r="B54" s="41" t="s">
        <v>761</v>
      </c>
      <c r="C54" s="41" t="s">
        <v>796</v>
      </c>
      <c r="D54" s="194" t="s">
        <v>799</v>
      </c>
      <c r="E54" s="43">
        <v>2.5000000000000001E-2</v>
      </c>
      <c r="F54" s="104">
        <v>0.15</v>
      </c>
      <c r="G54" s="106">
        <v>-1.2500000000000001E-2</v>
      </c>
      <c r="M54" s="44"/>
      <c r="N54" s="41" t="s">
        <v>787</v>
      </c>
      <c r="O54" s="41" t="s">
        <v>800</v>
      </c>
      <c r="P54" s="41" t="s">
        <v>794</v>
      </c>
      <c r="Q54" s="233"/>
      <c r="R54" s="233"/>
    </row>
    <row r="55" spans="1:18">
      <c r="A55" s="7" t="s">
        <v>805</v>
      </c>
      <c r="B55" s="7" t="s">
        <v>761</v>
      </c>
      <c r="C55" s="7" t="s">
        <v>796</v>
      </c>
      <c r="D55" s="194" t="s">
        <v>799</v>
      </c>
      <c r="E55" s="43">
        <v>2.5000000000000001E-2</v>
      </c>
      <c r="F55" s="104">
        <v>0.15</v>
      </c>
      <c r="G55" s="106"/>
      <c r="I55" s="106">
        <v>4.0000000000000001E-3</v>
      </c>
      <c r="M55" s="87"/>
      <c r="N55" s="41" t="s">
        <v>787</v>
      </c>
      <c r="O55" s="41" t="s">
        <v>800</v>
      </c>
      <c r="P55" s="41" t="s">
        <v>794</v>
      </c>
    </row>
    <row r="56" spans="1:18">
      <c r="A56" s="7" t="s">
        <v>806</v>
      </c>
      <c r="B56" s="7" t="s">
        <v>758</v>
      </c>
      <c r="C56" s="7" t="s">
        <v>796</v>
      </c>
      <c r="D56" s="195" t="s">
        <v>806</v>
      </c>
      <c r="G56" s="106"/>
      <c r="M56" s="87"/>
      <c r="N56" s="41"/>
      <c r="O56" s="41" t="s">
        <v>800</v>
      </c>
      <c r="P56" s="41" t="s">
        <v>794</v>
      </c>
    </row>
    <row r="57" spans="1:18">
      <c r="A57" s="7" t="s">
        <v>807</v>
      </c>
      <c r="B57" s="7" t="s">
        <v>761</v>
      </c>
      <c r="C57" s="7" t="s">
        <v>382</v>
      </c>
      <c r="D57" s="195" t="s">
        <v>806</v>
      </c>
      <c r="G57" s="106"/>
      <c r="M57" s="87"/>
      <c r="N57" s="41"/>
      <c r="O57" s="41" t="s">
        <v>800</v>
      </c>
      <c r="P57" s="41" t="s">
        <v>794</v>
      </c>
    </row>
    <row r="58" spans="1:18">
      <c r="A58" s="41" t="s">
        <v>808</v>
      </c>
      <c r="B58" s="41" t="s">
        <v>761</v>
      </c>
      <c r="C58" s="41"/>
      <c r="D58" s="197" t="s">
        <v>808</v>
      </c>
      <c r="E58" s="43">
        <v>1.4999999999999999E-2</v>
      </c>
      <c r="F58" s="104">
        <v>0.1</v>
      </c>
      <c r="G58" s="106">
        <v>-2.5000000000000001E-3</v>
      </c>
      <c r="M58" s="44"/>
      <c r="N58" s="41" t="s">
        <v>760</v>
      </c>
      <c r="O58" s="41" t="s">
        <v>782</v>
      </c>
      <c r="P58" s="41" t="s">
        <v>756</v>
      </c>
    </row>
    <row r="59" spans="1:18">
      <c r="A59" s="41" t="s">
        <v>809</v>
      </c>
      <c r="B59" s="41" t="s">
        <v>761</v>
      </c>
      <c r="C59" s="41"/>
      <c r="D59" s="197" t="s">
        <v>808</v>
      </c>
      <c r="E59" s="43">
        <v>1.4999999999999999E-2</v>
      </c>
      <c r="F59" s="104">
        <v>0.1</v>
      </c>
      <c r="G59" s="106">
        <v>-2.5000000000000001E-3</v>
      </c>
      <c r="M59" s="44"/>
      <c r="N59" s="41" t="s">
        <v>760</v>
      </c>
      <c r="O59" s="41" t="s">
        <v>782</v>
      </c>
      <c r="P59" s="41" t="s">
        <v>756</v>
      </c>
    </row>
    <row r="60" spans="1:18">
      <c r="A60" s="7" t="s">
        <v>810</v>
      </c>
      <c r="B60" s="7" t="s">
        <v>761</v>
      </c>
      <c r="C60" s="7" t="s">
        <v>382</v>
      </c>
      <c r="D60" s="196" t="s">
        <v>811</v>
      </c>
      <c r="E60" s="43">
        <v>0</v>
      </c>
      <c r="F60" s="104">
        <v>0</v>
      </c>
      <c r="G60" s="106">
        <v>-2.5000000000000001E-3</v>
      </c>
      <c r="M60" s="43"/>
      <c r="N60" s="41" t="s">
        <v>760</v>
      </c>
      <c r="O60" s="41" t="s">
        <v>800</v>
      </c>
      <c r="P60" s="41" t="s">
        <v>794</v>
      </c>
      <c r="Q60" s="233" t="s">
        <v>801</v>
      </c>
      <c r="R60" s="233">
        <v>5.0000000000000001E-4</v>
      </c>
    </row>
    <row r="61" spans="1:18">
      <c r="A61" s="7" t="s">
        <v>812</v>
      </c>
      <c r="B61" s="7" t="s">
        <v>761</v>
      </c>
      <c r="C61" s="7" t="s">
        <v>382</v>
      </c>
      <c r="D61" s="196" t="s">
        <v>811</v>
      </c>
      <c r="E61" s="43">
        <v>0</v>
      </c>
      <c r="F61" s="104">
        <v>0</v>
      </c>
      <c r="G61" s="106">
        <v>-5.0000000000000001E-4</v>
      </c>
      <c r="M61" s="43"/>
      <c r="N61" s="41" t="s">
        <v>760</v>
      </c>
      <c r="O61" s="41" t="s">
        <v>800</v>
      </c>
      <c r="P61" s="41" t="s">
        <v>794</v>
      </c>
      <c r="Q61" s="233"/>
      <c r="R61" s="233"/>
    </row>
    <row r="62" spans="1:18">
      <c r="A62" s="7" t="s">
        <v>813</v>
      </c>
      <c r="B62" s="7" t="s">
        <v>761</v>
      </c>
      <c r="C62" s="7" t="s">
        <v>382</v>
      </c>
      <c r="D62" s="196" t="s">
        <v>811</v>
      </c>
      <c r="E62" s="43">
        <v>0</v>
      </c>
      <c r="F62" s="104">
        <v>0</v>
      </c>
      <c r="G62" s="106">
        <v>-5.0000000000000001E-4</v>
      </c>
      <c r="M62" s="43"/>
      <c r="N62" s="41"/>
      <c r="O62" s="41" t="s">
        <v>800</v>
      </c>
      <c r="P62" s="41" t="s">
        <v>794</v>
      </c>
    </row>
    <row r="63" spans="1:18">
      <c r="A63" s="7" t="s">
        <v>814</v>
      </c>
      <c r="B63" s="7" t="s">
        <v>761</v>
      </c>
      <c r="C63" s="7" t="s">
        <v>382</v>
      </c>
      <c r="D63" s="196" t="s">
        <v>811</v>
      </c>
      <c r="E63" s="43">
        <v>0</v>
      </c>
      <c r="F63" s="104">
        <v>0</v>
      </c>
      <c r="G63" s="106">
        <v>-5.0000000000000001E-4</v>
      </c>
      <c r="M63" s="43"/>
      <c r="N63" s="41" t="s">
        <v>760</v>
      </c>
      <c r="O63" s="41" t="s">
        <v>800</v>
      </c>
      <c r="P63" s="41" t="s">
        <v>794</v>
      </c>
    </row>
    <row r="64" spans="1:18">
      <c r="A64" s="7" t="s">
        <v>815</v>
      </c>
      <c r="B64" s="7" t="s">
        <v>761</v>
      </c>
      <c r="C64" s="7" t="s">
        <v>382</v>
      </c>
      <c r="D64" s="196" t="s">
        <v>811</v>
      </c>
      <c r="E64" s="43">
        <v>0</v>
      </c>
      <c r="F64" s="104">
        <v>0</v>
      </c>
      <c r="G64" s="106">
        <v>-5.0000000000000001E-4</v>
      </c>
      <c r="M64" s="43"/>
      <c r="N64" s="41" t="s">
        <v>760</v>
      </c>
      <c r="O64" s="41" t="s">
        <v>800</v>
      </c>
      <c r="P64" s="41" t="s">
        <v>794</v>
      </c>
    </row>
    <row r="65" spans="1:18">
      <c r="A65" s="7" t="s">
        <v>407</v>
      </c>
      <c r="B65" s="7" t="s">
        <v>761</v>
      </c>
      <c r="C65" s="7" t="s">
        <v>382</v>
      </c>
      <c r="D65" s="196" t="s">
        <v>811</v>
      </c>
      <c r="E65" s="43">
        <v>0</v>
      </c>
      <c r="F65" s="104">
        <v>0</v>
      </c>
      <c r="G65" s="106">
        <v>-5.0000000000000001E-4</v>
      </c>
      <c r="M65" s="43"/>
      <c r="N65" s="41" t="s">
        <v>760</v>
      </c>
      <c r="O65" s="41" t="s">
        <v>800</v>
      </c>
      <c r="P65" s="41" t="s">
        <v>794</v>
      </c>
    </row>
    <row r="66" spans="1:18">
      <c r="A66" s="7" t="s">
        <v>816</v>
      </c>
      <c r="B66" s="7" t="s">
        <v>758</v>
      </c>
      <c r="C66" s="7" t="s">
        <v>796</v>
      </c>
      <c r="D66" s="196" t="s">
        <v>811</v>
      </c>
      <c r="E66" s="43">
        <v>1.4999999999999999E-2</v>
      </c>
      <c r="F66" s="104">
        <v>0</v>
      </c>
      <c r="G66" s="106">
        <v>-5.0000000000000001E-4</v>
      </c>
      <c r="M66" s="43"/>
      <c r="N66" s="41" t="s">
        <v>760</v>
      </c>
      <c r="O66" s="41" t="s">
        <v>800</v>
      </c>
      <c r="P66" s="41" t="s">
        <v>794</v>
      </c>
    </row>
    <row r="67" spans="1:18">
      <c r="A67" s="7" t="s">
        <v>408</v>
      </c>
      <c r="B67" s="7" t="s">
        <v>761</v>
      </c>
      <c r="C67" s="7" t="s">
        <v>796</v>
      </c>
      <c r="D67" s="196" t="s">
        <v>811</v>
      </c>
      <c r="E67" s="43">
        <v>1.4999999999999999E-2</v>
      </c>
      <c r="F67" s="104">
        <v>0</v>
      </c>
      <c r="G67" s="106">
        <v>-5.0000000000000001E-4</v>
      </c>
      <c r="M67" s="43"/>
      <c r="N67" s="41" t="s">
        <v>760</v>
      </c>
      <c r="O67" s="41" t="s">
        <v>800</v>
      </c>
      <c r="P67" s="41" t="s">
        <v>794</v>
      </c>
    </row>
    <row r="68" spans="1:18">
      <c r="A68" s="7" t="s">
        <v>817</v>
      </c>
      <c r="B68" s="7" t="s">
        <v>762</v>
      </c>
      <c r="C68" s="7" t="s">
        <v>796</v>
      </c>
      <c r="D68" s="196" t="s">
        <v>818</v>
      </c>
      <c r="E68" s="44">
        <v>1.4999999999999999E-2</v>
      </c>
      <c r="F68" s="104">
        <v>0</v>
      </c>
      <c r="G68" s="106">
        <v>1.5E-3</v>
      </c>
      <c r="M68" s="87"/>
      <c r="N68" s="41" t="s">
        <v>819</v>
      </c>
      <c r="O68" s="41" t="s">
        <v>820</v>
      </c>
      <c r="P68" s="41" t="s">
        <v>794</v>
      </c>
    </row>
    <row r="69" spans="1:18">
      <c r="A69" s="7" t="s">
        <v>821</v>
      </c>
      <c r="B69" s="7" t="s">
        <v>762</v>
      </c>
      <c r="C69" s="7" t="s">
        <v>382</v>
      </c>
      <c r="D69" s="196" t="s">
        <v>818</v>
      </c>
      <c r="E69" s="44">
        <v>0</v>
      </c>
      <c r="F69" s="104">
        <v>0</v>
      </c>
      <c r="G69" s="106">
        <v>1.5E-3</v>
      </c>
      <c r="H69" s="106">
        <v>-2.5000000000000001E-3</v>
      </c>
      <c r="M69" s="87"/>
      <c r="N69" s="41" t="s">
        <v>819</v>
      </c>
      <c r="O69" s="41" t="s">
        <v>820</v>
      </c>
      <c r="P69" s="41" t="s">
        <v>794</v>
      </c>
    </row>
    <row r="70" spans="1:18">
      <c r="A70" s="7" t="s">
        <v>822</v>
      </c>
      <c r="B70" s="7" t="s">
        <v>761</v>
      </c>
      <c r="C70" s="7" t="s">
        <v>382</v>
      </c>
      <c r="D70" s="196" t="s">
        <v>818</v>
      </c>
      <c r="E70" s="44">
        <v>0</v>
      </c>
      <c r="F70" s="104">
        <v>0</v>
      </c>
      <c r="G70" s="106">
        <v>1.5E-3</v>
      </c>
      <c r="M70" s="87"/>
      <c r="N70" s="41" t="s">
        <v>819</v>
      </c>
      <c r="O70" s="41" t="s">
        <v>820</v>
      </c>
      <c r="P70" s="41" t="s">
        <v>794</v>
      </c>
    </row>
    <row r="71" spans="1:18">
      <c r="A71" s="7" t="s">
        <v>823</v>
      </c>
      <c r="B71" s="7" t="s">
        <v>761</v>
      </c>
      <c r="C71" s="7" t="s">
        <v>382</v>
      </c>
      <c r="D71" s="196" t="s">
        <v>818</v>
      </c>
      <c r="E71" s="44">
        <v>0</v>
      </c>
      <c r="F71" s="104">
        <v>0</v>
      </c>
      <c r="G71" s="106">
        <v>1.5E-3</v>
      </c>
      <c r="M71" s="87"/>
      <c r="N71" s="41" t="s">
        <v>819</v>
      </c>
      <c r="O71" s="41" t="s">
        <v>820</v>
      </c>
      <c r="P71" s="41" t="s">
        <v>794</v>
      </c>
    </row>
    <row r="72" spans="1:18">
      <c r="A72" s="7" t="s">
        <v>663</v>
      </c>
      <c r="B72" s="7" t="s">
        <v>761</v>
      </c>
      <c r="C72" s="7" t="s">
        <v>382</v>
      </c>
      <c r="D72" s="197" t="s">
        <v>663</v>
      </c>
      <c r="E72" s="43">
        <v>1.2500000000000001E-2</v>
      </c>
      <c r="F72" s="104">
        <v>0.15</v>
      </c>
      <c r="G72" s="106">
        <v>-1E-3</v>
      </c>
      <c r="M72" s="87"/>
      <c r="N72" s="41" t="s">
        <v>760</v>
      </c>
      <c r="O72" s="41" t="s">
        <v>782</v>
      </c>
      <c r="P72" s="41" t="s">
        <v>794</v>
      </c>
    </row>
    <row r="73" spans="1:18">
      <c r="A73" s="7" t="s">
        <v>662</v>
      </c>
      <c r="B73" s="7" t="s">
        <v>761</v>
      </c>
      <c r="C73" s="7" t="s">
        <v>796</v>
      </c>
      <c r="D73" s="197" t="s">
        <v>663</v>
      </c>
      <c r="E73" s="43">
        <v>0</v>
      </c>
      <c r="F73" s="104">
        <v>0.15</v>
      </c>
      <c r="G73" s="106">
        <v>-1E-3</v>
      </c>
      <c r="M73" s="87"/>
      <c r="N73" s="41" t="s">
        <v>760</v>
      </c>
      <c r="O73" s="41" t="s">
        <v>782</v>
      </c>
      <c r="P73" s="41" t="s">
        <v>794</v>
      </c>
    </row>
    <row r="74" spans="1:18">
      <c r="A74" s="7" t="s">
        <v>496</v>
      </c>
      <c r="B74" s="7" t="s">
        <v>761</v>
      </c>
      <c r="C74" s="7" t="s">
        <v>796</v>
      </c>
      <c r="D74" s="7" t="s">
        <v>824</v>
      </c>
      <c r="E74" s="43">
        <v>0</v>
      </c>
      <c r="G74" s="106">
        <v>-2.5000000000000001E-3</v>
      </c>
      <c r="J74" s="106">
        <v>2.5000000000000001E-2</v>
      </c>
      <c r="M74" s="44"/>
      <c r="N74" s="41" t="s">
        <v>760</v>
      </c>
      <c r="O74" s="41" t="s">
        <v>800</v>
      </c>
      <c r="P74" s="41" t="s">
        <v>794</v>
      </c>
    </row>
    <row r="75" spans="1:18">
      <c r="A75" s="7" t="s">
        <v>825</v>
      </c>
      <c r="B75" s="7" t="s">
        <v>826</v>
      </c>
      <c r="C75" s="7" t="s">
        <v>382</v>
      </c>
      <c r="D75" s="7" t="s">
        <v>824</v>
      </c>
      <c r="E75" s="43">
        <v>0.01</v>
      </c>
      <c r="G75" s="106"/>
      <c r="J75" s="106">
        <v>2.5000000000000001E-2</v>
      </c>
      <c r="M75" s="44"/>
      <c r="N75" s="41" t="s">
        <v>760</v>
      </c>
      <c r="O75" s="41" t="s">
        <v>800</v>
      </c>
      <c r="P75" s="41" t="s">
        <v>794</v>
      </c>
    </row>
    <row r="76" spans="1:18">
      <c r="A76" s="7" t="s">
        <v>587</v>
      </c>
      <c r="B76" s="7" t="s">
        <v>761</v>
      </c>
      <c r="C76" s="7" t="s">
        <v>382</v>
      </c>
      <c r="D76" s="196" t="s">
        <v>827</v>
      </c>
      <c r="E76" s="43">
        <v>0</v>
      </c>
      <c r="F76" s="104">
        <v>0</v>
      </c>
      <c r="G76" s="106">
        <v>-2.5000000000000001E-3</v>
      </c>
      <c r="M76" s="43"/>
      <c r="N76" s="41" t="s">
        <v>760</v>
      </c>
      <c r="O76" s="41" t="s">
        <v>800</v>
      </c>
      <c r="P76" s="41" t="s">
        <v>794</v>
      </c>
    </row>
    <row r="77" spans="1:18">
      <c r="A77" s="7" t="s">
        <v>588</v>
      </c>
      <c r="B77" s="7" t="s">
        <v>783</v>
      </c>
      <c r="C77" s="7" t="s">
        <v>796</v>
      </c>
      <c r="D77" s="196" t="s">
        <v>827</v>
      </c>
      <c r="E77" s="44">
        <v>1.6E-2</v>
      </c>
      <c r="F77" s="104">
        <v>0</v>
      </c>
      <c r="G77" s="106">
        <v>-2.5000000000000001E-3</v>
      </c>
      <c r="M77" s="43"/>
      <c r="N77" s="41" t="s">
        <v>760</v>
      </c>
      <c r="O77" s="41" t="s">
        <v>800</v>
      </c>
      <c r="P77" s="41" t="s">
        <v>794</v>
      </c>
      <c r="Q77" s="233" t="s">
        <v>801</v>
      </c>
      <c r="R77" s="233">
        <v>5.0000000000000001E-4</v>
      </c>
    </row>
    <row r="78" spans="1:18">
      <c r="A78" s="7" t="s">
        <v>828</v>
      </c>
      <c r="B78" s="7" t="s">
        <v>758</v>
      </c>
      <c r="C78" s="7" t="s">
        <v>796</v>
      </c>
      <c r="D78" s="196" t="s">
        <v>827</v>
      </c>
      <c r="E78" s="44">
        <v>1.6E-2</v>
      </c>
      <c r="G78" s="106"/>
      <c r="M78" s="43"/>
      <c r="N78" s="41"/>
      <c r="O78" s="41" t="s">
        <v>800</v>
      </c>
      <c r="P78" s="41" t="s">
        <v>794</v>
      </c>
    </row>
    <row r="79" spans="1:18">
      <c r="A79" s="7" t="s">
        <v>616</v>
      </c>
      <c r="B79" s="7" t="s">
        <v>761</v>
      </c>
      <c r="C79" s="7" t="s">
        <v>382</v>
      </c>
      <c r="D79" s="196" t="s">
        <v>827</v>
      </c>
      <c r="E79" s="43">
        <v>0</v>
      </c>
      <c r="F79" s="104">
        <v>0</v>
      </c>
      <c r="G79" s="106">
        <v>-2.5000000000000001E-3</v>
      </c>
      <c r="M79" s="43"/>
      <c r="N79" s="41" t="s">
        <v>760</v>
      </c>
      <c r="O79" s="41" t="s">
        <v>800</v>
      </c>
      <c r="P79" s="41" t="s">
        <v>794</v>
      </c>
      <c r="Q79" s="233" t="s">
        <v>801</v>
      </c>
      <c r="R79" s="233">
        <v>5.0000000000000001E-4</v>
      </c>
    </row>
    <row r="80" spans="1:18">
      <c r="A80" s="7" t="s">
        <v>829</v>
      </c>
      <c r="B80" s="7" t="s">
        <v>758</v>
      </c>
      <c r="C80" s="7" t="s">
        <v>796</v>
      </c>
      <c r="D80" s="197" t="s">
        <v>830</v>
      </c>
      <c r="E80" s="43">
        <v>2.2499999999999999E-2</v>
      </c>
      <c r="G80" s="106"/>
      <c r="J80" s="106">
        <v>2.5000000000000001E-2</v>
      </c>
      <c r="M80" s="87"/>
      <c r="N80" s="41" t="s">
        <v>760</v>
      </c>
      <c r="O80" s="41" t="s">
        <v>782</v>
      </c>
      <c r="P80" s="41" t="s">
        <v>794</v>
      </c>
    </row>
    <row r="81" spans="1:18">
      <c r="A81" s="7" t="s">
        <v>90</v>
      </c>
      <c r="B81" s="7" t="s">
        <v>761</v>
      </c>
      <c r="C81" s="7" t="s">
        <v>382</v>
      </c>
      <c r="D81" s="197" t="s">
        <v>830</v>
      </c>
      <c r="E81" s="43">
        <v>0</v>
      </c>
      <c r="F81" s="104">
        <v>0.15</v>
      </c>
      <c r="G81" s="106">
        <v>-7.4999999999999997E-3</v>
      </c>
      <c r="M81" s="87"/>
      <c r="N81" s="41" t="s">
        <v>760</v>
      </c>
      <c r="O81" s="41" t="s">
        <v>782</v>
      </c>
      <c r="P81" s="41" t="s">
        <v>794</v>
      </c>
    </row>
    <row r="82" spans="1:18">
      <c r="A82" s="7" t="s">
        <v>831</v>
      </c>
      <c r="B82" s="7" t="s">
        <v>832</v>
      </c>
      <c r="C82" s="7" t="s">
        <v>382</v>
      </c>
      <c r="D82" s="196" t="s">
        <v>467</v>
      </c>
      <c r="E82" s="43">
        <v>2.1999999999999999E-2</v>
      </c>
      <c r="F82" s="104">
        <v>0.2</v>
      </c>
      <c r="G82" s="106">
        <v>-2.5000000000000001E-3</v>
      </c>
      <c r="M82" s="87"/>
      <c r="N82" s="41" t="s">
        <v>787</v>
      </c>
      <c r="O82" s="41" t="s">
        <v>800</v>
      </c>
      <c r="P82" s="41" t="s">
        <v>794</v>
      </c>
    </row>
    <row r="83" spans="1:18">
      <c r="A83" s="7" t="s">
        <v>833</v>
      </c>
      <c r="B83" s="7" t="s">
        <v>832</v>
      </c>
      <c r="C83" s="7" t="s">
        <v>382</v>
      </c>
      <c r="D83" s="196" t="s">
        <v>467</v>
      </c>
      <c r="E83" s="43">
        <v>2.1999999999999999E-2</v>
      </c>
      <c r="F83" s="104">
        <v>0.2</v>
      </c>
      <c r="G83" s="106"/>
      <c r="M83" s="87"/>
      <c r="N83" s="41"/>
      <c r="O83" s="41" t="s">
        <v>800</v>
      </c>
      <c r="P83" s="41" t="s">
        <v>794</v>
      </c>
    </row>
    <row r="84" spans="1:18">
      <c r="A84" s="7" t="s">
        <v>834</v>
      </c>
      <c r="B84" s="7" t="s">
        <v>832</v>
      </c>
      <c r="C84" s="7" t="s">
        <v>382</v>
      </c>
      <c r="D84" s="196" t="s">
        <v>467</v>
      </c>
      <c r="E84" s="43">
        <v>2.1999999999999999E-2</v>
      </c>
      <c r="F84" s="104">
        <v>0.2</v>
      </c>
      <c r="G84" s="106">
        <v>-2.5000000000000001E-3</v>
      </c>
      <c r="M84" s="87"/>
      <c r="N84" s="41" t="s">
        <v>787</v>
      </c>
      <c r="O84" s="41" t="s">
        <v>800</v>
      </c>
      <c r="P84" s="41" t="s">
        <v>794</v>
      </c>
    </row>
    <row r="85" spans="1:18">
      <c r="A85" s="7" t="s">
        <v>470</v>
      </c>
      <c r="B85" s="7" t="s">
        <v>832</v>
      </c>
      <c r="C85" s="7" t="s">
        <v>382</v>
      </c>
      <c r="D85" s="196" t="s">
        <v>467</v>
      </c>
      <c r="E85" s="43">
        <v>2.1999999999999999E-2</v>
      </c>
      <c r="F85" s="104">
        <v>0.2</v>
      </c>
      <c r="G85" s="106">
        <v>-2.5000000000000001E-3</v>
      </c>
      <c r="M85" s="87"/>
      <c r="N85" s="41" t="s">
        <v>787</v>
      </c>
      <c r="O85" s="41" t="s">
        <v>800</v>
      </c>
      <c r="P85" s="41" t="s">
        <v>794</v>
      </c>
    </row>
    <row r="86" spans="1:18">
      <c r="A86" s="7" t="s">
        <v>467</v>
      </c>
      <c r="B86" s="7" t="s">
        <v>761</v>
      </c>
      <c r="C86" s="7" t="s">
        <v>382</v>
      </c>
      <c r="D86" s="196" t="s">
        <v>467</v>
      </c>
      <c r="E86" s="43">
        <v>2.1999999999999999E-2</v>
      </c>
      <c r="F86" s="104">
        <v>0.2</v>
      </c>
      <c r="G86" s="106">
        <v>-2.5000000000000001E-3</v>
      </c>
      <c r="M86" s="87"/>
      <c r="N86" s="41" t="s">
        <v>787</v>
      </c>
      <c r="O86" s="41" t="s">
        <v>800</v>
      </c>
      <c r="P86" s="41" t="s">
        <v>794</v>
      </c>
      <c r="Q86" s="231" t="s">
        <v>835</v>
      </c>
      <c r="R86" s="232">
        <v>2.5000000000000001E-3</v>
      </c>
    </row>
    <row r="87" spans="1:18">
      <c r="A87" s="7" t="s">
        <v>635</v>
      </c>
      <c r="B87" s="7" t="s">
        <v>832</v>
      </c>
      <c r="C87" s="7" t="s">
        <v>382</v>
      </c>
      <c r="D87" s="196" t="s">
        <v>467</v>
      </c>
      <c r="E87" s="43">
        <v>2.1999999999999999E-2</v>
      </c>
      <c r="F87" s="104">
        <v>0.2</v>
      </c>
      <c r="G87" s="106">
        <v>-2.5000000000000001E-3</v>
      </c>
      <c r="M87" s="87"/>
      <c r="N87" s="41" t="s">
        <v>787</v>
      </c>
      <c r="O87" s="41" t="s">
        <v>800</v>
      </c>
      <c r="P87" s="41" t="s">
        <v>794</v>
      </c>
      <c r="Q87" s="231" t="s">
        <v>835</v>
      </c>
      <c r="R87" s="232">
        <v>2.5000000000000001E-3</v>
      </c>
    </row>
    <row r="88" spans="1:18">
      <c r="A88" s="7" t="s">
        <v>637</v>
      </c>
      <c r="B88" s="7" t="s">
        <v>832</v>
      </c>
      <c r="C88" s="7" t="s">
        <v>382</v>
      </c>
      <c r="D88" s="196" t="s">
        <v>467</v>
      </c>
      <c r="E88" s="43">
        <v>2.1999999999999999E-2</v>
      </c>
      <c r="F88" s="104">
        <v>0.2</v>
      </c>
      <c r="G88" s="106">
        <v>-2.5000000000000001E-3</v>
      </c>
      <c r="M88" s="87"/>
      <c r="N88" s="41" t="s">
        <v>787</v>
      </c>
      <c r="O88" s="41" t="s">
        <v>800</v>
      </c>
      <c r="P88" s="41" t="s">
        <v>794</v>
      </c>
      <c r="Q88" s="231" t="s">
        <v>835</v>
      </c>
      <c r="R88" s="232">
        <v>2.5000000000000001E-3</v>
      </c>
    </row>
    <row r="89" spans="1:18">
      <c r="A89" s="7" t="s">
        <v>468</v>
      </c>
      <c r="B89" s="7" t="s">
        <v>758</v>
      </c>
      <c r="C89" s="7" t="s">
        <v>796</v>
      </c>
      <c r="D89" s="196" t="s">
        <v>467</v>
      </c>
      <c r="E89" s="43">
        <v>0</v>
      </c>
      <c r="F89" s="104">
        <v>0.2</v>
      </c>
      <c r="G89" s="106">
        <v>-2.5000000000000001E-3</v>
      </c>
      <c r="M89" s="87"/>
      <c r="N89" s="41" t="s">
        <v>787</v>
      </c>
      <c r="O89" s="41" t="s">
        <v>800</v>
      </c>
      <c r="P89" s="41" t="s">
        <v>794</v>
      </c>
    </row>
    <row r="90" spans="1:18">
      <c r="A90" s="7" t="s">
        <v>836</v>
      </c>
      <c r="B90" s="7" t="s">
        <v>758</v>
      </c>
      <c r="C90" s="7" t="s">
        <v>796</v>
      </c>
      <c r="D90" s="197" t="s">
        <v>836</v>
      </c>
      <c r="E90" s="43">
        <v>7.0000000000000007E-2</v>
      </c>
      <c r="F90" s="104">
        <v>0.15</v>
      </c>
      <c r="G90" s="106"/>
      <c r="M90" s="87"/>
      <c r="N90" s="41" t="s">
        <v>760</v>
      </c>
      <c r="O90" s="40" t="s">
        <v>782</v>
      </c>
      <c r="P90" s="41" t="s">
        <v>794</v>
      </c>
    </row>
    <row r="91" spans="1:18">
      <c r="A91" s="7" t="s">
        <v>837</v>
      </c>
      <c r="B91" s="7" t="s">
        <v>826</v>
      </c>
      <c r="C91" s="7" t="s">
        <v>382</v>
      </c>
      <c r="D91" s="197" t="s">
        <v>836</v>
      </c>
      <c r="E91" s="43">
        <v>0</v>
      </c>
      <c r="G91" s="106"/>
      <c r="H91" s="106">
        <v>-2.5000000000000001E-3</v>
      </c>
      <c r="M91" s="87"/>
      <c r="N91" s="41" t="s">
        <v>760</v>
      </c>
      <c r="O91" s="40" t="s">
        <v>782</v>
      </c>
      <c r="P91" s="41" t="s">
        <v>794</v>
      </c>
    </row>
    <row r="92" spans="1:18">
      <c r="A92" s="7" t="s">
        <v>838</v>
      </c>
      <c r="B92" s="7" t="s">
        <v>758</v>
      </c>
      <c r="C92" s="7" t="s">
        <v>796</v>
      </c>
      <c r="D92" s="197" t="s">
        <v>839</v>
      </c>
      <c r="E92" s="43">
        <v>1.4999999999999999E-2</v>
      </c>
      <c r="F92" s="104">
        <v>0.15</v>
      </c>
      <c r="G92" s="106">
        <v>-7.4999999999999997E-3</v>
      </c>
      <c r="M92" s="43"/>
      <c r="N92" s="41" t="s">
        <v>760</v>
      </c>
      <c r="O92" s="41" t="s">
        <v>782</v>
      </c>
      <c r="P92" s="41" t="s">
        <v>794</v>
      </c>
    </row>
    <row r="93" spans="1:18">
      <c r="A93" s="7" t="s">
        <v>840</v>
      </c>
      <c r="B93" s="7" t="s">
        <v>758</v>
      </c>
      <c r="C93" s="7" t="s">
        <v>796</v>
      </c>
      <c r="D93" s="197" t="s">
        <v>839</v>
      </c>
      <c r="E93" s="43">
        <v>1.4999999999999999E-2</v>
      </c>
      <c r="F93" s="104">
        <v>0.15</v>
      </c>
      <c r="G93" s="106">
        <v>-7.4999999999999997E-3</v>
      </c>
      <c r="M93" s="43"/>
      <c r="N93" s="41" t="s">
        <v>760</v>
      </c>
      <c r="O93" s="41" t="s">
        <v>782</v>
      </c>
      <c r="P93" s="41" t="s">
        <v>794</v>
      </c>
    </row>
    <row r="94" spans="1:18">
      <c r="A94" s="7" t="s">
        <v>406</v>
      </c>
      <c r="B94" s="7" t="s">
        <v>758</v>
      </c>
      <c r="C94" s="7" t="s">
        <v>796</v>
      </c>
      <c r="D94" s="197" t="s">
        <v>839</v>
      </c>
      <c r="E94" s="43">
        <v>1.4999999999999999E-2</v>
      </c>
      <c r="F94" s="104">
        <v>0.15</v>
      </c>
      <c r="G94" s="106">
        <v>-7.4999999999999997E-3</v>
      </c>
      <c r="M94" s="43"/>
      <c r="N94" s="41" t="s">
        <v>760</v>
      </c>
      <c r="O94" s="41" t="s">
        <v>782</v>
      </c>
      <c r="P94" s="41" t="s">
        <v>794</v>
      </c>
    </row>
    <row r="95" spans="1:18">
      <c r="A95" s="7" t="s">
        <v>841</v>
      </c>
      <c r="B95" s="7" t="s">
        <v>761</v>
      </c>
      <c r="C95" s="7" t="s">
        <v>382</v>
      </c>
      <c r="D95" s="197" t="s">
        <v>839</v>
      </c>
      <c r="E95" s="43">
        <v>0</v>
      </c>
      <c r="F95" s="104">
        <v>0.15</v>
      </c>
      <c r="G95" s="106">
        <v>-7.4999999999999997E-3</v>
      </c>
      <c r="M95" s="43"/>
      <c r="N95" s="41" t="s">
        <v>760</v>
      </c>
      <c r="O95" s="41" t="s">
        <v>782</v>
      </c>
      <c r="P95" s="41" t="s">
        <v>794</v>
      </c>
    </row>
    <row r="96" spans="1:18">
      <c r="A96" s="7" t="s">
        <v>842</v>
      </c>
      <c r="B96" s="7" t="s">
        <v>761</v>
      </c>
      <c r="C96" s="7" t="s">
        <v>382</v>
      </c>
      <c r="D96" s="197" t="s">
        <v>839</v>
      </c>
      <c r="E96" s="43">
        <v>0</v>
      </c>
      <c r="F96" s="104">
        <v>0.15</v>
      </c>
      <c r="G96" s="106">
        <v>-7.4999999999999997E-3</v>
      </c>
      <c r="M96" s="43"/>
      <c r="N96" s="41" t="s">
        <v>760</v>
      </c>
      <c r="O96" s="41" t="s">
        <v>782</v>
      </c>
      <c r="P96" s="41" t="s">
        <v>794</v>
      </c>
    </row>
    <row r="97" spans="1:16">
      <c r="A97" s="7" t="s">
        <v>591</v>
      </c>
      <c r="B97" s="7" t="s">
        <v>761</v>
      </c>
      <c r="C97" s="7" t="s">
        <v>382</v>
      </c>
      <c r="D97" s="197" t="s">
        <v>839</v>
      </c>
      <c r="E97" s="43">
        <v>0</v>
      </c>
      <c r="F97" s="104">
        <v>0.15</v>
      </c>
      <c r="G97" s="106">
        <v>-7.4999999999999997E-3</v>
      </c>
      <c r="M97" s="43"/>
      <c r="N97" s="41" t="s">
        <v>760</v>
      </c>
      <c r="O97" s="41" t="s">
        <v>782</v>
      </c>
      <c r="P97" s="41" t="s">
        <v>794</v>
      </c>
    </row>
    <row r="98" spans="1:16">
      <c r="A98" s="7" t="s">
        <v>843</v>
      </c>
      <c r="B98" s="7" t="s">
        <v>761</v>
      </c>
      <c r="C98" s="7" t="s">
        <v>382</v>
      </c>
      <c r="D98" s="197" t="s">
        <v>839</v>
      </c>
      <c r="E98" s="43">
        <v>0</v>
      </c>
      <c r="F98" s="104">
        <v>0.15</v>
      </c>
      <c r="G98" s="106">
        <v>-7.4999999999999997E-3</v>
      </c>
      <c r="M98" s="43"/>
      <c r="N98" s="41" t="s">
        <v>760</v>
      </c>
      <c r="O98" s="41" t="s">
        <v>782</v>
      </c>
      <c r="P98" s="41" t="s">
        <v>794</v>
      </c>
    </row>
    <row r="99" spans="1:16">
      <c r="A99" s="7" t="s">
        <v>405</v>
      </c>
      <c r="B99" s="7" t="s">
        <v>761</v>
      </c>
      <c r="C99" s="7" t="s">
        <v>382</v>
      </c>
      <c r="D99" s="197" t="s">
        <v>839</v>
      </c>
      <c r="E99" s="43">
        <v>0</v>
      </c>
      <c r="F99" s="104">
        <v>0.15</v>
      </c>
      <c r="G99" s="106">
        <v>-7.4999999999999997E-3</v>
      </c>
      <c r="M99" s="43"/>
      <c r="N99" s="41" t="s">
        <v>760</v>
      </c>
      <c r="O99" s="41" t="s">
        <v>782</v>
      </c>
      <c r="P99" s="41" t="s">
        <v>794</v>
      </c>
    </row>
    <row r="100" spans="1:16">
      <c r="A100" s="7" t="s">
        <v>844</v>
      </c>
      <c r="B100" s="7" t="s">
        <v>761</v>
      </c>
      <c r="C100" s="7" t="s">
        <v>382</v>
      </c>
      <c r="D100" s="197" t="s">
        <v>839</v>
      </c>
      <c r="E100" s="43">
        <v>0</v>
      </c>
      <c r="F100" s="104">
        <v>0.15</v>
      </c>
      <c r="G100" s="106">
        <v>-7.4999999999999997E-3</v>
      </c>
      <c r="M100" s="43"/>
      <c r="N100" s="41" t="s">
        <v>760</v>
      </c>
      <c r="O100" s="41" t="s">
        <v>782</v>
      </c>
      <c r="P100" s="41" t="s">
        <v>794</v>
      </c>
    </row>
    <row r="101" spans="1:16">
      <c r="A101" s="7" t="s">
        <v>845</v>
      </c>
      <c r="B101" s="7" t="s">
        <v>758</v>
      </c>
      <c r="C101" s="7" t="s">
        <v>796</v>
      </c>
      <c r="D101" s="197" t="s">
        <v>846</v>
      </c>
      <c r="E101" s="43">
        <v>2.5000000000000001E-2</v>
      </c>
      <c r="F101" s="104">
        <v>0.15</v>
      </c>
      <c r="G101" s="106">
        <v>-2.5000000000000001E-3</v>
      </c>
      <c r="M101" s="43"/>
      <c r="N101" s="41" t="s">
        <v>760</v>
      </c>
      <c r="O101" s="41" t="s">
        <v>782</v>
      </c>
      <c r="P101" s="41" t="s">
        <v>794</v>
      </c>
    </row>
    <row r="102" spans="1:16">
      <c r="A102" s="7" t="s">
        <v>847</v>
      </c>
      <c r="B102" s="7" t="s">
        <v>758</v>
      </c>
      <c r="C102" s="7" t="s">
        <v>796</v>
      </c>
      <c r="D102" s="197" t="s">
        <v>846</v>
      </c>
      <c r="E102" s="43">
        <v>2.5000000000000001E-2</v>
      </c>
      <c r="F102" s="104">
        <v>0.15</v>
      </c>
      <c r="G102" s="106">
        <v>-2.5000000000000001E-3</v>
      </c>
      <c r="M102" s="43"/>
      <c r="N102" s="41" t="s">
        <v>760</v>
      </c>
      <c r="O102" s="41" t="s">
        <v>782</v>
      </c>
      <c r="P102" s="41" t="s">
        <v>794</v>
      </c>
    </row>
    <row r="103" spans="1:16">
      <c r="A103" s="7" t="s">
        <v>846</v>
      </c>
      <c r="B103" s="7" t="s">
        <v>761</v>
      </c>
      <c r="C103" s="7" t="s">
        <v>382</v>
      </c>
      <c r="D103" s="197" t="s">
        <v>846</v>
      </c>
      <c r="E103" s="43">
        <v>0</v>
      </c>
      <c r="F103" s="104">
        <v>0.15</v>
      </c>
      <c r="G103" s="106">
        <v>-2.5000000000000001E-3</v>
      </c>
      <c r="M103" s="43"/>
      <c r="N103" s="41" t="s">
        <v>760</v>
      </c>
      <c r="O103" s="41" t="s">
        <v>782</v>
      </c>
      <c r="P103" s="41" t="s">
        <v>794</v>
      </c>
    </row>
    <row r="104" spans="1:16">
      <c r="A104" s="7" t="s">
        <v>848</v>
      </c>
      <c r="B104" s="7" t="s">
        <v>761</v>
      </c>
      <c r="C104" s="7" t="s">
        <v>382</v>
      </c>
      <c r="D104" s="197" t="s">
        <v>849</v>
      </c>
      <c r="E104" s="43">
        <v>0</v>
      </c>
      <c r="F104" s="104">
        <v>0.15</v>
      </c>
      <c r="G104" s="106">
        <v>-7.4999999999999997E-3</v>
      </c>
      <c r="M104" s="43"/>
      <c r="N104" s="41" t="s">
        <v>760</v>
      </c>
      <c r="O104" s="41" t="s">
        <v>782</v>
      </c>
      <c r="P104" s="41" t="s">
        <v>794</v>
      </c>
    </row>
    <row r="105" spans="1:16">
      <c r="A105" s="7" t="s">
        <v>850</v>
      </c>
      <c r="B105" s="7" t="s">
        <v>758</v>
      </c>
      <c r="C105" s="7" t="s">
        <v>796</v>
      </c>
      <c r="D105" s="197" t="s">
        <v>849</v>
      </c>
      <c r="E105" s="43">
        <v>1.4999999999999999E-2</v>
      </c>
      <c r="F105" s="104">
        <v>0.15</v>
      </c>
      <c r="G105" s="106">
        <v>-7.4999999999999997E-3</v>
      </c>
      <c r="M105" s="43"/>
      <c r="N105" s="41" t="s">
        <v>760</v>
      </c>
      <c r="O105" s="41" t="s">
        <v>782</v>
      </c>
      <c r="P105" s="41" t="s">
        <v>794</v>
      </c>
    </row>
    <row r="106" spans="1:16">
      <c r="A106" s="7" t="s">
        <v>851</v>
      </c>
      <c r="B106" s="7" t="s">
        <v>758</v>
      </c>
      <c r="C106" s="7" t="s">
        <v>796</v>
      </c>
      <c r="D106" s="197" t="s">
        <v>849</v>
      </c>
      <c r="E106" s="43">
        <v>1.4999999999999999E-2</v>
      </c>
      <c r="F106" s="104">
        <v>0.15</v>
      </c>
      <c r="G106" s="106">
        <v>-7.4999999999999997E-3</v>
      </c>
      <c r="M106" s="43"/>
      <c r="N106" s="41" t="s">
        <v>760</v>
      </c>
      <c r="O106" s="41" t="s">
        <v>782</v>
      </c>
      <c r="P106" s="41" t="s">
        <v>794</v>
      </c>
    </row>
    <row r="107" spans="1:16">
      <c r="A107" s="7" t="s">
        <v>852</v>
      </c>
      <c r="B107" s="7" t="s">
        <v>86</v>
      </c>
      <c r="C107" s="7" t="s">
        <v>382</v>
      </c>
      <c r="D107" s="197" t="s">
        <v>849</v>
      </c>
      <c r="E107" s="43">
        <v>0</v>
      </c>
      <c r="F107" s="104">
        <v>0.15</v>
      </c>
      <c r="G107" s="106">
        <v>-7.4999999999999997E-3</v>
      </c>
      <c r="M107" s="43"/>
      <c r="N107" s="41" t="s">
        <v>760</v>
      </c>
      <c r="O107" s="41" t="s">
        <v>782</v>
      </c>
      <c r="P107" s="41" t="s">
        <v>794</v>
      </c>
    </row>
    <row r="108" spans="1:16">
      <c r="A108" s="7" t="s">
        <v>853</v>
      </c>
      <c r="B108" s="7" t="s">
        <v>762</v>
      </c>
      <c r="C108" s="7" t="s">
        <v>382</v>
      </c>
      <c r="D108" s="197" t="s">
        <v>849</v>
      </c>
      <c r="E108" s="43">
        <v>0</v>
      </c>
      <c r="F108" s="104">
        <v>0.15</v>
      </c>
      <c r="G108" s="106">
        <v>-7.4999999999999997E-3</v>
      </c>
      <c r="M108" s="43"/>
      <c r="N108" s="41" t="s">
        <v>760</v>
      </c>
      <c r="O108" s="41" t="s">
        <v>782</v>
      </c>
      <c r="P108" s="41" t="s">
        <v>794</v>
      </c>
    </row>
    <row r="109" spans="1:16">
      <c r="A109" s="7" t="s">
        <v>854</v>
      </c>
      <c r="B109" s="7" t="s">
        <v>855</v>
      </c>
      <c r="C109" s="7" t="s">
        <v>382</v>
      </c>
      <c r="D109" s="197" t="s">
        <v>849</v>
      </c>
      <c r="E109" s="43">
        <v>0</v>
      </c>
      <c r="F109" s="104">
        <v>0.15</v>
      </c>
      <c r="G109" s="106">
        <v>-7.4999999999999997E-3</v>
      </c>
      <c r="M109" s="43"/>
      <c r="N109" s="41" t="s">
        <v>760</v>
      </c>
      <c r="O109" s="41" t="s">
        <v>782</v>
      </c>
      <c r="P109" s="41" t="s">
        <v>794</v>
      </c>
    </row>
    <row r="110" spans="1:16">
      <c r="A110" s="7" t="s">
        <v>856</v>
      </c>
      <c r="B110" s="7" t="s">
        <v>761</v>
      </c>
      <c r="C110" s="7" t="s">
        <v>796</v>
      </c>
      <c r="D110" s="197" t="s">
        <v>856</v>
      </c>
      <c r="E110" s="43">
        <v>1.4999999999999999E-2</v>
      </c>
      <c r="F110" s="104">
        <v>0.15</v>
      </c>
      <c r="G110" s="106">
        <v>-2.5000000000000001E-3</v>
      </c>
      <c r="M110" s="87"/>
      <c r="N110" s="41" t="s">
        <v>760</v>
      </c>
      <c r="O110" s="41"/>
      <c r="P110" s="41"/>
    </row>
    <row r="111" spans="1:16">
      <c r="A111" s="7" t="s">
        <v>857</v>
      </c>
      <c r="B111" s="7" t="s">
        <v>761</v>
      </c>
      <c r="C111" s="7" t="s">
        <v>382</v>
      </c>
      <c r="D111" s="197" t="s">
        <v>856</v>
      </c>
      <c r="E111" s="43">
        <v>0</v>
      </c>
      <c r="F111" s="104">
        <v>0.15</v>
      </c>
      <c r="G111" s="106">
        <v>-2.5000000000000001E-3</v>
      </c>
      <c r="M111" s="87"/>
      <c r="N111" s="41" t="s">
        <v>760</v>
      </c>
      <c r="O111" s="41"/>
      <c r="P111" s="41"/>
    </row>
    <row r="112" spans="1:16">
      <c r="A112" s="7" t="s">
        <v>858</v>
      </c>
      <c r="E112" s="44">
        <v>0</v>
      </c>
      <c r="F112" s="104">
        <v>0</v>
      </c>
      <c r="G112" s="106">
        <v>0</v>
      </c>
      <c r="M112" s="43"/>
      <c r="N112" s="41" t="s">
        <v>760</v>
      </c>
      <c r="O112" s="41"/>
      <c r="P112" s="41"/>
    </row>
    <row r="113" spans="1:16">
      <c r="A113" s="7" t="s">
        <v>859</v>
      </c>
      <c r="E113" s="44">
        <v>0.01</v>
      </c>
      <c r="F113" s="104">
        <v>0</v>
      </c>
      <c r="G113" s="106">
        <v>0</v>
      </c>
      <c r="M113" s="43"/>
      <c r="N113" s="41" t="s">
        <v>760</v>
      </c>
      <c r="O113" s="41"/>
      <c r="P113" s="41"/>
    </row>
    <row r="114" spans="1:16">
      <c r="A114" s="7" t="s">
        <v>586</v>
      </c>
      <c r="B114" s="7" t="s">
        <v>761</v>
      </c>
      <c r="C114" s="7" t="s">
        <v>796</v>
      </c>
      <c r="D114" s="197" t="s">
        <v>584</v>
      </c>
      <c r="E114" s="43">
        <v>1.4999999999999999E-2</v>
      </c>
      <c r="F114" s="104">
        <v>0.15</v>
      </c>
      <c r="G114" s="106">
        <v>-2.5000000000000001E-3</v>
      </c>
      <c r="M114" s="87"/>
      <c r="N114" s="41" t="s">
        <v>787</v>
      </c>
      <c r="O114" s="41" t="s">
        <v>782</v>
      </c>
      <c r="P114" s="41" t="s">
        <v>794</v>
      </c>
    </row>
    <row r="115" spans="1:16">
      <c r="A115" s="7" t="s">
        <v>860</v>
      </c>
      <c r="B115" s="7" t="s">
        <v>758</v>
      </c>
      <c r="C115" s="7" t="s">
        <v>796</v>
      </c>
      <c r="D115" s="197" t="s">
        <v>584</v>
      </c>
      <c r="E115" s="43">
        <v>1.4999999999999999E-2</v>
      </c>
      <c r="F115" s="104">
        <v>0.15</v>
      </c>
      <c r="G115" s="106">
        <v>-2.5000000000000001E-3</v>
      </c>
      <c r="M115" s="87"/>
      <c r="N115" s="41" t="s">
        <v>787</v>
      </c>
      <c r="O115" s="41" t="s">
        <v>782</v>
      </c>
      <c r="P115" s="41" t="s">
        <v>794</v>
      </c>
    </row>
    <row r="116" spans="1:16" ht="21" customHeight="1">
      <c r="A116" s="7" t="s">
        <v>584</v>
      </c>
      <c r="B116" s="7" t="s">
        <v>761</v>
      </c>
      <c r="C116" s="7" t="s">
        <v>382</v>
      </c>
      <c r="D116" s="197" t="s">
        <v>584</v>
      </c>
      <c r="E116" s="43">
        <v>0</v>
      </c>
      <c r="F116" s="104">
        <v>0.15</v>
      </c>
      <c r="G116" s="106">
        <v>-2.5000000000000001E-3</v>
      </c>
      <c r="M116" s="87"/>
      <c r="N116" s="41" t="s">
        <v>787</v>
      </c>
      <c r="O116" s="41" t="s">
        <v>782</v>
      </c>
      <c r="P116" s="41" t="s">
        <v>794</v>
      </c>
    </row>
    <row r="117" spans="1:16">
      <c r="A117" s="7" t="s">
        <v>861</v>
      </c>
      <c r="B117" s="7" t="s">
        <v>758</v>
      </c>
      <c r="C117" s="7" t="s">
        <v>796</v>
      </c>
      <c r="D117" s="197" t="s">
        <v>861</v>
      </c>
      <c r="E117" s="43">
        <v>1.4999999999999999E-2</v>
      </c>
      <c r="F117" s="104">
        <v>0.15</v>
      </c>
      <c r="H117" s="106">
        <v>-2.5000000000000001E-3</v>
      </c>
      <c r="M117" s="87"/>
      <c r="N117" s="41" t="s">
        <v>862</v>
      </c>
      <c r="O117" s="41" t="s">
        <v>782</v>
      </c>
      <c r="P117" s="41"/>
    </row>
    <row r="118" spans="1:16">
      <c r="A118" s="7" t="s">
        <v>863</v>
      </c>
      <c r="B118" s="7" t="s">
        <v>758</v>
      </c>
      <c r="C118" s="7" t="s">
        <v>796</v>
      </c>
      <c r="D118" s="197" t="s">
        <v>861</v>
      </c>
      <c r="E118" s="43">
        <v>1.4999999999999999E-2</v>
      </c>
      <c r="F118" s="104">
        <v>0.15</v>
      </c>
      <c r="H118" s="106">
        <v>-2.5000000000000001E-3</v>
      </c>
      <c r="M118" s="87"/>
      <c r="N118" s="41" t="s">
        <v>862</v>
      </c>
      <c r="O118" s="41" t="s">
        <v>782</v>
      </c>
      <c r="P118" s="41"/>
    </row>
    <row r="119" spans="1:16">
      <c r="A119" s="7" t="s">
        <v>864</v>
      </c>
      <c r="B119" s="7" t="s">
        <v>826</v>
      </c>
      <c r="C119" s="7" t="s">
        <v>382</v>
      </c>
      <c r="D119" s="197" t="s">
        <v>861</v>
      </c>
      <c r="E119" s="43">
        <v>0</v>
      </c>
      <c r="F119" s="104">
        <v>0.15</v>
      </c>
      <c r="H119" s="106">
        <v>-2.5000000000000001E-3</v>
      </c>
      <c r="M119" s="87"/>
      <c r="N119" s="41" t="s">
        <v>862</v>
      </c>
      <c r="O119" s="41" t="s">
        <v>782</v>
      </c>
      <c r="P119" s="41"/>
    </row>
    <row r="120" spans="1:16">
      <c r="A120" s="7" t="s">
        <v>865</v>
      </c>
      <c r="B120" s="7" t="s">
        <v>761</v>
      </c>
      <c r="C120" s="7" t="s">
        <v>796</v>
      </c>
      <c r="D120" s="197" t="s">
        <v>866</v>
      </c>
      <c r="E120" s="43">
        <v>1.4999999999999999E-2</v>
      </c>
      <c r="F120" s="104">
        <v>0.15</v>
      </c>
      <c r="G120" s="106">
        <v>-2.5000000000000001E-3</v>
      </c>
      <c r="M120" s="87"/>
      <c r="N120" s="41" t="s">
        <v>760</v>
      </c>
      <c r="O120" s="41" t="s">
        <v>782</v>
      </c>
      <c r="P120" s="41" t="s">
        <v>794</v>
      </c>
    </row>
    <row r="121" spans="1:16">
      <c r="A121" s="7" t="s">
        <v>867</v>
      </c>
      <c r="B121" s="7" t="s">
        <v>761</v>
      </c>
      <c r="C121" s="7" t="s">
        <v>382</v>
      </c>
      <c r="D121" s="197" t="s">
        <v>866</v>
      </c>
      <c r="E121" s="43">
        <v>1.4999999999999999E-2</v>
      </c>
      <c r="F121" s="104">
        <v>0.15</v>
      </c>
      <c r="G121" s="106">
        <v>-2.5000000000000001E-3</v>
      </c>
      <c r="M121" s="87"/>
      <c r="N121" s="41" t="s">
        <v>760</v>
      </c>
      <c r="O121" s="41" t="s">
        <v>782</v>
      </c>
      <c r="P121" s="41" t="s">
        <v>794</v>
      </c>
    </row>
    <row r="122" spans="1:16">
      <c r="A122" s="7" t="s">
        <v>868</v>
      </c>
      <c r="B122" s="7" t="s">
        <v>761</v>
      </c>
      <c r="C122" s="7" t="s">
        <v>382</v>
      </c>
      <c r="D122" s="197" t="s">
        <v>866</v>
      </c>
      <c r="E122" s="43">
        <v>7.0000000000000001E-3</v>
      </c>
      <c r="G122" s="106"/>
      <c r="M122" s="87"/>
      <c r="N122" s="41" t="s">
        <v>760</v>
      </c>
      <c r="O122" s="41" t="s">
        <v>782</v>
      </c>
      <c r="P122" s="41" t="s">
        <v>794</v>
      </c>
    </row>
    <row r="123" spans="1:16">
      <c r="A123" s="7" t="s">
        <v>435</v>
      </c>
      <c r="B123" s="7" t="s">
        <v>758</v>
      </c>
      <c r="C123" s="7" t="s">
        <v>796</v>
      </c>
      <c r="D123" s="197" t="s">
        <v>869</v>
      </c>
      <c r="E123" s="44">
        <v>1.4999999999999999E-2</v>
      </c>
      <c r="F123" s="104">
        <v>0.15</v>
      </c>
      <c r="M123" s="43"/>
      <c r="N123" s="41" t="s">
        <v>760</v>
      </c>
      <c r="O123" s="41" t="s">
        <v>782</v>
      </c>
      <c r="P123" s="41" t="s">
        <v>794</v>
      </c>
    </row>
    <row r="124" spans="1:16">
      <c r="A124" s="7" t="s">
        <v>870</v>
      </c>
      <c r="B124" s="7" t="s">
        <v>758</v>
      </c>
      <c r="C124" s="7" t="s">
        <v>796</v>
      </c>
      <c r="D124" s="197" t="s">
        <v>869</v>
      </c>
      <c r="E124" s="44">
        <v>0.01</v>
      </c>
      <c r="F124" s="104">
        <v>0.15</v>
      </c>
      <c r="M124" s="43"/>
      <c r="N124" s="41" t="s">
        <v>760</v>
      </c>
      <c r="O124" s="41" t="s">
        <v>782</v>
      </c>
      <c r="P124" s="41" t="s">
        <v>794</v>
      </c>
    </row>
    <row r="125" spans="1:16">
      <c r="A125" s="7" t="s">
        <v>871</v>
      </c>
      <c r="B125" s="7" t="s">
        <v>758</v>
      </c>
      <c r="C125" s="7" t="s">
        <v>796</v>
      </c>
      <c r="D125" s="197" t="s">
        <v>869</v>
      </c>
      <c r="E125" s="44">
        <v>0.01</v>
      </c>
      <c r="F125" s="104">
        <v>0.15</v>
      </c>
      <c r="M125" s="43"/>
      <c r="N125" s="41" t="s">
        <v>760</v>
      </c>
      <c r="O125" s="41" t="s">
        <v>782</v>
      </c>
      <c r="P125" s="41" t="s">
        <v>794</v>
      </c>
    </row>
    <row r="126" spans="1:16">
      <c r="A126" s="7" t="s">
        <v>872</v>
      </c>
      <c r="B126" s="7" t="s">
        <v>761</v>
      </c>
      <c r="C126" s="7" t="s">
        <v>382</v>
      </c>
      <c r="D126" s="197" t="s">
        <v>869</v>
      </c>
      <c r="E126" s="44">
        <v>0.01</v>
      </c>
      <c r="F126" s="104">
        <v>0</v>
      </c>
      <c r="G126" s="106">
        <v>-1.2500000000000001E-2</v>
      </c>
      <c r="M126" s="43"/>
      <c r="N126" s="41" t="s">
        <v>760</v>
      </c>
      <c r="O126" s="41" t="s">
        <v>782</v>
      </c>
      <c r="P126" s="41" t="s">
        <v>794</v>
      </c>
    </row>
    <row r="127" spans="1:16">
      <c r="A127" s="7" t="s">
        <v>873</v>
      </c>
      <c r="B127" s="7" t="s">
        <v>761</v>
      </c>
      <c r="C127" s="7" t="s">
        <v>382</v>
      </c>
      <c r="D127" s="197" t="s">
        <v>869</v>
      </c>
      <c r="E127" s="44">
        <v>0.01</v>
      </c>
      <c r="F127" s="104">
        <v>0</v>
      </c>
      <c r="G127" s="106">
        <v>-1.2500000000000001E-2</v>
      </c>
      <c r="M127" s="43"/>
      <c r="N127" s="41" t="s">
        <v>760</v>
      </c>
      <c r="O127" s="41" t="s">
        <v>782</v>
      </c>
      <c r="P127" s="41" t="s">
        <v>794</v>
      </c>
    </row>
    <row r="128" spans="1:16">
      <c r="A128" s="7" t="s">
        <v>874</v>
      </c>
      <c r="B128" s="7" t="s">
        <v>761</v>
      </c>
      <c r="C128" s="7" t="s">
        <v>382</v>
      </c>
      <c r="D128" s="197" t="s">
        <v>869</v>
      </c>
      <c r="E128" s="44">
        <v>0.01</v>
      </c>
      <c r="F128" s="104">
        <v>0</v>
      </c>
      <c r="G128" s="106">
        <v>-1.2500000000000001E-2</v>
      </c>
      <c r="M128" s="43"/>
      <c r="N128" s="41" t="s">
        <v>760</v>
      </c>
      <c r="O128" s="41" t="s">
        <v>782</v>
      </c>
      <c r="P128" s="41" t="s">
        <v>794</v>
      </c>
    </row>
    <row r="129" spans="1:16">
      <c r="A129" s="7" t="s">
        <v>875</v>
      </c>
      <c r="B129" s="7" t="s">
        <v>762</v>
      </c>
      <c r="C129" s="7" t="s">
        <v>382</v>
      </c>
      <c r="D129" s="197" t="s">
        <v>869</v>
      </c>
      <c r="E129" s="44">
        <v>0.01</v>
      </c>
      <c r="G129" s="106">
        <v>-1.2500000000000001E-2</v>
      </c>
      <c r="H129" s="106">
        <v>0</v>
      </c>
      <c r="N129" s="41" t="s">
        <v>760</v>
      </c>
      <c r="O129" s="41" t="s">
        <v>782</v>
      </c>
      <c r="P129" s="41" t="s">
        <v>794</v>
      </c>
    </row>
    <row r="130" spans="1:16">
      <c r="A130" s="7" t="s">
        <v>434</v>
      </c>
      <c r="B130" s="7" t="s">
        <v>761</v>
      </c>
      <c r="C130" s="7" t="s">
        <v>382</v>
      </c>
      <c r="D130" s="197" t="s">
        <v>869</v>
      </c>
      <c r="E130" s="44">
        <v>0.01</v>
      </c>
      <c r="G130" s="106"/>
      <c r="N130" s="41" t="s">
        <v>760</v>
      </c>
      <c r="O130" s="41" t="s">
        <v>782</v>
      </c>
      <c r="P130" s="41" t="s">
        <v>794</v>
      </c>
    </row>
    <row r="131" spans="1:16">
      <c r="A131" s="7" t="s">
        <v>876</v>
      </c>
      <c r="B131" s="7" t="s">
        <v>761</v>
      </c>
      <c r="C131" s="7" t="s">
        <v>382</v>
      </c>
      <c r="D131" s="197" t="s">
        <v>869</v>
      </c>
      <c r="E131" s="44">
        <v>0.01</v>
      </c>
      <c r="F131" s="104">
        <v>0.15</v>
      </c>
      <c r="G131" s="106"/>
      <c r="M131" s="43"/>
      <c r="N131" s="41" t="s">
        <v>760</v>
      </c>
      <c r="O131" s="41" t="s">
        <v>782</v>
      </c>
      <c r="P131" s="41" t="s">
        <v>794</v>
      </c>
    </row>
    <row r="132" spans="1:16">
      <c r="A132" s="7" t="s">
        <v>877</v>
      </c>
      <c r="B132" s="7" t="s">
        <v>761</v>
      </c>
      <c r="C132" s="7" t="s">
        <v>382</v>
      </c>
      <c r="D132" s="197" t="s">
        <v>869</v>
      </c>
      <c r="E132" s="44">
        <v>0.01</v>
      </c>
      <c r="G132" s="106"/>
      <c r="M132" s="43"/>
      <c r="N132" s="41" t="s">
        <v>760</v>
      </c>
      <c r="O132" s="41" t="s">
        <v>782</v>
      </c>
      <c r="P132" s="41" t="s">
        <v>794</v>
      </c>
    </row>
    <row r="133" spans="1:16">
      <c r="A133" s="7" t="s">
        <v>878</v>
      </c>
      <c r="B133" s="7" t="s">
        <v>761</v>
      </c>
      <c r="C133" s="7" t="s">
        <v>382</v>
      </c>
      <c r="D133" s="197" t="s">
        <v>869</v>
      </c>
      <c r="E133" s="44">
        <v>0.01</v>
      </c>
      <c r="G133" s="106">
        <v>-1.2500000000000001E-2</v>
      </c>
      <c r="M133" s="43"/>
      <c r="N133" s="41" t="s">
        <v>760</v>
      </c>
      <c r="O133" s="41" t="s">
        <v>782</v>
      </c>
      <c r="P133" s="41" t="s">
        <v>794</v>
      </c>
    </row>
    <row r="134" spans="1:16">
      <c r="A134" s="7" t="s">
        <v>879</v>
      </c>
      <c r="B134" s="7" t="s">
        <v>761</v>
      </c>
      <c r="C134" s="7" t="s">
        <v>382</v>
      </c>
      <c r="D134" s="197" t="s">
        <v>869</v>
      </c>
      <c r="E134" s="44">
        <v>0.01</v>
      </c>
      <c r="G134" s="106"/>
      <c r="M134" s="43"/>
      <c r="N134" s="41" t="s">
        <v>760</v>
      </c>
      <c r="O134" s="41" t="s">
        <v>782</v>
      </c>
      <c r="P134" s="41" t="s">
        <v>794</v>
      </c>
    </row>
    <row r="135" spans="1:16">
      <c r="A135" s="7" t="s">
        <v>880</v>
      </c>
      <c r="B135" s="7" t="s">
        <v>761</v>
      </c>
      <c r="C135" s="7" t="s">
        <v>382</v>
      </c>
      <c r="D135" s="197" t="s">
        <v>869</v>
      </c>
      <c r="E135" s="44">
        <v>0.01</v>
      </c>
      <c r="G135" s="106"/>
      <c r="M135" s="43"/>
      <c r="N135" s="41" t="s">
        <v>760</v>
      </c>
      <c r="O135" s="41" t="s">
        <v>782</v>
      </c>
      <c r="P135" s="41" t="s">
        <v>794</v>
      </c>
    </row>
    <row r="136" spans="1:16">
      <c r="A136" s="7" t="s">
        <v>881</v>
      </c>
      <c r="B136" s="7" t="s">
        <v>761</v>
      </c>
      <c r="C136" s="7" t="s">
        <v>382</v>
      </c>
      <c r="D136" s="197" t="s">
        <v>869</v>
      </c>
      <c r="E136" s="44">
        <v>0.01</v>
      </c>
      <c r="G136" s="106"/>
      <c r="M136" s="43"/>
      <c r="N136" s="41" t="s">
        <v>760</v>
      </c>
      <c r="O136" s="41" t="s">
        <v>782</v>
      </c>
      <c r="P136" s="41" t="s">
        <v>794</v>
      </c>
    </row>
    <row r="137" spans="1:16">
      <c r="A137" s="7" t="s">
        <v>882</v>
      </c>
      <c r="B137" s="7" t="s">
        <v>761</v>
      </c>
      <c r="C137" s="7" t="s">
        <v>382</v>
      </c>
      <c r="D137" s="197" t="s">
        <v>869</v>
      </c>
      <c r="E137" s="44">
        <v>0.01</v>
      </c>
      <c r="G137" s="106"/>
      <c r="M137" s="43"/>
      <c r="N137" s="41" t="s">
        <v>760</v>
      </c>
      <c r="O137" s="41" t="s">
        <v>782</v>
      </c>
      <c r="P137" s="41" t="s">
        <v>794</v>
      </c>
    </row>
    <row r="138" spans="1:16">
      <c r="A138" s="7" t="s">
        <v>883</v>
      </c>
      <c r="B138" s="7" t="s">
        <v>762</v>
      </c>
      <c r="C138" s="7" t="s">
        <v>382</v>
      </c>
      <c r="D138" s="197" t="s">
        <v>869</v>
      </c>
      <c r="E138" s="44">
        <v>0.01</v>
      </c>
      <c r="G138" s="106"/>
      <c r="M138" s="43"/>
      <c r="N138" s="41" t="s">
        <v>760</v>
      </c>
      <c r="O138" s="41" t="s">
        <v>782</v>
      </c>
      <c r="P138" s="41" t="s">
        <v>794</v>
      </c>
    </row>
    <row r="139" spans="1:16">
      <c r="A139" s="7" t="s">
        <v>884</v>
      </c>
      <c r="B139" s="7" t="s">
        <v>762</v>
      </c>
      <c r="C139" s="7" t="s">
        <v>382</v>
      </c>
      <c r="D139" s="197" t="s">
        <v>869</v>
      </c>
      <c r="E139" s="44">
        <v>0.01</v>
      </c>
      <c r="G139" s="106"/>
      <c r="M139" s="43"/>
      <c r="N139" s="41" t="s">
        <v>760</v>
      </c>
      <c r="O139" s="41" t="s">
        <v>782</v>
      </c>
      <c r="P139" s="41" t="s">
        <v>794</v>
      </c>
    </row>
    <row r="140" spans="1:16">
      <c r="A140" s="7" t="s">
        <v>885</v>
      </c>
      <c r="B140" s="7" t="s">
        <v>886</v>
      </c>
      <c r="C140" s="7" t="s">
        <v>382</v>
      </c>
      <c r="D140" s="197" t="s">
        <v>869</v>
      </c>
      <c r="E140" s="44">
        <v>0.01</v>
      </c>
      <c r="G140" s="106"/>
      <c r="M140" s="43"/>
      <c r="N140" s="41" t="s">
        <v>760</v>
      </c>
      <c r="O140" s="41" t="s">
        <v>782</v>
      </c>
      <c r="P140" s="41" t="s">
        <v>794</v>
      </c>
    </row>
    <row r="141" spans="1:16">
      <c r="A141" s="7" t="s">
        <v>887</v>
      </c>
      <c r="B141" s="7" t="s">
        <v>761</v>
      </c>
      <c r="C141" s="7" t="s">
        <v>382</v>
      </c>
      <c r="D141" s="197" t="s">
        <v>869</v>
      </c>
      <c r="E141" s="44">
        <v>0.01</v>
      </c>
      <c r="G141" s="106"/>
      <c r="M141" s="43"/>
      <c r="N141" s="41" t="s">
        <v>760</v>
      </c>
      <c r="O141" s="41" t="s">
        <v>782</v>
      </c>
      <c r="P141" s="41" t="s">
        <v>794</v>
      </c>
    </row>
    <row r="142" spans="1:16">
      <c r="A142" s="7" t="s">
        <v>888</v>
      </c>
      <c r="B142" s="7" t="s">
        <v>761</v>
      </c>
      <c r="C142" s="7" t="s">
        <v>382</v>
      </c>
      <c r="D142" s="197" t="s">
        <v>869</v>
      </c>
      <c r="E142" s="44">
        <v>0.01</v>
      </c>
      <c r="G142" s="106"/>
      <c r="M142" s="43"/>
      <c r="N142" s="41" t="s">
        <v>760</v>
      </c>
      <c r="O142" s="41" t="s">
        <v>782</v>
      </c>
      <c r="P142" s="41" t="s">
        <v>794</v>
      </c>
    </row>
    <row r="143" spans="1:16">
      <c r="A143" s="7" t="s">
        <v>889</v>
      </c>
      <c r="B143" s="7" t="s">
        <v>761</v>
      </c>
      <c r="C143" s="7" t="s">
        <v>382</v>
      </c>
      <c r="D143" s="197" t="s">
        <v>869</v>
      </c>
      <c r="E143" s="44">
        <v>0.01</v>
      </c>
      <c r="G143" s="106"/>
      <c r="M143" s="43"/>
      <c r="N143" s="41" t="s">
        <v>760</v>
      </c>
      <c r="O143" s="41" t="s">
        <v>782</v>
      </c>
      <c r="P143" s="41" t="s">
        <v>794</v>
      </c>
    </row>
    <row r="144" spans="1:16">
      <c r="A144" s="7" t="s">
        <v>890</v>
      </c>
      <c r="B144" s="7" t="s">
        <v>761</v>
      </c>
      <c r="C144" s="7" t="s">
        <v>382</v>
      </c>
      <c r="D144" s="197" t="s">
        <v>869</v>
      </c>
      <c r="E144" s="44">
        <v>0.01</v>
      </c>
      <c r="G144" s="106"/>
      <c r="M144" s="43"/>
      <c r="N144" s="41" t="s">
        <v>760</v>
      </c>
      <c r="O144" s="41" t="s">
        <v>782</v>
      </c>
      <c r="P144" s="41" t="s">
        <v>794</v>
      </c>
    </row>
    <row r="145" spans="1:18">
      <c r="A145" s="7" t="s">
        <v>891</v>
      </c>
      <c r="B145" s="7" t="s">
        <v>761</v>
      </c>
      <c r="C145" s="7" t="s">
        <v>796</v>
      </c>
      <c r="D145" s="197" t="s">
        <v>892</v>
      </c>
      <c r="E145" s="43">
        <v>0.03</v>
      </c>
      <c r="F145" s="104">
        <v>0</v>
      </c>
      <c r="J145" s="106">
        <v>0.02</v>
      </c>
      <c r="N145" s="41" t="s">
        <v>787</v>
      </c>
      <c r="O145" s="41" t="s">
        <v>782</v>
      </c>
      <c r="P145" s="41" t="s">
        <v>794</v>
      </c>
    </row>
    <row r="146" spans="1:18">
      <c r="A146" s="7" t="s">
        <v>893</v>
      </c>
      <c r="B146" s="7" t="s">
        <v>826</v>
      </c>
      <c r="C146" s="7" t="s">
        <v>382</v>
      </c>
      <c r="D146" s="197" t="s">
        <v>892</v>
      </c>
      <c r="E146" s="44">
        <v>0</v>
      </c>
      <c r="F146" s="104">
        <v>0</v>
      </c>
      <c r="N146" s="41" t="s">
        <v>787</v>
      </c>
      <c r="O146" s="41" t="s">
        <v>782</v>
      </c>
      <c r="P146" s="41" t="s">
        <v>794</v>
      </c>
    </row>
    <row r="147" spans="1:18">
      <c r="A147" s="7" t="s">
        <v>894</v>
      </c>
      <c r="B147" s="7" t="s">
        <v>895</v>
      </c>
      <c r="C147" s="7" t="s">
        <v>382</v>
      </c>
      <c r="D147" s="196" t="s">
        <v>896</v>
      </c>
      <c r="E147" s="44">
        <v>3.0000000000000001E-3</v>
      </c>
      <c r="F147" s="104">
        <v>0</v>
      </c>
      <c r="N147" s="41" t="s">
        <v>787</v>
      </c>
      <c r="O147" s="41" t="s">
        <v>800</v>
      </c>
      <c r="P147" s="41" t="s">
        <v>756</v>
      </c>
    </row>
    <row r="148" spans="1:18">
      <c r="A148" s="7" t="s">
        <v>897</v>
      </c>
      <c r="B148" s="7" t="s">
        <v>898</v>
      </c>
      <c r="C148" s="7" t="s">
        <v>382</v>
      </c>
      <c r="D148" s="196" t="s">
        <v>896</v>
      </c>
      <c r="E148" s="44">
        <v>3.0000000000000001E-3</v>
      </c>
      <c r="F148" s="104">
        <v>0</v>
      </c>
      <c r="N148" s="41" t="s">
        <v>787</v>
      </c>
      <c r="O148" s="41" t="s">
        <v>800</v>
      </c>
      <c r="P148" s="41" t="s">
        <v>756</v>
      </c>
    </row>
    <row r="149" spans="1:18">
      <c r="A149" s="7" t="s">
        <v>899</v>
      </c>
      <c r="B149" s="7" t="s">
        <v>900</v>
      </c>
      <c r="C149" s="7" t="s">
        <v>382</v>
      </c>
      <c r="D149" s="196" t="s">
        <v>896</v>
      </c>
      <c r="E149" s="44">
        <v>3.0000000000000001E-3</v>
      </c>
      <c r="F149" s="104">
        <v>0</v>
      </c>
      <c r="N149" s="41" t="s">
        <v>787</v>
      </c>
      <c r="O149" s="41" t="s">
        <v>800</v>
      </c>
      <c r="P149" s="41" t="s">
        <v>756</v>
      </c>
    </row>
    <row r="150" spans="1:18">
      <c r="A150" s="7" t="s">
        <v>901</v>
      </c>
      <c r="B150" s="7" t="s">
        <v>832</v>
      </c>
      <c r="C150" s="7" t="s">
        <v>382</v>
      </c>
      <c r="D150" s="196" t="s">
        <v>896</v>
      </c>
      <c r="E150" s="44">
        <v>3.0000000000000001E-3</v>
      </c>
      <c r="F150" s="104">
        <v>0</v>
      </c>
      <c r="N150" s="41" t="s">
        <v>787</v>
      </c>
      <c r="O150" s="41" t="s">
        <v>800</v>
      </c>
      <c r="P150" s="41" t="s">
        <v>756</v>
      </c>
    </row>
    <row r="151" spans="1:18">
      <c r="A151" s="7" t="s">
        <v>902</v>
      </c>
      <c r="B151" s="7" t="s">
        <v>895</v>
      </c>
      <c r="C151" s="7" t="s">
        <v>382</v>
      </c>
      <c r="D151" s="196" t="s">
        <v>896</v>
      </c>
      <c r="E151" s="44">
        <v>3.0000000000000001E-3</v>
      </c>
      <c r="F151" s="104">
        <v>0</v>
      </c>
      <c r="N151" s="41" t="s">
        <v>787</v>
      </c>
      <c r="O151" s="41" t="s">
        <v>800</v>
      </c>
      <c r="P151" s="41" t="s">
        <v>756</v>
      </c>
    </row>
    <row r="152" spans="1:18">
      <c r="A152" s="7" t="s">
        <v>903</v>
      </c>
      <c r="B152" s="7" t="s">
        <v>791</v>
      </c>
      <c r="C152" s="7" t="s">
        <v>382</v>
      </c>
      <c r="D152" s="196" t="s">
        <v>896</v>
      </c>
      <c r="E152" s="44">
        <v>3.0000000000000001E-3</v>
      </c>
      <c r="F152" s="104">
        <v>0</v>
      </c>
      <c r="N152" s="41" t="s">
        <v>787</v>
      </c>
      <c r="O152" s="41" t="s">
        <v>800</v>
      </c>
      <c r="P152" s="41" t="s">
        <v>756</v>
      </c>
    </row>
    <row r="153" spans="1:18">
      <c r="A153" s="7" t="s">
        <v>904</v>
      </c>
      <c r="B153" s="7" t="s">
        <v>905</v>
      </c>
      <c r="C153" s="7" t="s">
        <v>382</v>
      </c>
      <c r="D153" s="196" t="s">
        <v>896</v>
      </c>
      <c r="E153" s="44">
        <v>3.0000000000000001E-3</v>
      </c>
      <c r="F153" s="104">
        <v>0</v>
      </c>
      <c r="N153" s="41" t="s">
        <v>787</v>
      </c>
      <c r="O153" s="41" t="s">
        <v>800</v>
      </c>
      <c r="P153" s="41" t="s">
        <v>756</v>
      </c>
    </row>
    <row r="154" spans="1:18" s="180" customFormat="1" ht="18.75" customHeight="1">
      <c r="A154" s="7" t="s">
        <v>906</v>
      </c>
      <c r="B154" s="7" t="s">
        <v>762</v>
      </c>
      <c r="C154" s="7" t="s">
        <v>382</v>
      </c>
      <c r="D154" s="196" t="s">
        <v>896</v>
      </c>
      <c r="E154" s="44">
        <v>3.0000000000000001E-3</v>
      </c>
      <c r="F154" s="104">
        <v>0</v>
      </c>
      <c r="G154" s="105"/>
      <c r="H154" s="106"/>
      <c r="I154" s="106"/>
      <c r="J154" s="106"/>
      <c r="K154" s="106"/>
      <c r="L154" s="104"/>
      <c r="M154" s="7"/>
      <c r="N154" s="41" t="s">
        <v>787</v>
      </c>
      <c r="O154" s="41" t="s">
        <v>800</v>
      </c>
      <c r="P154" s="41" t="s">
        <v>756</v>
      </c>
      <c r="Q154" s="103"/>
      <c r="R154" s="103"/>
    </row>
    <row r="155" spans="1:18" s="180" customFormat="1" ht="18.75" customHeight="1">
      <c r="A155" s="7" t="s">
        <v>907</v>
      </c>
      <c r="B155" s="7" t="s">
        <v>762</v>
      </c>
      <c r="C155" s="7" t="s">
        <v>382</v>
      </c>
      <c r="D155" s="196" t="s">
        <v>896</v>
      </c>
      <c r="E155" s="44">
        <v>3.0000000000000001E-3</v>
      </c>
      <c r="F155" s="104">
        <v>0</v>
      </c>
      <c r="G155" s="105"/>
      <c r="H155" s="106"/>
      <c r="I155" s="106"/>
      <c r="J155" s="106"/>
      <c r="K155" s="106"/>
      <c r="L155" s="104"/>
      <c r="M155" s="7"/>
      <c r="N155" s="41" t="s">
        <v>787</v>
      </c>
      <c r="O155" s="41" t="s">
        <v>800</v>
      </c>
      <c r="P155" s="41" t="s">
        <v>756</v>
      </c>
      <c r="Q155" s="103"/>
      <c r="R155" s="103"/>
    </row>
    <row r="156" spans="1:18">
      <c r="A156" s="7" t="s">
        <v>908</v>
      </c>
      <c r="B156" s="7" t="s">
        <v>761</v>
      </c>
      <c r="C156" s="7" t="s">
        <v>382</v>
      </c>
      <c r="D156" s="196" t="s">
        <v>896</v>
      </c>
      <c r="E156" s="44">
        <v>3.0000000000000001E-3</v>
      </c>
      <c r="F156" s="104">
        <v>0</v>
      </c>
      <c r="N156" s="41" t="s">
        <v>787</v>
      </c>
      <c r="O156" s="41" t="s">
        <v>800</v>
      </c>
      <c r="P156" s="41" t="s">
        <v>756</v>
      </c>
    </row>
    <row r="157" spans="1:18">
      <c r="A157" s="7" t="s">
        <v>909</v>
      </c>
      <c r="B157" s="7" t="s">
        <v>910</v>
      </c>
      <c r="C157" s="7" t="s">
        <v>382</v>
      </c>
      <c r="D157" s="196" t="s">
        <v>896</v>
      </c>
      <c r="E157" s="44">
        <v>3.0000000000000001E-3</v>
      </c>
      <c r="F157" s="104">
        <v>0</v>
      </c>
      <c r="N157" s="41" t="s">
        <v>787</v>
      </c>
      <c r="O157" s="41" t="s">
        <v>800</v>
      </c>
      <c r="P157" s="41" t="s">
        <v>756</v>
      </c>
    </row>
    <row r="158" spans="1:18">
      <c r="A158" s="7" t="s">
        <v>911</v>
      </c>
      <c r="B158" s="7" t="s">
        <v>761</v>
      </c>
      <c r="C158" s="7" t="s">
        <v>382</v>
      </c>
      <c r="D158" s="196" t="s">
        <v>896</v>
      </c>
      <c r="E158" s="44">
        <v>3.0000000000000001E-3</v>
      </c>
      <c r="F158" s="104">
        <v>0</v>
      </c>
      <c r="N158" s="41" t="s">
        <v>787</v>
      </c>
      <c r="O158" s="41" t="s">
        <v>800</v>
      </c>
      <c r="P158" s="41" t="s">
        <v>756</v>
      </c>
    </row>
    <row r="159" spans="1:18">
      <c r="A159" s="7" t="s">
        <v>912</v>
      </c>
      <c r="B159" s="7" t="s">
        <v>762</v>
      </c>
      <c r="C159" s="7" t="s">
        <v>382</v>
      </c>
      <c r="D159" s="196" t="s">
        <v>896</v>
      </c>
      <c r="E159" s="44">
        <v>3.0000000000000001E-3</v>
      </c>
      <c r="F159" s="104">
        <v>0</v>
      </c>
      <c r="N159" s="41" t="s">
        <v>787</v>
      </c>
      <c r="O159" s="41" t="s">
        <v>800</v>
      </c>
      <c r="P159" s="41" t="s">
        <v>756</v>
      </c>
    </row>
    <row r="160" spans="1:18">
      <c r="A160" s="7" t="s">
        <v>913</v>
      </c>
      <c r="B160" s="7" t="s">
        <v>762</v>
      </c>
      <c r="C160" s="7" t="s">
        <v>382</v>
      </c>
      <c r="D160" s="196" t="s">
        <v>896</v>
      </c>
      <c r="E160" s="44">
        <v>3.0000000000000001E-3</v>
      </c>
      <c r="F160" s="104">
        <v>0</v>
      </c>
      <c r="N160" s="41" t="s">
        <v>787</v>
      </c>
      <c r="O160" s="41" t="s">
        <v>800</v>
      </c>
      <c r="P160" s="41" t="s">
        <v>756</v>
      </c>
    </row>
    <row r="161" spans="1:16">
      <c r="A161" s="7" t="s">
        <v>914</v>
      </c>
      <c r="B161" s="7" t="s">
        <v>761</v>
      </c>
      <c r="C161" s="7" t="s">
        <v>382</v>
      </c>
      <c r="D161" s="196" t="s">
        <v>896</v>
      </c>
      <c r="E161" s="44">
        <v>3.0000000000000001E-3</v>
      </c>
      <c r="F161" s="104">
        <v>0</v>
      </c>
      <c r="N161" s="41" t="s">
        <v>787</v>
      </c>
      <c r="O161" s="41" t="s">
        <v>800</v>
      </c>
      <c r="P161" s="41" t="s">
        <v>756</v>
      </c>
    </row>
    <row r="162" spans="1:16">
      <c r="A162" s="7" t="s">
        <v>915</v>
      </c>
      <c r="B162" s="7" t="s">
        <v>916</v>
      </c>
      <c r="C162" s="7" t="s">
        <v>382</v>
      </c>
      <c r="D162" s="196" t="s">
        <v>896</v>
      </c>
      <c r="E162" s="44">
        <v>3.0000000000000001E-3</v>
      </c>
      <c r="F162" s="104">
        <v>0</v>
      </c>
      <c r="N162" s="41" t="s">
        <v>787</v>
      </c>
      <c r="O162" s="41" t="s">
        <v>800</v>
      </c>
      <c r="P162" s="41" t="s">
        <v>756</v>
      </c>
    </row>
    <row r="163" spans="1:16">
      <c r="A163" s="7" t="s">
        <v>917</v>
      </c>
      <c r="B163" s="7" t="s">
        <v>761</v>
      </c>
      <c r="C163" s="7" t="s">
        <v>382</v>
      </c>
      <c r="D163" s="196" t="s">
        <v>896</v>
      </c>
      <c r="E163" s="44">
        <v>3.0000000000000001E-3</v>
      </c>
      <c r="F163" s="104">
        <v>0</v>
      </c>
      <c r="N163" s="41" t="s">
        <v>787</v>
      </c>
      <c r="O163" s="41" t="s">
        <v>800</v>
      </c>
      <c r="P163" s="41" t="s">
        <v>756</v>
      </c>
    </row>
    <row r="164" spans="1:16">
      <c r="A164" s="7" t="s">
        <v>918</v>
      </c>
      <c r="B164" s="7" t="s">
        <v>919</v>
      </c>
      <c r="C164" s="7" t="s">
        <v>382</v>
      </c>
      <c r="D164" s="196" t="s">
        <v>896</v>
      </c>
      <c r="E164" s="44">
        <v>3.0000000000000001E-3</v>
      </c>
      <c r="F164" s="104">
        <v>0</v>
      </c>
      <c r="N164" s="41" t="s">
        <v>787</v>
      </c>
      <c r="O164" s="41" t="s">
        <v>800</v>
      </c>
      <c r="P164" s="41" t="s">
        <v>756</v>
      </c>
    </row>
    <row r="165" spans="1:16">
      <c r="A165" s="7" t="s">
        <v>920</v>
      </c>
      <c r="B165" s="7" t="s">
        <v>762</v>
      </c>
      <c r="C165" s="7" t="s">
        <v>382</v>
      </c>
      <c r="D165" s="196" t="s">
        <v>896</v>
      </c>
      <c r="E165" s="44">
        <v>3.0000000000000001E-3</v>
      </c>
      <c r="F165" s="104">
        <v>0</v>
      </c>
      <c r="N165" s="41" t="s">
        <v>787</v>
      </c>
      <c r="O165" s="41" t="s">
        <v>800</v>
      </c>
      <c r="P165" s="41" t="s">
        <v>756</v>
      </c>
    </row>
    <row r="166" spans="1:16">
      <c r="A166" s="7" t="s">
        <v>921</v>
      </c>
      <c r="B166" s="7" t="s">
        <v>895</v>
      </c>
      <c r="C166" s="7" t="s">
        <v>382</v>
      </c>
      <c r="D166" s="196" t="s">
        <v>896</v>
      </c>
      <c r="E166" s="44">
        <v>3.0000000000000001E-3</v>
      </c>
      <c r="F166" s="104">
        <v>0</v>
      </c>
      <c r="N166" s="41" t="s">
        <v>787</v>
      </c>
      <c r="O166" s="41" t="s">
        <v>800</v>
      </c>
      <c r="P166" s="41" t="s">
        <v>756</v>
      </c>
    </row>
    <row r="167" spans="1:16">
      <c r="A167" s="7" t="s">
        <v>922</v>
      </c>
      <c r="B167" s="7" t="s">
        <v>895</v>
      </c>
      <c r="C167" s="7" t="s">
        <v>382</v>
      </c>
      <c r="D167" s="196" t="s">
        <v>896</v>
      </c>
      <c r="E167" s="44">
        <v>3.0000000000000001E-3</v>
      </c>
      <c r="F167" s="104">
        <v>0</v>
      </c>
      <c r="N167" s="41" t="s">
        <v>787</v>
      </c>
      <c r="O167" s="41" t="s">
        <v>800</v>
      </c>
      <c r="P167" s="41" t="s">
        <v>756</v>
      </c>
    </row>
    <row r="168" spans="1:16">
      <c r="A168" s="7" t="s">
        <v>614</v>
      </c>
      <c r="B168" s="7" t="s">
        <v>910</v>
      </c>
      <c r="C168" s="7" t="s">
        <v>382</v>
      </c>
      <c r="D168" s="196" t="s">
        <v>896</v>
      </c>
      <c r="E168" s="44">
        <v>3.0000000000000001E-3</v>
      </c>
      <c r="F168" s="104">
        <v>0</v>
      </c>
      <c r="N168" s="41" t="s">
        <v>787</v>
      </c>
      <c r="O168" s="41" t="s">
        <v>800</v>
      </c>
      <c r="P168" s="41" t="s">
        <v>756</v>
      </c>
    </row>
    <row r="169" spans="1:16">
      <c r="A169" s="7" t="s">
        <v>923</v>
      </c>
      <c r="B169" s="7" t="s">
        <v>762</v>
      </c>
      <c r="C169" s="7" t="s">
        <v>382</v>
      </c>
      <c r="D169" s="196" t="s">
        <v>896</v>
      </c>
      <c r="E169" s="44">
        <v>3.0000000000000001E-3</v>
      </c>
      <c r="F169" s="104">
        <v>0</v>
      </c>
      <c r="N169" s="41" t="s">
        <v>787</v>
      </c>
      <c r="O169" s="41" t="s">
        <v>800</v>
      </c>
      <c r="P169" s="41" t="s">
        <v>756</v>
      </c>
    </row>
    <row r="170" spans="1:16">
      <c r="A170" s="7" t="s">
        <v>924</v>
      </c>
      <c r="B170" s="7" t="s">
        <v>761</v>
      </c>
      <c r="C170" s="7" t="s">
        <v>382</v>
      </c>
      <c r="D170" s="196" t="s">
        <v>896</v>
      </c>
      <c r="E170" s="44">
        <v>3.0000000000000001E-3</v>
      </c>
      <c r="F170" s="104">
        <v>0</v>
      </c>
      <c r="N170" s="41" t="s">
        <v>787</v>
      </c>
      <c r="O170" s="41" t="s">
        <v>800</v>
      </c>
      <c r="P170" s="41" t="s">
        <v>756</v>
      </c>
    </row>
    <row r="171" spans="1:16">
      <c r="A171" s="7" t="s">
        <v>925</v>
      </c>
      <c r="B171" s="7" t="s">
        <v>93</v>
      </c>
      <c r="C171" s="7" t="s">
        <v>382</v>
      </c>
      <c r="D171" s="196" t="s">
        <v>896</v>
      </c>
      <c r="E171" s="44">
        <v>3.0000000000000001E-3</v>
      </c>
      <c r="F171" s="104">
        <v>0</v>
      </c>
      <c r="N171" s="41" t="s">
        <v>787</v>
      </c>
      <c r="O171" s="41" t="s">
        <v>800</v>
      </c>
      <c r="P171" s="41" t="s">
        <v>756</v>
      </c>
    </row>
    <row r="172" spans="1:16">
      <c r="A172" s="7" t="s">
        <v>926</v>
      </c>
      <c r="B172" s="7" t="s">
        <v>905</v>
      </c>
      <c r="C172" s="7" t="s">
        <v>382</v>
      </c>
      <c r="D172" s="196" t="s">
        <v>896</v>
      </c>
      <c r="E172" s="44">
        <v>3.0000000000000001E-3</v>
      </c>
      <c r="F172" s="104">
        <v>0</v>
      </c>
      <c r="N172" s="41" t="s">
        <v>787</v>
      </c>
      <c r="O172" s="41" t="s">
        <v>800</v>
      </c>
      <c r="P172" s="41" t="s">
        <v>756</v>
      </c>
    </row>
    <row r="173" spans="1:16">
      <c r="A173" s="7" t="s">
        <v>927</v>
      </c>
      <c r="B173" s="7" t="s">
        <v>832</v>
      </c>
      <c r="C173" s="7" t="s">
        <v>382</v>
      </c>
      <c r="D173" s="196" t="s">
        <v>896</v>
      </c>
      <c r="E173" s="44">
        <v>3.0000000000000001E-3</v>
      </c>
      <c r="F173" s="104">
        <v>0</v>
      </c>
      <c r="N173" s="41" t="s">
        <v>787</v>
      </c>
      <c r="O173" s="41" t="s">
        <v>800</v>
      </c>
      <c r="P173" s="41" t="s">
        <v>756</v>
      </c>
    </row>
    <row r="174" spans="1:16">
      <c r="A174" s="7" t="s">
        <v>928</v>
      </c>
      <c r="B174" s="7" t="s">
        <v>761</v>
      </c>
      <c r="C174" s="7" t="s">
        <v>382</v>
      </c>
      <c r="D174" s="196" t="s">
        <v>896</v>
      </c>
      <c r="E174" s="44">
        <v>0</v>
      </c>
      <c r="F174" s="104">
        <v>0</v>
      </c>
      <c r="G174" s="106">
        <v>-2.5000000000000001E-3</v>
      </c>
      <c r="N174" s="41" t="s">
        <v>787</v>
      </c>
      <c r="O174" s="41" t="s">
        <v>800</v>
      </c>
      <c r="P174" s="41" t="s">
        <v>756</v>
      </c>
    </row>
    <row r="175" spans="1:16">
      <c r="A175" s="7" t="s">
        <v>615</v>
      </c>
      <c r="B175" s="7" t="s">
        <v>761</v>
      </c>
      <c r="C175" s="7" t="s">
        <v>382</v>
      </c>
      <c r="D175" s="196" t="s">
        <v>896</v>
      </c>
      <c r="E175" s="44">
        <v>0</v>
      </c>
      <c r="F175" s="104">
        <v>0</v>
      </c>
      <c r="G175" s="106">
        <v>-2.5000000000000001E-3</v>
      </c>
      <c r="N175" s="41" t="s">
        <v>787</v>
      </c>
      <c r="O175" s="41" t="s">
        <v>800</v>
      </c>
      <c r="P175" s="41" t="s">
        <v>756</v>
      </c>
    </row>
    <row r="176" spans="1:16">
      <c r="A176" s="7" t="s">
        <v>896</v>
      </c>
      <c r="B176" s="7" t="s">
        <v>93</v>
      </c>
      <c r="C176" s="7" t="s">
        <v>382</v>
      </c>
      <c r="D176" s="196" t="s">
        <v>896</v>
      </c>
      <c r="E176" s="44">
        <v>0</v>
      </c>
      <c r="F176" s="104">
        <v>0</v>
      </c>
      <c r="G176" s="106">
        <v>-2.5000000000000001E-3</v>
      </c>
      <c r="M176" s="43"/>
      <c r="N176" s="41" t="s">
        <v>787</v>
      </c>
      <c r="O176" s="41" t="s">
        <v>800</v>
      </c>
      <c r="P176" s="41" t="s">
        <v>756</v>
      </c>
    </row>
    <row r="177" spans="1:16">
      <c r="A177" s="7" t="s">
        <v>613</v>
      </c>
      <c r="B177" s="7" t="s">
        <v>93</v>
      </c>
      <c r="C177" s="7" t="s">
        <v>382</v>
      </c>
      <c r="D177" s="196" t="s">
        <v>896</v>
      </c>
      <c r="E177" s="44">
        <v>0</v>
      </c>
      <c r="F177" s="104">
        <v>0</v>
      </c>
      <c r="G177" s="106">
        <v>-2.5000000000000001E-3</v>
      </c>
      <c r="M177" s="43"/>
      <c r="N177" s="41" t="s">
        <v>787</v>
      </c>
      <c r="O177" s="41" t="s">
        <v>800</v>
      </c>
      <c r="P177" s="41" t="s">
        <v>756</v>
      </c>
    </row>
    <row r="178" spans="1:16">
      <c r="A178" s="7" t="s">
        <v>612</v>
      </c>
      <c r="B178" s="7" t="s">
        <v>93</v>
      </c>
      <c r="C178" s="7" t="s">
        <v>382</v>
      </c>
      <c r="D178" s="196" t="s">
        <v>896</v>
      </c>
      <c r="E178" s="44">
        <v>0</v>
      </c>
      <c r="F178" s="104">
        <v>0</v>
      </c>
      <c r="G178" s="106">
        <v>-2.5000000000000001E-3</v>
      </c>
      <c r="M178" s="43"/>
      <c r="N178" s="41" t="s">
        <v>787</v>
      </c>
      <c r="O178" s="41" t="s">
        <v>800</v>
      </c>
      <c r="P178" s="41" t="s">
        <v>756</v>
      </c>
    </row>
    <row r="179" spans="1:16">
      <c r="A179" s="7" t="s">
        <v>929</v>
      </c>
      <c r="B179" s="7" t="s">
        <v>761</v>
      </c>
      <c r="C179" s="7" t="s">
        <v>382</v>
      </c>
      <c r="D179" s="197" t="s">
        <v>929</v>
      </c>
      <c r="E179" s="44">
        <v>0</v>
      </c>
      <c r="G179" s="106">
        <v>-7.4999999999999997E-3</v>
      </c>
      <c r="N179" s="41" t="s">
        <v>760</v>
      </c>
      <c r="O179" s="41" t="s">
        <v>782</v>
      </c>
      <c r="P179" s="41" t="s">
        <v>794</v>
      </c>
    </row>
    <row r="180" spans="1:16">
      <c r="A180" s="7" t="s">
        <v>930</v>
      </c>
      <c r="B180" s="7" t="s">
        <v>758</v>
      </c>
      <c r="C180" s="7" t="s">
        <v>796</v>
      </c>
      <c r="D180" s="197" t="s">
        <v>929</v>
      </c>
      <c r="E180" s="44">
        <v>1.4999999999999999E-2</v>
      </c>
      <c r="F180" s="104">
        <v>0.15</v>
      </c>
      <c r="G180" s="106"/>
      <c r="N180" s="41" t="s">
        <v>760</v>
      </c>
      <c r="O180" s="41" t="s">
        <v>782</v>
      </c>
      <c r="P180" s="41" t="s">
        <v>794</v>
      </c>
    </row>
    <row r="181" spans="1:16">
      <c r="A181" s="7" t="s">
        <v>607</v>
      </c>
      <c r="B181" s="7" t="s">
        <v>761</v>
      </c>
      <c r="C181" s="7" t="s">
        <v>796</v>
      </c>
      <c r="D181" s="197" t="s">
        <v>929</v>
      </c>
      <c r="E181" s="44"/>
      <c r="G181" s="106"/>
      <c r="N181" s="41" t="s">
        <v>760</v>
      </c>
      <c r="O181" s="41" t="s">
        <v>782</v>
      </c>
      <c r="P181" s="41" t="s">
        <v>794</v>
      </c>
    </row>
    <row r="182" spans="1:16">
      <c r="A182" s="7" t="s">
        <v>931</v>
      </c>
      <c r="B182" s="7" t="s">
        <v>762</v>
      </c>
      <c r="C182" s="7" t="s">
        <v>796</v>
      </c>
      <c r="D182" s="197" t="s">
        <v>931</v>
      </c>
      <c r="E182" s="44">
        <v>1.4999999999999999E-2</v>
      </c>
      <c r="F182" s="104">
        <v>0.15</v>
      </c>
      <c r="G182" s="106"/>
      <c r="N182" s="41" t="s">
        <v>760</v>
      </c>
      <c r="O182" s="41" t="s">
        <v>782</v>
      </c>
      <c r="P182" s="41" t="s">
        <v>794</v>
      </c>
    </row>
    <row r="183" spans="1:16">
      <c r="A183" s="7" t="s">
        <v>520</v>
      </c>
      <c r="B183" s="7" t="s">
        <v>932</v>
      </c>
      <c r="C183" s="7" t="s">
        <v>382</v>
      </c>
      <c r="D183" s="197" t="s">
        <v>931</v>
      </c>
      <c r="E183" s="44">
        <v>1.4999999999999999E-2</v>
      </c>
      <c r="F183" s="104">
        <v>0.15</v>
      </c>
      <c r="G183" s="106"/>
      <c r="N183" s="41" t="s">
        <v>760</v>
      </c>
      <c r="O183" s="41" t="s">
        <v>782</v>
      </c>
      <c r="P183" s="41" t="s">
        <v>794</v>
      </c>
    </row>
    <row r="184" spans="1:16">
      <c r="A184" s="7" t="s">
        <v>933</v>
      </c>
      <c r="B184" s="7" t="s">
        <v>916</v>
      </c>
      <c r="C184" s="7" t="s">
        <v>382</v>
      </c>
      <c r="D184" s="197" t="s">
        <v>931</v>
      </c>
      <c r="E184" s="44">
        <v>5.0000000000000001E-3</v>
      </c>
      <c r="G184" s="106"/>
      <c r="N184" s="41" t="s">
        <v>760</v>
      </c>
      <c r="O184" s="41" t="s">
        <v>782</v>
      </c>
      <c r="P184" s="41" t="s">
        <v>794</v>
      </c>
    </row>
    <row r="185" spans="1:16">
      <c r="A185" s="7" t="s">
        <v>608</v>
      </c>
      <c r="B185" s="7" t="s">
        <v>761</v>
      </c>
      <c r="C185" s="7" t="s">
        <v>382</v>
      </c>
      <c r="D185" s="197" t="s">
        <v>931</v>
      </c>
      <c r="E185" s="44">
        <v>0</v>
      </c>
      <c r="F185" s="104">
        <v>0.15</v>
      </c>
      <c r="G185" s="106">
        <v>-7.4999999999999997E-3</v>
      </c>
      <c r="N185" s="41" t="s">
        <v>760</v>
      </c>
      <c r="O185" s="41" t="s">
        <v>782</v>
      </c>
      <c r="P185" s="41" t="s">
        <v>794</v>
      </c>
    </row>
    <row r="186" spans="1:16">
      <c r="A186" s="7" t="s">
        <v>934</v>
      </c>
      <c r="B186" s="7" t="s">
        <v>761</v>
      </c>
      <c r="C186" s="7" t="s">
        <v>382</v>
      </c>
      <c r="D186" s="197" t="s">
        <v>931</v>
      </c>
      <c r="E186" s="44">
        <v>0</v>
      </c>
      <c r="F186" s="104">
        <v>0.15</v>
      </c>
      <c r="G186" s="106">
        <v>-7.4999999999999997E-3</v>
      </c>
      <c r="M186" s="87"/>
      <c r="N186" s="41" t="s">
        <v>862</v>
      </c>
      <c r="O186" s="41" t="s">
        <v>782</v>
      </c>
      <c r="P186" s="41" t="s">
        <v>794</v>
      </c>
    </row>
    <row r="187" spans="1:16">
      <c r="A187" s="7" t="s">
        <v>935</v>
      </c>
      <c r="B187" s="7" t="s">
        <v>761</v>
      </c>
      <c r="C187" s="7" t="s">
        <v>796</v>
      </c>
      <c r="D187" s="197" t="s">
        <v>931</v>
      </c>
      <c r="E187" s="43">
        <v>1.4999999999999999E-2</v>
      </c>
      <c r="F187" s="104">
        <v>0.15</v>
      </c>
      <c r="G187" s="106">
        <v>-7.4999999999999997E-3</v>
      </c>
      <c r="M187" s="87"/>
      <c r="N187" s="41" t="s">
        <v>862</v>
      </c>
      <c r="O187" s="41" t="s">
        <v>782</v>
      </c>
      <c r="P187" s="41" t="s">
        <v>794</v>
      </c>
    </row>
    <row r="188" spans="1:16">
      <c r="A188" s="7" t="s">
        <v>936</v>
      </c>
      <c r="B188" s="7" t="s">
        <v>758</v>
      </c>
      <c r="C188" s="7" t="s">
        <v>796</v>
      </c>
      <c r="D188" s="197" t="s">
        <v>931</v>
      </c>
      <c r="E188" s="43">
        <v>1.4999999999999999E-2</v>
      </c>
      <c r="F188" s="104">
        <v>0.15</v>
      </c>
      <c r="G188" s="106">
        <v>-7.4999999999999997E-3</v>
      </c>
      <c r="M188" s="87"/>
      <c r="N188" s="41" t="s">
        <v>862</v>
      </c>
      <c r="O188" s="41" t="s">
        <v>782</v>
      </c>
      <c r="P188" s="41" t="s">
        <v>794</v>
      </c>
    </row>
    <row r="189" spans="1:16">
      <c r="A189" s="7" t="s">
        <v>522</v>
      </c>
      <c r="B189" s="7" t="s">
        <v>761</v>
      </c>
      <c r="C189" s="7" t="s">
        <v>382</v>
      </c>
      <c r="D189" s="197" t="s">
        <v>931</v>
      </c>
      <c r="E189" s="44">
        <v>0</v>
      </c>
      <c r="F189" s="104">
        <v>0.15</v>
      </c>
      <c r="G189" s="106">
        <v>-7.4999999999999997E-3</v>
      </c>
      <c r="M189" s="87"/>
      <c r="N189" s="41" t="s">
        <v>862</v>
      </c>
      <c r="O189" s="41" t="s">
        <v>782</v>
      </c>
      <c r="P189" s="41" t="s">
        <v>794</v>
      </c>
    </row>
    <row r="190" spans="1:16">
      <c r="A190" s="7" t="s">
        <v>937</v>
      </c>
      <c r="B190" s="7" t="s">
        <v>761</v>
      </c>
      <c r="C190" s="7" t="s">
        <v>382</v>
      </c>
      <c r="D190" s="197" t="s">
        <v>931</v>
      </c>
      <c r="E190" s="44">
        <v>0</v>
      </c>
      <c r="F190" s="104">
        <v>0.15</v>
      </c>
      <c r="G190" s="106">
        <v>-7.4999999999999997E-3</v>
      </c>
      <c r="M190" s="87"/>
      <c r="N190" s="41" t="s">
        <v>787</v>
      </c>
      <c r="O190" s="41" t="s">
        <v>782</v>
      </c>
      <c r="P190" s="41" t="s">
        <v>794</v>
      </c>
    </row>
    <row r="191" spans="1:16">
      <c r="A191" s="7" t="s">
        <v>938</v>
      </c>
      <c r="B191" s="7" t="s">
        <v>86</v>
      </c>
      <c r="C191" s="7" t="s">
        <v>382</v>
      </c>
      <c r="D191" s="197" t="s">
        <v>931</v>
      </c>
      <c r="E191" s="44"/>
      <c r="G191" s="106"/>
      <c r="M191" s="87"/>
      <c r="N191" s="41" t="s">
        <v>787</v>
      </c>
      <c r="O191" s="41" t="s">
        <v>782</v>
      </c>
      <c r="P191" s="41" t="s">
        <v>794</v>
      </c>
    </row>
    <row r="192" spans="1:16">
      <c r="A192" s="7" t="s">
        <v>939</v>
      </c>
      <c r="B192" s="7" t="s">
        <v>758</v>
      </c>
      <c r="C192" s="7" t="s">
        <v>796</v>
      </c>
      <c r="D192" s="196" t="s">
        <v>940</v>
      </c>
      <c r="E192" s="43">
        <v>0.01</v>
      </c>
      <c r="F192" s="104">
        <v>0.15</v>
      </c>
      <c r="G192" s="106">
        <v>-5.0000000000000001E-4</v>
      </c>
      <c r="M192" s="43"/>
      <c r="N192" s="41" t="s">
        <v>760</v>
      </c>
      <c r="O192" s="41" t="s">
        <v>820</v>
      </c>
      <c r="P192" s="41" t="s">
        <v>794</v>
      </c>
    </row>
    <row r="193" spans="1:18">
      <c r="A193" s="7" t="s">
        <v>941</v>
      </c>
      <c r="B193" s="7" t="s">
        <v>758</v>
      </c>
      <c r="C193" s="7" t="s">
        <v>796</v>
      </c>
      <c r="D193" s="196" t="s">
        <v>940</v>
      </c>
      <c r="E193" s="43">
        <v>0.01</v>
      </c>
      <c r="F193" s="104">
        <v>0.15</v>
      </c>
      <c r="G193" s="106">
        <v>-5.0000000000000001E-4</v>
      </c>
      <c r="M193" s="43"/>
      <c r="N193" s="41" t="s">
        <v>760</v>
      </c>
      <c r="O193" s="41" t="s">
        <v>820</v>
      </c>
      <c r="P193" s="41" t="s">
        <v>794</v>
      </c>
    </row>
    <row r="194" spans="1:18">
      <c r="A194" s="7" t="s">
        <v>942</v>
      </c>
      <c r="B194" s="7" t="s">
        <v>758</v>
      </c>
      <c r="C194" s="7" t="s">
        <v>796</v>
      </c>
      <c r="D194" s="196" t="s">
        <v>940</v>
      </c>
      <c r="E194" s="43">
        <v>1.4999999999999999E-2</v>
      </c>
      <c r="F194" s="104">
        <v>0.15</v>
      </c>
      <c r="G194" s="106">
        <v>-5.0000000000000001E-4</v>
      </c>
      <c r="M194" s="43"/>
      <c r="N194" s="41" t="s">
        <v>760</v>
      </c>
      <c r="O194" s="41" t="s">
        <v>820</v>
      </c>
      <c r="P194" s="41" t="s">
        <v>794</v>
      </c>
    </row>
    <row r="195" spans="1:18">
      <c r="A195" s="7" t="s">
        <v>943</v>
      </c>
      <c r="B195" s="7" t="s">
        <v>758</v>
      </c>
      <c r="C195" s="7" t="s">
        <v>796</v>
      </c>
      <c r="D195" s="196" t="s">
        <v>940</v>
      </c>
      <c r="E195" s="43">
        <v>1.4999999999999999E-2</v>
      </c>
      <c r="F195" s="104">
        <v>0.15</v>
      </c>
      <c r="G195" s="106">
        <v>-5.0000000000000001E-4</v>
      </c>
      <c r="M195" s="43"/>
      <c r="N195" s="41" t="s">
        <v>760</v>
      </c>
      <c r="O195" s="41" t="s">
        <v>820</v>
      </c>
      <c r="P195" s="41" t="s">
        <v>794</v>
      </c>
    </row>
    <row r="196" spans="1:18">
      <c r="A196" s="7" t="s">
        <v>944</v>
      </c>
      <c r="B196" s="7" t="s">
        <v>761</v>
      </c>
      <c r="C196" s="7" t="s">
        <v>382</v>
      </c>
      <c r="D196" s="196" t="s">
        <v>940</v>
      </c>
      <c r="E196" s="44">
        <v>0</v>
      </c>
      <c r="F196" s="104">
        <v>0</v>
      </c>
      <c r="G196" s="106">
        <v>-2.5000000000000001E-3</v>
      </c>
      <c r="M196" s="87"/>
      <c r="N196" s="41" t="s">
        <v>760</v>
      </c>
      <c r="O196" s="41" t="s">
        <v>820</v>
      </c>
      <c r="P196" s="41" t="s">
        <v>794</v>
      </c>
    </row>
    <row r="197" spans="1:18">
      <c r="A197" s="7" t="s">
        <v>945</v>
      </c>
      <c r="B197" s="7" t="s">
        <v>758</v>
      </c>
      <c r="C197" s="7" t="s">
        <v>772</v>
      </c>
      <c r="D197" s="7" t="s">
        <v>945</v>
      </c>
      <c r="E197" s="43">
        <v>1.2500000000000001E-2</v>
      </c>
      <c r="F197" s="104" t="s">
        <v>233</v>
      </c>
      <c r="G197" s="105" t="s">
        <v>233</v>
      </c>
      <c r="J197" s="106">
        <v>-0.25</v>
      </c>
      <c r="N197" s="41" t="s">
        <v>862</v>
      </c>
      <c r="O197" s="41" t="s">
        <v>946</v>
      </c>
      <c r="P197" s="41"/>
    </row>
    <row r="198" spans="1:18">
      <c r="A198" s="7" t="s">
        <v>947</v>
      </c>
      <c r="B198" s="7" t="s">
        <v>826</v>
      </c>
      <c r="C198" s="7" t="s">
        <v>382</v>
      </c>
      <c r="D198" s="7" t="s">
        <v>945</v>
      </c>
      <c r="E198" s="44">
        <v>0</v>
      </c>
      <c r="F198" s="104" t="s">
        <v>233</v>
      </c>
      <c r="G198" s="105" t="s">
        <v>233</v>
      </c>
      <c r="J198" s="128"/>
      <c r="N198" s="41" t="s">
        <v>862</v>
      </c>
      <c r="O198" s="41" t="s">
        <v>946</v>
      </c>
      <c r="P198" s="41"/>
    </row>
    <row r="199" spans="1:18">
      <c r="A199" s="7" t="s">
        <v>948</v>
      </c>
      <c r="B199" s="7" t="s">
        <v>826</v>
      </c>
      <c r="C199" s="7" t="s">
        <v>796</v>
      </c>
      <c r="D199" s="197" t="s">
        <v>949</v>
      </c>
      <c r="E199" s="43">
        <v>1.6E-2</v>
      </c>
      <c r="F199" s="104">
        <v>0.2</v>
      </c>
      <c r="J199" s="106">
        <v>0.05</v>
      </c>
      <c r="N199" s="41" t="s">
        <v>760</v>
      </c>
      <c r="O199" s="41" t="s">
        <v>782</v>
      </c>
      <c r="P199" s="41" t="s">
        <v>794</v>
      </c>
    </row>
    <row r="200" spans="1:18">
      <c r="A200" s="7" t="s">
        <v>819</v>
      </c>
      <c r="B200" s="7" t="s">
        <v>826</v>
      </c>
      <c r="C200" s="7" t="s">
        <v>382</v>
      </c>
      <c r="D200" s="197" t="s">
        <v>949</v>
      </c>
      <c r="E200" s="43">
        <v>0</v>
      </c>
      <c r="F200" s="104">
        <v>0</v>
      </c>
      <c r="G200" s="106">
        <v>1.5E-3</v>
      </c>
      <c r="N200" s="41" t="s">
        <v>760</v>
      </c>
      <c r="O200" s="41" t="s">
        <v>782</v>
      </c>
      <c r="P200" s="41" t="s">
        <v>794</v>
      </c>
    </row>
    <row r="201" spans="1:18">
      <c r="A201" s="7" t="s">
        <v>950</v>
      </c>
      <c r="B201" s="7" t="s">
        <v>761</v>
      </c>
      <c r="C201" s="7" t="s">
        <v>382</v>
      </c>
      <c r="D201" s="197" t="s">
        <v>951</v>
      </c>
      <c r="E201" s="43">
        <v>0</v>
      </c>
      <c r="F201" s="104">
        <v>0</v>
      </c>
      <c r="G201" s="106">
        <v>-2.5000000000000001E-3</v>
      </c>
      <c r="N201" s="41" t="s">
        <v>760</v>
      </c>
      <c r="O201" s="41" t="s">
        <v>782</v>
      </c>
      <c r="P201" s="41" t="s">
        <v>794</v>
      </c>
    </row>
    <row r="202" spans="1:18">
      <c r="A202" s="7" t="s">
        <v>952</v>
      </c>
      <c r="B202" s="7" t="s">
        <v>761</v>
      </c>
      <c r="C202" s="7" t="s">
        <v>796</v>
      </c>
      <c r="D202" s="197" t="s">
        <v>951</v>
      </c>
      <c r="E202" s="43">
        <v>1.4999999999999999E-2</v>
      </c>
      <c r="F202" s="104">
        <v>0</v>
      </c>
      <c r="G202" s="106">
        <v>-2.5000000000000001E-3</v>
      </c>
      <c r="N202" s="41" t="s">
        <v>760</v>
      </c>
      <c r="O202" s="41" t="s">
        <v>782</v>
      </c>
      <c r="P202" s="41" t="s">
        <v>794</v>
      </c>
    </row>
    <row r="203" spans="1:18">
      <c r="A203" s="7" t="s">
        <v>953</v>
      </c>
      <c r="B203" s="7" t="s">
        <v>761</v>
      </c>
      <c r="C203" s="7" t="s">
        <v>382</v>
      </c>
      <c r="D203" s="196" t="s">
        <v>861</v>
      </c>
      <c r="E203" s="43">
        <v>0</v>
      </c>
      <c r="F203" s="104">
        <v>0.15</v>
      </c>
      <c r="H203" s="106">
        <v>-2.5000000000000001E-3</v>
      </c>
      <c r="N203" s="41" t="s">
        <v>787</v>
      </c>
      <c r="O203" s="41" t="s">
        <v>782</v>
      </c>
      <c r="P203" s="41" t="s">
        <v>794</v>
      </c>
    </row>
    <row r="204" spans="1:18">
      <c r="A204" s="7" t="s">
        <v>954</v>
      </c>
      <c r="B204" s="7" t="s">
        <v>955</v>
      </c>
      <c r="C204" s="7" t="s">
        <v>796</v>
      </c>
      <c r="D204" s="196" t="s">
        <v>861</v>
      </c>
      <c r="E204" s="43">
        <v>1.4999999999999999E-2</v>
      </c>
      <c r="F204" s="104">
        <v>0.15</v>
      </c>
      <c r="H204" s="106">
        <v>-2.5000000000000001E-3</v>
      </c>
      <c r="N204" s="41" t="s">
        <v>787</v>
      </c>
      <c r="O204" s="41" t="s">
        <v>782</v>
      </c>
      <c r="P204" s="41" t="s">
        <v>794</v>
      </c>
    </row>
    <row r="205" spans="1:18">
      <c r="A205" s="7" t="s">
        <v>956</v>
      </c>
      <c r="B205" s="7" t="s">
        <v>761</v>
      </c>
      <c r="C205" s="7" t="s">
        <v>796</v>
      </c>
      <c r="D205" s="196" t="s">
        <v>811</v>
      </c>
      <c r="E205" s="43">
        <v>1.4999999999999999E-2</v>
      </c>
      <c r="F205" s="104">
        <v>0</v>
      </c>
      <c r="G205" s="106">
        <v>-9.4999999999999998E-3</v>
      </c>
      <c r="M205" s="43"/>
      <c r="N205" s="41" t="s">
        <v>760</v>
      </c>
      <c r="O205" s="41" t="s">
        <v>800</v>
      </c>
      <c r="P205" s="41" t="s">
        <v>794</v>
      </c>
    </row>
    <row r="206" spans="1:18">
      <c r="A206" s="7" t="s">
        <v>957</v>
      </c>
      <c r="B206" s="7" t="s">
        <v>761</v>
      </c>
      <c r="C206" s="7" t="s">
        <v>796</v>
      </c>
      <c r="D206" s="196" t="s">
        <v>958</v>
      </c>
      <c r="E206" s="43">
        <v>1.4999999999999999E-2</v>
      </c>
      <c r="F206" s="104">
        <v>0</v>
      </c>
      <c r="G206" s="106">
        <v>-5.0000000000000001E-4</v>
      </c>
      <c r="M206" s="43"/>
      <c r="N206" s="41" t="s">
        <v>760</v>
      </c>
      <c r="O206" s="41" t="s">
        <v>800</v>
      </c>
      <c r="P206" s="41" t="s">
        <v>794</v>
      </c>
    </row>
    <row r="207" spans="1:18">
      <c r="A207" s="7" t="s">
        <v>959</v>
      </c>
      <c r="B207" s="7" t="s">
        <v>761</v>
      </c>
      <c r="C207" s="7" t="s">
        <v>382</v>
      </c>
      <c r="D207" s="196" t="s">
        <v>958</v>
      </c>
      <c r="E207" s="43">
        <v>1.4999999999999999E-2</v>
      </c>
      <c r="F207" s="104">
        <v>0</v>
      </c>
      <c r="G207" s="106">
        <v>-5.0000000000000001E-4</v>
      </c>
      <c r="M207" s="43"/>
      <c r="N207" s="41" t="s">
        <v>760</v>
      </c>
      <c r="O207" s="41" t="s">
        <v>800</v>
      </c>
      <c r="P207" s="41" t="s">
        <v>794</v>
      </c>
      <c r="Q207" s="233" t="s">
        <v>801</v>
      </c>
      <c r="R207" s="233">
        <v>5.0000000000000001E-4</v>
      </c>
    </row>
    <row r="208" spans="1:18">
      <c r="A208" s="7" t="s">
        <v>960</v>
      </c>
      <c r="B208" s="7" t="s">
        <v>761</v>
      </c>
      <c r="C208" s="7" t="s">
        <v>382</v>
      </c>
      <c r="D208" s="196" t="s">
        <v>958</v>
      </c>
      <c r="E208" s="43">
        <v>0</v>
      </c>
      <c r="F208" s="104">
        <v>0</v>
      </c>
      <c r="G208" s="106">
        <v>-5.0000000000000001E-4</v>
      </c>
      <c r="M208" s="43"/>
      <c r="N208" s="41" t="s">
        <v>760</v>
      </c>
      <c r="O208" s="41" t="s">
        <v>800</v>
      </c>
      <c r="P208" s="41" t="s">
        <v>794</v>
      </c>
      <c r="Q208" s="233" t="s">
        <v>801</v>
      </c>
      <c r="R208" s="233">
        <v>5.0000000000000001E-4</v>
      </c>
    </row>
    <row r="209" spans="1:16">
      <c r="A209" s="7" t="s">
        <v>961</v>
      </c>
      <c r="B209" s="7" t="s">
        <v>758</v>
      </c>
      <c r="C209" s="7" t="s">
        <v>796</v>
      </c>
      <c r="D209" s="196" t="s">
        <v>962</v>
      </c>
      <c r="E209" s="43">
        <v>1.4999999999999999E-2</v>
      </c>
      <c r="F209" s="104">
        <v>0</v>
      </c>
      <c r="G209" s="106">
        <v>-5.0000000000000001E-4</v>
      </c>
      <c r="M209" s="43"/>
      <c r="N209" s="41" t="s">
        <v>760</v>
      </c>
      <c r="O209" s="41" t="s">
        <v>800</v>
      </c>
      <c r="P209" s="41" t="s">
        <v>756</v>
      </c>
    </row>
    <row r="210" spans="1:16">
      <c r="A210" s="7" t="s">
        <v>963</v>
      </c>
      <c r="B210" s="7" t="s">
        <v>761</v>
      </c>
      <c r="C210" s="7" t="s">
        <v>382</v>
      </c>
      <c r="D210" s="196" t="s">
        <v>962</v>
      </c>
      <c r="E210" s="43">
        <v>0</v>
      </c>
      <c r="F210" s="104">
        <v>0</v>
      </c>
      <c r="G210" s="106">
        <v>-5.0000000000000001E-4</v>
      </c>
      <c r="M210" s="43"/>
      <c r="N210" s="41" t="s">
        <v>760</v>
      </c>
      <c r="O210" s="41" t="s">
        <v>800</v>
      </c>
      <c r="P210" s="41" t="s">
        <v>756</v>
      </c>
    </row>
    <row r="211" spans="1:16">
      <c r="A211" s="7" t="s">
        <v>964</v>
      </c>
      <c r="B211" s="7" t="s">
        <v>758</v>
      </c>
      <c r="C211" s="7" t="s">
        <v>772</v>
      </c>
      <c r="D211" s="196" t="s">
        <v>964</v>
      </c>
      <c r="E211" s="43">
        <v>0.02</v>
      </c>
      <c r="F211" s="104">
        <v>0</v>
      </c>
      <c r="G211" s="104">
        <v>0</v>
      </c>
      <c r="J211" s="106">
        <v>-0.25</v>
      </c>
      <c r="N211" s="41" t="s">
        <v>862</v>
      </c>
      <c r="O211" s="41" t="s">
        <v>800</v>
      </c>
      <c r="P211" s="41" t="s">
        <v>756</v>
      </c>
    </row>
    <row r="212" spans="1:16">
      <c r="A212" s="7" t="s">
        <v>965</v>
      </c>
      <c r="B212" s="7" t="s">
        <v>826</v>
      </c>
      <c r="C212" s="7" t="s">
        <v>382</v>
      </c>
      <c r="D212" s="196" t="s">
        <v>964</v>
      </c>
      <c r="E212" s="43">
        <v>0.02</v>
      </c>
      <c r="F212" s="104">
        <v>0</v>
      </c>
      <c r="G212" s="104">
        <v>0</v>
      </c>
      <c r="N212" s="41" t="s">
        <v>862</v>
      </c>
      <c r="O212" s="41" t="s">
        <v>800</v>
      </c>
      <c r="P212" s="41" t="s">
        <v>756</v>
      </c>
    </row>
    <row r="213" spans="1:16">
      <c r="A213" s="7" t="s">
        <v>966</v>
      </c>
      <c r="B213" s="7" t="s">
        <v>762</v>
      </c>
      <c r="C213" s="7" t="s">
        <v>796</v>
      </c>
      <c r="D213" s="7" t="s">
        <v>967</v>
      </c>
      <c r="E213" s="43">
        <v>2.2499999999999999E-2</v>
      </c>
      <c r="F213" s="104">
        <v>0</v>
      </c>
      <c r="G213" s="104">
        <v>0</v>
      </c>
      <c r="J213" s="104">
        <v>0</v>
      </c>
      <c r="N213" s="41" t="s">
        <v>862</v>
      </c>
      <c r="O213" s="41"/>
      <c r="P213" s="41"/>
    </row>
    <row r="214" spans="1:16">
      <c r="A214" s="7" t="s">
        <v>372</v>
      </c>
      <c r="B214" s="7" t="s">
        <v>758</v>
      </c>
      <c r="C214" s="7" t="s">
        <v>796</v>
      </c>
      <c r="D214" s="196" t="s">
        <v>968</v>
      </c>
      <c r="E214" s="43">
        <v>1.4999999999999999E-2</v>
      </c>
      <c r="F214" s="104">
        <v>0</v>
      </c>
      <c r="G214" s="106">
        <v>-2.5000000000000001E-3</v>
      </c>
      <c r="M214" s="43"/>
      <c r="N214" s="41" t="s">
        <v>787</v>
      </c>
      <c r="O214" s="41" t="s">
        <v>800</v>
      </c>
      <c r="P214" s="41" t="s">
        <v>756</v>
      </c>
    </row>
    <row r="215" spans="1:16">
      <c r="A215" s="7" t="s">
        <v>968</v>
      </c>
      <c r="B215" s="7" t="s">
        <v>761</v>
      </c>
      <c r="C215" s="7" t="s">
        <v>382</v>
      </c>
      <c r="D215" s="196" t="s">
        <v>968</v>
      </c>
      <c r="E215" s="43">
        <v>1.4999999999999999E-2</v>
      </c>
      <c r="F215" s="104">
        <v>0</v>
      </c>
      <c r="G215" s="106">
        <v>-2.5000000000000001E-3</v>
      </c>
      <c r="M215" s="43"/>
      <c r="N215" s="41" t="s">
        <v>787</v>
      </c>
      <c r="O215" s="41" t="s">
        <v>800</v>
      </c>
      <c r="P215" s="41" t="s">
        <v>756</v>
      </c>
    </row>
    <row r="216" spans="1:16">
      <c r="A216" s="7" t="s">
        <v>969</v>
      </c>
      <c r="B216" s="7" t="s">
        <v>955</v>
      </c>
      <c r="C216" s="7" t="s">
        <v>796</v>
      </c>
      <c r="D216" s="196" t="s">
        <v>968</v>
      </c>
      <c r="E216" s="43">
        <v>1.4999999999999999E-2</v>
      </c>
      <c r="F216" s="104">
        <v>0</v>
      </c>
      <c r="G216" s="106">
        <v>-2.5000000000000001E-3</v>
      </c>
      <c r="M216" s="43"/>
      <c r="N216" s="41" t="s">
        <v>787</v>
      </c>
      <c r="O216" s="41" t="s">
        <v>800</v>
      </c>
      <c r="P216" s="41" t="s">
        <v>756</v>
      </c>
    </row>
    <row r="217" spans="1:16">
      <c r="A217" s="7" t="s">
        <v>970</v>
      </c>
      <c r="B217" s="7" t="s">
        <v>761</v>
      </c>
      <c r="C217" s="7" t="s">
        <v>772</v>
      </c>
      <c r="D217" s="196" t="s">
        <v>970</v>
      </c>
      <c r="E217" s="43">
        <v>0</v>
      </c>
      <c r="F217" s="155">
        <v>0</v>
      </c>
      <c r="G217" s="104">
        <v>0</v>
      </c>
      <c r="J217" s="106">
        <v>-0.25</v>
      </c>
      <c r="N217" s="41" t="s">
        <v>760</v>
      </c>
      <c r="O217" s="41" t="s">
        <v>946</v>
      </c>
      <c r="P217" s="41"/>
    </row>
    <row r="218" spans="1:16">
      <c r="A218" s="7" t="s">
        <v>971</v>
      </c>
      <c r="B218" s="7" t="s">
        <v>758</v>
      </c>
      <c r="C218" s="7" t="s">
        <v>772</v>
      </c>
      <c r="D218" s="196" t="s">
        <v>970</v>
      </c>
      <c r="E218" s="43">
        <v>0</v>
      </c>
      <c r="F218" s="104">
        <v>0</v>
      </c>
      <c r="G218" s="104">
        <v>0</v>
      </c>
      <c r="J218" s="106">
        <v>-0.25</v>
      </c>
      <c r="N218" s="41" t="s">
        <v>760</v>
      </c>
      <c r="O218" s="41" t="s">
        <v>946</v>
      </c>
      <c r="P218" s="41"/>
    </row>
    <row r="219" spans="1:16">
      <c r="A219" s="7" t="s">
        <v>972</v>
      </c>
      <c r="B219" s="7" t="s">
        <v>761</v>
      </c>
      <c r="C219" s="7" t="s">
        <v>382</v>
      </c>
      <c r="D219" s="7" t="s">
        <v>972</v>
      </c>
      <c r="E219" s="43">
        <v>0</v>
      </c>
      <c r="F219" s="104">
        <v>0</v>
      </c>
      <c r="G219" s="106">
        <v>-2.5000000000000001E-3</v>
      </c>
      <c r="M219" s="43"/>
      <c r="N219" s="41" t="s">
        <v>787</v>
      </c>
      <c r="O219" s="41"/>
      <c r="P219" s="41"/>
    </row>
    <row r="220" spans="1:16">
      <c r="A220" s="7" t="s">
        <v>973</v>
      </c>
      <c r="B220" s="7" t="s">
        <v>758</v>
      </c>
      <c r="C220" s="7" t="s">
        <v>796</v>
      </c>
      <c r="D220" s="7" t="s">
        <v>972</v>
      </c>
      <c r="E220" s="43">
        <v>1.4999999999999999E-2</v>
      </c>
      <c r="F220" s="104">
        <v>0</v>
      </c>
      <c r="G220" s="106">
        <v>-2.5000000000000001E-3</v>
      </c>
      <c r="M220" s="43"/>
      <c r="N220" s="41" t="s">
        <v>787</v>
      </c>
      <c r="O220" s="41"/>
      <c r="P220" s="41"/>
    </row>
    <row r="221" spans="1:16">
      <c r="A221" s="7" t="s">
        <v>974</v>
      </c>
      <c r="B221" s="7" t="s">
        <v>761</v>
      </c>
      <c r="C221" s="7" t="s">
        <v>796</v>
      </c>
      <c r="D221" s="197" t="s">
        <v>414</v>
      </c>
      <c r="E221" s="43">
        <v>5.0000000000000001E-3</v>
      </c>
      <c r="F221" s="104">
        <v>0</v>
      </c>
      <c r="G221" s="106">
        <v>-2.5000000000000001E-3</v>
      </c>
      <c r="M221" s="43"/>
      <c r="N221" s="41" t="s">
        <v>787</v>
      </c>
      <c r="O221" s="41" t="s">
        <v>820</v>
      </c>
      <c r="P221" s="41" t="s">
        <v>756</v>
      </c>
    </row>
    <row r="222" spans="1:16">
      <c r="A222" s="7" t="s">
        <v>975</v>
      </c>
      <c r="B222" s="7" t="s">
        <v>762</v>
      </c>
      <c r="C222" s="7" t="s">
        <v>796</v>
      </c>
      <c r="D222" s="197" t="s">
        <v>414</v>
      </c>
      <c r="E222" s="43">
        <v>5.0000000000000001E-3</v>
      </c>
      <c r="F222" s="104">
        <v>0</v>
      </c>
      <c r="G222" s="106">
        <v>-2.5000000000000001E-3</v>
      </c>
      <c r="M222" s="43"/>
      <c r="N222" s="41"/>
      <c r="O222" s="41" t="s">
        <v>820</v>
      </c>
      <c r="P222" s="41" t="s">
        <v>756</v>
      </c>
    </row>
    <row r="223" spans="1:16">
      <c r="A223" s="7" t="s">
        <v>976</v>
      </c>
      <c r="B223" s="7" t="s">
        <v>93</v>
      </c>
      <c r="C223" s="7" t="s">
        <v>382</v>
      </c>
      <c r="D223" s="197" t="s">
        <v>977</v>
      </c>
      <c r="E223" s="43">
        <v>0</v>
      </c>
      <c r="F223" s="104">
        <v>0</v>
      </c>
      <c r="G223" s="106">
        <v>-2.5000000000000001E-3</v>
      </c>
      <c r="M223" s="43"/>
      <c r="N223" s="41" t="s">
        <v>787</v>
      </c>
      <c r="O223" s="41" t="s">
        <v>790</v>
      </c>
      <c r="P223" s="41" t="s">
        <v>794</v>
      </c>
    </row>
    <row r="224" spans="1:16">
      <c r="A224" s="7" t="s">
        <v>978</v>
      </c>
      <c r="B224" s="7" t="s">
        <v>979</v>
      </c>
      <c r="C224" s="7" t="s">
        <v>796</v>
      </c>
      <c r="D224" s="197" t="s">
        <v>977</v>
      </c>
      <c r="E224" s="43">
        <v>0.01</v>
      </c>
      <c r="F224" s="104">
        <v>0</v>
      </c>
      <c r="G224" s="106">
        <v>-2.5000000000000001E-3</v>
      </c>
      <c r="M224" s="43"/>
      <c r="N224" s="41" t="s">
        <v>787</v>
      </c>
      <c r="O224" s="41" t="s">
        <v>790</v>
      </c>
      <c r="P224" s="41" t="s">
        <v>794</v>
      </c>
    </row>
    <row r="225" spans="1:16">
      <c r="A225" s="7" t="s">
        <v>980</v>
      </c>
      <c r="B225" s="7" t="s">
        <v>761</v>
      </c>
      <c r="C225" s="7" t="s">
        <v>382</v>
      </c>
      <c r="D225" s="197" t="s">
        <v>977</v>
      </c>
      <c r="E225" s="43">
        <v>2E-3</v>
      </c>
      <c r="G225" s="106">
        <v>-2.5000000000000001E-3</v>
      </c>
      <c r="M225" s="43"/>
      <c r="N225" s="41"/>
      <c r="O225" s="41" t="s">
        <v>790</v>
      </c>
      <c r="P225" s="41" t="s">
        <v>794</v>
      </c>
    </row>
    <row r="226" spans="1:16">
      <c r="A226" s="7" t="s">
        <v>393</v>
      </c>
      <c r="B226" s="7" t="s">
        <v>981</v>
      </c>
      <c r="C226" s="7" t="s">
        <v>382</v>
      </c>
      <c r="D226" s="197" t="s">
        <v>393</v>
      </c>
      <c r="G226" s="106"/>
      <c r="H226" s="106">
        <v>-2.5000000000000001E-3</v>
      </c>
      <c r="M226" s="87"/>
      <c r="N226" s="41" t="s">
        <v>787</v>
      </c>
      <c r="O226" s="41" t="s">
        <v>782</v>
      </c>
      <c r="P226" s="41" t="s">
        <v>794</v>
      </c>
    </row>
    <row r="227" spans="1:16">
      <c r="A227" s="7" t="s">
        <v>482</v>
      </c>
      <c r="B227" s="7" t="s">
        <v>758</v>
      </c>
      <c r="C227" s="7" t="s">
        <v>382</v>
      </c>
      <c r="D227" s="197" t="s">
        <v>393</v>
      </c>
      <c r="G227" s="106"/>
      <c r="M227" s="87"/>
      <c r="N227" s="41"/>
      <c r="O227" s="41" t="s">
        <v>782</v>
      </c>
      <c r="P227" s="41"/>
    </row>
    <row r="228" spans="1:16">
      <c r="A228" s="7" t="s">
        <v>393</v>
      </c>
      <c r="B228" s="7" t="s">
        <v>981</v>
      </c>
      <c r="C228" s="7" t="s">
        <v>796</v>
      </c>
      <c r="D228" s="197" t="s">
        <v>393</v>
      </c>
      <c r="G228" s="106"/>
      <c r="H228" s="106">
        <v>-2.5000000000000001E-3</v>
      </c>
      <c r="M228" s="87"/>
      <c r="N228" s="41" t="s">
        <v>787</v>
      </c>
      <c r="O228" s="41" t="s">
        <v>782</v>
      </c>
      <c r="P228" s="41" t="s">
        <v>794</v>
      </c>
    </row>
    <row r="229" spans="1:16">
      <c r="A229" s="7" t="s">
        <v>394</v>
      </c>
      <c r="B229" s="7" t="s">
        <v>758</v>
      </c>
      <c r="C229" s="7" t="s">
        <v>796</v>
      </c>
      <c r="D229" s="197" t="s">
        <v>393</v>
      </c>
      <c r="E229" s="43">
        <v>1.4999999999999999E-2</v>
      </c>
      <c r="H229" s="106">
        <v>-2.5000000000000001E-3</v>
      </c>
      <c r="N229" s="41" t="s">
        <v>787</v>
      </c>
      <c r="O229" s="41" t="s">
        <v>782</v>
      </c>
      <c r="P229" s="41" t="s">
        <v>794</v>
      </c>
    </row>
    <row r="230" spans="1:16">
      <c r="A230" s="7" t="s">
        <v>427</v>
      </c>
      <c r="B230" s="7" t="s">
        <v>758</v>
      </c>
      <c r="C230" s="7" t="s">
        <v>796</v>
      </c>
      <c r="D230" s="197" t="s">
        <v>393</v>
      </c>
      <c r="E230" s="43">
        <v>1.4999999999999999E-2</v>
      </c>
      <c r="H230" s="106">
        <v>-2.5000000000000001E-3</v>
      </c>
      <c r="N230" s="41" t="s">
        <v>787</v>
      </c>
      <c r="O230" s="41" t="s">
        <v>782</v>
      </c>
      <c r="P230" s="41" t="s">
        <v>794</v>
      </c>
    </row>
    <row r="231" spans="1:16">
      <c r="A231" s="7" t="s">
        <v>982</v>
      </c>
      <c r="B231" s="7" t="s">
        <v>758</v>
      </c>
      <c r="C231" s="7" t="s">
        <v>796</v>
      </c>
      <c r="D231" s="197" t="s">
        <v>393</v>
      </c>
      <c r="E231" s="43">
        <v>1.4999999999999999E-2</v>
      </c>
      <c r="H231" s="106">
        <v>-2.5000000000000001E-3</v>
      </c>
      <c r="N231" s="41" t="s">
        <v>787</v>
      </c>
      <c r="O231" s="41" t="s">
        <v>782</v>
      </c>
      <c r="P231" s="41" t="s">
        <v>794</v>
      </c>
    </row>
    <row r="232" spans="1:16">
      <c r="A232" s="7" t="s">
        <v>983</v>
      </c>
      <c r="B232" s="7" t="s">
        <v>758</v>
      </c>
      <c r="C232" s="7" t="s">
        <v>796</v>
      </c>
      <c r="D232" s="197" t="s">
        <v>393</v>
      </c>
      <c r="E232" s="43">
        <v>1.4999999999999999E-2</v>
      </c>
      <c r="H232" s="106">
        <v>-2.5000000000000001E-3</v>
      </c>
      <c r="N232" s="41" t="s">
        <v>787</v>
      </c>
      <c r="O232" s="41" t="s">
        <v>782</v>
      </c>
      <c r="P232" s="41" t="s">
        <v>794</v>
      </c>
    </row>
    <row r="233" spans="1:16">
      <c r="A233" s="7" t="s">
        <v>984</v>
      </c>
      <c r="B233" s="7" t="s">
        <v>758</v>
      </c>
      <c r="C233" s="7" t="s">
        <v>796</v>
      </c>
      <c r="D233" s="197" t="s">
        <v>393</v>
      </c>
      <c r="E233" s="43">
        <v>1.4999999999999999E-2</v>
      </c>
      <c r="H233" s="106">
        <v>-2.5000000000000001E-3</v>
      </c>
      <c r="N233" s="41" t="s">
        <v>787</v>
      </c>
      <c r="O233" s="41" t="s">
        <v>782</v>
      </c>
      <c r="P233" s="41" t="s">
        <v>794</v>
      </c>
    </row>
    <row r="234" spans="1:16">
      <c r="A234" s="7" t="s">
        <v>985</v>
      </c>
      <c r="B234" s="7" t="s">
        <v>758</v>
      </c>
      <c r="C234" s="7" t="s">
        <v>796</v>
      </c>
      <c r="D234" s="197" t="s">
        <v>393</v>
      </c>
      <c r="E234" s="43">
        <v>1.4999999999999999E-2</v>
      </c>
      <c r="H234" s="106">
        <v>-2.5000000000000001E-3</v>
      </c>
      <c r="N234" s="41" t="s">
        <v>787</v>
      </c>
      <c r="O234" s="41" t="s">
        <v>782</v>
      </c>
      <c r="P234" s="41" t="s">
        <v>794</v>
      </c>
    </row>
    <row r="235" spans="1:16">
      <c r="A235" s="7" t="s">
        <v>480</v>
      </c>
      <c r="B235" s="7" t="s">
        <v>86</v>
      </c>
      <c r="C235" s="7" t="s">
        <v>796</v>
      </c>
      <c r="D235" s="197" t="s">
        <v>393</v>
      </c>
      <c r="E235" s="43">
        <v>1.4999999999999999E-2</v>
      </c>
      <c r="H235" s="106">
        <v>-2.5000000000000001E-3</v>
      </c>
      <c r="N235" s="41" t="s">
        <v>787</v>
      </c>
      <c r="O235" s="41" t="s">
        <v>782</v>
      </c>
      <c r="P235" s="41" t="s">
        <v>794</v>
      </c>
    </row>
    <row r="236" spans="1:16">
      <c r="A236" s="7" t="s">
        <v>554</v>
      </c>
      <c r="B236" s="7" t="s">
        <v>758</v>
      </c>
      <c r="C236" s="7" t="s">
        <v>796</v>
      </c>
      <c r="D236" s="197" t="s">
        <v>393</v>
      </c>
      <c r="E236" s="43">
        <v>1.4999999999999999E-2</v>
      </c>
      <c r="H236" s="106">
        <v>-2.5000000000000001E-3</v>
      </c>
      <c r="N236" s="41" t="s">
        <v>787</v>
      </c>
      <c r="O236" s="41" t="s">
        <v>782</v>
      </c>
      <c r="P236" s="41" t="s">
        <v>794</v>
      </c>
    </row>
    <row r="237" spans="1:16">
      <c r="A237" s="7" t="s">
        <v>986</v>
      </c>
      <c r="B237" s="7" t="s">
        <v>86</v>
      </c>
      <c r="C237" s="7" t="s">
        <v>796</v>
      </c>
      <c r="D237" s="197" t="s">
        <v>393</v>
      </c>
      <c r="E237" s="43">
        <v>1.4999999999999999E-2</v>
      </c>
      <c r="H237" s="106">
        <v>-2.5000000000000001E-3</v>
      </c>
      <c r="N237" s="41" t="s">
        <v>787</v>
      </c>
      <c r="O237" s="41" t="s">
        <v>782</v>
      </c>
      <c r="P237" s="41" t="s">
        <v>794</v>
      </c>
    </row>
    <row r="238" spans="1:16">
      <c r="A238" s="7" t="s">
        <v>987</v>
      </c>
      <c r="B238" s="7" t="s">
        <v>762</v>
      </c>
      <c r="C238" s="7" t="s">
        <v>796</v>
      </c>
      <c r="D238" s="197" t="s">
        <v>393</v>
      </c>
      <c r="E238" s="43">
        <v>1.4999999999999999E-2</v>
      </c>
      <c r="H238" s="106">
        <v>-2.5000000000000001E-3</v>
      </c>
      <c r="N238" s="41" t="s">
        <v>787</v>
      </c>
      <c r="O238" s="41" t="s">
        <v>782</v>
      </c>
      <c r="P238" s="41" t="s">
        <v>794</v>
      </c>
    </row>
    <row r="239" spans="1:16">
      <c r="A239" s="7" t="s">
        <v>423</v>
      </c>
      <c r="B239" s="7" t="s">
        <v>758</v>
      </c>
      <c r="C239" s="7" t="s">
        <v>796</v>
      </c>
      <c r="D239" s="197" t="s">
        <v>393</v>
      </c>
      <c r="E239" s="43">
        <v>1.4999999999999999E-2</v>
      </c>
      <c r="H239" s="106">
        <v>-2.5000000000000001E-3</v>
      </c>
      <c r="N239" s="41" t="s">
        <v>787</v>
      </c>
      <c r="O239" s="41" t="s">
        <v>782</v>
      </c>
      <c r="P239" s="41" t="s">
        <v>794</v>
      </c>
    </row>
    <row r="240" spans="1:16">
      <c r="A240" s="7" t="s">
        <v>988</v>
      </c>
      <c r="B240" s="7" t="s">
        <v>761</v>
      </c>
      <c r="C240" s="7" t="s">
        <v>382</v>
      </c>
      <c r="D240" s="197" t="s">
        <v>393</v>
      </c>
      <c r="G240" s="106"/>
      <c r="H240" s="106">
        <v>-2.5000000000000001E-3</v>
      </c>
      <c r="M240" s="87"/>
      <c r="N240" s="41" t="s">
        <v>787</v>
      </c>
      <c r="O240" s="41" t="s">
        <v>782</v>
      </c>
      <c r="P240" s="41" t="s">
        <v>794</v>
      </c>
    </row>
    <row r="241" spans="1:16">
      <c r="A241" s="7" t="s">
        <v>989</v>
      </c>
      <c r="B241" s="7" t="s">
        <v>762</v>
      </c>
      <c r="C241" s="7" t="s">
        <v>382</v>
      </c>
      <c r="D241" s="197" t="s">
        <v>393</v>
      </c>
      <c r="G241" s="106"/>
      <c r="H241" s="106">
        <v>-2.5000000000000001E-3</v>
      </c>
      <c r="M241" s="87"/>
      <c r="N241" s="41" t="s">
        <v>787</v>
      </c>
      <c r="O241" s="41" t="s">
        <v>782</v>
      </c>
      <c r="P241" s="41" t="s">
        <v>794</v>
      </c>
    </row>
    <row r="242" spans="1:16">
      <c r="A242" s="7" t="s">
        <v>990</v>
      </c>
      <c r="B242" s="7" t="s">
        <v>86</v>
      </c>
      <c r="C242" s="7" t="s">
        <v>382</v>
      </c>
      <c r="D242" s="197" t="s">
        <v>393</v>
      </c>
      <c r="G242" s="106"/>
      <c r="M242" s="87"/>
      <c r="N242" s="41" t="s">
        <v>787</v>
      </c>
      <c r="O242" s="41" t="s">
        <v>782</v>
      </c>
      <c r="P242" s="41" t="s">
        <v>794</v>
      </c>
    </row>
    <row r="243" spans="1:16">
      <c r="A243" s="7" t="s">
        <v>991</v>
      </c>
      <c r="B243" s="7" t="s">
        <v>86</v>
      </c>
      <c r="C243" s="7" t="s">
        <v>382</v>
      </c>
      <c r="D243" s="197" t="s">
        <v>393</v>
      </c>
      <c r="G243" s="106"/>
      <c r="M243" s="87"/>
      <c r="N243" s="41" t="s">
        <v>787</v>
      </c>
      <c r="O243" s="41" t="s">
        <v>782</v>
      </c>
      <c r="P243" s="41" t="s">
        <v>794</v>
      </c>
    </row>
    <row r="244" spans="1:16">
      <c r="A244" s="7" t="s">
        <v>539</v>
      </c>
      <c r="B244" s="7" t="s">
        <v>86</v>
      </c>
      <c r="C244" s="7" t="s">
        <v>382</v>
      </c>
      <c r="D244" s="197" t="s">
        <v>393</v>
      </c>
      <c r="G244" s="106"/>
      <c r="M244" s="87"/>
      <c r="N244" s="41" t="s">
        <v>787</v>
      </c>
      <c r="O244" s="41" t="s">
        <v>782</v>
      </c>
      <c r="P244" s="41" t="s">
        <v>794</v>
      </c>
    </row>
    <row r="245" spans="1:16">
      <c r="A245" s="7" t="s">
        <v>530</v>
      </c>
      <c r="B245" s="7" t="s">
        <v>86</v>
      </c>
      <c r="C245" s="7" t="s">
        <v>382</v>
      </c>
      <c r="D245" s="197" t="s">
        <v>393</v>
      </c>
      <c r="G245" s="106"/>
      <c r="M245" s="87"/>
      <c r="N245" s="41" t="s">
        <v>787</v>
      </c>
      <c r="O245" s="41" t="s">
        <v>782</v>
      </c>
      <c r="P245" s="41" t="s">
        <v>794</v>
      </c>
    </row>
    <row r="246" spans="1:16">
      <c r="A246" s="7" t="s">
        <v>992</v>
      </c>
      <c r="B246" s="7" t="s">
        <v>993</v>
      </c>
      <c r="C246" s="7" t="s">
        <v>382</v>
      </c>
      <c r="D246" s="197" t="s">
        <v>393</v>
      </c>
      <c r="G246" s="106"/>
      <c r="M246" s="87"/>
      <c r="N246" s="41" t="s">
        <v>787</v>
      </c>
      <c r="O246" s="41" t="s">
        <v>782</v>
      </c>
      <c r="P246" s="41" t="s">
        <v>794</v>
      </c>
    </row>
    <row r="247" spans="1:16">
      <c r="A247" s="7" t="s">
        <v>994</v>
      </c>
      <c r="B247" s="7" t="s">
        <v>762</v>
      </c>
      <c r="C247" s="7" t="s">
        <v>382</v>
      </c>
      <c r="D247" s="197" t="s">
        <v>393</v>
      </c>
      <c r="G247" s="106"/>
      <c r="M247" s="87"/>
      <c r="N247" s="41" t="s">
        <v>787</v>
      </c>
      <c r="O247" s="41" t="s">
        <v>782</v>
      </c>
      <c r="P247" s="41" t="s">
        <v>794</v>
      </c>
    </row>
    <row r="248" spans="1:16">
      <c r="A248" s="7" t="s">
        <v>995</v>
      </c>
      <c r="B248" s="7" t="s">
        <v>758</v>
      </c>
      <c r="C248" s="7" t="s">
        <v>382</v>
      </c>
      <c r="D248" s="197" t="s">
        <v>393</v>
      </c>
      <c r="G248" s="106"/>
      <c r="M248" s="87"/>
      <c r="N248" s="41" t="s">
        <v>787</v>
      </c>
      <c r="O248" s="41" t="s">
        <v>782</v>
      </c>
      <c r="P248" s="41" t="s">
        <v>794</v>
      </c>
    </row>
    <row r="249" spans="1:16">
      <c r="A249" s="7" t="s">
        <v>570</v>
      </c>
      <c r="B249" s="7" t="s">
        <v>758</v>
      </c>
      <c r="C249" s="7" t="s">
        <v>382</v>
      </c>
      <c r="D249" s="197" t="s">
        <v>393</v>
      </c>
      <c r="G249" s="106"/>
      <c r="M249" s="87"/>
      <c r="N249" s="41" t="s">
        <v>787</v>
      </c>
      <c r="O249" s="41" t="s">
        <v>782</v>
      </c>
      <c r="P249" s="41" t="s">
        <v>794</v>
      </c>
    </row>
    <row r="250" spans="1:16">
      <c r="A250" s="7" t="s">
        <v>996</v>
      </c>
      <c r="B250" s="7" t="s">
        <v>762</v>
      </c>
      <c r="C250" s="7" t="s">
        <v>382</v>
      </c>
      <c r="D250" s="197" t="s">
        <v>393</v>
      </c>
      <c r="G250" s="106"/>
      <c r="M250" s="87"/>
      <c r="N250" s="41" t="s">
        <v>787</v>
      </c>
      <c r="O250" s="41" t="s">
        <v>782</v>
      </c>
      <c r="P250" s="41" t="s">
        <v>794</v>
      </c>
    </row>
    <row r="251" spans="1:16">
      <c r="A251" s="7" t="s">
        <v>478</v>
      </c>
      <c r="B251" s="7" t="s">
        <v>762</v>
      </c>
      <c r="C251" s="7" t="s">
        <v>382</v>
      </c>
      <c r="D251" s="197" t="s">
        <v>393</v>
      </c>
      <c r="G251" s="106"/>
      <c r="M251" s="87"/>
      <c r="N251" s="41" t="s">
        <v>787</v>
      </c>
      <c r="O251" s="41" t="s">
        <v>782</v>
      </c>
      <c r="P251" s="41" t="s">
        <v>794</v>
      </c>
    </row>
    <row r="252" spans="1:16">
      <c r="A252" s="7" t="s">
        <v>997</v>
      </c>
      <c r="B252" s="7" t="s">
        <v>998</v>
      </c>
      <c r="C252" s="7" t="s">
        <v>382</v>
      </c>
      <c r="D252" s="197" t="s">
        <v>393</v>
      </c>
      <c r="G252" s="106"/>
      <c r="M252" s="87"/>
      <c r="N252" s="41" t="s">
        <v>787</v>
      </c>
      <c r="O252" s="41" t="s">
        <v>782</v>
      </c>
      <c r="P252" s="41" t="s">
        <v>794</v>
      </c>
    </row>
    <row r="253" spans="1:16">
      <c r="A253" s="7" t="s">
        <v>999</v>
      </c>
      <c r="B253" s="7" t="s">
        <v>993</v>
      </c>
      <c r="C253" s="7" t="s">
        <v>382</v>
      </c>
      <c r="D253" s="197" t="s">
        <v>393</v>
      </c>
      <c r="G253" s="106"/>
      <c r="M253" s="87"/>
      <c r="N253" s="41" t="s">
        <v>787</v>
      </c>
      <c r="O253" s="41" t="s">
        <v>782</v>
      </c>
      <c r="P253" s="41" t="s">
        <v>794</v>
      </c>
    </row>
    <row r="254" spans="1:16">
      <c r="A254" s="7" t="s">
        <v>1000</v>
      </c>
      <c r="B254" s="7" t="s">
        <v>86</v>
      </c>
      <c r="C254" s="7" t="s">
        <v>382</v>
      </c>
      <c r="D254" s="197" t="s">
        <v>393</v>
      </c>
      <c r="G254" s="106"/>
      <c r="M254" s="87"/>
      <c r="N254" s="41" t="s">
        <v>787</v>
      </c>
      <c r="O254" s="41" t="s">
        <v>782</v>
      </c>
      <c r="P254" s="41" t="s">
        <v>794</v>
      </c>
    </row>
    <row r="255" spans="1:16">
      <c r="A255" s="7" t="s">
        <v>1001</v>
      </c>
      <c r="B255" s="7" t="s">
        <v>762</v>
      </c>
      <c r="C255" s="7" t="s">
        <v>382</v>
      </c>
      <c r="D255" s="197" t="s">
        <v>393</v>
      </c>
      <c r="G255" s="106"/>
      <c r="M255" s="87"/>
      <c r="N255" s="41" t="s">
        <v>787</v>
      </c>
      <c r="O255" s="41" t="s">
        <v>782</v>
      </c>
      <c r="P255" s="41" t="s">
        <v>794</v>
      </c>
    </row>
    <row r="256" spans="1:16">
      <c r="A256" s="7" t="s">
        <v>471</v>
      </c>
      <c r="B256" s="7" t="s">
        <v>758</v>
      </c>
      <c r="C256" s="7" t="s">
        <v>382</v>
      </c>
      <c r="D256" s="197" t="s">
        <v>393</v>
      </c>
      <c r="G256" s="106"/>
      <c r="M256" s="87"/>
      <c r="N256" s="41" t="s">
        <v>787</v>
      </c>
      <c r="O256" s="41" t="s">
        <v>782</v>
      </c>
      <c r="P256" s="41" t="s">
        <v>794</v>
      </c>
    </row>
    <row r="257" spans="1:16">
      <c r="A257" s="7" t="s">
        <v>92</v>
      </c>
      <c r="B257" s="7" t="s">
        <v>758</v>
      </c>
      <c r="C257" s="7" t="s">
        <v>772</v>
      </c>
      <c r="D257" s="7" t="s">
        <v>92</v>
      </c>
      <c r="E257" s="43">
        <v>1.4999999999999999E-2</v>
      </c>
      <c r="N257" s="41" t="s">
        <v>760</v>
      </c>
      <c r="O257" s="41"/>
      <c r="P257" s="41" t="s">
        <v>794</v>
      </c>
    </row>
    <row r="258" spans="1:16">
      <c r="A258" s="7" t="s">
        <v>1002</v>
      </c>
      <c r="B258" s="7" t="s">
        <v>5</v>
      </c>
      <c r="C258" s="7" t="s">
        <v>382</v>
      </c>
      <c r="D258" s="7" t="s">
        <v>92</v>
      </c>
      <c r="E258" s="43">
        <v>1.4999999999999999E-2</v>
      </c>
      <c r="N258" s="41" t="s">
        <v>760</v>
      </c>
      <c r="O258" s="41"/>
      <c r="P258" s="41"/>
    </row>
    <row r="259" spans="1:16">
      <c r="A259" s="7" t="s">
        <v>1003</v>
      </c>
      <c r="B259" s="7" t="s">
        <v>1004</v>
      </c>
      <c r="C259" s="7" t="s">
        <v>382</v>
      </c>
      <c r="D259" s="7" t="s">
        <v>977</v>
      </c>
      <c r="E259" s="43">
        <v>0</v>
      </c>
      <c r="N259" s="41" t="s">
        <v>787</v>
      </c>
      <c r="O259" s="41" t="s">
        <v>790</v>
      </c>
      <c r="P259" s="41"/>
    </row>
    <row r="260" spans="1:16">
      <c r="A260" s="7" t="s">
        <v>1005</v>
      </c>
      <c r="B260" s="7" t="s">
        <v>1006</v>
      </c>
      <c r="C260" s="7" t="s">
        <v>772</v>
      </c>
      <c r="D260" s="7" t="s">
        <v>1007</v>
      </c>
      <c r="E260" s="43">
        <v>7.4999999999999997E-3</v>
      </c>
      <c r="F260" s="104">
        <v>0</v>
      </c>
      <c r="G260" s="104">
        <v>0</v>
      </c>
      <c r="H260" s="104">
        <v>0</v>
      </c>
      <c r="I260" s="104">
        <v>0</v>
      </c>
      <c r="J260" s="104">
        <v>0</v>
      </c>
      <c r="K260" s="104">
        <v>0</v>
      </c>
      <c r="L260" s="104">
        <v>0</v>
      </c>
      <c r="M260" s="104">
        <v>0</v>
      </c>
      <c r="N260" s="41" t="s">
        <v>787</v>
      </c>
      <c r="O260" s="41" t="s">
        <v>946</v>
      </c>
      <c r="P260" s="41"/>
    </row>
    <row r="261" spans="1:16">
      <c r="A261" s="7" t="s">
        <v>1008</v>
      </c>
      <c r="B261" s="7" t="s">
        <v>761</v>
      </c>
      <c r="C261" s="7" t="s">
        <v>796</v>
      </c>
      <c r="D261" s="197" t="s">
        <v>1009</v>
      </c>
      <c r="E261" s="43">
        <v>0.01</v>
      </c>
      <c r="F261" s="104">
        <v>0</v>
      </c>
      <c r="G261" s="106">
        <v>-1E-3</v>
      </c>
      <c r="N261" s="41" t="s">
        <v>787</v>
      </c>
      <c r="O261" s="41" t="s">
        <v>800</v>
      </c>
      <c r="P261" s="41" t="s">
        <v>756</v>
      </c>
    </row>
    <row r="262" spans="1:16">
      <c r="A262" s="7" t="s">
        <v>1010</v>
      </c>
      <c r="B262" s="7" t="s">
        <v>761</v>
      </c>
      <c r="C262" s="7" t="s">
        <v>382</v>
      </c>
      <c r="D262" s="197" t="s">
        <v>1009</v>
      </c>
      <c r="E262" s="43">
        <v>0.01</v>
      </c>
      <c r="F262" s="104">
        <v>0</v>
      </c>
      <c r="G262" s="106">
        <v>-1E-3</v>
      </c>
      <c r="N262" s="41" t="s">
        <v>787</v>
      </c>
      <c r="O262" s="41" t="s">
        <v>800</v>
      </c>
      <c r="P262" s="41" t="s">
        <v>756</v>
      </c>
    </row>
    <row r="263" spans="1:16">
      <c r="A263" s="7" t="s">
        <v>1011</v>
      </c>
      <c r="B263" s="7" t="s">
        <v>762</v>
      </c>
      <c r="C263" s="7" t="s">
        <v>796</v>
      </c>
      <c r="D263" s="7" t="s">
        <v>1011</v>
      </c>
      <c r="E263" s="43">
        <v>7.4999999999999997E-3</v>
      </c>
      <c r="F263" s="104">
        <v>0</v>
      </c>
      <c r="G263" s="104">
        <v>0</v>
      </c>
      <c r="J263" s="104">
        <v>0</v>
      </c>
      <c r="N263" s="41" t="s">
        <v>862</v>
      </c>
      <c r="O263" s="41" t="s">
        <v>946</v>
      </c>
      <c r="P263" s="41"/>
    </row>
    <row r="264" spans="1:16">
      <c r="A264" s="7" t="s">
        <v>396</v>
      </c>
      <c r="B264" s="7" t="s">
        <v>761</v>
      </c>
      <c r="C264" s="7" t="s">
        <v>796</v>
      </c>
      <c r="D264" s="197" t="s">
        <v>1012</v>
      </c>
      <c r="E264" s="43">
        <v>5.0000000000000001E-3</v>
      </c>
      <c r="F264" s="104">
        <v>0</v>
      </c>
      <c r="G264" s="106">
        <v>-2.5000000000000001E-3</v>
      </c>
      <c r="J264" s="104"/>
      <c r="N264" s="41" t="s">
        <v>787</v>
      </c>
      <c r="O264" s="41" t="s">
        <v>800</v>
      </c>
      <c r="P264" s="41" t="s">
        <v>756</v>
      </c>
    </row>
    <row r="265" spans="1:16">
      <c r="A265" s="7" t="s">
        <v>416</v>
      </c>
      <c r="B265" s="7" t="s">
        <v>762</v>
      </c>
      <c r="C265" s="7" t="s">
        <v>796</v>
      </c>
      <c r="D265" s="197" t="s">
        <v>1012</v>
      </c>
      <c r="E265" s="43">
        <v>5.0000000000000001E-3</v>
      </c>
      <c r="F265" s="104">
        <v>0</v>
      </c>
      <c r="G265" s="106">
        <v>-2.5000000000000001E-3</v>
      </c>
      <c r="J265" s="104"/>
      <c r="N265" s="41" t="s">
        <v>787</v>
      </c>
      <c r="O265" s="41" t="s">
        <v>800</v>
      </c>
      <c r="P265" s="41" t="s">
        <v>756</v>
      </c>
    </row>
    <row r="266" spans="1:16">
      <c r="A266" s="7" t="s">
        <v>1013</v>
      </c>
      <c r="B266" s="7" t="s">
        <v>762</v>
      </c>
      <c r="C266" s="7" t="s">
        <v>382</v>
      </c>
      <c r="D266" s="197" t="s">
        <v>1012</v>
      </c>
      <c r="E266" s="43">
        <v>5.0000000000000001E-3</v>
      </c>
      <c r="F266" s="104">
        <v>0</v>
      </c>
      <c r="G266" s="106">
        <v>-2.5000000000000001E-3</v>
      </c>
      <c r="J266" s="104"/>
      <c r="N266" s="41" t="s">
        <v>787</v>
      </c>
      <c r="O266" s="41" t="s">
        <v>800</v>
      </c>
      <c r="P266" s="41" t="s">
        <v>756</v>
      </c>
    </row>
    <row r="267" spans="1:16">
      <c r="A267" s="7" t="s">
        <v>1014</v>
      </c>
      <c r="B267" s="7" t="s">
        <v>762</v>
      </c>
      <c r="C267" s="7" t="s">
        <v>382</v>
      </c>
      <c r="D267" s="197" t="s">
        <v>1012</v>
      </c>
      <c r="E267" s="43">
        <v>5.0000000000000001E-3</v>
      </c>
      <c r="F267" s="104">
        <v>0</v>
      </c>
      <c r="G267" s="106">
        <v>-2.5000000000000001E-3</v>
      </c>
      <c r="J267" s="104"/>
      <c r="N267" s="41" t="s">
        <v>787</v>
      </c>
      <c r="O267" s="41" t="s">
        <v>800</v>
      </c>
      <c r="P267" s="41" t="s">
        <v>756</v>
      </c>
    </row>
    <row r="268" spans="1:16">
      <c r="A268" s="7" t="s">
        <v>1015</v>
      </c>
      <c r="B268" s="7" t="s">
        <v>832</v>
      </c>
      <c r="C268" s="7" t="s">
        <v>382</v>
      </c>
      <c r="D268" s="197" t="s">
        <v>1012</v>
      </c>
      <c r="E268" s="43">
        <v>5.0000000000000001E-3</v>
      </c>
      <c r="F268" s="104">
        <v>0</v>
      </c>
      <c r="G268" s="106">
        <v>-2.5000000000000001E-3</v>
      </c>
      <c r="J268" s="104"/>
      <c r="N268" s="41" t="s">
        <v>787</v>
      </c>
      <c r="O268" s="41" t="s">
        <v>800</v>
      </c>
      <c r="P268" s="41" t="s">
        <v>756</v>
      </c>
    </row>
    <row r="269" spans="1:16">
      <c r="A269" s="7" t="s">
        <v>1016</v>
      </c>
      <c r="B269" s="7" t="s">
        <v>761</v>
      </c>
      <c r="C269" s="7" t="s">
        <v>382</v>
      </c>
      <c r="D269" s="197" t="s">
        <v>1012</v>
      </c>
      <c r="E269" s="43">
        <v>5.0000000000000001E-3</v>
      </c>
      <c r="F269" s="104">
        <v>0</v>
      </c>
      <c r="G269" s="106">
        <v>-2.5000000000000001E-3</v>
      </c>
      <c r="J269" s="104"/>
      <c r="N269" s="41" t="s">
        <v>787</v>
      </c>
      <c r="O269" s="41" t="s">
        <v>800</v>
      </c>
      <c r="P269" s="41" t="s">
        <v>756</v>
      </c>
    </row>
    <row r="270" spans="1:16">
      <c r="A270" s="7" t="s">
        <v>1017</v>
      </c>
      <c r="B270" s="7" t="s">
        <v>1018</v>
      </c>
      <c r="C270" s="7" t="s">
        <v>382</v>
      </c>
      <c r="D270" s="197" t="s">
        <v>1012</v>
      </c>
      <c r="E270" s="43">
        <v>5.0000000000000001E-3</v>
      </c>
      <c r="F270" s="104">
        <v>0</v>
      </c>
      <c r="G270" s="106">
        <v>-2.5000000000000001E-3</v>
      </c>
      <c r="J270" s="104"/>
      <c r="N270" s="41" t="s">
        <v>787</v>
      </c>
      <c r="O270" s="41" t="s">
        <v>800</v>
      </c>
      <c r="P270" s="41" t="s">
        <v>756</v>
      </c>
    </row>
    <row r="271" spans="1:16">
      <c r="A271" s="7" t="s">
        <v>1019</v>
      </c>
      <c r="B271" s="7" t="s">
        <v>762</v>
      </c>
      <c r="C271" s="7" t="s">
        <v>382</v>
      </c>
      <c r="D271" s="197" t="s">
        <v>1012</v>
      </c>
      <c r="E271" s="43">
        <v>5.0000000000000001E-3</v>
      </c>
      <c r="F271" s="104">
        <v>0</v>
      </c>
      <c r="G271" s="106">
        <v>-2.5000000000000001E-3</v>
      </c>
      <c r="J271" s="104"/>
      <c r="N271" s="41" t="s">
        <v>787</v>
      </c>
      <c r="O271" s="41" t="s">
        <v>800</v>
      </c>
      <c r="P271" s="41" t="s">
        <v>756</v>
      </c>
    </row>
    <row r="272" spans="1:16">
      <c r="A272" s="7" t="s">
        <v>1020</v>
      </c>
      <c r="B272" s="7" t="s">
        <v>762</v>
      </c>
      <c r="C272" s="7" t="s">
        <v>382</v>
      </c>
      <c r="D272" s="197" t="s">
        <v>1012</v>
      </c>
      <c r="E272" s="43">
        <v>5.0000000000000001E-3</v>
      </c>
      <c r="F272" s="104">
        <v>0</v>
      </c>
      <c r="G272" s="106">
        <v>-2.5000000000000001E-3</v>
      </c>
      <c r="J272" s="104"/>
      <c r="N272" s="41" t="s">
        <v>787</v>
      </c>
      <c r="O272" s="41" t="s">
        <v>800</v>
      </c>
      <c r="P272" s="41" t="s">
        <v>756</v>
      </c>
    </row>
    <row r="273" spans="1:18">
      <c r="A273" s="7" t="s">
        <v>1021</v>
      </c>
      <c r="B273" s="7" t="s">
        <v>762</v>
      </c>
      <c r="C273" s="7" t="s">
        <v>382</v>
      </c>
      <c r="D273" s="197" t="s">
        <v>1012</v>
      </c>
      <c r="E273" s="43">
        <v>5.0000000000000001E-3</v>
      </c>
      <c r="F273" s="104">
        <v>0</v>
      </c>
      <c r="G273" s="106">
        <v>-2.5000000000000001E-3</v>
      </c>
      <c r="J273" s="104"/>
      <c r="N273" s="41" t="s">
        <v>787</v>
      </c>
      <c r="O273" s="41" t="s">
        <v>800</v>
      </c>
      <c r="P273" s="41" t="s">
        <v>756</v>
      </c>
    </row>
    <row r="274" spans="1:18">
      <c r="A274" s="7" t="s">
        <v>501</v>
      </c>
      <c r="B274" s="7" t="s">
        <v>762</v>
      </c>
      <c r="C274" s="7" t="s">
        <v>796</v>
      </c>
      <c r="D274" s="197" t="s">
        <v>1012</v>
      </c>
      <c r="E274" s="43">
        <v>5.0000000000000001E-3</v>
      </c>
      <c r="F274" s="104">
        <v>0</v>
      </c>
      <c r="G274" s="106">
        <v>-2.5000000000000001E-3</v>
      </c>
      <c r="J274" s="104"/>
      <c r="N274" s="41" t="s">
        <v>787</v>
      </c>
      <c r="O274" s="41" t="s">
        <v>800</v>
      </c>
      <c r="P274" s="41" t="s">
        <v>756</v>
      </c>
    </row>
    <row r="275" spans="1:18">
      <c r="A275" s="7" t="s">
        <v>1022</v>
      </c>
      <c r="B275" s="7" t="s">
        <v>762</v>
      </c>
      <c r="C275" s="7" t="s">
        <v>796</v>
      </c>
      <c r="D275" s="197" t="s">
        <v>1012</v>
      </c>
      <c r="E275" s="43">
        <v>5.0000000000000001E-3</v>
      </c>
      <c r="F275" s="104">
        <v>0</v>
      </c>
      <c r="G275" s="106">
        <v>-2.5000000000000001E-3</v>
      </c>
      <c r="N275" s="41" t="s">
        <v>787</v>
      </c>
      <c r="O275" s="41" t="s">
        <v>800</v>
      </c>
      <c r="P275" s="41" t="s">
        <v>756</v>
      </c>
    </row>
    <row r="276" spans="1:18">
      <c r="A276" s="7" t="s">
        <v>1023</v>
      </c>
      <c r="B276" s="7" t="s">
        <v>762</v>
      </c>
      <c r="C276" s="7" t="s">
        <v>382</v>
      </c>
      <c r="D276" s="197" t="s">
        <v>1012</v>
      </c>
      <c r="E276" s="43">
        <v>5.0000000000000001E-3</v>
      </c>
      <c r="F276" s="104">
        <v>0</v>
      </c>
      <c r="G276" s="106">
        <v>-2.5000000000000001E-3</v>
      </c>
      <c r="N276" s="41" t="s">
        <v>787</v>
      </c>
      <c r="O276" s="41" t="s">
        <v>800</v>
      </c>
      <c r="P276" s="41" t="s">
        <v>756</v>
      </c>
    </row>
    <row r="277" spans="1:18">
      <c r="A277" s="7" t="s">
        <v>395</v>
      </c>
      <c r="B277" s="7" t="s">
        <v>761</v>
      </c>
      <c r="C277" s="7" t="s">
        <v>382</v>
      </c>
      <c r="D277" s="197" t="s">
        <v>1012</v>
      </c>
      <c r="E277" s="43">
        <v>8.9999999999999993E-3</v>
      </c>
      <c r="F277" s="104">
        <v>0</v>
      </c>
      <c r="G277" s="106">
        <v>-2.5000000000000001E-3</v>
      </c>
      <c r="N277" s="41" t="s">
        <v>787</v>
      </c>
      <c r="O277" s="41" t="s">
        <v>800</v>
      </c>
      <c r="P277" s="41" t="s">
        <v>756</v>
      </c>
    </row>
    <row r="278" spans="1:18">
      <c r="A278" s="7" t="s">
        <v>1024</v>
      </c>
      <c r="B278" s="7" t="s">
        <v>758</v>
      </c>
      <c r="C278" s="7" t="s">
        <v>796</v>
      </c>
      <c r="D278" s="197" t="s">
        <v>1025</v>
      </c>
      <c r="E278" s="43">
        <v>0.03</v>
      </c>
      <c r="F278" s="104">
        <v>0</v>
      </c>
      <c r="G278" s="106">
        <v>-2.5000000000000001E-3</v>
      </c>
      <c r="N278" s="41" t="s">
        <v>787</v>
      </c>
      <c r="O278" s="41" t="s">
        <v>800</v>
      </c>
      <c r="P278" s="41" t="s">
        <v>794</v>
      </c>
      <c r="Q278" s="233" t="s">
        <v>801</v>
      </c>
      <c r="R278" s="233">
        <v>1.5</v>
      </c>
    </row>
    <row r="279" spans="1:18">
      <c r="A279" s="7" t="s">
        <v>1026</v>
      </c>
      <c r="B279" s="7" t="s">
        <v>758</v>
      </c>
      <c r="C279" s="7" t="s">
        <v>796</v>
      </c>
      <c r="D279" s="197" t="s">
        <v>1025</v>
      </c>
      <c r="E279" s="43">
        <v>0.02</v>
      </c>
      <c r="F279" s="104">
        <v>0</v>
      </c>
      <c r="G279" s="106">
        <v>-2.5000000000000001E-3</v>
      </c>
      <c r="N279" s="41" t="s">
        <v>760</v>
      </c>
      <c r="O279" s="41" t="s">
        <v>800</v>
      </c>
      <c r="P279" s="41" t="s">
        <v>794</v>
      </c>
      <c r="Q279" s="233" t="s">
        <v>801</v>
      </c>
      <c r="R279" s="233">
        <v>0.5</v>
      </c>
    </row>
    <row r="280" spans="1:18">
      <c r="A280" s="7" t="s">
        <v>1025</v>
      </c>
      <c r="B280" s="7" t="s">
        <v>855</v>
      </c>
      <c r="C280" s="7" t="s">
        <v>382</v>
      </c>
      <c r="D280" s="197" t="s">
        <v>1025</v>
      </c>
      <c r="E280" s="43">
        <v>0.02</v>
      </c>
      <c r="F280" s="104">
        <v>0</v>
      </c>
      <c r="G280" s="106">
        <v>-2.5000000000000001E-3</v>
      </c>
      <c r="N280" s="41" t="s">
        <v>760</v>
      </c>
      <c r="O280" s="41" t="s">
        <v>800</v>
      </c>
      <c r="P280" s="41" t="s">
        <v>794</v>
      </c>
      <c r="Q280" s="233" t="s">
        <v>801</v>
      </c>
      <c r="R280" s="233">
        <v>0.5</v>
      </c>
    </row>
    <row r="281" spans="1:18">
      <c r="A281" s="7" t="s">
        <v>1027</v>
      </c>
      <c r="B281" s="7" t="s">
        <v>1028</v>
      </c>
      <c r="C281" s="7" t="s">
        <v>382</v>
      </c>
      <c r="D281" s="197" t="s">
        <v>1029</v>
      </c>
      <c r="E281" s="43">
        <v>3.5000000000000003E-2</v>
      </c>
      <c r="F281" s="104">
        <v>0</v>
      </c>
      <c r="G281" s="106">
        <v>-2.5000000000000001E-3</v>
      </c>
      <c r="N281" s="41" t="s">
        <v>760</v>
      </c>
      <c r="O281" s="41" t="s">
        <v>800</v>
      </c>
      <c r="P281" s="41" t="s">
        <v>794</v>
      </c>
      <c r="Q281" s="233" t="s">
        <v>801</v>
      </c>
      <c r="R281" s="233">
        <v>1.75</v>
      </c>
    </row>
    <row r="282" spans="1:18">
      <c r="A282" s="7" t="s">
        <v>1030</v>
      </c>
      <c r="B282" s="7" t="s">
        <v>758</v>
      </c>
      <c r="C282" s="7" t="s">
        <v>796</v>
      </c>
      <c r="D282" s="197" t="s">
        <v>1029</v>
      </c>
      <c r="E282" s="43">
        <v>3.5000000000000003E-2</v>
      </c>
      <c r="F282" s="104">
        <v>0</v>
      </c>
      <c r="G282" s="106">
        <v>-2.5000000000000001E-3</v>
      </c>
      <c r="N282" s="41" t="s">
        <v>760</v>
      </c>
      <c r="O282" s="41" t="s">
        <v>800</v>
      </c>
      <c r="P282" s="41" t="s">
        <v>794</v>
      </c>
      <c r="Q282" s="233" t="s">
        <v>801</v>
      </c>
      <c r="R282" s="233">
        <v>1.75</v>
      </c>
    </row>
    <row r="283" spans="1:18">
      <c r="A283" s="7" t="s">
        <v>1031</v>
      </c>
      <c r="B283" s="7" t="s">
        <v>981</v>
      </c>
      <c r="C283" s="7" t="s">
        <v>796</v>
      </c>
      <c r="D283" s="197" t="s">
        <v>1032</v>
      </c>
      <c r="N283" s="41" t="s">
        <v>787</v>
      </c>
      <c r="O283" s="41" t="s">
        <v>782</v>
      </c>
      <c r="P283" s="41" t="s">
        <v>756</v>
      </c>
    </row>
    <row r="284" spans="1:18">
      <c r="A284" s="7" t="s">
        <v>1033</v>
      </c>
      <c r="B284" s="7" t="s">
        <v>1018</v>
      </c>
      <c r="C284" s="7" t="s">
        <v>382</v>
      </c>
      <c r="D284" s="197" t="s">
        <v>1032</v>
      </c>
      <c r="N284" s="41" t="s">
        <v>787</v>
      </c>
      <c r="O284" s="41" t="s">
        <v>782</v>
      </c>
      <c r="P284" s="41" t="s">
        <v>756</v>
      </c>
    </row>
    <row r="285" spans="1:18">
      <c r="A285" s="7" t="s">
        <v>1034</v>
      </c>
      <c r="B285" s="7" t="s">
        <v>761</v>
      </c>
      <c r="C285" s="7" t="s">
        <v>796</v>
      </c>
      <c r="D285" s="197" t="s">
        <v>1035</v>
      </c>
      <c r="E285" s="43">
        <v>1.4999999999999999E-2</v>
      </c>
      <c r="N285" s="41" t="s">
        <v>760</v>
      </c>
      <c r="O285" s="41" t="s">
        <v>782</v>
      </c>
      <c r="P285" s="41" t="s">
        <v>756</v>
      </c>
    </row>
    <row r="286" spans="1:18">
      <c r="A286" s="7" t="s">
        <v>1036</v>
      </c>
      <c r="B286" s="7" t="s">
        <v>1037</v>
      </c>
      <c r="C286" s="7" t="s">
        <v>382</v>
      </c>
      <c r="D286" s="197" t="s">
        <v>1035</v>
      </c>
      <c r="E286" s="43">
        <v>1.4999999999999999E-2</v>
      </c>
      <c r="N286" s="41" t="s">
        <v>760</v>
      </c>
      <c r="O286" s="41" t="s">
        <v>782</v>
      </c>
      <c r="P286" s="41" t="s">
        <v>756</v>
      </c>
    </row>
    <row r="287" spans="1:18">
      <c r="A287" s="7" t="s">
        <v>1038</v>
      </c>
      <c r="B287" s="7" t="s">
        <v>783</v>
      </c>
      <c r="C287" s="7" t="s">
        <v>796</v>
      </c>
      <c r="D287" s="197" t="s">
        <v>380</v>
      </c>
      <c r="E287" s="43">
        <v>5.0000000000000001E-3</v>
      </c>
      <c r="N287" s="41" t="s">
        <v>760</v>
      </c>
      <c r="O287" s="41" t="s">
        <v>782</v>
      </c>
      <c r="P287" s="41" t="s">
        <v>756</v>
      </c>
    </row>
    <row r="288" spans="1:18">
      <c r="A288" s="7" t="s">
        <v>1039</v>
      </c>
      <c r="B288" s="7" t="s">
        <v>981</v>
      </c>
      <c r="C288" s="7" t="s">
        <v>382</v>
      </c>
      <c r="D288" s="197" t="s">
        <v>380</v>
      </c>
      <c r="E288" s="43">
        <v>5.0000000000000001E-3</v>
      </c>
      <c r="N288" s="41" t="s">
        <v>760</v>
      </c>
      <c r="O288" s="41" t="s">
        <v>782</v>
      </c>
      <c r="P288" s="41" t="s">
        <v>756</v>
      </c>
    </row>
    <row r="289" spans="1:16">
      <c r="A289" s="7" t="s">
        <v>1040</v>
      </c>
      <c r="B289" s="7" t="s">
        <v>1041</v>
      </c>
      <c r="C289" s="7" t="s">
        <v>382</v>
      </c>
      <c r="D289" s="197" t="s">
        <v>380</v>
      </c>
      <c r="E289" s="43">
        <v>0.01</v>
      </c>
      <c r="N289" s="41" t="s">
        <v>760</v>
      </c>
      <c r="O289" s="41" t="s">
        <v>782</v>
      </c>
      <c r="P289" s="41" t="s">
        <v>756</v>
      </c>
    </row>
    <row r="290" spans="1:16">
      <c r="A290" s="7" t="s">
        <v>1042</v>
      </c>
      <c r="B290" s="7" t="s">
        <v>1037</v>
      </c>
      <c r="C290" s="7" t="s">
        <v>382</v>
      </c>
      <c r="D290" s="197" t="s">
        <v>380</v>
      </c>
      <c r="E290" s="43">
        <v>5.0000000000000001E-3</v>
      </c>
      <c r="N290" s="41" t="s">
        <v>760</v>
      </c>
      <c r="O290" s="41" t="s">
        <v>782</v>
      </c>
      <c r="P290" s="41" t="s">
        <v>756</v>
      </c>
    </row>
    <row r="291" spans="1:16">
      <c r="A291" s="7" t="s">
        <v>1043</v>
      </c>
      <c r="B291" s="7" t="s">
        <v>87</v>
      </c>
      <c r="C291" s="7" t="s">
        <v>382</v>
      </c>
      <c r="D291" s="197" t="s">
        <v>380</v>
      </c>
      <c r="E291" s="43">
        <v>5.0000000000000001E-3</v>
      </c>
      <c r="N291" s="41" t="s">
        <v>760</v>
      </c>
      <c r="O291" s="41" t="s">
        <v>782</v>
      </c>
      <c r="P291" s="41" t="s">
        <v>756</v>
      </c>
    </row>
    <row r="292" spans="1:16">
      <c r="A292" s="7" t="s">
        <v>1044</v>
      </c>
      <c r="B292" s="7" t="s">
        <v>1045</v>
      </c>
      <c r="C292" s="7" t="s">
        <v>382</v>
      </c>
      <c r="D292" s="197" t="s">
        <v>380</v>
      </c>
      <c r="E292" s="43">
        <v>5.0000000000000001E-3</v>
      </c>
      <c r="N292" s="41" t="s">
        <v>760</v>
      </c>
      <c r="O292" s="41" t="s">
        <v>782</v>
      </c>
      <c r="P292" s="41" t="s">
        <v>756</v>
      </c>
    </row>
    <row r="293" spans="1:16">
      <c r="A293" s="7" t="s">
        <v>1046</v>
      </c>
      <c r="B293" s="7" t="s">
        <v>87</v>
      </c>
      <c r="C293" s="7" t="s">
        <v>382</v>
      </c>
      <c r="D293" s="197" t="s">
        <v>380</v>
      </c>
      <c r="E293" s="43">
        <v>5.0000000000000001E-3</v>
      </c>
      <c r="N293" s="41" t="s">
        <v>760</v>
      </c>
      <c r="O293" s="41" t="s">
        <v>782</v>
      </c>
      <c r="P293" s="41" t="s">
        <v>756</v>
      </c>
    </row>
    <row r="294" spans="1:16">
      <c r="A294" s="7" t="s">
        <v>1047</v>
      </c>
      <c r="B294" s="7" t="s">
        <v>87</v>
      </c>
      <c r="C294" s="7" t="s">
        <v>382</v>
      </c>
      <c r="D294" s="197" t="s">
        <v>380</v>
      </c>
      <c r="E294" s="43">
        <v>5.0000000000000001E-3</v>
      </c>
      <c r="N294" s="41" t="s">
        <v>760</v>
      </c>
      <c r="O294" s="41" t="s">
        <v>782</v>
      </c>
      <c r="P294" s="41" t="s">
        <v>756</v>
      </c>
    </row>
    <row r="295" spans="1:16">
      <c r="A295" s="7" t="s">
        <v>1048</v>
      </c>
      <c r="B295" s="7" t="s">
        <v>916</v>
      </c>
      <c r="C295" s="7" t="s">
        <v>382</v>
      </c>
      <c r="D295" s="197" t="s">
        <v>380</v>
      </c>
      <c r="E295" s="43">
        <v>5.0000000000000001E-3</v>
      </c>
      <c r="N295" s="41" t="s">
        <v>760</v>
      </c>
      <c r="O295" s="41" t="s">
        <v>782</v>
      </c>
      <c r="P295" s="41" t="s">
        <v>756</v>
      </c>
    </row>
    <row r="296" spans="1:16">
      <c r="A296" s="7" t="s">
        <v>377</v>
      </c>
      <c r="B296" s="7" t="s">
        <v>1045</v>
      </c>
      <c r="C296" s="7" t="s">
        <v>382</v>
      </c>
      <c r="D296" s="197" t="s">
        <v>380</v>
      </c>
      <c r="E296" s="43">
        <v>5.0000000000000001E-3</v>
      </c>
      <c r="N296" s="41" t="s">
        <v>760</v>
      </c>
      <c r="O296" s="41" t="s">
        <v>782</v>
      </c>
      <c r="P296" s="41" t="s">
        <v>756</v>
      </c>
    </row>
    <row r="297" spans="1:16">
      <c r="A297" s="7" t="s">
        <v>1049</v>
      </c>
      <c r="B297" s="7" t="s">
        <v>761</v>
      </c>
      <c r="C297" s="7" t="s">
        <v>382</v>
      </c>
      <c r="D297" s="197" t="s">
        <v>380</v>
      </c>
      <c r="E297" s="43">
        <v>5.0000000000000001E-3</v>
      </c>
      <c r="N297" s="41" t="s">
        <v>760</v>
      </c>
      <c r="O297" s="41" t="s">
        <v>782</v>
      </c>
      <c r="P297" s="41" t="s">
        <v>756</v>
      </c>
    </row>
    <row r="298" spans="1:16">
      <c r="A298" s="7" t="s">
        <v>1050</v>
      </c>
      <c r="B298" s="7" t="s">
        <v>761</v>
      </c>
      <c r="C298" s="7" t="s">
        <v>382</v>
      </c>
      <c r="D298" s="197" t="s">
        <v>380</v>
      </c>
      <c r="E298" s="43">
        <v>5.0000000000000001E-3</v>
      </c>
      <c r="N298" s="41" t="s">
        <v>760</v>
      </c>
      <c r="O298" s="41" t="s">
        <v>782</v>
      </c>
      <c r="P298" s="41" t="s">
        <v>756</v>
      </c>
    </row>
    <row r="299" spans="1:16">
      <c r="A299" s="7" t="s">
        <v>1051</v>
      </c>
      <c r="B299" s="7" t="s">
        <v>1037</v>
      </c>
      <c r="C299" s="7" t="s">
        <v>382</v>
      </c>
      <c r="D299" s="197" t="s">
        <v>380</v>
      </c>
      <c r="E299" s="43">
        <v>5.0000000000000001E-3</v>
      </c>
      <c r="N299" s="41" t="s">
        <v>760</v>
      </c>
      <c r="O299" s="41" t="s">
        <v>782</v>
      </c>
      <c r="P299" s="41" t="s">
        <v>756</v>
      </c>
    </row>
    <row r="300" spans="1:16">
      <c r="A300" s="7" t="s">
        <v>1052</v>
      </c>
      <c r="B300" s="7" t="s">
        <v>761</v>
      </c>
      <c r="C300" s="7" t="s">
        <v>382</v>
      </c>
      <c r="D300" s="197" t="s">
        <v>380</v>
      </c>
      <c r="E300" s="43">
        <v>5.0000000000000001E-3</v>
      </c>
      <c r="N300" s="41" t="s">
        <v>760</v>
      </c>
      <c r="O300" s="41" t="s">
        <v>782</v>
      </c>
      <c r="P300" s="41" t="s">
        <v>756</v>
      </c>
    </row>
    <row r="301" spans="1:16">
      <c r="A301" s="7" t="s">
        <v>1053</v>
      </c>
      <c r="B301" s="7" t="s">
        <v>1054</v>
      </c>
      <c r="C301" s="7" t="s">
        <v>382</v>
      </c>
      <c r="D301" s="197" t="s">
        <v>380</v>
      </c>
      <c r="E301" s="43">
        <v>5.0000000000000001E-3</v>
      </c>
      <c r="N301" s="41" t="s">
        <v>760</v>
      </c>
      <c r="O301" s="41" t="s">
        <v>782</v>
      </c>
      <c r="P301" s="41" t="s">
        <v>756</v>
      </c>
    </row>
    <row r="302" spans="1:16">
      <c r="A302" s="7" t="s">
        <v>1055</v>
      </c>
      <c r="B302" s="7" t="s">
        <v>1056</v>
      </c>
      <c r="C302" s="7" t="s">
        <v>382</v>
      </c>
      <c r="D302" s="197" t="s">
        <v>380</v>
      </c>
      <c r="E302" s="43">
        <v>5.0000000000000001E-3</v>
      </c>
      <c r="N302" s="41" t="s">
        <v>760</v>
      </c>
      <c r="O302" s="41" t="s">
        <v>782</v>
      </c>
      <c r="P302" s="41" t="s">
        <v>756</v>
      </c>
    </row>
    <row r="303" spans="1:16">
      <c r="A303" s="7" t="s">
        <v>1057</v>
      </c>
      <c r="B303" s="7" t="s">
        <v>1058</v>
      </c>
      <c r="C303" s="7" t="s">
        <v>382</v>
      </c>
      <c r="D303" s="197" t="s">
        <v>380</v>
      </c>
      <c r="E303" s="43">
        <v>5.0000000000000001E-3</v>
      </c>
      <c r="N303" s="41" t="s">
        <v>760</v>
      </c>
      <c r="O303" s="41" t="s">
        <v>782</v>
      </c>
      <c r="P303" s="41" t="s">
        <v>756</v>
      </c>
    </row>
    <row r="304" spans="1:16">
      <c r="A304" s="7" t="s">
        <v>1059</v>
      </c>
      <c r="B304" s="7" t="s">
        <v>87</v>
      </c>
      <c r="C304" s="7" t="s">
        <v>382</v>
      </c>
      <c r="D304" s="197" t="s">
        <v>380</v>
      </c>
      <c r="E304" s="43">
        <v>5.0000000000000001E-3</v>
      </c>
      <c r="N304" s="41" t="s">
        <v>760</v>
      </c>
      <c r="O304" s="41" t="s">
        <v>782</v>
      </c>
      <c r="P304" s="41" t="s">
        <v>756</v>
      </c>
    </row>
    <row r="305" spans="1:16">
      <c r="A305" s="7" t="s">
        <v>1060</v>
      </c>
      <c r="B305" s="7" t="s">
        <v>1061</v>
      </c>
      <c r="C305" s="7" t="s">
        <v>382</v>
      </c>
      <c r="D305" s="197" t="s">
        <v>380</v>
      </c>
      <c r="E305" s="43">
        <v>5.0000000000000001E-3</v>
      </c>
      <c r="N305" s="41" t="s">
        <v>760</v>
      </c>
      <c r="O305" s="41" t="s">
        <v>782</v>
      </c>
      <c r="P305" s="41" t="s">
        <v>756</v>
      </c>
    </row>
    <row r="306" spans="1:16">
      <c r="A306" s="7" t="s">
        <v>1062</v>
      </c>
      <c r="B306" s="7" t="s">
        <v>761</v>
      </c>
      <c r="C306" s="7" t="s">
        <v>382</v>
      </c>
      <c r="D306" s="197" t="s">
        <v>380</v>
      </c>
      <c r="E306" s="43">
        <v>5.0000000000000001E-3</v>
      </c>
      <c r="N306" s="41" t="s">
        <v>760</v>
      </c>
      <c r="O306" s="41" t="s">
        <v>782</v>
      </c>
      <c r="P306" s="41" t="s">
        <v>756</v>
      </c>
    </row>
    <row r="307" spans="1:16">
      <c r="A307" s="7" t="s">
        <v>1063</v>
      </c>
      <c r="B307" s="7" t="s">
        <v>761</v>
      </c>
      <c r="C307" s="7" t="s">
        <v>382</v>
      </c>
      <c r="D307" s="197" t="s">
        <v>380</v>
      </c>
      <c r="E307" s="43">
        <v>5.0000000000000001E-3</v>
      </c>
      <c r="N307" s="41" t="s">
        <v>760</v>
      </c>
      <c r="O307" s="41" t="s">
        <v>782</v>
      </c>
      <c r="P307" s="41" t="s">
        <v>756</v>
      </c>
    </row>
    <row r="308" spans="1:16">
      <c r="A308" s="7" t="s">
        <v>1064</v>
      </c>
      <c r="B308" s="7" t="s">
        <v>761</v>
      </c>
      <c r="C308" s="7" t="s">
        <v>382</v>
      </c>
      <c r="D308" s="197" t="s">
        <v>380</v>
      </c>
      <c r="E308" s="43">
        <v>5.0000000000000001E-3</v>
      </c>
      <c r="N308" s="41" t="s">
        <v>760</v>
      </c>
      <c r="O308" s="41" t="s">
        <v>782</v>
      </c>
      <c r="P308" s="41" t="s">
        <v>756</v>
      </c>
    </row>
    <row r="309" spans="1:16">
      <c r="A309" s="7" t="s">
        <v>1065</v>
      </c>
      <c r="B309" s="7" t="s">
        <v>1066</v>
      </c>
      <c r="C309" s="7" t="s">
        <v>382</v>
      </c>
      <c r="D309" s="197" t="s">
        <v>380</v>
      </c>
      <c r="E309" s="43">
        <v>5.0000000000000001E-3</v>
      </c>
      <c r="N309" s="41" t="s">
        <v>760</v>
      </c>
      <c r="O309" s="41" t="s">
        <v>782</v>
      </c>
      <c r="P309" s="41" t="s">
        <v>756</v>
      </c>
    </row>
    <row r="310" spans="1:16">
      <c r="A310" s="7" t="s">
        <v>538</v>
      </c>
      <c r="B310" s="7" t="s">
        <v>1067</v>
      </c>
      <c r="C310" s="7" t="s">
        <v>382</v>
      </c>
      <c r="D310" s="197" t="s">
        <v>380</v>
      </c>
      <c r="E310" s="43">
        <v>5.0000000000000001E-3</v>
      </c>
      <c r="N310" s="41" t="s">
        <v>760</v>
      </c>
      <c r="O310" s="41" t="s">
        <v>782</v>
      </c>
      <c r="P310" s="41" t="s">
        <v>756</v>
      </c>
    </row>
    <row r="311" spans="1:16">
      <c r="A311" s="7" t="s">
        <v>1068</v>
      </c>
      <c r="B311" s="7" t="s">
        <v>1067</v>
      </c>
      <c r="C311" s="7" t="s">
        <v>382</v>
      </c>
      <c r="D311" s="197" t="s">
        <v>380</v>
      </c>
      <c r="E311" s="43">
        <v>5.0000000000000001E-3</v>
      </c>
      <c r="N311" s="41" t="s">
        <v>760</v>
      </c>
      <c r="O311" s="41" t="s">
        <v>782</v>
      </c>
      <c r="P311" s="41" t="s">
        <v>756</v>
      </c>
    </row>
    <row r="312" spans="1:16">
      <c r="A312" s="7" t="s">
        <v>425</v>
      </c>
      <c r="B312" s="7" t="s">
        <v>1067</v>
      </c>
      <c r="C312" s="7" t="s">
        <v>382</v>
      </c>
      <c r="D312" s="197" t="s">
        <v>380</v>
      </c>
      <c r="E312" s="43">
        <v>5.0000000000000001E-3</v>
      </c>
      <c r="N312" s="41" t="s">
        <v>760</v>
      </c>
      <c r="O312" s="41" t="s">
        <v>782</v>
      </c>
      <c r="P312" s="41" t="s">
        <v>756</v>
      </c>
    </row>
    <row r="313" spans="1:16">
      <c r="A313" s="7" t="s">
        <v>1069</v>
      </c>
      <c r="B313" s="7" t="s">
        <v>1067</v>
      </c>
      <c r="C313" s="7" t="s">
        <v>382</v>
      </c>
      <c r="D313" s="197" t="s">
        <v>380</v>
      </c>
      <c r="E313" s="43">
        <v>5.0000000000000001E-3</v>
      </c>
      <c r="N313" s="41" t="s">
        <v>760</v>
      </c>
      <c r="O313" s="41" t="s">
        <v>782</v>
      </c>
      <c r="P313" s="41" t="s">
        <v>756</v>
      </c>
    </row>
    <row r="314" spans="1:16">
      <c r="A314" s="7" t="s">
        <v>571</v>
      </c>
      <c r="B314" s="7" t="s">
        <v>1070</v>
      </c>
      <c r="C314" s="7" t="s">
        <v>382</v>
      </c>
      <c r="D314" s="197" t="s">
        <v>380</v>
      </c>
      <c r="E314" s="43">
        <v>5.0000000000000001E-3</v>
      </c>
      <c r="N314" s="41" t="s">
        <v>760</v>
      </c>
      <c r="O314" s="41" t="s">
        <v>782</v>
      </c>
      <c r="P314" s="41" t="s">
        <v>756</v>
      </c>
    </row>
    <row r="315" spans="1:16">
      <c r="A315" s="7" t="s">
        <v>1071</v>
      </c>
      <c r="B315" s="7" t="s">
        <v>1067</v>
      </c>
      <c r="C315" s="7" t="s">
        <v>382</v>
      </c>
      <c r="D315" s="197" t="s">
        <v>380</v>
      </c>
      <c r="E315" s="43">
        <v>5.0000000000000001E-3</v>
      </c>
      <c r="N315" s="41" t="s">
        <v>760</v>
      </c>
      <c r="O315" s="41" t="s">
        <v>782</v>
      </c>
      <c r="P315" s="41" t="s">
        <v>756</v>
      </c>
    </row>
    <row r="316" spans="1:16">
      <c r="A316" s="7" t="s">
        <v>518</v>
      </c>
      <c r="B316" s="7" t="s">
        <v>1028</v>
      </c>
      <c r="C316" s="7" t="s">
        <v>382</v>
      </c>
      <c r="D316" s="197" t="s">
        <v>380</v>
      </c>
      <c r="E316" s="43">
        <v>5.0000000000000001E-3</v>
      </c>
      <c r="N316" s="41" t="s">
        <v>760</v>
      </c>
      <c r="O316" s="41" t="s">
        <v>782</v>
      </c>
      <c r="P316" s="41" t="s">
        <v>756</v>
      </c>
    </row>
    <row r="317" spans="1:16">
      <c r="A317" s="7" t="s">
        <v>1072</v>
      </c>
      <c r="B317" s="7" t="s">
        <v>761</v>
      </c>
      <c r="C317" s="7" t="s">
        <v>382</v>
      </c>
      <c r="D317" s="197" t="s">
        <v>380</v>
      </c>
      <c r="E317" s="43">
        <v>5.0000000000000001E-3</v>
      </c>
      <c r="N317" s="41" t="s">
        <v>760</v>
      </c>
      <c r="O317" s="41" t="s">
        <v>782</v>
      </c>
      <c r="P317" s="41" t="s">
        <v>756</v>
      </c>
    </row>
    <row r="318" spans="1:16">
      <c r="A318" s="7" t="s">
        <v>424</v>
      </c>
      <c r="B318" s="7" t="s">
        <v>1067</v>
      </c>
      <c r="C318" s="7" t="s">
        <v>382</v>
      </c>
      <c r="D318" s="197" t="s">
        <v>380</v>
      </c>
      <c r="E318" s="43">
        <v>5.0000000000000001E-3</v>
      </c>
      <c r="N318" s="41" t="s">
        <v>760</v>
      </c>
      <c r="O318" s="41" t="s">
        <v>782</v>
      </c>
      <c r="P318" s="41" t="s">
        <v>756</v>
      </c>
    </row>
    <row r="319" spans="1:16">
      <c r="A319" s="7" t="s">
        <v>1073</v>
      </c>
      <c r="B319" s="7" t="s">
        <v>1067</v>
      </c>
      <c r="C319" s="7" t="s">
        <v>382</v>
      </c>
      <c r="D319" s="197" t="s">
        <v>380</v>
      </c>
      <c r="E319" s="43">
        <v>5.0000000000000001E-3</v>
      </c>
      <c r="N319" s="41" t="s">
        <v>760</v>
      </c>
      <c r="O319" s="41" t="s">
        <v>782</v>
      </c>
      <c r="P319" s="41" t="s">
        <v>756</v>
      </c>
    </row>
    <row r="320" spans="1:16">
      <c r="A320" s="7" t="s">
        <v>397</v>
      </c>
      <c r="B320" s="7" t="s">
        <v>1067</v>
      </c>
      <c r="C320" s="7" t="s">
        <v>382</v>
      </c>
      <c r="D320" s="197" t="s">
        <v>380</v>
      </c>
      <c r="E320" s="43">
        <v>5.0000000000000001E-3</v>
      </c>
      <c r="N320" s="41" t="s">
        <v>760</v>
      </c>
      <c r="O320" s="41" t="s">
        <v>782</v>
      </c>
      <c r="P320" s="41" t="s">
        <v>756</v>
      </c>
    </row>
    <row r="321" spans="1:16">
      <c r="A321" s="7" t="s">
        <v>1074</v>
      </c>
      <c r="B321" s="7" t="s">
        <v>1075</v>
      </c>
      <c r="C321" s="7" t="s">
        <v>382</v>
      </c>
      <c r="D321" s="197" t="s">
        <v>380</v>
      </c>
      <c r="E321" s="43">
        <v>5.0000000000000001E-3</v>
      </c>
      <c r="N321" s="41" t="s">
        <v>760</v>
      </c>
      <c r="O321" s="41" t="s">
        <v>782</v>
      </c>
      <c r="P321" s="41" t="s">
        <v>756</v>
      </c>
    </row>
    <row r="322" spans="1:16">
      <c r="A322" s="7" t="s">
        <v>1076</v>
      </c>
      <c r="B322" s="7" t="s">
        <v>1018</v>
      </c>
      <c r="C322" s="7" t="s">
        <v>382</v>
      </c>
      <c r="D322" s="197" t="s">
        <v>380</v>
      </c>
      <c r="E322" s="43">
        <v>5.0000000000000001E-3</v>
      </c>
      <c r="N322" s="41" t="s">
        <v>760</v>
      </c>
      <c r="O322" s="41" t="s">
        <v>782</v>
      </c>
      <c r="P322" s="41" t="s">
        <v>756</v>
      </c>
    </row>
    <row r="323" spans="1:16">
      <c r="A323" s="7" t="s">
        <v>401</v>
      </c>
      <c r="B323" s="7" t="s">
        <v>1077</v>
      </c>
      <c r="C323" s="7" t="s">
        <v>382</v>
      </c>
      <c r="D323" s="197" t="s">
        <v>380</v>
      </c>
      <c r="E323" s="43">
        <v>5.0000000000000001E-3</v>
      </c>
      <c r="N323" s="41" t="s">
        <v>760</v>
      </c>
      <c r="O323" s="41" t="s">
        <v>782</v>
      </c>
      <c r="P323" s="41" t="s">
        <v>756</v>
      </c>
    </row>
    <row r="324" spans="1:16">
      <c r="A324" s="7" t="s">
        <v>1078</v>
      </c>
      <c r="B324" s="7" t="s">
        <v>1045</v>
      </c>
      <c r="C324" s="7" t="s">
        <v>382</v>
      </c>
      <c r="D324" s="197" t="s">
        <v>380</v>
      </c>
      <c r="E324" s="43">
        <v>5.0000000000000001E-3</v>
      </c>
      <c r="N324" s="41" t="s">
        <v>760</v>
      </c>
      <c r="O324" s="41" t="s">
        <v>782</v>
      </c>
      <c r="P324" s="41" t="s">
        <v>756</v>
      </c>
    </row>
    <row r="325" spans="1:16">
      <c r="A325" s="7" t="s">
        <v>1079</v>
      </c>
      <c r="B325" s="7" t="s">
        <v>762</v>
      </c>
      <c r="C325" s="7" t="s">
        <v>382</v>
      </c>
      <c r="D325" s="197" t="s">
        <v>380</v>
      </c>
      <c r="E325" s="43">
        <v>5.0000000000000001E-3</v>
      </c>
      <c r="N325" s="41" t="s">
        <v>760</v>
      </c>
      <c r="O325" s="41" t="s">
        <v>782</v>
      </c>
      <c r="P325" s="41" t="s">
        <v>756</v>
      </c>
    </row>
    <row r="326" spans="1:16">
      <c r="A326" s="7" t="s">
        <v>1080</v>
      </c>
      <c r="B326" s="7" t="s">
        <v>1081</v>
      </c>
      <c r="C326" s="7" t="s">
        <v>382</v>
      </c>
      <c r="D326" s="197" t="s">
        <v>380</v>
      </c>
      <c r="E326" s="43">
        <v>5.0000000000000001E-3</v>
      </c>
      <c r="N326" s="41" t="s">
        <v>760</v>
      </c>
      <c r="O326" s="41" t="s">
        <v>782</v>
      </c>
      <c r="P326" s="41" t="s">
        <v>756</v>
      </c>
    </row>
    <row r="327" spans="1:16">
      <c r="A327" s="7" t="s">
        <v>1082</v>
      </c>
      <c r="B327" s="7" t="s">
        <v>1018</v>
      </c>
      <c r="C327" s="7" t="s">
        <v>382</v>
      </c>
      <c r="D327" s="197" t="s">
        <v>380</v>
      </c>
      <c r="E327" s="43">
        <v>5.0000000000000001E-3</v>
      </c>
      <c r="N327" s="41" t="s">
        <v>760</v>
      </c>
      <c r="O327" s="41" t="s">
        <v>782</v>
      </c>
      <c r="P327" s="41" t="s">
        <v>756</v>
      </c>
    </row>
    <row r="328" spans="1:16">
      <c r="A328" s="7" t="s">
        <v>1083</v>
      </c>
      <c r="B328" s="7" t="s">
        <v>1045</v>
      </c>
      <c r="C328" s="7" t="s">
        <v>382</v>
      </c>
      <c r="D328" s="197" t="s">
        <v>380</v>
      </c>
      <c r="E328" s="43">
        <v>5.0000000000000001E-3</v>
      </c>
      <c r="N328" s="41" t="s">
        <v>760</v>
      </c>
      <c r="O328" s="41" t="s">
        <v>782</v>
      </c>
      <c r="P328" s="41" t="s">
        <v>756</v>
      </c>
    </row>
    <row r="329" spans="1:16">
      <c r="A329" s="7" t="s">
        <v>1084</v>
      </c>
      <c r="B329" s="7" t="s">
        <v>761</v>
      </c>
      <c r="C329" s="7" t="s">
        <v>382</v>
      </c>
      <c r="D329" s="197" t="s">
        <v>380</v>
      </c>
      <c r="E329" s="43">
        <v>5.0000000000000001E-3</v>
      </c>
      <c r="N329" s="41" t="s">
        <v>760</v>
      </c>
      <c r="O329" s="41" t="s">
        <v>782</v>
      </c>
      <c r="P329" s="41" t="s">
        <v>756</v>
      </c>
    </row>
    <row r="330" spans="1:16">
      <c r="A330" s="7" t="s">
        <v>403</v>
      </c>
      <c r="B330" s="7" t="s">
        <v>1085</v>
      </c>
      <c r="C330" s="7" t="s">
        <v>382</v>
      </c>
      <c r="D330" s="197" t="s">
        <v>380</v>
      </c>
      <c r="E330" s="43">
        <v>5.0000000000000001E-3</v>
      </c>
      <c r="N330" s="41" t="s">
        <v>760</v>
      </c>
      <c r="O330" s="41" t="s">
        <v>782</v>
      </c>
      <c r="P330" s="41" t="s">
        <v>756</v>
      </c>
    </row>
    <row r="331" spans="1:16">
      <c r="A331" s="7" t="s">
        <v>490</v>
      </c>
      <c r="B331" s="7" t="s">
        <v>1086</v>
      </c>
      <c r="C331" s="7" t="s">
        <v>382</v>
      </c>
      <c r="D331" s="197" t="s">
        <v>380</v>
      </c>
      <c r="E331" s="43">
        <v>5.0000000000000001E-3</v>
      </c>
      <c r="N331" s="41" t="s">
        <v>760</v>
      </c>
      <c r="O331" s="41" t="s">
        <v>782</v>
      </c>
      <c r="P331" s="41" t="s">
        <v>756</v>
      </c>
    </row>
    <row r="332" spans="1:16">
      <c r="A332" s="7" t="s">
        <v>1087</v>
      </c>
      <c r="B332" s="7" t="s">
        <v>1061</v>
      </c>
      <c r="C332" s="7" t="s">
        <v>382</v>
      </c>
      <c r="D332" s="197" t="s">
        <v>380</v>
      </c>
      <c r="E332" s="43">
        <v>5.0000000000000001E-3</v>
      </c>
      <c r="N332" s="41" t="s">
        <v>760</v>
      </c>
      <c r="O332" s="41" t="s">
        <v>782</v>
      </c>
      <c r="P332" s="41" t="s">
        <v>756</v>
      </c>
    </row>
    <row r="333" spans="1:16">
      <c r="A333" s="7" t="s">
        <v>1088</v>
      </c>
      <c r="B333" s="7" t="s">
        <v>1089</v>
      </c>
      <c r="C333" s="7" t="s">
        <v>382</v>
      </c>
      <c r="D333" s="197" t="s">
        <v>380</v>
      </c>
      <c r="E333" s="43">
        <v>5.0000000000000001E-3</v>
      </c>
      <c r="N333" s="41" t="s">
        <v>760</v>
      </c>
      <c r="O333" s="41" t="s">
        <v>782</v>
      </c>
      <c r="P333" s="41" t="s">
        <v>756</v>
      </c>
    </row>
    <row r="334" spans="1:16">
      <c r="A334" s="7" t="s">
        <v>1090</v>
      </c>
      <c r="B334" s="7" t="s">
        <v>761</v>
      </c>
      <c r="C334" s="7" t="s">
        <v>382</v>
      </c>
      <c r="D334" s="197" t="s">
        <v>380</v>
      </c>
      <c r="E334" s="43">
        <v>5.0000000000000001E-3</v>
      </c>
      <c r="N334" s="41" t="s">
        <v>760</v>
      </c>
      <c r="O334" s="41" t="s">
        <v>782</v>
      </c>
      <c r="P334" s="41" t="s">
        <v>756</v>
      </c>
    </row>
    <row r="335" spans="1:16">
      <c r="A335" s="7" t="s">
        <v>1091</v>
      </c>
      <c r="B335" s="7" t="s">
        <v>761</v>
      </c>
      <c r="C335" s="7" t="s">
        <v>382</v>
      </c>
      <c r="D335" s="197" t="s">
        <v>380</v>
      </c>
      <c r="E335" s="43">
        <v>5.0000000000000001E-3</v>
      </c>
      <c r="N335" s="41" t="s">
        <v>760</v>
      </c>
      <c r="O335" s="41" t="s">
        <v>782</v>
      </c>
      <c r="P335" s="41" t="s">
        <v>756</v>
      </c>
    </row>
    <row r="336" spans="1:16">
      <c r="A336" s="7" t="s">
        <v>640</v>
      </c>
      <c r="B336" s="7" t="s">
        <v>761</v>
      </c>
      <c r="C336" s="7" t="s">
        <v>382</v>
      </c>
      <c r="D336" s="197" t="s">
        <v>380</v>
      </c>
      <c r="E336" s="43">
        <v>5.0000000000000001E-3</v>
      </c>
      <c r="N336" s="41" t="s">
        <v>760</v>
      </c>
      <c r="O336" s="41" t="s">
        <v>782</v>
      </c>
      <c r="P336" s="41" t="s">
        <v>756</v>
      </c>
    </row>
    <row r="337" spans="1:16">
      <c r="A337" s="7" t="s">
        <v>1092</v>
      </c>
      <c r="B337" s="7" t="s">
        <v>761</v>
      </c>
      <c r="C337" s="7" t="s">
        <v>382</v>
      </c>
      <c r="D337" s="197" t="s">
        <v>380</v>
      </c>
      <c r="E337" s="43">
        <v>5.0000000000000001E-3</v>
      </c>
      <c r="N337" s="41" t="s">
        <v>787</v>
      </c>
      <c r="O337" s="41" t="s">
        <v>782</v>
      </c>
      <c r="P337" s="41" t="s">
        <v>756</v>
      </c>
    </row>
    <row r="338" spans="1:16">
      <c r="A338" s="7" t="s">
        <v>610</v>
      </c>
      <c r="B338" s="7" t="s">
        <v>1093</v>
      </c>
      <c r="C338" s="7" t="s">
        <v>382</v>
      </c>
      <c r="D338" s="197" t="s">
        <v>380</v>
      </c>
      <c r="E338" s="43">
        <v>5.0000000000000001E-3</v>
      </c>
      <c r="N338" s="41" t="s">
        <v>787</v>
      </c>
      <c r="O338" s="41" t="s">
        <v>782</v>
      </c>
      <c r="P338" s="41" t="s">
        <v>756</v>
      </c>
    </row>
    <row r="339" spans="1:16">
      <c r="A339" s="7" t="s">
        <v>1094</v>
      </c>
      <c r="B339" s="7" t="s">
        <v>1095</v>
      </c>
      <c r="C339" s="7" t="s">
        <v>382</v>
      </c>
      <c r="D339" s="197" t="s">
        <v>380</v>
      </c>
      <c r="E339" s="43">
        <v>5.0000000000000001E-3</v>
      </c>
      <c r="N339" s="41" t="s">
        <v>787</v>
      </c>
      <c r="O339" s="41" t="s">
        <v>782</v>
      </c>
      <c r="P339" s="41" t="s">
        <v>756</v>
      </c>
    </row>
    <row r="340" spans="1:16">
      <c r="A340" s="7" t="s">
        <v>1096</v>
      </c>
      <c r="B340" s="7" t="s">
        <v>1070</v>
      </c>
      <c r="C340" s="7" t="s">
        <v>382</v>
      </c>
      <c r="D340" s="197" t="s">
        <v>380</v>
      </c>
      <c r="E340" s="43">
        <v>5.0000000000000001E-3</v>
      </c>
      <c r="N340" s="41" t="s">
        <v>760</v>
      </c>
      <c r="O340" s="41" t="s">
        <v>782</v>
      </c>
      <c r="P340" s="41" t="s">
        <v>756</v>
      </c>
    </row>
    <row r="341" spans="1:16">
      <c r="A341" s="7" t="s">
        <v>1097</v>
      </c>
      <c r="B341" s="7" t="s">
        <v>1077</v>
      </c>
      <c r="C341" s="7" t="s">
        <v>382</v>
      </c>
      <c r="D341" s="197" t="s">
        <v>380</v>
      </c>
      <c r="E341" s="43">
        <v>5.0000000000000001E-3</v>
      </c>
      <c r="N341" s="41" t="s">
        <v>760</v>
      </c>
      <c r="O341" s="41" t="s">
        <v>782</v>
      </c>
      <c r="P341" s="41" t="s">
        <v>756</v>
      </c>
    </row>
    <row r="342" spans="1:16">
      <c r="A342" s="7" t="s">
        <v>1098</v>
      </c>
      <c r="B342" s="7" t="s">
        <v>1099</v>
      </c>
      <c r="C342" s="7" t="s">
        <v>382</v>
      </c>
      <c r="D342" s="197" t="s">
        <v>380</v>
      </c>
      <c r="E342" s="43">
        <v>5.0000000000000001E-3</v>
      </c>
      <c r="N342" s="41" t="s">
        <v>760</v>
      </c>
      <c r="O342" s="41" t="s">
        <v>782</v>
      </c>
      <c r="P342" s="41" t="s">
        <v>756</v>
      </c>
    </row>
    <row r="343" spans="1:16">
      <c r="A343" s="7" t="s">
        <v>1100</v>
      </c>
      <c r="B343" s="7" t="s">
        <v>1101</v>
      </c>
      <c r="C343" s="7" t="s">
        <v>382</v>
      </c>
      <c r="D343" s="197" t="s">
        <v>380</v>
      </c>
      <c r="E343" s="43">
        <v>5.0000000000000001E-3</v>
      </c>
      <c r="N343" s="41" t="s">
        <v>760</v>
      </c>
      <c r="O343" s="41" t="s">
        <v>782</v>
      </c>
      <c r="P343" s="41" t="s">
        <v>756</v>
      </c>
    </row>
    <row r="344" spans="1:16">
      <c r="A344" s="7" t="s">
        <v>1102</v>
      </c>
      <c r="B344" s="7" t="s">
        <v>1101</v>
      </c>
      <c r="C344" s="7" t="s">
        <v>382</v>
      </c>
      <c r="D344" s="197" t="s">
        <v>380</v>
      </c>
      <c r="E344" s="43">
        <v>5.0000000000000001E-3</v>
      </c>
      <c r="N344" s="41" t="s">
        <v>760</v>
      </c>
      <c r="O344" s="41" t="s">
        <v>782</v>
      </c>
      <c r="P344" s="41" t="s">
        <v>756</v>
      </c>
    </row>
    <row r="345" spans="1:16">
      <c r="A345" s="7" t="s">
        <v>1103</v>
      </c>
      <c r="B345" s="7" t="s">
        <v>1101</v>
      </c>
      <c r="C345" s="7" t="s">
        <v>382</v>
      </c>
      <c r="D345" s="197" t="s">
        <v>380</v>
      </c>
      <c r="E345" s="43">
        <v>5.0000000000000001E-3</v>
      </c>
      <c r="N345" s="41" t="s">
        <v>760</v>
      </c>
      <c r="O345" s="41" t="s">
        <v>782</v>
      </c>
      <c r="P345" s="41" t="s">
        <v>756</v>
      </c>
    </row>
    <row r="346" spans="1:16">
      <c r="A346" s="7" t="s">
        <v>1104</v>
      </c>
      <c r="B346" s="7" t="s">
        <v>1101</v>
      </c>
      <c r="C346" s="7" t="s">
        <v>382</v>
      </c>
      <c r="D346" s="197" t="s">
        <v>380</v>
      </c>
      <c r="E346" s="43">
        <v>5.0000000000000001E-3</v>
      </c>
      <c r="N346" s="41" t="s">
        <v>760</v>
      </c>
      <c r="O346" s="41" t="s">
        <v>782</v>
      </c>
      <c r="P346" s="41" t="s">
        <v>756</v>
      </c>
    </row>
    <row r="347" spans="1:16">
      <c r="A347" s="7" t="s">
        <v>580</v>
      </c>
      <c r="B347" s="7" t="s">
        <v>998</v>
      </c>
      <c r="C347" s="7" t="s">
        <v>382</v>
      </c>
      <c r="D347" s="197" t="s">
        <v>380</v>
      </c>
      <c r="E347" s="43">
        <v>5.0000000000000001E-3</v>
      </c>
      <c r="N347" s="41" t="s">
        <v>787</v>
      </c>
      <c r="O347" s="41" t="s">
        <v>782</v>
      </c>
      <c r="P347" s="41" t="s">
        <v>756</v>
      </c>
    </row>
    <row r="348" spans="1:16">
      <c r="A348" s="7" t="s">
        <v>1105</v>
      </c>
      <c r="C348" s="7" t="s">
        <v>382</v>
      </c>
      <c r="D348" s="197" t="s">
        <v>380</v>
      </c>
      <c r="E348" s="43">
        <v>5.0000000000000001E-3</v>
      </c>
      <c r="N348" s="41" t="s">
        <v>787</v>
      </c>
      <c r="O348" s="41" t="s">
        <v>782</v>
      </c>
      <c r="P348" s="41" t="s">
        <v>756</v>
      </c>
    </row>
    <row r="349" spans="1:16">
      <c r="A349" s="7" t="s">
        <v>1106</v>
      </c>
      <c r="C349" s="7" t="s">
        <v>382</v>
      </c>
      <c r="D349" s="197" t="s">
        <v>380</v>
      </c>
      <c r="E349" s="43">
        <v>5.0000000000000001E-3</v>
      </c>
      <c r="N349" s="41" t="s">
        <v>787</v>
      </c>
      <c r="O349" s="41" t="s">
        <v>782</v>
      </c>
      <c r="P349" s="41" t="s">
        <v>756</v>
      </c>
    </row>
    <row r="350" spans="1:16">
      <c r="A350" s="7" t="s">
        <v>1107</v>
      </c>
      <c r="C350" s="7" t="s">
        <v>382</v>
      </c>
      <c r="D350" s="197" t="s">
        <v>380</v>
      </c>
      <c r="E350" s="43">
        <v>5.0000000000000001E-3</v>
      </c>
      <c r="N350" s="41" t="s">
        <v>787</v>
      </c>
      <c r="O350" s="41" t="s">
        <v>782</v>
      </c>
      <c r="P350" s="41" t="s">
        <v>756</v>
      </c>
    </row>
    <row r="351" spans="1:16">
      <c r="A351" s="7" t="s">
        <v>1108</v>
      </c>
      <c r="B351" s="7" t="s">
        <v>486</v>
      </c>
      <c r="C351" s="7" t="s">
        <v>382</v>
      </c>
      <c r="D351" s="197" t="s">
        <v>380</v>
      </c>
      <c r="E351" s="43">
        <v>5.0000000000000001E-3</v>
      </c>
      <c r="N351" s="41" t="s">
        <v>787</v>
      </c>
      <c r="O351" s="41" t="s">
        <v>782</v>
      </c>
      <c r="P351" s="41" t="s">
        <v>756</v>
      </c>
    </row>
    <row r="352" spans="1:16">
      <c r="A352" s="7" t="s">
        <v>1109</v>
      </c>
      <c r="B352" s="7" t="s">
        <v>1110</v>
      </c>
      <c r="C352" s="7" t="s">
        <v>382</v>
      </c>
      <c r="D352" s="197" t="s">
        <v>380</v>
      </c>
      <c r="E352" s="43">
        <v>5.0000000000000001E-3</v>
      </c>
      <c r="N352" s="41" t="s">
        <v>787</v>
      </c>
      <c r="O352" s="41" t="s">
        <v>782</v>
      </c>
      <c r="P352" s="41" t="s">
        <v>756</v>
      </c>
    </row>
    <row r="353" spans="1:16">
      <c r="A353" s="7" t="s">
        <v>1111</v>
      </c>
      <c r="B353" s="7" t="s">
        <v>1110</v>
      </c>
      <c r="C353" s="7" t="s">
        <v>382</v>
      </c>
      <c r="D353" s="197" t="s">
        <v>380</v>
      </c>
      <c r="E353" s="43">
        <v>5.0000000000000001E-3</v>
      </c>
      <c r="N353" s="41" t="s">
        <v>787</v>
      </c>
      <c r="O353" s="41" t="s">
        <v>782</v>
      </c>
      <c r="P353" s="41" t="s">
        <v>756</v>
      </c>
    </row>
    <row r="354" spans="1:16">
      <c r="A354" s="7" t="s">
        <v>483</v>
      </c>
      <c r="B354" s="7" t="s">
        <v>1112</v>
      </c>
      <c r="C354" s="7" t="s">
        <v>382</v>
      </c>
      <c r="D354" s="197" t="s">
        <v>380</v>
      </c>
      <c r="E354" s="43">
        <v>5.0000000000000001E-3</v>
      </c>
      <c r="N354" s="41" t="s">
        <v>787</v>
      </c>
      <c r="O354" s="41" t="s">
        <v>782</v>
      </c>
      <c r="P354" s="41" t="s">
        <v>756</v>
      </c>
    </row>
    <row r="355" spans="1:16" ht="20">
      <c r="A355" s="291" t="s">
        <v>379</v>
      </c>
      <c r="B355" s="7" t="s">
        <v>762</v>
      </c>
      <c r="C355" s="7" t="s">
        <v>382</v>
      </c>
      <c r="D355" s="197" t="s">
        <v>380</v>
      </c>
      <c r="E355" s="43">
        <v>5.0000000000000001E-3</v>
      </c>
      <c r="N355" s="41" t="s">
        <v>787</v>
      </c>
      <c r="O355" s="41" t="s">
        <v>782</v>
      </c>
      <c r="P355" s="41" t="s">
        <v>756</v>
      </c>
    </row>
    <row r="356" spans="1:16" ht="20">
      <c r="A356" s="291" t="s">
        <v>1113</v>
      </c>
      <c r="B356" s="7" t="s">
        <v>1061</v>
      </c>
      <c r="C356" s="7" t="s">
        <v>382</v>
      </c>
      <c r="D356" s="197" t="s">
        <v>380</v>
      </c>
      <c r="E356" s="43">
        <v>5.0000000000000001E-3</v>
      </c>
      <c r="N356" s="41" t="s">
        <v>787</v>
      </c>
      <c r="O356" s="41" t="s">
        <v>782</v>
      </c>
      <c r="P356" s="41" t="s">
        <v>756</v>
      </c>
    </row>
    <row r="357" spans="1:16" ht="20">
      <c r="A357" s="291" t="s">
        <v>1114</v>
      </c>
      <c r="B357" s="7" t="s">
        <v>1075</v>
      </c>
      <c r="C357" s="7" t="s">
        <v>382</v>
      </c>
      <c r="D357" s="197" t="s">
        <v>380</v>
      </c>
      <c r="E357" s="43">
        <v>5.0000000000000001E-3</v>
      </c>
      <c r="N357" s="41" t="s">
        <v>787</v>
      </c>
      <c r="O357" s="41" t="s">
        <v>782</v>
      </c>
      <c r="P357" s="41" t="s">
        <v>756</v>
      </c>
    </row>
    <row r="358" spans="1:16" ht="20">
      <c r="A358" s="291" t="s">
        <v>1115</v>
      </c>
      <c r="B358" s="7" t="s">
        <v>1075</v>
      </c>
      <c r="C358" s="7" t="s">
        <v>382</v>
      </c>
      <c r="D358" s="197" t="s">
        <v>380</v>
      </c>
      <c r="E358" s="43">
        <v>5.0000000000000001E-3</v>
      </c>
      <c r="N358" s="41" t="s">
        <v>787</v>
      </c>
      <c r="O358" s="41" t="s">
        <v>782</v>
      </c>
      <c r="P358" s="41" t="s">
        <v>756</v>
      </c>
    </row>
    <row r="359" spans="1:16" ht="20">
      <c r="A359" s="291" t="s">
        <v>1116</v>
      </c>
      <c r="B359" s="7" t="s">
        <v>1117</v>
      </c>
      <c r="C359" s="7" t="s">
        <v>382</v>
      </c>
      <c r="D359" s="197" t="s">
        <v>380</v>
      </c>
      <c r="E359" s="43">
        <v>5.0000000000000001E-3</v>
      </c>
      <c r="N359" s="41" t="s">
        <v>787</v>
      </c>
      <c r="O359" s="41" t="s">
        <v>782</v>
      </c>
      <c r="P359" s="41" t="s">
        <v>756</v>
      </c>
    </row>
    <row r="360" spans="1:16" ht="20">
      <c r="A360" s="291" t="s">
        <v>1118</v>
      </c>
      <c r="B360" s="7" t="s">
        <v>1119</v>
      </c>
      <c r="C360" s="7" t="s">
        <v>382</v>
      </c>
      <c r="D360" s="197" t="s">
        <v>380</v>
      </c>
      <c r="E360" s="43">
        <v>5.0000000000000001E-3</v>
      </c>
      <c r="N360" s="41" t="s">
        <v>787</v>
      </c>
      <c r="O360" s="41" t="s">
        <v>782</v>
      </c>
      <c r="P360" s="41" t="s">
        <v>756</v>
      </c>
    </row>
    <row r="361" spans="1:16" ht="20">
      <c r="A361" s="291" t="s">
        <v>563</v>
      </c>
      <c r="B361" s="7" t="s">
        <v>1120</v>
      </c>
      <c r="C361" s="7" t="s">
        <v>382</v>
      </c>
      <c r="D361" s="197" t="s">
        <v>380</v>
      </c>
      <c r="E361" s="43">
        <v>5.0000000000000001E-3</v>
      </c>
      <c r="N361" s="41" t="s">
        <v>787</v>
      </c>
      <c r="O361" s="41" t="s">
        <v>782</v>
      </c>
      <c r="P361" s="41" t="s">
        <v>756</v>
      </c>
    </row>
    <row r="362" spans="1:16" ht="20">
      <c r="A362" s="291" t="s">
        <v>1121</v>
      </c>
      <c r="B362" s="7" t="s">
        <v>1089</v>
      </c>
      <c r="C362" s="7" t="s">
        <v>382</v>
      </c>
      <c r="D362" s="197" t="s">
        <v>380</v>
      </c>
      <c r="N362" s="41" t="s">
        <v>787</v>
      </c>
      <c r="O362" s="41" t="s">
        <v>782</v>
      </c>
      <c r="P362" s="41" t="s">
        <v>756</v>
      </c>
    </row>
    <row r="363" spans="1:16" ht="20">
      <c r="A363" s="291" t="s">
        <v>1122</v>
      </c>
      <c r="B363" s="7" t="s">
        <v>916</v>
      </c>
      <c r="C363" s="7" t="s">
        <v>382</v>
      </c>
      <c r="D363" s="197" t="s">
        <v>380</v>
      </c>
      <c r="N363" s="41" t="s">
        <v>787</v>
      </c>
      <c r="O363" s="41" t="s">
        <v>782</v>
      </c>
      <c r="P363" s="41" t="s">
        <v>756</v>
      </c>
    </row>
    <row r="364" spans="1:16" ht="20">
      <c r="A364" s="291" t="s">
        <v>545</v>
      </c>
      <c r="B364" s="7" t="s">
        <v>916</v>
      </c>
      <c r="C364" s="7" t="s">
        <v>382</v>
      </c>
      <c r="D364" s="197" t="s">
        <v>380</v>
      </c>
      <c r="N364" s="41" t="s">
        <v>787</v>
      </c>
      <c r="O364" s="41" t="s">
        <v>782</v>
      </c>
      <c r="P364" s="41" t="s">
        <v>756</v>
      </c>
    </row>
    <row r="365" spans="1:16" ht="20">
      <c r="A365" s="291" t="s">
        <v>1123</v>
      </c>
      <c r="B365" s="7" t="s">
        <v>1110</v>
      </c>
      <c r="C365" s="7" t="s">
        <v>382</v>
      </c>
      <c r="D365" s="197" t="s">
        <v>380</v>
      </c>
      <c r="N365" s="41" t="s">
        <v>787</v>
      </c>
      <c r="O365" s="41" t="s">
        <v>782</v>
      </c>
      <c r="P365" s="41" t="s">
        <v>756</v>
      </c>
    </row>
    <row r="366" spans="1:16" ht="20">
      <c r="A366" s="291" t="s">
        <v>1124</v>
      </c>
      <c r="B366" s="7" t="s">
        <v>1125</v>
      </c>
      <c r="C366" s="7" t="s">
        <v>382</v>
      </c>
      <c r="D366" s="197" t="s">
        <v>380</v>
      </c>
      <c r="N366" s="41" t="s">
        <v>787</v>
      </c>
      <c r="O366" s="41" t="s">
        <v>782</v>
      </c>
      <c r="P366" s="41" t="s">
        <v>756</v>
      </c>
    </row>
    <row r="367" spans="1:16" ht="20">
      <c r="A367" s="291" t="s">
        <v>565</v>
      </c>
      <c r="B367" s="7" t="s">
        <v>1018</v>
      </c>
      <c r="C367" s="7" t="s">
        <v>382</v>
      </c>
      <c r="D367" s="197" t="s">
        <v>380</v>
      </c>
      <c r="N367" s="41" t="s">
        <v>787</v>
      </c>
      <c r="O367" s="41" t="s">
        <v>782</v>
      </c>
      <c r="P367" s="41" t="s">
        <v>756</v>
      </c>
    </row>
    <row r="368" spans="1:16" ht="20">
      <c r="A368" s="291" t="s">
        <v>1126</v>
      </c>
      <c r="B368" s="7" t="s">
        <v>1066</v>
      </c>
      <c r="C368" s="7" t="s">
        <v>382</v>
      </c>
      <c r="D368" s="197" t="s">
        <v>380</v>
      </c>
      <c r="N368" s="41" t="s">
        <v>787</v>
      </c>
      <c r="O368" s="41" t="s">
        <v>782</v>
      </c>
      <c r="P368" s="41" t="s">
        <v>756</v>
      </c>
    </row>
    <row r="369" spans="1:16" ht="20">
      <c r="A369" s="291" t="s">
        <v>1127</v>
      </c>
      <c r="B369" s="7" t="s">
        <v>762</v>
      </c>
      <c r="C369" s="7" t="s">
        <v>382</v>
      </c>
      <c r="D369" s="197" t="s">
        <v>380</v>
      </c>
      <c r="N369" s="41" t="s">
        <v>787</v>
      </c>
      <c r="O369" s="41" t="s">
        <v>782</v>
      </c>
      <c r="P369" s="41" t="s">
        <v>756</v>
      </c>
    </row>
    <row r="370" spans="1:16" ht="20">
      <c r="A370" s="291" t="s">
        <v>1128</v>
      </c>
      <c r="B370" s="7" t="s">
        <v>1129</v>
      </c>
      <c r="C370" s="7" t="s">
        <v>382</v>
      </c>
      <c r="D370" s="197" t="s">
        <v>380</v>
      </c>
      <c r="N370" s="41" t="s">
        <v>787</v>
      </c>
      <c r="O370" s="41" t="s">
        <v>782</v>
      </c>
      <c r="P370" s="41" t="s">
        <v>756</v>
      </c>
    </row>
    <row r="371" spans="1:16" ht="20">
      <c r="A371" s="291" t="s">
        <v>1130</v>
      </c>
      <c r="B371" s="7" t="s">
        <v>1131</v>
      </c>
      <c r="C371" s="7" t="s">
        <v>382</v>
      </c>
      <c r="D371" s="197" t="s">
        <v>380</v>
      </c>
      <c r="N371" s="41" t="s">
        <v>787</v>
      </c>
      <c r="O371" s="41" t="s">
        <v>782</v>
      </c>
      <c r="P371" s="41" t="s">
        <v>756</v>
      </c>
    </row>
    <row r="372" spans="1:16" ht="20">
      <c r="A372" s="291" t="s">
        <v>458</v>
      </c>
      <c r="B372" s="7" t="s">
        <v>1089</v>
      </c>
      <c r="C372" s="7" t="s">
        <v>382</v>
      </c>
      <c r="D372" s="197" t="s">
        <v>380</v>
      </c>
      <c r="N372" s="41" t="s">
        <v>787</v>
      </c>
      <c r="O372" s="41" t="s">
        <v>782</v>
      </c>
      <c r="P372" s="41" t="s">
        <v>756</v>
      </c>
    </row>
    <row r="373" spans="1:16" ht="20">
      <c r="A373" s="291" t="s">
        <v>1132</v>
      </c>
      <c r="B373" s="7" t="s">
        <v>1133</v>
      </c>
      <c r="C373" s="7" t="s">
        <v>382</v>
      </c>
      <c r="D373" s="197" t="s">
        <v>380</v>
      </c>
      <c r="N373" s="41" t="s">
        <v>787</v>
      </c>
      <c r="O373" s="41" t="s">
        <v>782</v>
      </c>
      <c r="P373" s="41" t="s">
        <v>756</v>
      </c>
    </row>
    <row r="374" spans="1:16" ht="20">
      <c r="A374" s="291" t="s">
        <v>1134</v>
      </c>
      <c r="B374" s="7" t="s">
        <v>1135</v>
      </c>
      <c r="C374" s="7" t="s">
        <v>382</v>
      </c>
      <c r="D374" s="197" t="s">
        <v>380</v>
      </c>
      <c r="N374" s="41" t="s">
        <v>787</v>
      </c>
      <c r="O374" s="41" t="s">
        <v>782</v>
      </c>
      <c r="P374" s="41" t="s">
        <v>756</v>
      </c>
    </row>
    <row r="375" spans="1:16" ht="20">
      <c r="A375" s="291" t="s">
        <v>1136</v>
      </c>
      <c r="B375" s="7" t="s">
        <v>1018</v>
      </c>
      <c r="C375" s="7" t="s">
        <v>382</v>
      </c>
      <c r="D375" s="197" t="s">
        <v>380</v>
      </c>
      <c r="N375" s="41" t="s">
        <v>787</v>
      </c>
      <c r="O375" s="41" t="s">
        <v>782</v>
      </c>
      <c r="P375" s="41" t="s">
        <v>756</v>
      </c>
    </row>
    <row r="376" spans="1:16" ht="20">
      <c r="A376" s="291" t="s">
        <v>443</v>
      </c>
      <c r="B376" s="7" t="s">
        <v>1137</v>
      </c>
      <c r="C376" s="7" t="s">
        <v>382</v>
      </c>
      <c r="D376" s="197" t="s">
        <v>380</v>
      </c>
      <c r="N376" s="41" t="s">
        <v>787</v>
      </c>
      <c r="O376" s="41" t="s">
        <v>782</v>
      </c>
      <c r="P376" s="41" t="s">
        <v>756</v>
      </c>
    </row>
    <row r="377" spans="1:16" ht="20">
      <c r="A377" s="291" t="s">
        <v>1138</v>
      </c>
      <c r="B377" s="7" t="s">
        <v>1139</v>
      </c>
      <c r="C377" s="7" t="s">
        <v>382</v>
      </c>
      <c r="D377" s="197" t="s">
        <v>380</v>
      </c>
      <c r="N377" s="41" t="s">
        <v>787</v>
      </c>
      <c r="O377" s="41" t="s">
        <v>782</v>
      </c>
      <c r="P377" s="41" t="s">
        <v>756</v>
      </c>
    </row>
    <row r="378" spans="1:16" ht="20">
      <c r="A378" s="291" t="s">
        <v>644</v>
      </c>
      <c r="B378" s="7" t="s">
        <v>1140</v>
      </c>
      <c r="C378" s="7" t="s">
        <v>382</v>
      </c>
      <c r="D378" s="197" t="s">
        <v>380</v>
      </c>
      <c r="N378" s="41" t="s">
        <v>787</v>
      </c>
      <c r="O378" s="41" t="s">
        <v>782</v>
      </c>
      <c r="P378" s="41" t="s">
        <v>756</v>
      </c>
    </row>
    <row r="379" spans="1:16" ht="20">
      <c r="A379" s="291" t="s">
        <v>1141</v>
      </c>
      <c r="B379" s="7" t="s">
        <v>916</v>
      </c>
      <c r="C379" s="7" t="s">
        <v>382</v>
      </c>
      <c r="D379" s="197" t="s">
        <v>380</v>
      </c>
      <c r="N379" s="41" t="s">
        <v>787</v>
      </c>
      <c r="O379" s="41" t="s">
        <v>782</v>
      </c>
      <c r="P379" s="41" t="s">
        <v>756</v>
      </c>
    </row>
    <row r="380" spans="1:16" ht="20">
      <c r="A380" s="291" t="s">
        <v>445</v>
      </c>
      <c r="B380" s="7" t="s">
        <v>932</v>
      </c>
      <c r="C380" s="7" t="s">
        <v>382</v>
      </c>
      <c r="D380" s="197" t="s">
        <v>380</v>
      </c>
      <c r="N380" s="41" t="s">
        <v>787</v>
      </c>
      <c r="O380" s="41" t="s">
        <v>782</v>
      </c>
      <c r="P380" s="41" t="s">
        <v>756</v>
      </c>
    </row>
    <row r="381" spans="1:16" ht="20">
      <c r="A381" s="291" t="s">
        <v>1142</v>
      </c>
      <c r="B381" s="7" t="s">
        <v>916</v>
      </c>
      <c r="C381" s="7" t="s">
        <v>382</v>
      </c>
      <c r="D381" s="197" t="s">
        <v>380</v>
      </c>
      <c r="N381" s="41" t="s">
        <v>787</v>
      </c>
      <c r="O381" s="41" t="s">
        <v>782</v>
      </c>
      <c r="P381" s="41" t="s">
        <v>756</v>
      </c>
    </row>
    <row r="382" spans="1:16" ht="20">
      <c r="A382" s="291" t="s">
        <v>1143</v>
      </c>
      <c r="C382" s="7" t="s">
        <v>382</v>
      </c>
      <c r="D382" s="197" t="s">
        <v>380</v>
      </c>
      <c r="N382" s="41" t="s">
        <v>787</v>
      </c>
      <c r="O382" s="41" t="s">
        <v>782</v>
      </c>
      <c r="P382" s="41" t="s">
        <v>756</v>
      </c>
    </row>
    <row r="383" spans="1:16" ht="20">
      <c r="A383" s="291" t="s">
        <v>399</v>
      </c>
      <c r="B383" s="7" t="s">
        <v>1144</v>
      </c>
      <c r="C383" s="7" t="s">
        <v>382</v>
      </c>
      <c r="D383" s="197" t="s">
        <v>380</v>
      </c>
      <c r="N383" s="41" t="s">
        <v>787</v>
      </c>
      <c r="O383" s="41" t="s">
        <v>782</v>
      </c>
      <c r="P383" s="41" t="s">
        <v>756</v>
      </c>
    </row>
    <row r="384" spans="1:16" ht="20">
      <c r="A384" s="291" t="s">
        <v>536</v>
      </c>
      <c r="B384" s="7" t="s">
        <v>761</v>
      </c>
      <c r="C384" s="7" t="s">
        <v>382</v>
      </c>
      <c r="D384" s="197" t="s">
        <v>380</v>
      </c>
      <c r="N384" s="41" t="s">
        <v>787</v>
      </c>
      <c r="O384" s="41" t="s">
        <v>782</v>
      </c>
      <c r="P384" s="41" t="s">
        <v>756</v>
      </c>
    </row>
    <row r="385" spans="1:16" ht="20">
      <c r="A385" s="291" t="s">
        <v>1145</v>
      </c>
      <c r="B385" s="7" t="s">
        <v>1093</v>
      </c>
      <c r="C385" s="7" t="s">
        <v>382</v>
      </c>
      <c r="D385" s="197" t="s">
        <v>380</v>
      </c>
      <c r="N385" s="41" t="s">
        <v>787</v>
      </c>
      <c r="O385" s="41" t="s">
        <v>782</v>
      </c>
      <c r="P385" s="41" t="s">
        <v>756</v>
      </c>
    </row>
    <row r="386" spans="1:16" ht="20">
      <c r="A386" s="291" t="s">
        <v>441</v>
      </c>
      <c r="B386" s="7" t="s">
        <v>1093</v>
      </c>
      <c r="C386" s="7" t="s">
        <v>382</v>
      </c>
      <c r="D386" s="197" t="s">
        <v>380</v>
      </c>
      <c r="N386" s="41" t="s">
        <v>787</v>
      </c>
      <c r="O386" s="41" t="s">
        <v>782</v>
      </c>
      <c r="P386" s="41" t="s">
        <v>756</v>
      </c>
    </row>
    <row r="387" spans="1:16" ht="20">
      <c r="A387" s="291" t="s">
        <v>1146</v>
      </c>
      <c r="B387" s="7" t="s">
        <v>86</v>
      </c>
      <c r="C387" s="7" t="s">
        <v>382</v>
      </c>
      <c r="D387" s="197" t="s">
        <v>380</v>
      </c>
      <c r="N387" s="41" t="s">
        <v>787</v>
      </c>
      <c r="O387" s="41" t="s">
        <v>782</v>
      </c>
      <c r="P387" s="41" t="s">
        <v>756</v>
      </c>
    </row>
    <row r="388" spans="1:16" ht="20">
      <c r="A388" s="291" t="s">
        <v>512</v>
      </c>
      <c r="B388" s="7" t="s">
        <v>86</v>
      </c>
      <c r="C388" s="7" t="s">
        <v>382</v>
      </c>
      <c r="D388" s="197" t="s">
        <v>380</v>
      </c>
      <c r="N388" s="41" t="s">
        <v>787</v>
      </c>
      <c r="O388" s="41" t="s">
        <v>782</v>
      </c>
      <c r="P388" s="41" t="s">
        <v>756</v>
      </c>
    </row>
    <row r="389" spans="1:16" ht="20">
      <c r="A389" s="291" t="s">
        <v>532</v>
      </c>
      <c r="B389" s="7" t="s">
        <v>86</v>
      </c>
      <c r="C389" s="7" t="s">
        <v>382</v>
      </c>
      <c r="D389" s="197" t="s">
        <v>380</v>
      </c>
      <c r="N389" s="41" t="s">
        <v>787</v>
      </c>
      <c r="O389" s="41" t="s">
        <v>782</v>
      </c>
      <c r="P389" s="41" t="s">
        <v>756</v>
      </c>
    </row>
    <row r="390" spans="1:16" ht="20">
      <c r="A390" s="291" t="s">
        <v>1147</v>
      </c>
      <c r="B390" s="7" t="s">
        <v>900</v>
      </c>
      <c r="C390" s="7" t="s">
        <v>382</v>
      </c>
      <c r="D390" s="197" t="s">
        <v>380</v>
      </c>
      <c r="N390" s="41" t="s">
        <v>787</v>
      </c>
      <c r="O390" s="41" t="s">
        <v>782</v>
      </c>
      <c r="P390" s="41" t="s">
        <v>756</v>
      </c>
    </row>
    <row r="391" spans="1:16" ht="20">
      <c r="A391" s="291" t="s">
        <v>547</v>
      </c>
      <c r="B391" s="7" t="s">
        <v>1148</v>
      </c>
      <c r="C391" s="7" t="s">
        <v>382</v>
      </c>
      <c r="D391" s="197" t="s">
        <v>380</v>
      </c>
      <c r="N391" s="41" t="s">
        <v>787</v>
      </c>
      <c r="O391" s="41" t="s">
        <v>782</v>
      </c>
      <c r="P391" s="41" t="s">
        <v>756</v>
      </c>
    </row>
    <row r="392" spans="1:16" ht="20">
      <c r="A392" s="291" t="s">
        <v>567</v>
      </c>
      <c r="B392" s="7" t="s">
        <v>1148</v>
      </c>
      <c r="C392" s="7" t="s">
        <v>382</v>
      </c>
      <c r="D392" s="197" t="s">
        <v>380</v>
      </c>
      <c r="N392" s="41" t="s">
        <v>787</v>
      </c>
      <c r="O392" s="41" t="s">
        <v>782</v>
      </c>
      <c r="P392" s="41" t="s">
        <v>756</v>
      </c>
    </row>
    <row r="393" spans="1:16" ht="20">
      <c r="A393" s="291" t="s">
        <v>1149</v>
      </c>
      <c r="C393" s="7" t="s">
        <v>382</v>
      </c>
      <c r="D393" s="197" t="s">
        <v>380</v>
      </c>
      <c r="N393" s="41" t="s">
        <v>787</v>
      </c>
      <c r="O393" s="41" t="s">
        <v>782</v>
      </c>
      <c r="P393" s="41" t="s">
        <v>756</v>
      </c>
    </row>
    <row r="394" spans="1:16" ht="20">
      <c r="A394" s="291" t="s">
        <v>576</v>
      </c>
      <c r="C394" s="7" t="s">
        <v>382</v>
      </c>
      <c r="D394" s="197" t="s">
        <v>380</v>
      </c>
      <c r="N394" s="41" t="s">
        <v>787</v>
      </c>
      <c r="O394" s="41" t="s">
        <v>782</v>
      </c>
      <c r="P394" s="41" t="s">
        <v>756</v>
      </c>
    </row>
    <row r="395" spans="1:16" ht="20">
      <c r="A395" s="291" t="s">
        <v>577</v>
      </c>
      <c r="C395" s="7" t="s">
        <v>382</v>
      </c>
      <c r="D395" s="197" t="s">
        <v>380</v>
      </c>
      <c r="N395" s="41" t="s">
        <v>787</v>
      </c>
      <c r="O395" s="41" t="s">
        <v>782</v>
      </c>
      <c r="P395" s="41" t="s">
        <v>756</v>
      </c>
    </row>
    <row r="396" spans="1:16" ht="20">
      <c r="A396" s="291" t="s">
        <v>602</v>
      </c>
      <c r="B396" s="7" t="s">
        <v>86</v>
      </c>
      <c r="C396" s="7" t="s">
        <v>382</v>
      </c>
      <c r="D396" s="197" t="s">
        <v>380</v>
      </c>
      <c r="N396" s="41"/>
      <c r="O396" s="41"/>
      <c r="P396" s="41"/>
    </row>
    <row r="397" spans="1:16" ht="20">
      <c r="A397" s="291" t="s">
        <v>574</v>
      </c>
      <c r="B397" s="7" t="s">
        <v>1150</v>
      </c>
      <c r="C397" s="7" t="s">
        <v>382</v>
      </c>
      <c r="D397" s="197" t="s">
        <v>380</v>
      </c>
      <c r="N397" s="41" t="s">
        <v>787</v>
      </c>
      <c r="O397" s="41" t="s">
        <v>782</v>
      </c>
      <c r="P397" s="41" t="s">
        <v>756</v>
      </c>
    </row>
    <row r="398" spans="1:16" ht="20">
      <c r="A398" s="291" t="s">
        <v>582</v>
      </c>
      <c r="B398" s="7" t="s">
        <v>1028</v>
      </c>
      <c r="C398" s="7" t="s">
        <v>382</v>
      </c>
      <c r="D398" s="197" t="s">
        <v>380</v>
      </c>
      <c r="N398" s="41" t="s">
        <v>787</v>
      </c>
      <c r="O398" s="41" t="s">
        <v>782</v>
      </c>
      <c r="P398" s="41" t="s">
        <v>756</v>
      </c>
    </row>
    <row r="399" spans="1:16" ht="20">
      <c r="A399" s="291" t="s">
        <v>1151</v>
      </c>
      <c r="B399" s="7" t="s">
        <v>900</v>
      </c>
      <c r="C399" s="7" t="s">
        <v>382</v>
      </c>
      <c r="D399" s="197" t="s">
        <v>380</v>
      </c>
      <c r="N399" s="41" t="s">
        <v>787</v>
      </c>
      <c r="O399" s="41" t="s">
        <v>782</v>
      </c>
      <c r="P399" s="41" t="s">
        <v>756</v>
      </c>
    </row>
    <row r="400" spans="1:16" ht="20">
      <c r="A400" s="291" t="s">
        <v>599</v>
      </c>
      <c r="B400" s="7" t="s">
        <v>1148</v>
      </c>
      <c r="C400" s="7" t="s">
        <v>382</v>
      </c>
      <c r="D400" s="197" t="s">
        <v>380</v>
      </c>
      <c r="N400" s="41" t="s">
        <v>787</v>
      </c>
      <c r="O400" s="41" t="s">
        <v>782</v>
      </c>
      <c r="P400" s="41" t="s">
        <v>756</v>
      </c>
    </row>
    <row r="401" spans="1:18" ht="20">
      <c r="A401" s="291" t="s">
        <v>642</v>
      </c>
      <c r="C401" s="7" t="s">
        <v>382</v>
      </c>
      <c r="D401" s="197" t="s">
        <v>380</v>
      </c>
      <c r="N401" s="41" t="s">
        <v>787</v>
      </c>
      <c r="O401" s="41" t="s">
        <v>782</v>
      </c>
      <c r="P401" s="41" t="s">
        <v>756</v>
      </c>
    </row>
    <row r="402" spans="1:18" ht="20">
      <c r="A402" s="291" t="s">
        <v>664</v>
      </c>
      <c r="B402" s="7" t="s">
        <v>1152</v>
      </c>
      <c r="C402" s="7" t="s">
        <v>382</v>
      </c>
      <c r="D402" s="197" t="s">
        <v>380</v>
      </c>
      <c r="N402" s="41" t="s">
        <v>787</v>
      </c>
      <c r="O402" s="41" t="s">
        <v>782</v>
      </c>
      <c r="P402" s="41" t="s">
        <v>756</v>
      </c>
    </row>
    <row r="403" spans="1:18" ht="20">
      <c r="A403" s="291" t="s">
        <v>1153</v>
      </c>
      <c r="B403" s="7" t="s">
        <v>1154</v>
      </c>
      <c r="C403" s="7" t="s">
        <v>382</v>
      </c>
      <c r="D403" s="197" t="s">
        <v>380</v>
      </c>
      <c r="N403" s="41" t="s">
        <v>787</v>
      </c>
      <c r="O403" s="41" t="s">
        <v>782</v>
      </c>
      <c r="P403" s="41" t="s">
        <v>756</v>
      </c>
    </row>
    <row r="404" spans="1:18" ht="20">
      <c r="A404" s="291" t="s">
        <v>668</v>
      </c>
      <c r="B404" s="7" t="s">
        <v>1155</v>
      </c>
      <c r="C404" s="7" t="s">
        <v>382</v>
      </c>
      <c r="D404" s="197" t="s">
        <v>380</v>
      </c>
      <c r="N404" s="41" t="s">
        <v>787</v>
      </c>
      <c r="O404" s="41" t="s">
        <v>782</v>
      </c>
      <c r="P404" s="41" t="s">
        <v>756</v>
      </c>
    </row>
    <row r="405" spans="1:18" ht="20">
      <c r="A405" s="291" t="s">
        <v>667</v>
      </c>
      <c r="B405" s="7" t="s">
        <v>1155</v>
      </c>
      <c r="C405" s="7" t="s">
        <v>382</v>
      </c>
      <c r="D405" s="197" t="s">
        <v>380</v>
      </c>
      <c r="N405" s="41" t="s">
        <v>787</v>
      </c>
      <c r="O405" s="41" t="s">
        <v>782</v>
      </c>
      <c r="P405" s="41" t="s">
        <v>756</v>
      </c>
    </row>
    <row r="406" spans="1:18" ht="20">
      <c r="A406" s="291" t="s">
        <v>654</v>
      </c>
      <c r="B406" s="7" t="s">
        <v>1119</v>
      </c>
      <c r="C406" s="7" t="s">
        <v>382</v>
      </c>
      <c r="D406" s="197" t="s">
        <v>380</v>
      </c>
      <c r="N406" s="41" t="s">
        <v>787</v>
      </c>
      <c r="O406" s="41" t="s">
        <v>782</v>
      </c>
      <c r="P406" s="41" t="s">
        <v>756</v>
      </c>
    </row>
    <row r="407" spans="1:18">
      <c r="A407" s="7" t="s">
        <v>386</v>
      </c>
      <c r="B407" s="7" t="s">
        <v>762</v>
      </c>
      <c r="C407" s="7" t="s">
        <v>382</v>
      </c>
      <c r="D407" s="7" t="s">
        <v>1156</v>
      </c>
      <c r="N407" s="41" t="s">
        <v>787</v>
      </c>
      <c r="O407" s="41" t="s">
        <v>782</v>
      </c>
      <c r="P407" s="41" t="s">
        <v>756</v>
      </c>
    </row>
    <row r="408" spans="1:18" ht="20.25" customHeight="1">
      <c r="A408" s="291" t="s">
        <v>388</v>
      </c>
      <c r="B408" s="7" t="s">
        <v>761</v>
      </c>
      <c r="C408" s="7" t="s">
        <v>382</v>
      </c>
      <c r="D408" s="197" t="s">
        <v>1156</v>
      </c>
      <c r="N408" s="41" t="s">
        <v>787</v>
      </c>
      <c r="O408" s="41" t="s">
        <v>782</v>
      </c>
      <c r="P408" s="41" t="s">
        <v>756</v>
      </c>
    </row>
    <row r="409" spans="1:18" ht="20">
      <c r="A409" s="291" t="s">
        <v>1157</v>
      </c>
      <c r="B409" s="7" t="s">
        <v>761</v>
      </c>
      <c r="C409" s="7" t="s">
        <v>382</v>
      </c>
      <c r="D409" s="197" t="s">
        <v>1156</v>
      </c>
      <c r="N409" s="41" t="s">
        <v>787</v>
      </c>
      <c r="O409" s="41" t="s">
        <v>782</v>
      </c>
      <c r="P409" s="41" t="s">
        <v>756</v>
      </c>
    </row>
    <row r="410" spans="1:18">
      <c r="A410" s="7" t="s">
        <v>1158</v>
      </c>
      <c r="B410" s="7" t="s">
        <v>761</v>
      </c>
      <c r="C410" s="7" t="s">
        <v>382</v>
      </c>
      <c r="D410" s="195" t="s">
        <v>1095</v>
      </c>
      <c r="E410" s="43">
        <v>4.0000000000000001E-3</v>
      </c>
      <c r="N410" s="41" t="s">
        <v>760</v>
      </c>
      <c r="O410" s="41" t="s">
        <v>782</v>
      </c>
      <c r="P410" s="41" t="s">
        <v>756</v>
      </c>
    </row>
    <row r="411" spans="1:18">
      <c r="A411" s="7" t="s">
        <v>1159</v>
      </c>
      <c r="B411" s="7" t="s">
        <v>761</v>
      </c>
      <c r="C411" s="7" t="s">
        <v>382</v>
      </c>
      <c r="D411" s="195" t="s">
        <v>1095</v>
      </c>
      <c r="E411" s="43">
        <v>4.0000000000000001E-3</v>
      </c>
      <c r="N411" s="41" t="s">
        <v>760</v>
      </c>
      <c r="O411" s="41" t="s">
        <v>782</v>
      </c>
      <c r="P411" s="41" t="s">
        <v>756</v>
      </c>
    </row>
    <row r="412" spans="1:18">
      <c r="A412" s="7" t="s">
        <v>1160</v>
      </c>
      <c r="B412" s="7" t="s">
        <v>761</v>
      </c>
      <c r="C412" s="7" t="s">
        <v>382</v>
      </c>
      <c r="D412" s="195" t="s">
        <v>1095</v>
      </c>
      <c r="E412" s="43">
        <v>4.0000000000000001E-3</v>
      </c>
      <c r="N412" s="41" t="s">
        <v>760</v>
      </c>
      <c r="O412" s="41" t="s">
        <v>782</v>
      </c>
      <c r="P412" s="41" t="s">
        <v>756</v>
      </c>
    </row>
    <row r="413" spans="1:18">
      <c r="A413" s="7" t="s">
        <v>1161</v>
      </c>
      <c r="B413" s="7" t="s">
        <v>761</v>
      </c>
      <c r="C413" s="7" t="s">
        <v>796</v>
      </c>
      <c r="D413" s="195" t="s">
        <v>1095</v>
      </c>
      <c r="E413" s="43">
        <v>4.0000000000000001E-3</v>
      </c>
      <c r="N413" s="41" t="s">
        <v>760</v>
      </c>
      <c r="O413" s="41" t="s">
        <v>782</v>
      </c>
      <c r="P413" s="41" t="s">
        <v>756</v>
      </c>
    </row>
    <row r="414" spans="1:18">
      <c r="A414" s="7" t="s">
        <v>659</v>
      </c>
      <c r="B414" s="7" t="s">
        <v>761</v>
      </c>
      <c r="C414" s="7" t="s">
        <v>796</v>
      </c>
      <c r="D414" s="195" t="s">
        <v>1095</v>
      </c>
      <c r="E414" s="43">
        <v>4.0000000000000001E-3</v>
      </c>
      <c r="N414" s="41" t="s">
        <v>760</v>
      </c>
      <c r="O414" s="41" t="s">
        <v>782</v>
      </c>
      <c r="P414" s="41" t="s">
        <v>756</v>
      </c>
    </row>
    <row r="415" spans="1:18" s="187" customFormat="1" ht="26.25" customHeight="1">
      <c r="A415" s="7" t="s">
        <v>1162</v>
      </c>
      <c r="B415" s="7" t="s">
        <v>761</v>
      </c>
      <c r="C415" s="7" t="s">
        <v>382</v>
      </c>
      <c r="D415" s="195" t="s">
        <v>1095</v>
      </c>
      <c r="E415" s="43">
        <v>4.0000000000000001E-3</v>
      </c>
      <c r="F415" s="104"/>
      <c r="G415" s="105"/>
      <c r="H415" s="106"/>
      <c r="I415" s="106"/>
      <c r="J415" s="106"/>
      <c r="K415" s="106"/>
      <c r="L415" s="104"/>
      <c r="M415" s="7"/>
      <c r="N415" s="41" t="s">
        <v>760</v>
      </c>
      <c r="O415" s="41" t="s">
        <v>782</v>
      </c>
      <c r="P415" s="41" t="s">
        <v>756</v>
      </c>
      <c r="Q415" s="103"/>
    </row>
    <row r="416" spans="1:18" s="187" customFormat="1" ht="26.25" customHeight="1">
      <c r="A416" s="7" t="s">
        <v>1163</v>
      </c>
      <c r="B416" s="7" t="s">
        <v>783</v>
      </c>
      <c r="C416" s="7" t="s">
        <v>796</v>
      </c>
      <c r="D416" s="195" t="s">
        <v>1095</v>
      </c>
      <c r="E416" s="43">
        <v>4.0000000000000001E-3</v>
      </c>
      <c r="F416" s="104"/>
      <c r="G416" s="105"/>
      <c r="H416" s="106"/>
      <c r="I416" s="106"/>
      <c r="J416" s="106"/>
      <c r="K416" s="106"/>
      <c r="L416" s="104"/>
      <c r="M416" s="7"/>
      <c r="N416" s="41" t="s">
        <v>760</v>
      </c>
      <c r="O416" s="41" t="s">
        <v>782</v>
      </c>
      <c r="P416" s="41" t="s">
        <v>756</v>
      </c>
      <c r="Q416" s="103"/>
      <c r="R416" s="103"/>
    </row>
    <row r="417" spans="1:18" s="187" customFormat="1" ht="26.25" customHeight="1">
      <c r="A417" s="7" t="s">
        <v>619</v>
      </c>
      <c r="B417" s="7" t="s">
        <v>761</v>
      </c>
      <c r="C417" s="7" t="s">
        <v>382</v>
      </c>
      <c r="D417" s="195" t="s">
        <v>1095</v>
      </c>
      <c r="E417" s="43">
        <v>4.0000000000000001E-3</v>
      </c>
      <c r="F417" s="104"/>
      <c r="G417" s="105"/>
      <c r="H417" s="106"/>
      <c r="I417" s="106"/>
      <c r="J417" s="106"/>
      <c r="K417" s="106"/>
      <c r="L417" s="104"/>
      <c r="M417" s="7"/>
      <c r="N417" s="41" t="s">
        <v>760</v>
      </c>
      <c r="O417" s="41" t="s">
        <v>782</v>
      </c>
      <c r="P417" s="41" t="s">
        <v>756</v>
      </c>
      <c r="Q417" s="103"/>
    </row>
    <row r="418" spans="1:18" s="187" customFormat="1" ht="26.25" customHeight="1">
      <c r="A418" s="7" t="s">
        <v>1164</v>
      </c>
      <c r="B418" s="7" t="s">
        <v>916</v>
      </c>
      <c r="C418" s="7" t="s">
        <v>796</v>
      </c>
      <c r="D418" s="195" t="s">
        <v>1095</v>
      </c>
      <c r="E418" s="43">
        <v>4.0000000000000001E-3</v>
      </c>
      <c r="F418" s="104"/>
      <c r="G418" s="105"/>
      <c r="H418" s="106"/>
      <c r="I418" s="106"/>
      <c r="J418" s="106"/>
      <c r="K418" s="106"/>
      <c r="L418" s="104"/>
      <c r="M418" s="7"/>
      <c r="N418" s="41" t="s">
        <v>760</v>
      </c>
      <c r="O418" s="41" t="s">
        <v>782</v>
      </c>
      <c r="P418" s="41" t="s">
        <v>756</v>
      </c>
      <c r="Q418" s="103"/>
      <c r="R418" s="103"/>
    </row>
    <row r="419" spans="1:18" s="187" customFormat="1" ht="26.25" customHeight="1">
      <c r="A419" s="7" t="s">
        <v>1165</v>
      </c>
      <c r="B419" s="7" t="s">
        <v>916</v>
      </c>
      <c r="C419" s="7" t="s">
        <v>796</v>
      </c>
      <c r="D419" s="195" t="s">
        <v>1095</v>
      </c>
      <c r="E419" s="43">
        <v>4.0000000000000001E-3</v>
      </c>
      <c r="F419" s="104"/>
      <c r="G419" s="105"/>
      <c r="H419" s="106"/>
      <c r="I419" s="106"/>
      <c r="J419" s="106"/>
      <c r="K419" s="106"/>
      <c r="L419" s="104"/>
      <c r="M419" s="7"/>
      <c r="N419" s="41" t="s">
        <v>760</v>
      </c>
      <c r="O419" s="41" t="s">
        <v>782</v>
      </c>
      <c r="P419" s="41" t="s">
        <v>756</v>
      </c>
      <c r="Q419" s="103"/>
      <c r="R419" s="103"/>
    </row>
    <row r="420" spans="1:18" s="187" customFormat="1" ht="26.25" customHeight="1">
      <c r="A420" s="7" t="s">
        <v>1166</v>
      </c>
      <c r="B420" s="7" t="s">
        <v>761</v>
      </c>
      <c r="C420" s="7" t="s">
        <v>796</v>
      </c>
      <c r="D420" s="195" t="s">
        <v>1095</v>
      </c>
      <c r="E420" s="43"/>
      <c r="F420" s="104"/>
      <c r="G420" s="105"/>
      <c r="H420" s="106"/>
      <c r="I420" s="106"/>
      <c r="J420" s="106"/>
      <c r="K420" s="106"/>
      <c r="L420" s="104"/>
      <c r="M420" s="7"/>
      <c r="N420" s="41" t="s">
        <v>787</v>
      </c>
      <c r="O420" s="41" t="s">
        <v>782</v>
      </c>
      <c r="P420" s="41" t="s">
        <v>756</v>
      </c>
      <c r="Q420" s="103"/>
      <c r="R420" s="103"/>
    </row>
    <row r="421" spans="1:18" s="187" customFormat="1" ht="26.25" customHeight="1">
      <c r="A421" s="7" t="s">
        <v>1167</v>
      </c>
      <c r="B421" s="7" t="s">
        <v>762</v>
      </c>
      <c r="C421" s="7" t="s">
        <v>796</v>
      </c>
      <c r="D421" s="195" t="s">
        <v>1095</v>
      </c>
      <c r="E421" s="43"/>
      <c r="F421" s="104"/>
      <c r="G421" s="105"/>
      <c r="H421" s="106"/>
      <c r="I421" s="106"/>
      <c r="J421" s="106"/>
      <c r="K421" s="106"/>
      <c r="L421" s="104"/>
      <c r="M421" s="7"/>
      <c r="N421" s="41" t="s">
        <v>787</v>
      </c>
      <c r="O421" s="41" t="s">
        <v>782</v>
      </c>
      <c r="P421" s="41" t="s">
        <v>756</v>
      </c>
      <c r="Q421" s="103"/>
      <c r="R421" s="103"/>
    </row>
    <row r="422" spans="1:18" s="187" customFormat="1" ht="26.25" customHeight="1">
      <c r="A422" s="7" t="s">
        <v>1168</v>
      </c>
      <c r="B422" s="7" t="s">
        <v>86</v>
      </c>
      <c r="C422" s="7" t="s">
        <v>796</v>
      </c>
      <c r="D422" s="195" t="s">
        <v>1095</v>
      </c>
      <c r="E422" s="43"/>
      <c r="F422" s="104"/>
      <c r="G422" s="105"/>
      <c r="H422" s="106"/>
      <c r="I422" s="106"/>
      <c r="J422" s="106"/>
      <c r="K422" s="106"/>
      <c r="L422" s="104"/>
      <c r="M422" s="7"/>
      <c r="N422" s="41" t="s">
        <v>787</v>
      </c>
      <c r="O422" s="41" t="s">
        <v>782</v>
      </c>
      <c r="P422" s="41" t="s">
        <v>756</v>
      </c>
      <c r="Q422" s="103"/>
      <c r="R422" s="103"/>
    </row>
    <row r="423" spans="1:18">
      <c r="A423" s="7" t="s">
        <v>1169</v>
      </c>
      <c r="B423" s="7" t="s">
        <v>1170</v>
      </c>
      <c r="C423" s="7" t="s">
        <v>796</v>
      </c>
      <c r="D423" s="7" t="s">
        <v>1171</v>
      </c>
      <c r="E423" s="43">
        <v>1.0999999999999999E-2</v>
      </c>
      <c r="N423" s="41" t="s">
        <v>787</v>
      </c>
      <c r="O423" s="41" t="s">
        <v>782</v>
      </c>
      <c r="P423" s="41" t="s">
        <v>756</v>
      </c>
      <c r="Q423" s="103" t="s">
        <v>1172</v>
      </c>
      <c r="R423" s="103" t="s">
        <v>1173</v>
      </c>
    </row>
    <row r="424" spans="1:18">
      <c r="A424" s="7" t="s">
        <v>1174</v>
      </c>
      <c r="B424" s="7" t="s">
        <v>1018</v>
      </c>
      <c r="C424" s="7" t="s">
        <v>382</v>
      </c>
      <c r="D424" s="7" t="s">
        <v>1171</v>
      </c>
      <c r="E424" s="43">
        <v>1.0999999999999999E-2</v>
      </c>
      <c r="N424" s="41" t="s">
        <v>787</v>
      </c>
      <c r="O424" s="41" t="s">
        <v>782</v>
      </c>
      <c r="P424" s="41" t="s">
        <v>756</v>
      </c>
      <c r="Q424" s="103" t="s">
        <v>1172</v>
      </c>
      <c r="R424" s="103" t="s">
        <v>1173</v>
      </c>
    </row>
    <row r="425" spans="1:18">
      <c r="A425" s="7" t="s">
        <v>1175</v>
      </c>
      <c r="B425" s="7" t="s">
        <v>916</v>
      </c>
      <c r="C425" s="7" t="s">
        <v>382</v>
      </c>
      <c r="D425" s="7" t="s">
        <v>1171</v>
      </c>
      <c r="E425" s="43">
        <v>1.0999999999999999E-2</v>
      </c>
      <c r="N425" s="41" t="s">
        <v>787</v>
      </c>
      <c r="O425" s="41" t="s">
        <v>782</v>
      </c>
      <c r="P425" s="41" t="s">
        <v>756</v>
      </c>
      <c r="Q425" s="103" t="s">
        <v>1172</v>
      </c>
      <c r="R425" s="103" t="s">
        <v>1173</v>
      </c>
    </row>
    <row r="426" spans="1:18">
      <c r="A426" s="7" t="s">
        <v>1176</v>
      </c>
      <c r="B426" s="7" t="s">
        <v>1045</v>
      </c>
      <c r="C426" s="7" t="s">
        <v>382</v>
      </c>
      <c r="D426" s="7" t="s">
        <v>1171</v>
      </c>
      <c r="E426" s="43">
        <v>1.0999999999999999E-2</v>
      </c>
      <c r="N426" s="41" t="s">
        <v>787</v>
      </c>
      <c r="O426" s="41" t="s">
        <v>782</v>
      </c>
      <c r="P426" s="41" t="s">
        <v>756</v>
      </c>
      <c r="Q426" s="103" t="s">
        <v>1172</v>
      </c>
      <c r="R426" s="103" t="s">
        <v>1173</v>
      </c>
    </row>
    <row r="427" spans="1:18">
      <c r="A427" s="7" t="s">
        <v>1177</v>
      </c>
      <c r="B427" s="7" t="s">
        <v>916</v>
      </c>
      <c r="C427" s="7" t="s">
        <v>796</v>
      </c>
      <c r="D427" s="196" t="s">
        <v>1178</v>
      </c>
      <c r="E427" s="43">
        <v>3.5000000000000001E-3</v>
      </c>
      <c r="N427" s="41" t="s">
        <v>787</v>
      </c>
      <c r="O427" s="41" t="s">
        <v>782</v>
      </c>
      <c r="P427" s="41" t="s">
        <v>756</v>
      </c>
    </row>
    <row r="428" spans="1:18">
      <c r="A428" s="7" t="s">
        <v>1179</v>
      </c>
      <c r="B428" s="7" t="s">
        <v>916</v>
      </c>
      <c r="C428" s="7" t="s">
        <v>796</v>
      </c>
      <c r="D428" s="196" t="s">
        <v>1178</v>
      </c>
      <c r="E428" s="43">
        <v>3.5000000000000001E-3</v>
      </c>
      <c r="N428" s="41" t="s">
        <v>787</v>
      </c>
      <c r="O428" s="41" t="s">
        <v>782</v>
      </c>
      <c r="P428" s="41" t="s">
        <v>756</v>
      </c>
    </row>
    <row r="429" spans="1:18">
      <c r="A429" s="7" t="s">
        <v>1180</v>
      </c>
      <c r="B429" s="7" t="s">
        <v>762</v>
      </c>
      <c r="C429" s="7" t="s">
        <v>382</v>
      </c>
      <c r="D429" s="196" t="s">
        <v>1178</v>
      </c>
      <c r="E429" s="43">
        <v>4.0000000000000001E-3</v>
      </c>
      <c r="N429" s="41" t="s">
        <v>787</v>
      </c>
      <c r="O429" s="41" t="s">
        <v>782</v>
      </c>
      <c r="P429" s="41" t="s">
        <v>756</v>
      </c>
    </row>
    <row r="430" spans="1:18">
      <c r="A430" s="7" t="s">
        <v>1181</v>
      </c>
      <c r="B430" s="7" t="s">
        <v>762</v>
      </c>
      <c r="C430" s="7" t="s">
        <v>382</v>
      </c>
      <c r="D430" s="196" t="s">
        <v>1178</v>
      </c>
      <c r="E430" s="43">
        <v>4.0000000000000001E-3</v>
      </c>
      <c r="N430" s="41" t="s">
        <v>787</v>
      </c>
      <c r="O430" s="41" t="s">
        <v>782</v>
      </c>
      <c r="P430" s="41" t="s">
        <v>756</v>
      </c>
    </row>
    <row r="431" spans="1:18">
      <c r="A431" s="7" t="s">
        <v>1182</v>
      </c>
      <c r="B431" s="7" t="s">
        <v>761</v>
      </c>
      <c r="C431" s="7" t="s">
        <v>382</v>
      </c>
      <c r="D431" s="196" t="s">
        <v>1178</v>
      </c>
      <c r="E431" s="43">
        <v>4.0000000000000001E-3</v>
      </c>
      <c r="N431" s="41" t="s">
        <v>787</v>
      </c>
      <c r="O431" s="41" t="s">
        <v>782</v>
      </c>
      <c r="P431" s="41" t="s">
        <v>756</v>
      </c>
    </row>
    <row r="432" spans="1:18">
      <c r="A432" s="7" t="s">
        <v>1183</v>
      </c>
      <c r="B432" s="7" t="s">
        <v>761</v>
      </c>
      <c r="C432" s="7" t="s">
        <v>382</v>
      </c>
      <c r="D432" s="196" t="s">
        <v>1178</v>
      </c>
      <c r="E432" s="43">
        <v>4.0000000000000001E-3</v>
      </c>
      <c r="N432" s="41" t="s">
        <v>787</v>
      </c>
      <c r="O432" s="41" t="s">
        <v>782</v>
      </c>
      <c r="P432" s="41" t="s">
        <v>756</v>
      </c>
    </row>
    <row r="433" spans="1:18">
      <c r="A433" s="7" t="s">
        <v>1184</v>
      </c>
      <c r="B433" s="7" t="s">
        <v>761</v>
      </c>
      <c r="C433" s="7" t="s">
        <v>382</v>
      </c>
      <c r="D433" s="196" t="s">
        <v>1178</v>
      </c>
      <c r="E433" s="43">
        <v>4.0000000000000001E-3</v>
      </c>
      <c r="N433" s="41" t="s">
        <v>787</v>
      </c>
      <c r="O433" s="41" t="s">
        <v>782</v>
      </c>
      <c r="P433" s="41" t="s">
        <v>756</v>
      </c>
    </row>
    <row r="434" spans="1:18">
      <c r="A434" s="7" t="s">
        <v>1185</v>
      </c>
      <c r="B434" s="7" t="s">
        <v>761</v>
      </c>
      <c r="C434" s="7" t="s">
        <v>382</v>
      </c>
      <c r="D434" s="196" t="s">
        <v>1178</v>
      </c>
      <c r="E434" s="43">
        <v>4.0000000000000001E-3</v>
      </c>
      <c r="N434" s="41" t="s">
        <v>787</v>
      </c>
      <c r="O434" s="41" t="s">
        <v>782</v>
      </c>
      <c r="P434" s="41" t="s">
        <v>756</v>
      </c>
    </row>
    <row r="435" spans="1:18">
      <c r="A435" s="7" t="s">
        <v>1186</v>
      </c>
      <c r="B435" s="7" t="s">
        <v>1018</v>
      </c>
      <c r="C435" s="7" t="s">
        <v>382</v>
      </c>
      <c r="D435" s="196" t="s">
        <v>1178</v>
      </c>
      <c r="E435" s="43">
        <v>3.5000000000000001E-3</v>
      </c>
      <c r="N435" s="41" t="s">
        <v>787</v>
      </c>
      <c r="O435" s="41" t="s">
        <v>782</v>
      </c>
      <c r="P435" s="41" t="s">
        <v>756</v>
      </c>
    </row>
    <row r="436" spans="1:18">
      <c r="A436" s="7" t="s">
        <v>1187</v>
      </c>
      <c r="B436" s="7" t="s">
        <v>1018</v>
      </c>
      <c r="C436" s="7" t="s">
        <v>382</v>
      </c>
      <c r="D436" s="196" t="s">
        <v>1178</v>
      </c>
      <c r="E436" s="43">
        <v>3.5000000000000001E-3</v>
      </c>
      <c r="N436" s="41" t="s">
        <v>787</v>
      </c>
      <c r="O436" s="41" t="s">
        <v>782</v>
      </c>
      <c r="P436" s="41" t="s">
        <v>756</v>
      </c>
    </row>
    <row r="437" spans="1:18">
      <c r="A437" s="7" t="s">
        <v>1188</v>
      </c>
      <c r="B437" s="7" t="s">
        <v>762</v>
      </c>
      <c r="C437" s="7" t="s">
        <v>382</v>
      </c>
      <c r="D437" s="196" t="s">
        <v>1178</v>
      </c>
      <c r="E437" s="43">
        <v>3.5000000000000001E-3</v>
      </c>
      <c r="N437" s="41" t="s">
        <v>787</v>
      </c>
      <c r="O437" s="41" t="s">
        <v>782</v>
      </c>
      <c r="P437" s="41" t="s">
        <v>756</v>
      </c>
    </row>
    <row r="438" spans="1:18">
      <c r="A438" s="7" t="s">
        <v>1189</v>
      </c>
      <c r="B438" s="7" t="s">
        <v>1018</v>
      </c>
      <c r="C438" s="7" t="s">
        <v>382</v>
      </c>
      <c r="D438" s="196" t="s">
        <v>1178</v>
      </c>
      <c r="E438" s="43">
        <v>3.5000000000000001E-3</v>
      </c>
      <c r="N438" s="41" t="s">
        <v>787</v>
      </c>
      <c r="O438" s="41" t="s">
        <v>782</v>
      </c>
      <c r="P438" s="41" t="s">
        <v>756</v>
      </c>
    </row>
    <row r="439" spans="1:18">
      <c r="A439" s="7" t="s">
        <v>1190</v>
      </c>
      <c r="B439" s="7" t="s">
        <v>1018</v>
      </c>
      <c r="C439" s="7" t="s">
        <v>382</v>
      </c>
      <c r="D439" s="196" t="s">
        <v>1178</v>
      </c>
      <c r="E439" s="43">
        <v>3.5000000000000001E-3</v>
      </c>
      <c r="N439" s="41" t="s">
        <v>787</v>
      </c>
      <c r="O439" s="41" t="s">
        <v>782</v>
      </c>
      <c r="P439" s="41" t="s">
        <v>756</v>
      </c>
    </row>
    <row r="440" spans="1:18">
      <c r="A440" s="7" t="s">
        <v>1191</v>
      </c>
      <c r="B440" s="7" t="s">
        <v>1192</v>
      </c>
      <c r="C440" s="7" t="s">
        <v>796</v>
      </c>
      <c r="D440" s="7" t="s">
        <v>1192</v>
      </c>
      <c r="E440" s="43">
        <v>4.4999999999999997E-3</v>
      </c>
      <c r="N440" s="41" t="s">
        <v>787</v>
      </c>
      <c r="O440" s="41" t="s">
        <v>782</v>
      </c>
      <c r="P440" s="41" t="s">
        <v>756</v>
      </c>
    </row>
    <row r="441" spans="1:18" s="180" customFormat="1" ht="18.75" customHeight="1">
      <c r="A441" s="7" t="s">
        <v>1193</v>
      </c>
      <c r="B441" s="7" t="s">
        <v>762</v>
      </c>
      <c r="C441" s="7" t="s">
        <v>382</v>
      </c>
      <c r="D441" s="7" t="s">
        <v>1192</v>
      </c>
      <c r="E441" s="43">
        <v>4.4999999999999997E-3</v>
      </c>
      <c r="F441" s="104"/>
      <c r="G441" s="105"/>
      <c r="H441" s="106"/>
      <c r="I441" s="106"/>
      <c r="J441" s="106"/>
      <c r="K441" s="106"/>
      <c r="L441" s="104"/>
      <c r="M441" s="7"/>
      <c r="N441" s="41" t="s">
        <v>787</v>
      </c>
      <c r="O441" s="41" t="s">
        <v>782</v>
      </c>
      <c r="P441" s="41" t="s">
        <v>756</v>
      </c>
      <c r="Q441" s="103"/>
      <c r="R441" s="103"/>
    </row>
    <row r="442" spans="1:18">
      <c r="A442" s="7" t="s">
        <v>1194</v>
      </c>
      <c r="B442" s="7" t="s">
        <v>855</v>
      </c>
      <c r="C442" s="7" t="s">
        <v>382</v>
      </c>
      <c r="D442" s="197" t="s">
        <v>1195</v>
      </c>
      <c r="E442" s="43">
        <v>0.02</v>
      </c>
      <c r="F442" s="104">
        <v>0</v>
      </c>
      <c r="G442" s="106">
        <v>-2.5000000000000001E-3</v>
      </c>
      <c r="N442" s="41" t="s">
        <v>760</v>
      </c>
      <c r="O442" s="41" t="s">
        <v>790</v>
      </c>
      <c r="P442" s="41"/>
    </row>
    <row r="443" spans="1:18">
      <c r="A443" s="7" t="s">
        <v>1196</v>
      </c>
      <c r="B443" s="7" t="s">
        <v>762</v>
      </c>
      <c r="C443" s="7" t="s">
        <v>796</v>
      </c>
      <c r="D443" s="197" t="s">
        <v>1197</v>
      </c>
      <c r="E443" s="43">
        <v>2E-3</v>
      </c>
      <c r="F443" s="104">
        <v>0</v>
      </c>
      <c r="G443" s="106">
        <v>-2.5000000000000001E-3</v>
      </c>
      <c r="N443" s="41" t="s">
        <v>787</v>
      </c>
      <c r="O443" s="41" t="s">
        <v>800</v>
      </c>
      <c r="P443" s="41" t="s">
        <v>756</v>
      </c>
    </row>
    <row r="444" spans="1:18">
      <c r="A444" s="7" t="s">
        <v>1198</v>
      </c>
      <c r="B444" s="7" t="s">
        <v>761</v>
      </c>
      <c r="C444" s="7" t="s">
        <v>382</v>
      </c>
      <c r="D444" s="197" t="s">
        <v>1197</v>
      </c>
      <c r="E444" s="43">
        <v>2E-3</v>
      </c>
      <c r="G444" s="106">
        <v>-1.5E-3</v>
      </c>
      <c r="N444" s="41" t="s">
        <v>787</v>
      </c>
      <c r="O444" s="41" t="s">
        <v>800</v>
      </c>
      <c r="P444" s="41" t="s">
        <v>756</v>
      </c>
    </row>
    <row r="445" spans="1:18">
      <c r="A445" s="7" t="s">
        <v>1199</v>
      </c>
      <c r="B445" s="7" t="s">
        <v>761</v>
      </c>
      <c r="C445" s="7" t="s">
        <v>382</v>
      </c>
      <c r="D445" s="197" t="s">
        <v>1197</v>
      </c>
      <c r="E445" s="43">
        <v>2E-3</v>
      </c>
      <c r="F445" s="104">
        <v>0</v>
      </c>
      <c r="G445" s="106">
        <v>-1.5E-3</v>
      </c>
      <c r="N445" s="41" t="s">
        <v>787</v>
      </c>
      <c r="O445" s="41" t="s">
        <v>800</v>
      </c>
      <c r="P445" s="41" t="s">
        <v>756</v>
      </c>
    </row>
    <row r="446" spans="1:18">
      <c r="A446" s="7" t="s">
        <v>506</v>
      </c>
      <c r="B446" s="7" t="s">
        <v>1037</v>
      </c>
      <c r="C446" s="7" t="s">
        <v>796</v>
      </c>
      <c r="D446" s="197" t="s">
        <v>506</v>
      </c>
      <c r="E446" s="43">
        <v>1.2E-2</v>
      </c>
      <c r="N446" s="41" t="s">
        <v>787</v>
      </c>
      <c r="O446" s="41" t="s">
        <v>782</v>
      </c>
      <c r="P446" s="41" t="s">
        <v>756</v>
      </c>
    </row>
    <row r="447" spans="1:18">
      <c r="A447" s="7" t="s">
        <v>506</v>
      </c>
      <c r="B447" s="7" t="s">
        <v>1037</v>
      </c>
      <c r="C447" s="7" t="s">
        <v>382</v>
      </c>
      <c r="D447" s="197" t="s">
        <v>506</v>
      </c>
      <c r="E447" s="43">
        <v>1.2E-2</v>
      </c>
      <c r="N447" s="41" t="s">
        <v>787</v>
      </c>
      <c r="O447" s="41" t="s">
        <v>782</v>
      </c>
      <c r="P447" s="41" t="s">
        <v>756</v>
      </c>
    </row>
    <row r="448" spans="1:18">
      <c r="A448" s="7" t="s">
        <v>1200</v>
      </c>
      <c r="B448" s="7" t="s">
        <v>762</v>
      </c>
      <c r="C448" s="7" t="s">
        <v>382</v>
      </c>
      <c r="D448" s="197" t="s">
        <v>506</v>
      </c>
      <c r="E448" s="43">
        <v>1.2E-2</v>
      </c>
      <c r="N448" s="41" t="s">
        <v>787</v>
      </c>
      <c r="O448" s="41" t="s">
        <v>782</v>
      </c>
      <c r="P448" s="41" t="s">
        <v>756</v>
      </c>
    </row>
    <row r="449" spans="1:18">
      <c r="A449" s="7" t="s">
        <v>1201</v>
      </c>
      <c r="B449" s="7" t="s">
        <v>762</v>
      </c>
      <c r="C449" s="7" t="s">
        <v>796</v>
      </c>
      <c r="D449" s="196" t="s">
        <v>1202</v>
      </c>
      <c r="E449" s="43">
        <v>7.0000000000000001E-3</v>
      </c>
      <c r="F449" s="104">
        <v>0</v>
      </c>
      <c r="G449" s="106">
        <v>0</v>
      </c>
      <c r="M449" s="43"/>
      <c r="N449" s="41" t="s">
        <v>787</v>
      </c>
      <c r="O449" s="41" t="s">
        <v>800</v>
      </c>
      <c r="P449" s="41" t="s">
        <v>756</v>
      </c>
    </row>
    <row r="450" spans="1:18">
      <c r="A450" s="7" t="s">
        <v>1203</v>
      </c>
      <c r="B450" s="7" t="s">
        <v>762</v>
      </c>
      <c r="C450" s="7" t="s">
        <v>796</v>
      </c>
      <c r="D450" s="196" t="s">
        <v>1202</v>
      </c>
      <c r="E450" s="43">
        <v>7.0000000000000001E-3</v>
      </c>
      <c r="F450" s="104">
        <v>0</v>
      </c>
      <c r="G450" s="106">
        <v>0</v>
      </c>
      <c r="M450" s="43"/>
      <c r="N450" s="41" t="s">
        <v>787</v>
      </c>
      <c r="O450" s="41" t="s">
        <v>800</v>
      </c>
      <c r="P450" s="41" t="s">
        <v>756</v>
      </c>
    </row>
    <row r="451" spans="1:18">
      <c r="A451" s="7" t="s">
        <v>1204</v>
      </c>
      <c r="B451" s="7" t="s">
        <v>761</v>
      </c>
      <c r="C451" s="7" t="s">
        <v>382</v>
      </c>
      <c r="D451" s="196" t="s">
        <v>1202</v>
      </c>
      <c r="E451" s="43">
        <v>7.0000000000000001E-3</v>
      </c>
      <c r="F451" s="104">
        <v>0</v>
      </c>
      <c r="G451" s="106">
        <v>0</v>
      </c>
      <c r="M451" s="43"/>
      <c r="N451" s="41" t="s">
        <v>787</v>
      </c>
      <c r="O451" s="41" t="s">
        <v>800</v>
      </c>
      <c r="P451" s="41" t="s">
        <v>756</v>
      </c>
    </row>
    <row r="452" spans="1:18">
      <c r="A452" s="7" t="s">
        <v>1205</v>
      </c>
      <c r="B452" s="7" t="s">
        <v>762</v>
      </c>
      <c r="C452" s="7" t="s">
        <v>796</v>
      </c>
      <c r="D452" s="196" t="s">
        <v>541</v>
      </c>
      <c r="E452" s="43">
        <v>6.0000000000000001E-3</v>
      </c>
      <c r="F452" s="104">
        <v>0</v>
      </c>
      <c r="G452" s="106">
        <v>0</v>
      </c>
      <c r="M452" s="43"/>
      <c r="N452" s="41" t="s">
        <v>787</v>
      </c>
      <c r="O452" s="41" t="s">
        <v>820</v>
      </c>
      <c r="P452" s="41" t="s">
        <v>794</v>
      </c>
    </row>
    <row r="453" spans="1:18">
      <c r="A453" s="7" t="s">
        <v>542</v>
      </c>
      <c r="B453" s="7" t="s">
        <v>1206</v>
      </c>
      <c r="C453" s="7" t="s">
        <v>796</v>
      </c>
      <c r="D453" s="196" t="s">
        <v>541</v>
      </c>
      <c r="E453" s="43">
        <v>6.0000000000000001E-3</v>
      </c>
      <c r="F453" s="104">
        <v>0</v>
      </c>
      <c r="G453" s="106">
        <v>0</v>
      </c>
      <c r="M453" s="43"/>
      <c r="N453" s="41"/>
      <c r="O453" s="41" t="s">
        <v>820</v>
      </c>
      <c r="P453" s="41" t="s">
        <v>794</v>
      </c>
    </row>
    <row r="454" spans="1:18">
      <c r="A454" s="7" t="s">
        <v>541</v>
      </c>
      <c r="B454" s="7" t="s">
        <v>761</v>
      </c>
      <c r="C454" s="7" t="s">
        <v>382</v>
      </c>
      <c r="D454" s="196" t="s">
        <v>541</v>
      </c>
      <c r="E454" s="43">
        <v>6.0000000000000001E-3</v>
      </c>
      <c r="F454" s="104">
        <v>0</v>
      </c>
      <c r="G454" s="106">
        <v>0</v>
      </c>
      <c r="M454" s="43"/>
      <c r="N454" s="41" t="s">
        <v>787</v>
      </c>
      <c r="O454" s="41" t="s">
        <v>820</v>
      </c>
      <c r="P454" s="41" t="s">
        <v>794</v>
      </c>
    </row>
    <row r="455" spans="1:18">
      <c r="A455" s="7" t="s">
        <v>1207</v>
      </c>
      <c r="B455" s="7" t="s">
        <v>762</v>
      </c>
      <c r="C455" s="7" t="s">
        <v>796</v>
      </c>
      <c r="D455" s="196" t="s">
        <v>1207</v>
      </c>
      <c r="E455" s="43">
        <v>3.0000000000000001E-3</v>
      </c>
      <c r="F455" s="104">
        <v>0</v>
      </c>
      <c r="G455" s="106">
        <v>0</v>
      </c>
      <c r="M455" s="43"/>
      <c r="N455" s="41" t="s">
        <v>1208</v>
      </c>
      <c r="O455" s="41" t="s">
        <v>800</v>
      </c>
      <c r="P455" s="41" t="s">
        <v>756</v>
      </c>
    </row>
    <row r="456" spans="1:18">
      <c r="A456" s="7" t="s">
        <v>1209</v>
      </c>
      <c r="B456" s="7" t="s">
        <v>761</v>
      </c>
      <c r="C456" s="7" t="s">
        <v>382</v>
      </c>
      <c r="D456" s="196" t="s">
        <v>1207</v>
      </c>
      <c r="E456" s="43">
        <v>3.0000000000000001E-3</v>
      </c>
      <c r="F456" s="104">
        <v>0</v>
      </c>
      <c r="G456" s="106">
        <v>0</v>
      </c>
      <c r="M456" s="43"/>
      <c r="N456" s="41" t="s">
        <v>1208</v>
      </c>
      <c r="O456" s="41" t="s">
        <v>800</v>
      </c>
      <c r="P456" s="41" t="s">
        <v>756</v>
      </c>
    </row>
    <row r="457" spans="1:18">
      <c r="A457" s="7" t="s">
        <v>1210</v>
      </c>
      <c r="B457" s="7" t="s">
        <v>761</v>
      </c>
      <c r="C457" s="7" t="s">
        <v>796</v>
      </c>
      <c r="D457" s="196" t="s">
        <v>1210</v>
      </c>
      <c r="E457" s="43">
        <v>3.0000000000000001E-3</v>
      </c>
      <c r="F457" s="104">
        <v>0</v>
      </c>
      <c r="G457" s="106">
        <v>0</v>
      </c>
      <c r="M457" s="43"/>
      <c r="N457" s="41" t="s">
        <v>1208</v>
      </c>
      <c r="O457" s="41" t="s">
        <v>820</v>
      </c>
      <c r="P457" s="41" t="s">
        <v>756</v>
      </c>
    </row>
    <row r="458" spans="1:18">
      <c r="A458" s="7" t="s">
        <v>1211</v>
      </c>
      <c r="B458" s="7" t="s">
        <v>761</v>
      </c>
      <c r="C458" s="7" t="s">
        <v>796</v>
      </c>
      <c r="D458" s="196" t="s">
        <v>1210</v>
      </c>
      <c r="G458" s="106"/>
      <c r="M458" s="43"/>
      <c r="N458" s="41" t="s">
        <v>1208</v>
      </c>
      <c r="O458" s="41" t="s">
        <v>820</v>
      </c>
      <c r="P458" s="41" t="s">
        <v>756</v>
      </c>
    </row>
    <row r="459" spans="1:18">
      <c r="A459" s="7" t="s">
        <v>1212</v>
      </c>
      <c r="B459" s="7" t="s">
        <v>761</v>
      </c>
      <c r="C459" s="7" t="s">
        <v>796</v>
      </c>
      <c r="D459" s="196" t="s">
        <v>1210</v>
      </c>
      <c r="G459" s="106"/>
      <c r="M459" s="43"/>
      <c r="N459" s="41" t="s">
        <v>1208</v>
      </c>
      <c r="O459" s="41" t="s">
        <v>820</v>
      </c>
      <c r="P459" s="41" t="s">
        <v>756</v>
      </c>
    </row>
    <row r="460" spans="1:18">
      <c r="A460" s="7" t="s">
        <v>1210</v>
      </c>
      <c r="B460" s="7" t="s">
        <v>761</v>
      </c>
      <c r="C460" s="7" t="s">
        <v>382</v>
      </c>
      <c r="D460" s="196" t="s">
        <v>1210</v>
      </c>
      <c r="E460" s="43">
        <v>3.0000000000000001E-3</v>
      </c>
      <c r="F460" s="104">
        <v>0</v>
      </c>
      <c r="G460" s="106">
        <v>0</v>
      </c>
      <c r="M460" s="43"/>
      <c r="N460" s="41" t="s">
        <v>1208</v>
      </c>
      <c r="O460" s="41" t="s">
        <v>820</v>
      </c>
      <c r="P460" s="41" t="s">
        <v>756</v>
      </c>
    </row>
    <row r="461" spans="1:18">
      <c r="A461" s="7" t="s">
        <v>1213</v>
      </c>
      <c r="B461" s="7" t="s">
        <v>981</v>
      </c>
      <c r="C461" s="7" t="s">
        <v>796</v>
      </c>
      <c r="D461" s="7" t="s">
        <v>1214</v>
      </c>
      <c r="E461" s="43">
        <v>5.0000000000000001E-3</v>
      </c>
      <c r="N461" s="41" t="s">
        <v>1208</v>
      </c>
      <c r="O461" s="41" t="s">
        <v>782</v>
      </c>
      <c r="P461" s="41" t="s">
        <v>756</v>
      </c>
    </row>
    <row r="462" spans="1:18">
      <c r="A462" s="7" t="s">
        <v>1174</v>
      </c>
      <c r="B462" s="7" t="s">
        <v>1018</v>
      </c>
      <c r="C462" s="7" t="s">
        <v>382</v>
      </c>
      <c r="D462" s="7" t="s">
        <v>1214</v>
      </c>
      <c r="E462" s="43">
        <v>5.0000000000000001E-3</v>
      </c>
      <c r="N462" s="41" t="s">
        <v>1208</v>
      </c>
      <c r="O462" s="41" t="s">
        <v>782</v>
      </c>
      <c r="P462" s="41" t="s">
        <v>756</v>
      </c>
    </row>
    <row r="463" spans="1:18">
      <c r="A463" s="7" t="s">
        <v>429</v>
      </c>
      <c r="B463" s="7" t="s">
        <v>981</v>
      </c>
      <c r="C463" s="7" t="s">
        <v>796</v>
      </c>
      <c r="D463" s="7" t="s">
        <v>1215</v>
      </c>
      <c r="E463" s="43">
        <v>0.01</v>
      </c>
      <c r="G463" s="106">
        <v>-2.5000000000000001E-3</v>
      </c>
      <c r="N463" s="41" t="s">
        <v>787</v>
      </c>
      <c r="O463" s="41" t="s">
        <v>782</v>
      </c>
      <c r="P463" s="41" t="s">
        <v>756</v>
      </c>
      <c r="Q463" s="41" t="s">
        <v>1216</v>
      </c>
      <c r="R463" s="41" t="s">
        <v>1217</v>
      </c>
    </row>
    <row r="464" spans="1:18">
      <c r="A464" s="7" t="s">
        <v>573</v>
      </c>
      <c r="B464" s="7" t="s">
        <v>1218</v>
      </c>
      <c r="C464" s="7" t="s">
        <v>796</v>
      </c>
      <c r="D464" s="7" t="s">
        <v>1215</v>
      </c>
      <c r="E464" s="43">
        <v>0.01</v>
      </c>
      <c r="N464" s="41" t="s">
        <v>787</v>
      </c>
      <c r="O464" s="41" t="s">
        <v>782</v>
      </c>
      <c r="P464" s="41" t="s">
        <v>756</v>
      </c>
      <c r="Q464" s="41" t="s">
        <v>1216</v>
      </c>
      <c r="R464" s="41" t="s">
        <v>1217</v>
      </c>
    </row>
    <row r="465" spans="1:18">
      <c r="A465" s="7" t="s">
        <v>430</v>
      </c>
      <c r="B465" s="7" t="s">
        <v>981</v>
      </c>
      <c r="C465" s="7" t="s">
        <v>382</v>
      </c>
      <c r="D465" s="7" t="s">
        <v>1215</v>
      </c>
      <c r="E465" s="43">
        <v>0.01</v>
      </c>
      <c r="N465" s="41" t="s">
        <v>787</v>
      </c>
      <c r="O465" s="41" t="s">
        <v>782</v>
      </c>
      <c r="P465" s="41" t="s">
        <v>756</v>
      </c>
      <c r="Q465" s="41" t="s">
        <v>1216</v>
      </c>
      <c r="R465" s="41" t="s">
        <v>1217</v>
      </c>
    </row>
    <row r="466" spans="1:18">
      <c r="A466" s="7" t="s">
        <v>606</v>
      </c>
      <c r="B466" s="7" t="s">
        <v>981</v>
      </c>
      <c r="C466" s="7" t="s">
        <v>382</v>
      </c>
      <c r="D466" s="7" t="s">
        <v>1215</v>
      </c>
      <c r="E466" s="43">
        <v>0.01</v>
      </c>
      <c r="N466" s="41" t="s">
        <v>787</v>
      </c>
      <c r="O466" s="41" t="s">
        <v>782</v>
      </c>
      <c r="P466" s="41" t="s">
        <v>756</v>
      </c>
      <c r="Q466" s="41" t="s">
        <v>1216</v>
      </c>
      <c r="R466" s="41" t="s">
        <v>1217</v>
      </c>
    </row>
    <row r="467" spans="1:18">
      <c r="A467" s="7" t="s">
        <v>1219</v>
      </c>
      <c r="B467" s="7" t="s">
        <v>761</v>
      </c>
      <c r="C467" s="7" t="s">
        <v>382</v>
      </c>
      <c r="D467" s="7" t="s">
        <v>1215</v>
      </c>
      <c r="E467" s="43">
        <v>0.01</v>
      </c>
      <c r="G467" s="106">
        <v>-2.5000000000000001E-3</v>
      </c>
      <c r="N467" s="41" t="s">
        <v>787</v>
      </c>
      <c r="O467" s="41" t="s">
        <v>782</v>
      </c>
      <c r="P467" s="41" t="s">
        <v>756</v>
      </c>
      <c r="Q467" s="41" t="s">
        <v>1216</v>
      </c>
      <c r="R467" s="41" t="s">
        <v>1217</v>
      </c>
    </row>
    <row r="468" spans="1:18">
      <c r="A468" s="7" t="s">
        <v>535</v>
      </c>
      <c r="B468" s="7" t="s">
        <v>1220</v>
      </c>
      <c r="C468" s="7" t="s">
        <v>382</v>
      </c>
      <c r="D468" s="7" t="s">
        <v>1215</v>
      </c>
      <c r="E468" s="43">
        <v>0.01</v>
      </c>
      <c r="G468" s="106">
        <v>-2.5000000000000001E-3</v>
      </c>
      <c r="N468" s="41" t="s">
        <v>787</v>
      </c>
      <c r="O468" s="41" t="s">
        <v>782</v>
      </c>
      <c r="P468" s="41" t="s">
        <v>756</v>
      </c>
      <c r="Q468" s="41" t="s">
        <v>1216</v>
      </c>
      <c r="R468" s="41" t="s">
        <v>1217</v>
      </c>
    </row>
    <row r="469" spans="1:18">
      <c r="A469" s="7" t="s">
        <v>1221</v>
      </c>
      <c r="B469" s="7" t="s">
        <v>762</v>
      </c>
      <c r="C469" s="7" t="s">
        <v>382</v>
      </c>
      <c r="D469" s="7" t="s">
        <v>1215</v>
      </c>
      <c r="E469" s="43">
        <v>0.01</v>
      </c>
      <c r="G469" s="106">
        <v>-2.5000000000000001E-3</v>
      </c>
      <c r="N469" s="41" t="s">
        <v>787</v>
      </c>
      <c r="O469" s="41" t="s">
        <v>782</v>
      </c>
      <c r="P469" s="41" t="s">
        <v>756</v>
      </c>
      <c r="Q469" s="41" t="s">
        <v>1216</v>
      </c>
      <c r="R469" s="41" t="s">
        <v>1217</v>
      </c>
    </row>
    <row r="470" spans="1:18">
      <c r="A470" s="7" t="s">
        <v>1222</v>
      </c>
      <c r="B470" s="7" t="s">
        <v>762</v>
      </c>
      <c r="C470" s="7" t="s">
        <v>382</v>
      </c>
      <c r="D470" s="7" t="s">
        <v>1215</v>
      </c>
      <c r="E470" s="43">
        <v>0.01</v>
      </c>
      <c r="G470" s="106">
        <v>-2.5000000000000001E-3</v>
      </c>
      <c r="N470" s="41" t="s">
        <v>787</v>
      </c>
      <c r="O470" s="41" t="s">
        <v>782</v>
      </c>
      <c r="P470" s="41" t="s">
        <v>756</v>
      </c>
      <c r="Q470" s="41" t="s">
        <v>1216</v>
      </c>
      <c r="R470" s="41" t="s">
        <v>1217</v>
      </c>
    </row>
    <row r="471" spans="1:18">
      <c r="A471" s="7" t="s">
        <v>1223</v>
      </c>
      <c r="B471" s="7" t="s">
        <v>762</v>
      </c>
      <c r="C471" s="7" t="s">
        <v>382</v>
      </c>
      <c r="D471" s="7" t="s">
        <v>1215</v>
      </c>
      <c r="E471" s="43">
        <v>0.01</v>
      </c>
      <c r="G471" s="106">
        <v>-2.5000000000000001E-3</v>
      </c>
      <c r="N471" s="41" t="s">
        <v>787</v>
      </c>
      <c r="O471" s="41" t="s">
        <v>782</v>
      </c>
      <c r="P471" s="41" t="s">
        <v>756</v>
      </c>
    </row>
    <row r="472" spans="1:18">
      <c r="A472" s="7" t="s">
        <v>633</v>
      </c>
      <c r="B472" s="7" t="s">
        <v>1018</v>
      </c>
      <c r="C472" s="7" t="s">
        <v>382</v>
      </c>
      <c r="D472" s="7" t="s">
        <v>1215</v>
      </c>
      <c r="E472" s="43">
        <v>0.01</v>
      </c>
      <c r="G472" s="106">
        <v>-2.5000000000000001E-3</v>
      </c>
      <c r="N472" s="41" t="s">
        <v>787</v>
      </c>
      <c r="O472" s="41" t="s">
        <v>782</v>
      </c>
      <c r="P472" s="41" t="s">
        <v>756</v>
      </c>
    </row>
    <row r="473" spans="1:18">
      <c r="A473" s="7" t="s">
        <v>1224</v>
      </c>
      <c r="B473" s="7" t="s">
        <v>762</v>
      </c>
      <c r="C473" s="7" t="s">
        <v>382</v>
      </c>
      <c r="D473" s="7" t="s">
        <v>1215</v>
      </c>
      <c r="E473" s="43">
        <v>0.01</v>
      </c>
      <c r="G473" s="106">
        <v>-2.5000000000000001E-3</v>
      </c>
      <c r="N473" s="41" t="s">
        <v>787</v>
      </c>
      <c r="O473" s="41" t="s">
        <v>782</v>
      </c>
      <c r="P473" s="41" t="s">
        <v>756</v>
      </c>
    </row>
    <row r="474" spans="1:18">
      <c r="A474" s="7" t="s">
        <v>589</v>
      </c>
      <c r="B474" s="7" t="s">
        <v>761</v>
      </c>
      <c r="C474" s="7" t="s">
        <v>382</v>
      </c>
      <c r="D474" s="7" t="s">
        <v>1215</v>
      </c>
      <c r="E474" s="43">
        <v>0.01</v>
      </c>
      <c r="G474" s="106">
        <v>-2.5000000000000001E-3</v>
      </c>
      <c r="N474" s="41" t="s">
        <v>787</v>
      </c>
      <c r="O474" s="41" t="s">
        <v>782</v>
      </c>
      <c r="P474" s="41" t="s">
        <v>756</v>
      </c>
    </row>
    <row r="475" spans="1:18">
      <c r="A475" s="7" t="s">
        <v>1225</v>
      </c>
      <c r="B475" s="7" t="s">
        <v>1206</v>
      </c>
      <c r="C475" s="7" t="s">
        <v>796</v>
      </c>
      <c r="D475" s="196" t="s">
        <v>1226</v>
      </c>
      <c r="E475" s="43">
        <v>2.2499999999999999E-2</v>
      </c>
      <c r="N475" s="41" t="s">
        <v>787</v>
      </c>
      <c r="O475" s="41" t="s">
        <v>800</v>
      </c>
      <c r="P475" s="41" t="s">
        <v>794</v>
      </c>
    </row>
    <row r="476" spans="1:18">
      <c r="A476" s="7" t="s">
        <v>1227</v>
      </c>
      <c r="B476" s="7" t="s">
        <v>1206</v>
      </c>
      <c r="C476" s="7" t="s">
        <v>796</v>
      </c>
      <c r="D476" s="196" t="s">
        <v>1226</v>
      </c>
      <c r="E476" s="43">
        <v>2.2499999999999999E-2</v>
      </c>
      <c r="N476" s="41" t="s">
        <v>787</v>
      </c>
      <c r="O476" s="41" t="s">
        <v>800</v>
      </c>
      <c r="P476" s="41" t="s">
        <v>794</v>
      </c>
    </row>
    <row r="477" spans="1:18">
      <c r="A477" s="7" t="s">
        <v>1228</v>
      </c>
      <c r="B477" s="7" t="s">
        <v>1206</v>
      </c>
      <c r="C477" s="7" t="s">
        <v>796</v>
      </c>
      <c r="D477" s="196" t="s">
        <v>1226</v>
      </c>
      <c r="E477" s="43">
        <v>2.2499999999999999E-2</v>
      </c>
      <c r="N477" s="41" t="s">
        <v>787</v>
      </c>
      <c r="O477" s="41" t="s">
        <v>800</v>
      </c>
      <c r="P477" s="41" t="s">
        <v>794</v>
      </c>
    </row>
    <row r="478" spans="1:18">
      <c r="A478" s="7" t="s">
        <v>1229</v>
      </c>
      <c r="B478" s="7" t="s">
        <v>1045</v>
      </c>
      <c r="C478" s="7" t="s">
        <v>382</v>
      </c>
      <c r="D478" s="196" t="s">
        <v>1226</v>
      </c>
      <c r="E478" s="43">
        <v>2.2499999999999999E-2</v>
      </c>
      <c r="N478" s="41" t="s">
        <v>787</v>
      </c>
      <c r="O478" s="41" t="s">
        <v>800</v>
      </c>
      <c r="P478" s="41" t="s">
        <v>794</v>
      </c>
    </row>
    <row r="479" spans="1:18">
      <c r="A479" s="7" t="s">
        <v>1230</v>
      </c>
      <c r="B479" s="7" t="s">
        <v>1231</v>
      </c>
      <c r="C479" s="7" t="s">
        <v>382</v>
      </c>
      <c r="D479" s="196" t="s">
        <v>1226</v>
      </c>
      <c r="E479" s="43">
        <v>2.2499999999999999E-2</v>
      </c>
      <c r="N479" s="41" t="s">
        <v>787</v>
      </c>
      <c r="O479" s="41" t="s">
        <v>800</v>
      </c>
      <c r="P479" s="41" t="s">
        <v>794</v>
      </c>
    </row>
    <row r="480" spans="1:18">
      <c r="A480" s="7" t="s">
        <v>1232</v>
      </c>
      <c r="B480" s="7" t="s">
        <v>855</v>
      </c>
      <c r="C480" s="7" t="s">
        <v>796</v>
      </c>
      <c r="D480" s="196" t="s">
        <v>1226</v>
      </c>
      <c r="E480" s="43">
        <v>2.2499999999999999E-2</v>
      </c>
      <c r="N480" s="41" t="s">
        <v>787</v>
      </c>
      <c r="O480" s="41" t="s">
        <v>800</v>
      </c>
      <c r="P480" s="41" t="s">
        <v>794</v>
      </c>
    </row>
    <row r="481" spans="1:16">
      <c r="A481" s="7" t="s">
        <v>1233</v>
      </c>
      <c r="B481" s="7" t="s">
        <v>761</v>
      </c>
      <c r="C481" s="7" t="s">
        <v>772</v>
      </c>
      <c r="D481" s="196" t="s">
        <v>1233</v>
      </c>
      <c r="E481" s="43">
        <v>0</v>
      </c>
      <c r="F481" s="104">
        <v>0</v>
      </c>
      <c r="G481" s="104">
        <v>0</v>
      </c>
      <c r="J481" s="106">
        <v>-0.25</v>
      </c>
      <c r="N481" s="41" t="s">
        <v>862</v>
      </c>
      <c r="O481" s="41" t="s">
        <v>800</v>
      </c>
      <c r="P481" s="41" t="s">
        <v>756</v>
      </c>
    </row>
    <row r="482" spans="1:16">
      <c r="A482" s="7" t="s">
        <v>1233</v>
      </c>
      <c r="B482" s="7" t="s">
        <v>761</v>
      </c>
      <c r="C482" s="7" t="s">
        <v>382</v>
      </c>
      <c r="D482" s="196" t="s">
        <v>1233</v>
      </c>
      <c r="E482" s="43">
        <v>0</v>
      </c>
      <c r="F482" s="104">
        <v>0</v>
      </c>
      <c r="G482" s="104">
        <v>0</v>
      </c>
      <c r="N482" s="41" t="s">
        <v>862</v>
      </c>
      <c r="O482" s="41" t="s">
        <v>800</v>
      </c>
      <c r="P482" s="41" t="s">
        <v>756</v>
      </c>
    </row>
    <row r="483" spans="1:16">
      <c r="A483" s="7" t="s">
        <v>503</v>
      </c>
      <c r="B483" s="7" t="s">
        <v>762</v>
      </c>
      <c r="C483" s="7" t="s">
        <v>796</v>
      </c>
      <c r="D483" s="197" t="s">
        <v>503</v>
      </c>
      <c r="E483" s="43">
        <v>5.0000000000000001E-3</v>
      </c>
      <c r="F483" s="104">
        <v>0</v>
      </c>
      <c r="G483" s="106">
        <v>-2.5000000000000001E-3</v>
      </c>
      <c r="N483" s="41" t="s">
        <v>787</v>
      </c>
      <c r="O483" s="41" t="s">
        <v>800</v>
      </c>
      <c r="P483" s="41" t="s">
        <v>756</v>
      </c>
    </row>
    <row r="484" spans="1:16">
      <c r="A484" s="7" t="s">
        <v>501</v>
      </c>
      <c r="B484" s="7" t="s">
        <v>762</v>
      </c>
      <c r="C484" s="7" t="s">
        <v>382</v>
      </c>
      <c r="D484" s="197" t="s">
        <v>503</v>
      </c>
      <c r="E484" s="43">
        <v>5.0000000000000001E-3</v>
      </c>
      <c r="F484" s="104">
        <v>0</v>
      </c>
      <c r="G484" s="106">
        <v>-2.5000000000000001E-3</v>
      </c>
      <c r="N484" s="41" t="s">
        <v>787</v>
      </c>
      <c r="O484" s="41" t="s">
        <v>800</v>
      </c>
      <c r="P484" s="41" t="s">
        <v>756</v>
      </c>
    </row>
    <row r="485" spans="1:16">
      <c r="A485" s="7" t="s">
        <v>1234</v>
      </c>
      <c r="B485" s="7" t="s">
        <v>761</v>
      </c>
      <c r="C485" s="7" t="s">
        <v>796</v>
      </c>
      <c r="D485" s="196" t="s">
        <v>1234</v>
      </c>
      <c r="E485" s="43">
        <v>1.4999999999999999E-2</v>
      </c>
      <c r="F485" s="104">
        <v>0</v>
      </c>
      <c r="G485" s="106">
        <v>0</v>
      </c>
      <c r="M485" s="43"/>
      <c r="N485" s="41"/>
      <c r="O485" s="41" t="s">
        <v>800</v>
      </c>
      <c r="P485" s="41" t="s">
        <v>756</v>
      </c>
    </row>
    <row r="486" spans="1:16">
      <c r="A486" s="7" t="s">
        <v>1235</v>
      </c>
      <c r="B486" s="7" t="s">
        <v>1236</v>
      </c>
      <c r="C486" s="7" t="s">
        <v>382</v>
      </c>
      <c r="D486" s="196" t="s">
        <v>1234</v>
      </c>
      <c r="E486" s="43">
        <v>1.4999999999999999E-2</v>
      </c>
      <c r="F486" s="104">
        <v>0</v>
      </c>
      <c r="G486" s="106">
        <v>0</v>
      </c>
      <c r="M486" s="43"/>
      <c r="N486" s="41" t="s">
        <v>787</v>
      </c>
      <c r="O486" s="41" t="s">
        <v>800</v>
      </c>
      <c r="P486" s="41" t="s">
        <v>756</v>
      </c>
    </row>
    <row r="487" spans="1:16">
      <c r="A487" s="7" t="s">
        <v>1237</v>
      </c>
      <c r="B487" s="7" t="s">
        <v>761</v>
      </c>
      <c r="C487" s="7" t="s">
        <v>382</v>
      </c>
      <c r="D487" s="196" t="s">
        <v>1237</v>
      </c>
      <c r="E487" s="43">
        <v>0</v>
      </c>
      <c r="F487" s="104">
        <v>0</v>
      </c>
      <c r="G487" s="106">
        <v>-7.4999999999999997E-3</v>
      </c>
      <c r="M487" s="87"/>
      <c r="N487" s="41" t="s">
        <v>1208</v>
      </c>
      <c r="O487" s="41" t="s">
        <v>800</v>
      </c>
      <c r="P487" s="41" t="s">
        <v>794</v>
      </c>
    </row>
    <row r="488" spans="1:16">
      <c r="A488" s="7" t="s">
        <v>1238</v>
      </c>
      <c r="B488" s="7" t="s">
        <v>758</v>
      </c>
      <c r="C488" s="7" t="s">
        <v>796</v>
      </c>
      <c r="D488" s="196" t="s">
        <v>1237</v>
      </c>
      <c r="E488" s="43">
        <v>1.4999999999999999E-2</v>
      </c>
      <c r="F488" s="104">
        <v>0</v>
      </c>
      <c r="G488" s="106">
        <v>-7.4999999999999997E-3</v>
      </c>
      <c r="M488" s="87"/>
      <c r="N488" s="41" t="s">
        <v>1208</v>
      </c>
      <c r="O488" s="41" t="s">
        <v>800</v>
      </c>
      <c r="P488" s="41" t="s">
        <v>794</v>
      </c>
    </row>
    <row r="489" spans="1:16">
      <c r="A489" s="7" t="s">
        <v>1239</v>
      </c>
      <c r="B489" s="7" t="s">
        <v>87</v>
      </c>
      <c r="C489" s="7" t="s">
        <v>382</v>
      </c>
      <c r="D489" s="196" t="s">
        <v>1240</v>
      </c>
      <c r="E489" s="43">
        <v>0</v>
      </c>
      <c r="F489" s="104">
        <v>0</v>
      </c>
      <c r="G489" s="106">
        <v>-7.4999999999999997E-3</v>
      </c>
      <c r="M489" s="87"/>
      <c r="N489" s="41" t="s">
        <v>1208</v>
      </c>
      <c r="O489" s="41" t="s">
        <v>782</v>
      </c>
      <c r="P489" s="41" t="s">
        <v>794</v>
      </c>
    </row>
    <row r="490" spans="1:16">
      <c r="A490" s="7" t="s">
        <v>1241</v>
      </c>
      <c r="B490" s="7" t="s">
        <v>761</v>
      </c>
      <c r="C490" s="7" t="s">
        <v>796</v>
      </c>
      <c r="D490" s="196" t="s">
        <v>1240</v>
      </c>
      <c r="E490" s="43">
        <v>1.2999999999999999E-2</v>
      </c>
      <c r="F490" s="104">
        <v>0</v>
      </c>
      <c r="G490" s="106">
        <v>-7.4999999999999997E-3</v>
      </c>
      <c r="M490" s="87"/>
      <c r="N490" s="41" t="s">
        <v>1208</v>
      </c>
      <c r="O490" s="41" t="s">
        <v>782</v>
      </c>
      <c r="P490" s="41" t="s">
        <v>794</v>
      </c>
    </row>
    <row r="491" spans="1:16">
      <c r="A491" s="7" t="s">
        <v>1242</v>
      </c>
      <c r="B491" s="7" t="s">
        <v>87</v>
      </c>
      <c r="C491" s="7" t="s">
        <v>382</v>
      </c>
      <c r="D491" s="196" t="s">
        <v>1240</v>
      </c>
      <c r="E491" s="43">
        <v>0</v>
      </c>
      <c r="F491" s="104">
        <v>0</v>
      </c>
      <c r="G491" s="106">
        <v>-7.4999999999999997E-3</v>
      </c>
      <c r="M491" s="87"/>
      <c r="N491" s="41" t="s">
        <v>1208</v>
      </c>
      <c r="O491" s="41" t="s">
        <v>782</v>
      </c>
      <c r="P491" s="41" t="s">
        <v>794</v>
      </c>
    </row>
    <row r="492" spans="1:16">
      <c r="A492" s="7" t="s">
        <v>1243</v>
      </c>
      <c r="B492" s="7" t="s">
        <v>87</v>
      </c>
      <c r="C492" s="7" t="s">
        <v>382</v>
      </c>
      <c r="D492" s="196" t="s">
        <v>1240</v>
      </c>
      <c r="E492" s="43">
        <v>0</v>
      </c>
      <c r="F492" s="104">
        <v>0</v>
      </c>
      <c r="G492" s="106">
        <v>-7.4999999999999997E-3</v>
      </c>
      <c r="M492" s="87"/>
      <c r="N492" s="41" t="s">
        <v>1208</v>
      </c>
      <c r="O492" s="41" t="s">
        <v>782</v>
      </c>
      <c r="P492" s="41" t="s">
        <v>794</v>
      </c>
    </row>
    <row r="493" spans="1:16">
      <c r="A493" s="7" t="s">
        <v>884</v>
      </c>
      <c r="B493" s="7" t="s">
        <v>87</v>
      </c>
      <c r="C493" s="7" t="s">
        <v>382</v>
      </c>
      <c r="D493" s="196" t="s">
        <v>1240</v>
      </c>
      <c r="E493" s="43">
        <v>0</v>
      </c>
      <c r="F493" s="104">
        <v>0</v>
      </c>
      <c r="G493" s="106">
        <v>-7.4999999999999997E-3</v>
      </c>
      <c r="M493" s="87"/>
      <c r="N493" s="41" t="s">
        <v>1208</v>
      </c>
      <c r="O493" s="41" t="s">
        <v>782</v>
      </c>
      <c r="P493" s="41" t="s">
        <v>794</v>
      </c>
    </row>
    <row r="494" spans="1:16">
      <c r="A494" s="7" t="s">
        <v>551</v>
      </c>
      <c r="B494" s="7" t="s">
        <v>855</v>
      </c>
      <c r="C494" s="7" t="s">
        <v>796</v>
      </c>
      <c r="D494" s="196" t="s">
        <v>550</v>
      </c>
      <c r="E494" s="43">
        <v>5.0000000000000001E-3</v>
      </c>
      <c r="F494" s="104">
        <v>0</v>
      </c>
      <c r="G494" s="106">
        <v>-7.4999999999999997E-3</v>
      </c>
      <c r="M494" s="87"/>
      <c r="N494" s="41" t="s">
        <v>787</v>
      </c>
      <c r="O494" s="41" t="s">
        <v>782</v>
      </c>
      <c r="P494" s="41" t="s">
        <v>794</v>
      </c>
    </row>
    <row r="495" spans="1:16">
      <c r="A495" s="7" t="s">
        <v>550</v>
      </c>
      <c r="B495" s="7" t="s">
        <v>762</v>
      </c>
      <c r="C495" s="7" t="s">
        <v>382</v>
      </c>
      <c r="D495" s="196" t="s">
        <v>550</v>
      </c>
      <c r="E495" s="43">
        <v>0</v>
      </c>
      <c r="F495" s="104">
        <v>0</v>
      </c>
      <c r="G495" s="106">
        <v>-7.4999999999999997E-3</v>
      </c>
      <c r="M495" s="87"/>
      <c r="N495" s="41" t="s">
        <v>787</v>
      </c>
      <c r="O495" s="41" t="s">
        <v>782</v>
      </c>
      <c r="P495" s="41" t="s">
        <v>794</v>
      </c>
    </row>
    <row r="496" spans="1:16">
      <c r="A496" s="7" t="s">
        <v>1244</v>
      </c>
      <c r="B496" s="7" t="s">
        <v>762</v>
      </c>
      <c r="C496" s="7" t="s">
        <v>382</v>
      </c>
      <c r="D496" s="196" t="s">
        <v>1245</v>
      </c>
      <c r="E496" s="43">
        <v>0</v>
      </c>
      <c r="F496" s="104">
        <v>0</v>
      </c>
      <c r="G496" s="106">
        <v>-7.4999999999999997E-3</v>
      </c>
      <c r="M496" s="87"/>
      <c r="N496" s="41" t="s">
        <v>787</v>
      </c>
      <c r="O496" s="41" t="s">
        <v>782</v>
      </c>
      <c r="P496" s="41" t="s">
        <v>794</v>
      </c>
    </row>
    <row r="497" spans="1:18">
      <c r="A497" s="7" t="s">
        <v>1246</v>
      </c>
      <c r="B497" s="7" t="s">
        <v>1247</v>
      </c>
      <c r="C497" s="7" t="s">
        <v>382</v>
      </c>
      <c r="D497" s="7" t="s">
        <v>896</v>
      </c>
      <c r="E497" s="43">
        <v>3.0000000000000001E-3</v>
      </c>
      <c r="N497" s="41" t="s">
        <v>1208</v>
      </c>
      <c r="O497" s="41" t="s">
        <v>790</v>
      </c>
      <c r="P497" s="41" t="s">
        <v>756</v>
      </c>
    </row>
    <row r="498" spans="1:18">
      <c r="A498" s="7" t="s">
        <v>665</v>
      </c>
      <c r="B498" s="7" t="s">
        <v>761</v>
      </c>
      <c r="C498" s="7" t="s">
        <v>796</v>
      </c>
      <c r="D498" s="7" t="s">
        <v>1248</v>
      </c>
      <c r="E498" s="43">
        <v>1.0999999999999999E-2</v>
      </c>
      <c r="N498" s="41" t="s">
        <v>787</v>
      </c>
      <c r="O498" s="41" t="s">
        <v>1249</v>
      </c>
      <c r="P498" s="41" t="s">
        <v>794</v>
      </c>
    </row>
    <row r="499" spans="1:18">
      <c r="A499" s="7" t="s">
        <v>666</v>
      </c>
      <c r="B499" s="7" t="s">
        <v>758</v>
      </c>
      <c r="C499" s="7" t="s">
        <v>796</v>
      </c>
      <c r="D499" s="7" t="s">
        <v>1248</v>
      </c>
      <c r="E499" s="43">
        <v>1.0999999999999999E-2</v>
      </c>
      <c r="N499" s="41" t="s">
        <v>787</v>
      </c>
      <c r="O499" s="41" t="s">
        <v>1249</v>
      </c>
      <c r="P499" s="41" t="s">
        <v>794</v>
      </c>
    </row>
    <row r="500" spans="1:18">
      <c r="A500" s="7" t="s">
        <v>1250</v>
      </c>
      <c r="B500" s="7" t="s">
        <v>761</v>
      </c>
      <c r="C500" s="7" t="s">
        <v>382</v>
      </c>
      <c r="D500" s="7" t="s">
        <v>1251</v>
      </c>
      <c r="E500" s="43">
        <v>0.01</v>
      </c>
      <c r="N500" s="41" t="s">
        <v>787</v>
      </c>
      <c r="O500" s="41" t="s">
        <v>1249</v>
      </c>
      <c r="P500" s="41" t="s">
        <v>794</v>
      </c>
      <c r="Q500" s="103" t="s">
        <v>1252</v>
      </c>
      <c r="R500" s="41" t="s">
        <v>1217</v>
      </c>
    </row>
    <row r="501" spans="1:18">
      <c r="A501" s="7" t="s">
        <v>1251</v>
      </c>
      <c r="B501" s="7" t="s">
        <v>758</v>
      </c>
      <c r="C501" s="7" t="s">
        <v>796</v>
      </c>
      <c r="D501" s="7" t="s">
        <v>1251</v>
      </c>
      <c r="E501" s="43">
        <v>0.01</v>
      </c>
      <c r="N501" s="41" t="s">
        <v>787</v>
      </c>
      <c r="O501" s="41" t="s">
        <v>1249</v>
      </c>
      <c r="P501" s="41" t="s">
        <v>794</v>
      </c>
      <c r="Q501" s="103" t="s">
        <v>1252</v>
      </c>
      <c r="R501" s="41" t="s">
        <v>1217</v>
      </c>
    </row>
    <row r="502" spans="1:18">
      <c r="A502" s="7" t="s">
        <v>413</v>
      </c>
      <c r="B502" s="7" t="s">
        <v>761</v>
      </c>
      <c r="C502" s="7" t="s">
        <v>382</v>
      </c>
      <c r="D502" s="7" t="s">
        <v>1253</v>
      </c>
      <c r="E502" s="43">
        <v>6.0000000000000001E-3</v>
      </c>
      <c r="N502" s="41" t="s">
        <v>760</v>
      </c>
      <c r="O502" s="41" t="s">
        <v>820</v>
      </c>
      <c r="P502" s="41" t="s">
        <v>756</v>
      </c>
      <c r="R502" s="41"/>
    </row>
    <row r="503" spans="1:18">
      <c r="A503" s="7" t="s">
        <v>412</v>
      </c>
      <c r="B503" s="7" t="s">
        <v>762</v>
      </c>
      <c r="C503" s="7" t="s">
        <v>382</v>
      </c>
      <c r="D503" s="7" t="s">
        <v>1253</v>
      </c>
      <c r="E503" s="43">
        <v>6.0000000000000001E-3</v>
      </c>
      <c r="N503" s="41" t="s">
        <v>760</v>
      </c>
      <c r="O503" s="41" t="s">
        <v>820</v>
      </c>
      <c r="P503" s="41" t="s">
        <v>756</v>
      </c>
      <c r="R503" s="41"/>
    </row>
    <row r="504" spans="1:18">
      <c r="A504" s="7" t="s">
        <v>1254</v>
      </c>
      <c r="B504" s="7" t="s">
        <v>758</v>
      </c>
      <c r="C504" s="7" t="s">
        <v>796</v>
      </c>
      <c r="D504" s="7" t="s">
        <v>1253</v>
      </c>
      <c r="E504" s="43">
        <v>6.0000000000000001E-3</v>
      </c>
      <c r="N504" s="41" t="s">
        <v>760</v>
      </c>
      <c r="O504" s="41" t="s">
        <v>820</v>
      </c>
      <c r="P504" s="41" t="s">
        <v>756</v>
      </c>
      <c r="R504" s="41"/>
    </row>
    <row r="505" spans="1:18">
      <c r="A505" s="7" t="s">
        <v>417</v>
      </c>
      <c r="B505" s="7" t="s">
        <v>761</v>
      </c>
      <c r="C505" s="7" t="s">
        <v>382</v>
      </c>
      <c r="D505" s="7" t="s">
        <v>1253</v>
      </c>
      <c r="E505" s="43">
        <v>0.01</v>
      </c>
      <c r="F505" s="104">
        <v>0</v>
      </c>
      <c r="N505" s="41" t="s">
        <v>760</v>
      </c>
      <c r="O505" s="41" t="s">
        <v>820</v>
      </c>
      <c r="P505" s="41" t="s">
        <v>756</v>
      </c>
    </row>
    <row r="506" spans="1:18">
      <c r="A506" s="7" t="s">
        <v>504</v>
      </c>
      <c r="B506" s="7" t="s">
        <v>855</v>
      </c>
      <c r="C506" s="7" t="s">
        <v>382</v>
      </c>
      <c r="D506" s="7" t="s">
        <v>1253</v>
      </c>
      <c r="E506" s="43">
        <v>0.01</v>
      </c>
      <c r="N506" s="41" t="s">
        <v>760</v>
      </c>
      <c r="O506" s="41" t="s">
        <v>820</v>
      </c>
      <c r="P506" s="41" t="s">
        <v>756</v>
      </c>
    </row>
    <row r="507" spans="1:18">
      <c r="A507" s="7" t="s">
        <v>417</v>
      </c>
      <c r="B507" s="7" t="s">
        <v>761</v>
      </c>
      <c r="C507" s="7" t="s">
        <v>796</v>
      </c>
      <c r="D507" s="7" t="s">
        <v>1253</v>
      </c>
      <c r="E507" s="43">
        <v>0.01</v>
      </c>
      <c r="F507" s="104">
        <v>0</v>
      </c>
      <c r="N507" s="41" t="s">
        <v>760</v>
      </c>
      <c r="O507" s="41" t="s">
        <v>820</v>
      </c>
      <c r="P507" s="41" t="s">
        <v>756</v>
      </c>
    </row>
    <row r="508" spans="1:18">
      <c r="A508" s="7" t="s">
        <v>460</v>
      </c>
      <c r="B508" s="7" t="s">
        <v>855</v>
      </c>
      <c r="C508" s="7" t="s">
        <v>796</v>
      </c>
      <c r="D508" s="7" t="s">
        <v>1253</v>
      </c>
      <c r="N508" s="41" t="s">
        <v>760</v>
      </c>
      <c r="O508" s="41" t="s">
        <v>820</v>
      </c>
      <c r="P508" s="41" t="s">
        <v>756</v>
      </c>
    </row>
    <row r="509" spans="1:18">
      <c r="A509" s="7" t="s">
        <v>528</v>
      </c>
      <c r="B509" s="7" t="s">
        <v>761</v>
      </c>
      <c r="C509" s="7" t="s">
        <v>796</v>
      </c>
      <c r="D509" s="7" t="s">
        <v>1253</v>
      </c>
      <c r="N509" s="41"/>
      <c r="O509" s="41"/>
      <c r="P509" s="41"/>
    </row>
    <row r="510" spans="1:18">
      <c r="A510" s="229" t="s">
        <v>1255</v>
      </c>
      <c r="B510" s="7" t="s">
        <v>93</v>
      </c>
      <c r="C510" s="7" t="s">
        <v>382</v>
      </c>
      <c r="D510" s="7" t="s">
        <v>1256</v>
      </c>
      <c r="E510" s="43">
        <v>1.2E-2</v>
      </c>
      <c r="F510" s="104">
        <v>0</v>
      </c>
      <c r="N510" s="41" t="s">
        <v>787</v>
      </c>
      <c r="O510" s="41" t="s">
        <v>820</v>
      </c>
      <c r="P510" s="41" t="s">
        <v>794</v>
      </c>
    </row>
    <row r="511" spans="1:18">
      <c r="A511" s="7" t="s">
        <v>1257</v>
      </c>
      <c r="B511" s="7" t="s">
        <v>762</v>
      </c>
      <c r="C511" s="7" t="s">
        <v>796</v>
      </c>
      <c r="D511" s="7" t="s">
        <v>1256</v>
      </c>
      <c r="E511" s="43">
        <v>1.2E-2</v>
      </c>
      <c r="F511" s="104">
        <v>0</v>
      </c>
      <c r="N511" s="41" t="s">
        <v>787</v>
      </c>
      <c r="O511" s="41" t="s">
        <v>820</v>
      </c>
      <c r="P511" s="41" t="s">
        <v>794</v>
      </c>
    </row>
    <row r="512" spans="1:18">
      <c r="A512" s="7" t="s">
        <v>1258</v>
      </c>
      <c r="B512" s="7" t="s">
        <v>855</v>
      </c>
      <c r="C512" s="7" t="s">
        <v>772</v>
      </c>
      <c r="D512" s="196" t="s">
        <v>1258</v>
      </c>
      <c r="E512" s="43">
        <v>-3.0000000000000001E-3</v>
      </c>
      <c r="F512" s="155">
        <v>0</v>
      </c>
      <c r="G512" s="104">
        <v>0</v>
      </c>
      <c r="J512" s="106">
        <v>-0.25</v>
      </c>
      <c r="N512" s="41" t="s">
        <v>787</v>
      </c>
      <c r="O512" s="41" t="s">
        <v>800</v>
      </c>
      <c r="P512" s="41" t="s">
        <v>794</v>
      </c>
    </row>
    <row r="513" spans="1:18">
      <c r="A513" s="7" t="s">
        <v>509</v>
      </c>
      <c r="B513" s="7" t="s">
        <v>758</v>
      </c>
      <c r="C513" s="7" t="s">
        <v>796</v>
      </c>
      <c r="D513" s="196" t="s">
        <v>1259</v>
      </c>
      <c r="E513" s="43">
        <v>1.7000000000000001E-2</v>
      </c>
      <c r="F513" s="155">
        <v>0</v>
      </c>
      <c r="G513" s="106">
        <v>-5.0000000000000001E-4</v>
      </c>
      <c r="M513" s="43"/>
      <c r="N513" s="41" t="s">
        <v>787</v>
      </c>
      <c r="O513" s="41" t="s">
        <v>800</v>
      </c>
      <c r="P513" s="41" t="s">
        <v>794</v>
      </c>
      <c r="Q513" s="103" t="s">
        <v>1260</v>
      </c>
      <c r="R513" s="103" t="s">
        <v>1261</v>
      </c>
    </row>
    <row r="514" spans="1:18">
      <c r="A514" s="7" t="s">
        <v>1262</v>
      </c>
      <c r="B514" s="7" t="s">
        <v>758</v>
      </c>
      <c r="C514" s="7" t="s">
        <v>796</v>
      </c>
      <c r="D514" s="196" t="s">
        <v>1259</v>
      </c>
      <c r="E514" s="43">
        <v>1.7000000000000001E-2</v>
      </c>
      <c r="F514" s="155">
        <v>0</v>
      </c>
      <c r="G514" s="106">
        <v>-5.0000000000000001E-4</v>
      </c>
      <c r="M514" s="43"/>
      <c r="N514" s="41" t="s">
        <v>787</v>
      </c>
      <c r="O514" s="41" t="s">
        <v>800</v>
      </c>
      <c r="P514" s="41" t="s">
        <v>794</v>
      </c>
      <c r="Q514" s="103" t="s">
        <v>1260</v>
      </c>
      <c r="R514" s="103" t="s">
        <v>1261</v>
      </c>
    </row>
    <row r="515" spans="1:18">
      <c r="A515" s="7" t="s">
        <v>508</v>
      </c>
      <c r="B515" s="7" t="s">
        <v>761</v>
      </c>
      <c r="C515" s="7" t="s">
        <v>382</v>
      </c>
      <c r="D515" s="196" t="s">
        <v>1259</v>
      </c>
      <c r="E515" s="44">
        <v>0</v>
      </c>
      <c r="F515" s="104">
        <v>0</v>
      </c>
      <c r="G515" s="106">
        <v>-2.5000000000000001E-3</v>
      </c>
      <c r="M515" s="87"/>
      <c r="N515" s="41" t="s">
        <v>787</v>
      </c>
      <c r="O515" s="41" t="s">
        <v>800</v>
      </c>
      <c r="P515" s="41" t="s">
        <v>794</v>
      </c>
      <c r="Q515" s="103" t="s">
        <v>1260</v>
      </c>
      <c r="R515" s="103" t="s">
        <v>1261</v>
      </c>
    </row>
    <row r="516" spans="1:18">
      <c r="A516" s="7" t="s">
        <v>646</v>
      </c>
      <c r="B516" s="7" t="s">
        <v>762</v>
      </c>
      <c r="C516" s="7" t="s">
        <v>382</v>
      </c>
      <c r="D516" s="197" t="s">
        <v>380</v>
      </c>
      <c r="E516" s="43">
        <v>7.0000000000000001E-3</v>
      </c>
      <c r="N516" s="41" t="s">
        <v>787</v>
      </c>
      <c r="O516" s="41" t="s">
        <v>782</v>
      </c>
      <c r="P516" s="41" t="s">
        <v>794</v>
      </c>
    </row>
    <row r="517" spans="1:18">
      <c r="A517" s="7" t="s">
        <v>515</v>
      </c>
      <c r="B517" s="7" t="s">
        <v>762</v>
      </c>
      <c r="C517" s="7" t="s">
        <v>796</v>
      </c>
      <c r="E517" s="43">
        <v>0.02</v>
      </c>
      <c r="N517" s="41"/>
      <c r="O517" s="41" t="s">
        <v>1263</v>
      </c>
      <c r="P517" s="41"/>
    </row>
    <row r="518" spans="1:18">
      <c r="A518" s="7" t="s">
        <v>1264</v>
      </c>
      <c r="B518" s="7" t="s">
        <v>979</v>
      </c>
      <c r="C518" s="7" t="s">
        <v>796</v>
      </c>
      <c r="D518" s="7" t="s">
        <v>977</v>
      </c>
      <c r="E518" s="43">
        <v>5.4999999999999997E-3</v>
      </c>
      <c r="N518" s="41" t="s">
        <v>787</v>
      </c>
      <c r="O518" s="41" t="s">
        <v>790</v>
      </c>
      <c r="P518" s="41"/>
    </row>
    <row r="519" spans="1:18">
      <c r="A519" s="7" t="s">
        <v>1265</v>
      </c>
      <c r="B519" s="7" t="s">
        <v>762</v>
      </c>
      <c r="C519" s="7" t="s">
        <v>796</v>
      </c>
      <c r="D519" s="7" t="s">
        <v>1266</v>
      </c>
      <c r="E519" s="43">
        <v>8.0000000000000002E-3</v>
      </c>
      <c r="N519" s="41" t="s">
        <v>787</v>
      </c>
      <c r="O519" s="41" t="s">
        <v>1249</v>
      </c>
      <c r="P519" s="41" t="s">
        <v>794</v>
      </c>
    </row>
    <row r="520" spans="1:18">
      <c r="A520" s="7" t="s">
        <v>1267</v>
      </c>
      <c r="B520" s="7" t="s">
        <v>758</v>
      </c>
      <c r="C520" s="7" t="s">
        <v>796</v>
      </c>
      <c r="D520" s="7" t="s">
        <v>1266</v>
      </c>
      <c r="E520" s="43">
        <v>8.0000000000000002E-3</v>
      </c>
      <c r="N520" s="41" t="s">
        <v>787</v>
      </c>
      <c r="O520" s="41" t="s">
        <v>1249</v>
      </c>
      <c r="P520" s="41" t="s">
        <v>794</v>
      </c>
    </row>
    <row r="521" spans="1:18">
      <c r="A521" s="7" t="s">
        <v>463</v>
      </c>
      <c r="B521" s="7" t="s">
        <v>758</v>
      </c>
      <c r="C521" s="7" t="s">
        <v>796</v>
      </c>
      <c r="D521" s="7" t="s">
        <v>463</v>
      </c>
      <c r="E521" s="43">
        <v>1.6E-2</v>
      </c>
      <c r="N521" s="41" t="s">
        <v>787</v>
      </c>
      <c r="O521" s="41" t="s">
        <v>800</v>
      </c>
      <c r="P521" s="41" t="s">
        <v>794</v>
      </c>
    </row>
    <row r="522" spans="1:18">
      <c r="A522" s="7" t="s">
        <v>461</v>
      </c>
      <c r="B522" s="7" t="s">
        <v>762</v>
      </c>
      <c r="C522" s="7" t="s">
        <v>382</v>
      </c>
      <c r="D522" s="7" t="s">
        <v>463</v>
      </c>
      <c r="E522" s="43">
        <v>1.6E-2</v>
      </c>
      <c r="N522" s="41" t="s">
        <v>787</v>
      </c>
      <c r="O522" s="41" t="s">
        <v>800</v>
      </c>
      <c r="P522" s="41" t="s">
        <v>794</v>
      </c>
    </row>
    <row r="523" spans="1:18">
      <c r="A523" s="7" t="s">
        <v>1268</v>
      </c>
      <c r="B523" s="7" t="s">
        <v>762</v>
      </c>
      <c r="C523" s="7" t="s">
        <v>382</v>
      </c>
      <c r="D523" s="7" t="s">
        <v>463</v>
      </c>
      <c r="E523" s="43">
        <v>1.4999999999999999E-2</v>
      </c>
      <c r="N523" s="41" t="s">
        <v>787</v>
      </c>
      <c r="O523" s="41" t="s">
        <v>800</v>
      </c>
      <c r="P523" s="41" t="s">
        <v>794</v>
      </c>
    </row>
    <row r="524" spans="1:18">
      <c r="A524" s="7" t="s">
        <v>544</v>
      </c>
      <c r="B524" s="7" t="s">
        <v>762</v>
      </c>
      <c r="C524" s="7" t="s">
        <v>382</v>
      </c>
      <c r="D524" s="7" t="s">
        <v>463</v>
      </c>
      <c r="E524" s="43">
        <v>1.4999999999999999E-2</v>
      </c>
      <c r="N524" s="41" t="s">
        <v>787</v>
      </c>
      <c r="O524" s="41" t="s">
        <v>800</v>
      </c>
      <c r="P524" s="41" t="s">
        <v>794</v>
      </c>
    </row>
    <row r="525" spans="1:18">
      <c r="A525" s="7" t="s">
        <v>1269</v>
      </c>
      <c r="B525" s="7" t="s">
        <v>762</v>
      </c>
      <c r="C525" s="7" t="s">
        <v>382</v>
      </c>
      <c r="D525" s="7" t="s">
        <v>463</v>
      </c>
      <c r="E525" s="43">
        <v>1.4999999999999999E-2</v>
      </c>
      <c r="N525" s="41" t="s">
        <v>787</v>
      </c>
      <c r="O525" s="41" t="s">
        <v>800</v>
      </c>
      <c r="P525" s="41" t="s">
        <v>794</v>
      </c>
    </row>
    <row r="526" spans="1:18">
      <c r="A526" s="7" t="s">
        <v>1270</v>
      </c>
      <c r="B526" s="7" t="s">
        <v>761</v>
      </c>
      <c r="C526" s="7" t="s">
        <v>772</v>
      </c>
      <c r="D526" s="7" t="s">
        <v>1270</v>
      </c>
      <c r="E526" s="43">
        <v>-5.0000000000000001E-3</v>
      </c>
      <c r="N526" s="41" t="s">
        <v>787</v>
      </c>
      <c r="O526" s="41" t="s">
        <v>820</v>
      </c>
      <c r="P526" s="41" t="s">
        <v>794</v>
      </c>
    </row>
    <row r="527" spans="1:18">
      <c r="A527" s="7" t="s">
        <v>1271</v>
      </c>
      <c r="B527" s="7" t="s">
        <v>1272</v>
      </c>
      <c r="C527" s="7" t="s">
        <v>796</v>
      </c>
      <c r="D527" s="7" t="s">
        <v>380</v>
      </c>
      <c r="E527" s="43">
        <v>7.0000000000000001E-3</v>
      </c>
      <c r="N527" s="287" t="s">
        <v>787</v>
      </c>
      <c r="O527" s="288" t="s">
        <v>782</v>
      </c>
      <c r="P527" s="288" t="s">
        <v>794</v>
      </c>
    </row>
    <row r="528" spans="1:18">
      <c r="A528" s="7" t="s">
        <v>1273</v>
      </c>
      <c r="B528" s="7" t="s">
        <v>87</v>
      </c>
      <c r="C528" s="7" t="s">
        <v>796</v>
      </c>
      <c r="D528" s="7" t="s">
        <v>380</v>
      </c>
      <c r="E528" s="43">
        <v>7.0000000000000001E-3</v>
      </c>
      <c r="N528" s="287" t="s">
        <v>787</v>
      </c>
      <c r="O528" s="288" t="s">
        <v>782</v>
      </c>
      <c r="P528" s="288" t="s">
        <v>794</v>
      </c>
    </row>
    <row r="529" spans="1:16">
      <c r="A529" s="7" t="s">
        <v>1274</v>
      </c>
      <c r="B529" s="7" t="s">
        <v>1272</v>
      </c>
      <c r="C529" s="7" t="s">
        <v>796</v>
      </c>
      <c r="D529" s="7" t="s">
        <v>380</v>
      </c>
      <c r="E529" s="43">
        <v>1.32E-2</v>
      </c>
      <c r="N529" s="287" t="s">
        <v>787</v>
      </c>
      <c r="O529" s="288" t="s">
        <v>782</v>
      </c>
      <c r="P529" s="288" t="s">
        <v>794</v>
      </c>
    </row>
    <row r="530" spans="1:16">
      <c r="A530" s="7" t="s">
        <v>1275</v>
      </c>
      <c r="B530" s="7" t="s">
        <v>758</v>
      </c>
      <c r="C530" s="7" t="s">
        <v>796</v>
      </c>
      <c r="D530" s="7" t="s">
        <v>1275</v>
      </c>
      <c r="N530" s="287" t="s">
        <v>760</v>
      </c>
      <c r="O530" s="288" t="s">
        <v>782</v>
      </c>
      <c r="P530" s="288" t="s">
        <v>794</v>
      </c>
    </row>
    <row r="531" spans="1:16">
      <c r="A531" s="7" t="s">
        <v>1276</v>
      </c>
      <c r="B531" s="7" t="s">
        <v>758</v>
      </c>
      <c r="C531" s="7" t="s">
        <v>796</v>
      </c>
      <c r="D531" s="7" t="s">
        <v>1275</v>
      </c>
      <c r="N531" s="287" t="s">
        <v>760</v>
      </c>
      <c r="O531" s="288" t="s">
        <v>782</v>
      </c>
      <c r="P531" s="288" t="s">
        <v>794</v>
      </c>
    </row>
    <row r="532" spans="1:16">
      <c r="A532" s="7" t="s">
        <v>1277</v>
      </c>
      <c r="B532" s="7" t="s">
        <v>761</v>
      </c>
      <c r="C532" s="7" t="s">
        <v>382</v>
      </c>
      <c r="D532" s="7" t="s">
        <v>1275</v>
      </c>
      <c r="E532" s="43">
        <v>0.01</v>
      </c>
      <c r="N532" s="287" t="s">
        <v>760</v>
      </c>
      <c r="O532" s="288" t="s">
        <v>782</v>
      </c>
      <c r="P532" s="288" t="s">
        <v>794</v>
      </c>
    </row>
    <row r="533" spans="1:16">
      <c r="A533" s="7" t="s">
        <v>369</v>
      </c>
      <c r="B533" s="7" t="s">
        <v>1139</v>
      </c>
      <c r="C533" s="7" t="s">
        <v>382</v>
      </c>
      <c r="D533" s="7" t="s">
        <v>1278</v>
      </c>
      <c r="N533" s="287" t="s">
        <v>760</v>
      </c>
      <c r="O533" s="288" t="s">
        <v>782</v>
      </c>
      <c r="P533" s="288" t="s">
        <v>794</v>
      </c>
    </row>
    <row r="534" spans="1:16">
      <c r="A534" s="7" t="s">
        <v>1279</v>
      </c>
      <c r="B534" s="7" t="s">
        <v>1144</v>
      </c>
      <c r="C534" s="7" t="s">
        <v>382</v>
      </c>
      <c r="D534" s="7" t="s">
        <v>1275</v>
      </c>
      <c r="N534" s="287" t="s">
        <v>760</v>
      </c>
      <c r="O534" s="288" t="s">
        <v>782</v>
      </c>
      <c r="P534" s="288" t="s">
        <v>794</v>
      </c>
    </row>
    <row r="535" spans="1:16">
      <c r="A535" s="7" t="s">
        <v>1280</v>
      </c>
      <c r="B535" s="7" t="s">
        <v>1139</v>
      </c>
      <c r="C535" s="7" t="s">
        <v>382</v>
      </c>
      <c r="D535" s="7" t="s">
        <v>1278</v>
      </c>
      <c r="N535" s="287" t="s">
        <v>760</v>
      </c>
      <c r="O535" s="288" t="s">
        <v>782</v>
      </c>
      <c r="P535" s="288" t="s">
        <v>794</v>
      </c>
    </row>
    <row r="536" spans="1:16">
      <c r="A536" s="7" t="s">
        <v>456</v>
      </c>
      <c r="B536" s="7" t="s">
        <v>855</v>
      </c>
      <c r="C536" s="7" t="s">
        <v>382</v>
      </c>
      <c r="D536" s="7" t="s">
        <v>1278</v>
      </c>
      <c r="N536" s="287" t="s">
        <v>760</v>
      </c>
      <c r="O536" s="288" t="s">
        <v>782</v>
      </c>
      <c r="P536" s="288" t="s">
        <v>794</v>
      </c>
    </row>
    <row r="537" spans="1:16">
      <c r="A537" s="7" t="s">
        <v>1281</v>
      </c>
      <c r="B537" s="7" t="s">
        <v>762</v>
      </c>
      <c r="C537" s="7" t="s">
        <v>382</v>
      </c>
      <c r="D537" s="7" t="s">
        <v>1278</v>
      </c>
      <c r="N537" s="287" t="s">
        <v>760</v>
      </c>
      <c r="O537" s="288" t="s">
        <v>782</v>
      </c>
      <c r="P537" s="288" t="s">
        <v>794</v>
      </c>
    </row>
    <row r="538" spans="1:16">
      <c r="A538" s="7" t="s">
        <v>376</v>
      </c>
      <c r="B538" s="7" t="s">
        <v>761</v>
      </c>
      <c r="C538" s="7" t="s">
        <v>382</v>
      </c>
      <c r="D538" s="7" t="s">
        <v>1278</v>
      </c>
      <c r="N538" s="287" t="s">
        <v>760</v>
      </c>
      <c r="O538" s="288" t="s">
        <v>782</v>
      </c>
      <c r="P538" s="288" t="s">
        <v>794</v>
      </c>
    </row>
    <row r="539" spans="1:16">
      <c r="A539" s="7" t="s">
        <v>1282</v>
      </c>
      <c r="B539" s="7" t="s">
        <v>993</v>
      </c>
      <c r="C539" s="7" t="s">
        <v>382</v>
      </c>
      <c r="D539" s="7" t="s">
        <v>1278</v>
      </c>
      <c r="N539" s="287" t="s">
        <v>787</v>
      </c>
      <c r="O539" s="288" t="s">
        <v>782</v>
      </c>
      <c r="P539" s="288" t="s">
        <v>794</v>
      </c>
    </row>
    <row r="540" spans="1:16">
      <c r="A540" s="7" t="s">
        <v>1283</v>
      </c>
      <c r="B540" s="7" t="s">
        <v>762</v>
      </c>
      <c r="C540" s="7" t="s">
        <v>382</v>
      </c>
      <c r="D540" s="7" t="s">
        <v>1278</v>
      </c>
      <c r="N540" s="287" t="s">
        <v>787</v>
      </c>
      <c r="O540" s="288" t="s">
        <v>782</v>
      </c>
      <c r="P540" s="288" t="s">
        <v>794</v>
      </c>
    </row>
    <row r="541" spans="1:16">
      <c r="A541" s="7" t="s">
        <v>1266</v>
      </c>
      <c r="B541" s="7" t="s">
        <v>761</v>
      </c>
      <c r="C541" s="7" t="s">
        <v>382</v>
      </c>
      <c r="D541" s="7" t="s">
        <v>1266</v>
      </c>
      <c r="E541" s="43">
        <v>5.0000000000000001E-3</v>
      </c>
      <c r="N541" s="287" t="s">
        <v>787</v>
      </c>
      <c r="O541" s="288" t="s">
        <v>1249</v>
      </c>
      <c r="P541" s="288" t="s">
        <v>794</v>
      </c>
    </row>
    <row r="542" spans="1:16">
      <c r="A542" s="7" t="s">
        <v>1284</v>
      </c>
      <c r="B542" s="7" t="s">
        <v>1285</v>
      </c>
      <c r="C542" s="7" t="s">
        <v>382</v>
      </c>
      <c r="D542" s="197" t="s">
        <v>380</v>
      </c>
      <c r="E542" s="43">
        <v>7.0000000000000001E-3</v>
      </c>
      <c r="N542" s="41" t="s">
        <v>787</v>
      </c>
      <c r="O542" s="41" t="s">
        <v>782</v>
      </c>
      <c r="P542" s="41" t="s">
        <v>794</v>
      </c>
    </row>
    <row r="543" spans="1:16">
      <c r="A543" s="7" t="s">
        <v>1286</v>
      </c>
      <c r="B543" s="7" t="s">
        <v>1287</v>
      </c>
      <c r="C543" s="7" t="s">
        <v>796</v>
      </c>
      <c r="D543" s="7" t="s">
        <v>1288</v>
      </c>
      <c r="E543" s="43">
        <v>1.4999999999999999E-2</v>
      </c>
      <c r="N543" s="41" t="s">
        <v>787</v>
      </c>
      <c r="O543" s="41" t="s">
        <v>820</v>
      </c>
      <c r="P543" s="41" t="s">
        <v>794</v>
      </c>
    </row>
    <row r="544" spans="1:16">
      <c r="A544" s="7" t="s">
        <v>1289</v>
      </c>
      <c r="B544" s="7" t="s">
        <v>761</v>
      </c>
      <c r="C544" s="7" t="s">
        <v>382</v>
      </c>
      <c r="D544" s="7" t="s">
        <v>1288</v>
      </c>
      <c r="E544" s="43">
        <v>1.4999999999999999E-2</v>
      </c>
      <c r="N544" s="41" t="s">
        <v>787</v>
      </c>
      <c r="O544" s="41" t="s">
        <v>820</v>
      </c>
      <c r="P544" s="41" t="s">
        <v>794</v>
      </c>
    </row>
    <row r="545" spans="1:16">
      <c r="A545" s="7" t="s">
        <v>1290</v>
      </c>
      <c r="B545" s="7" t="s">
        <v>826</v>
      </c>
      <c r="C545" s="7" t="s">
        <v>382</v>
      </c>
      <c r="D545" s="7" t="s">
        <v>439</v>
      </c>
      <c r="E545" s="43">
        <v>0.01</v>
      </c>
      <c r="N545" s="41" t="s">
        <v>787</v>
      </c>
      <c r="O545" s="41" t="s">
        <v>1291</v>
      </c>
      <c r="P545" s="41" t="s">
        <v>756</v>
      </c>
    </row>
    <row r="546" spans="1:16">
      <c r="A546" s="7" t="s">
        <v>439</v>
      </c>
      <c r="B546" s="7" t="s">
        <v>1206</v>
      </c>
      <c r="C546" s="7" t="s">
        <v>796</v>
      </c>
      <c r="D546" s="7" t="s">
        <v>439</v>
      </c>
      <c r="F546" s="104">
        <v>0</v>
      </c>
      <c r="G546" s="104">
        <v>0</v>
      </c>
      <c r="H546" s="104">
        <v>0</v>
      </c>
      <c r="I546" s="104">
        <v>0</v>
      </c>
      <c r="J546" s="104">
        <v>0</v>
      </c>
      <c r="K546" s="104">
        <v>0</v>
      </c>
      <c r="L546" s="104">
        <v>0</v>
      </c>
      <c r="N546" s="41" t="s">
        <v>787</v>
      </c>
      <c r="O546" s="41" t="s">
        <v>1291</v>
      </c>
      <c r="P546" s="41" t="s">
        <v>756</v>
      </c>
    </row>
    <row r="547" spans="1:16">
      <c r="A547" s="7" t="s">
        <v>1292</v>
      </c>
      <c r="B547" s="7" t="s">
        <v>761</v>
      </c>
      <c r="C547" s="7" t="s">
        <v>796</v>
      </c>
      <c r="D547" s="7" t="s">
        <v>439</v>
      </c>
      <c r="G547" s="104"/>
      <c r="H547" s="104"/>
      <c r="I547" s="104"/>
      <c r="J547" s="104"/>
      <c r="K547" s="104"/>
      <c r="N547" s="41" t="s">
        <v>787</v>
      </c>
      <c r="O547" s="41" t="s">
        <v>1291</v>
      </c>
      <c r="P547" s="41" t="s">
        <v>756</v>
      </c>
    </row>
    <row r="548" spans="1:16">
      <c r="A548" s="7" t="s">
        <v>1293</v>
      </c>
      <c r="B548" s="7" t="s">
        <v>93</v>
      </c>
      <c r="C548" s="7" t="s">
        <v>796</v>
      </c>
      <c r="D548" s="7" t="s">
        <v>439</v>
      </c>
      <c r="G548" s="104"/>
      <c r="H548" s="104"/>
      <c r="I548" s="104"/>
      <c r="J548" s="104"/>
      <c r="K548" s="104"/>
      <c r="N548" s="41" t="s">
        <v>787</v>
      </c>
      <c r="O548" s="41" t="s">
        <v>1291</v>
      </c>
      <c r="P548" s="41" t="s">
        <v>756</v>
      </c>
    </row>
    <row r="549" spans="1:16">
      <c r="A549" s="7" t="s">
        <v>372</v>
      </c>
      <c r="B549" s="7" t="s">
        <v>758</v>
      </c>
      <c r="C549" s="7" t="s">
        <v>796</v>
      </c>
      <c r="D549" s="7" t="s">
        <v>1278</v>
      </c>
      <c r="N549" s="41" t="s">
        <v>787</v>
      </c>
      <c r="O549" s="288" t="s">
        <v>782</v>
      </c>
      <c r="P549" s="288" t="s">
        <v>794</v>
      </c>
    </row>
    <row r="550" spans="1:16">
      <c r="A550" s="7" t="s">
        <v>1294</v>
      </c>
      <c r="B550" s="7" t="s">
        <v>761</v>
      </c>
      <c r="C550" s="7" t="s">
        <v>382</v>
      </c>
      <c r="D550" s="7" t="s">
        <v>439</v>
      </c>
      <c r="N550" s="41" t="s">
        <v>787</v>
      </c>
      <c r="O550" s="41" t="s">
        <v>1291</v>
      </c>
      <c r="P550" s="41" t="s">
        <v>794</v>
      </c>
    </row>
    <row r="551" spans="1:16">
      <c r="A551" s="7" t="s">
        <v>598</v>
      </c>
      <c r="B551" s="7" t="s">
        <v>761</v>
      </c>
      <c r="C551" s="7" t="s">
        <v>796</v>
      </c>
      <c r="D551" s="7" t="s">
        <v>502</v>
      </c>
      <c r="E551" s="43">
        <v>8.9999999999999993E-3</v>
      </c>
      <c r="N551" s="41" t="s">
        <v>787</v>
      </c>
      <c r="O551" s="41" t="s">
        <v>800</v>
      </c>
      <c r="P551" s="41" t="s">
        <v>794</v>
      </c>
    </row>
    <row r="552" spans="1:16">
      <c r="A552" s="7" t="s">
        <v>1295</v>
      </c>
      <c r="B552" s="7" t="s">
        <v>1028</v>
      </c>
      <c r="C552" s="7" t="s">
        <v>382</v>
      </c>
      <c r="D552" s="7" t="s">
        <v>502</v>
      </c>
      <c r="E552" s="43">
        <v>8.9999999999999993E-3</v>
      </c>
      <c r="N552" s="41" t="s">
        <v>787</v>
      </c>
      <c r="O552" s="41" t="s">
        <v>800</v>
      </c>
      <c r="P552" s="41" t="s">
        <v>794</v>
      </c>
    </row>
    <row r="553" spans="1:16">
      <c r="A553" s="7" t="s">
        <v>1296</v>
      </c>
      <c r="B553" s="7" t="s">
        <v>1206</v>
      </c>
      <c r="C553" s="7" t="s">
        <v>796</v>
      </c>
      <c r="D553" s="7" t="s">
        <v>502</v>
      </c>
      <c r="E553" s="43">
        <v>8.9999999999999993E-3</v>
      </c>
      <c r="N553" s="41"/>
      <c r="O553" s="41"/>
      <c r="P553" s="41"/>
    </row>
    <row r="554" spans="1:16">
      <c r="A554" s="7" t="s">
        <v>596</v>
      </c>
      <c r="B554" s="7" t="s">
        <v>761</v>
      </c>
      <c r="C554" s="7" t="s">
        <v>382</v>
      </c>
      <c r="D554" s="7" t="s">
        <v>502</v>
      </c>
      <c r="E554" s="43">
        <v>8.9999999999999993E-3</v>
      </c>
      <c r="N554" s="41" t="s">
        <v>787</v>
      </c>
      <c r="O554" s="41" t="s">
        <v>800</v>
      </c>
      <c r="P554" s="41" t="s">
        <v>794</v>
      </c>
    </row>
    <row r="555" spans="1:16">
      <c r="A555" s="7" t="s">
        <v>437</v>
      </c>
      <c r="B555" s="7" t="s">
        <v>761</v>
      </c>
      <c r="C555" s="7" t="s">
        <v>382</v>
      </c>
      <c r="D555" s="7" t="s">
        <v>439</v>
      </c>
      <c r="E555" s="43">
        <v>6.0000000000000001E-3</v>
      </c>
      <c r="N555" s="41" t="s">
        <v>787</v>
      </c>
      <c r="O555" s="41" t="s">
        <v>1291</v>
      </c>
      <c r="P555" s="41" t="s">
        <v>794</v>
      </c>
    </row>
    <row r="556" spans="1:16">
      <c r="A556" s="7" t="s">
        <v>1297</v>
      </c>
      <c r="B556" s="7" t="s">
        <v>1298</v>
      </c>
      <c r="C556" s="7" t="s">
        <v>382</v>
      </c>
      <c r="D556" s="7" t="s">
        <v>420</v>
      </c>
      <c r="E556" s="43">
        <v>0</v>
      </c>
      <c r="N556" s="41" t="s">
        <v>787</v>
      </c>
      <c r="O556" s="41" t="s">
        <v>790</v>
      </c>
    </row>
    <row r="557" spans="1:16">
      <c r="A557" s="7" t="s">
        <v>1299</v>
      </c>
      <c r="B557" s="7" t="s">
        <v>761</v>
      </c>
      <c r="C557" s="7" t="s">
        <v>796</v>
      </c>
      <c r="D557" s="7" t="s">
        <v>420</v>
      </c>
      <c r="E557" s="43">
        <v>0</v>
      </c>
      <c r="F557" s="103"/>
      <c r="G557" s="103"/>
      <c r="H557" s="103"/>
      <c r="I557" s="103"/>
      <c r="J557" s="103"/>
      <c r="K557" s="103"/>
      <c r="L557" s="103"/>
      <c r="M557" s="103"/>
    </row>
    <row r="558" spans="1:16">
      <c r="A558" s="7" t="s">
        <v>1300</v>
      </c>
      <c r="B558" s="7" t="s">
        <v>758</v>
      </c>
      <c r="C558" s="7" t="s">
        <v>796</v>
      </c>
      <c r="D558" s="7" t="s">
        <v>1300</v>
      </c>
      <c r="E558" s="43">
        <v>8.9999999999999993E-3</v>
      </c>
      <c r="N558" s="41" t="s">
        <v>787</v>
      </c>
      <c r="O558" s="41" t="s">
        <v>800</v>
      </c>
      <c r="P558" s="41" t="s">
        <v>794</v>
      </c>
    </row>
    <row r="559" spans="1:16">
      <c r="A559" s="7" t="s">
        <v>1301</v>
      </c>
      <c r="B559" s="7" t="s">
        <v>758</v>
      </c>
      <c r="C559" s="7" t="s">
        <v>796</v>
      </c>
      <c r="D559" s="7" t="s">
        <v>1300</v>
      </c>
      <c r="E559" s="43">
        <v>8.9999999999999993E-3</v>
      </c>
      <c r="N559" s="41" t="s">
        <v>787</v>
      </c>
      <c r="O559" s="41" t="s">
        <v>800</v>
      </c>
      <c r="P559" s="41" t="s">
        <v>794</v>
      </c>
    </row>
    <row r="560" spans="1:16">
      <c r="A560" s="7" t="s">
        <v>1302</v>
      </c>
      <c r="B560" s="7" t="s">
        <v>762</v>
      </c>
      <c r="C560" s="7" t="s">
        <v>382</v>
      </c>
      <c r="D560" s="7" t="s">
        <v>1300</v>
      </c>
      <c r="E560" s="43">
        <v>8.9999999999999993E-3</v>
      </c>
      <c r="N560" s="41" t="s">
        <v>787</v>
      </c>
      <c r="O560" s="41" t="s">
        <v>800</v>
      </c>
      <c r="P560" s="41" t="s">
        <v>794</v>
      </c>
    </row>
    <row r="561" spans="1:18">
      <c r="A561" s="7" t="s">
        <v>1303</v>
      </c>
      <c r="B561" s="7" t="s">
        <v>762</v>
      </c>
      <c r="C561" s="7" t="s">
        <v>382</v>
      </c>
      <c r="D561" s="7" t="s">
        <v>1300</v>
      </c>
      <c r="E561" s="43">
        <v>8.9999999999999993E-3</v>
      </c>
      <c r="N561" s="41" t="s">
        <v>787</v>
      </c>
      <c r="O561" s="41" t="s">
        <v>800</v>
      </c>
      <c r="P561" s="41" t="s">
        <v>794</v>
      </c>
    </row>
    <row r="562" spans="1:18">
      <c r="A562" s="7" t="s">
        <v>1304</v>
      </c>
      <c r="B562" s="7" t="s">
        <v>1305</v>
      </c>
      <c r="C562" s="7" t="s">
        <v>382</v>
      </c>
      <c r="D562" s="7" t="s">
        <v>439</v>
      </c>
      <c r="N562" s="41" t="s">
        <v>787</v>
      </c>
      <c r="O562" s="41" t="s">
        <v>1291</v>
      </c>
      <c r="P562" s="41" t="s">
        <v>794</v>
      </c>
    </row>
    <row r="563" spans="1:18" ht="40">
      <c r="A563" s="291" t="s">
        <v>1306</v>
      </c>
      <c r="B563" s="7" t="s">
        <v>761</v>
      </c>
      <c r="C563" s="7" t="s">
        <v>772</v>
      </c>
      <c r="D563" s="7" t="s">
        <v>1307</v>
      </c>
      <c r="N563" s="41" t="s">
        <v>787</v>
      </c>
      <c r="O563" s="41" t="s">
        <v>1249</v>
      </c>
      <c r="P563" s="41" t="s">
        <v>794</v>
      </c>
    </row>
    <row r="564" spans="1:18">
      <c r="A564" s="7" t="s">
        <v>650</v>
      </c>
      <c r="B564" s="7" t="s">
        <v>761</v>
      </c>
      <c r="C564" s="7" t="s">
        <v>772</v>
      </c>
      <c r="D564" s="7" t="s">
        <v>1307</v>
      </c>
      <c r="N564" s="41" t="s">
        <v>787</v>
      </c>
      <c r="O564" s="41" t="s">
        <v>1249</v>
      </c>
      <c r="P564" s="41" t="s">
        <v>794</v>
      </c>
    </row>
    <row r="565" spans="1:18">
      <c r="A565" s="7" t="s">
        <v>649</v>
      </c>
      <c r="B565" s="7" t="s">
        <v>758</v>
      </c>
      <c r="C565" s="7" t="s">
        <v>772</v>
      </c>
      <c r="D565" s="7" t="s">
        <v>1307</v>
      </c>
      <c r="N565" s="41" t="s">
        <v>787</v>
      </c>
      <c r="O565" s="41" t="s">
        <v>1249</v>
      </c>
      <c r="P565" s="41" t="s">
        <v>794</v>
      </c>
    </row>
    <row r="566" spans="1:18">
      <c r="A566" s="7" t="s">
        <v>1308</v>
      </c>
      <c r="B566" s="7" t="s">
        <v>758</v>
      </c>
      <c r="C566" s="7" t="s">
        <v>796</v>
      </c>
      <c r="D566" s="7" t="s">
        <v>1308</v>
      </c>
      <c r="E566" s="43">
        <v>0.03</v>
      </c>
      <c r="N566" s="41" t="s">
        <v>787</v>
      </c>
      <c r="O566" s="41" t="s">
        <v>800</v>
      </c>
      <c r="P566" s="41" t="s">
        <v>794</v>
      </c>
      <c r="R566" s="103">
        <v>1.5</v>
      </c>
    </row>
    <row r="567" spans="1:18">
      <c r="A567" s="7" t="s">
        <v>1309</v>
      </c>
      <c r="B567" s="7" t="s">
        <v>762</v>
      </c>
      <c r="C567" s="7" t="s">
        <v>382</v>
      </c>
      <c r="D567" s="7" t="s">
        <v>1308</v>
      </c>
      <c r="E567" s="43">
        <v>0.03</v>
      </c>
      <c r="N567" s="41" t="s">
        <v>787</v>
      </c>
      <c r="O567" s="41" t="s">
        <v>800</v>
      </c>
      <c r="P567" s="41" t="s">
        <v>794</v>
      </c>
      <c r="R567" s="103">
        <v>1.5</v>
      </c>
    </row>
    <row r="568" spans="1:18">
      <c r="A568" s="7" t="s">
        <v>1310</v>
      </c>
      <c r="B568" s="7" t="s">
        <v>1311</v>
      </c>
      <c r="C568" s="7" t="s">
        <v>772</v>
      </c>
      <c r="D568" s="7" t="s">
        <v>439</v>
      </c>
      <c r="N568" s="41" t="s">
        <v>787</v>
      </c>
      <c r="O568" s="41" t="s">
        <v>1291</v>
      </c>
      <c r="P568" s="41" t="s">
        <v>794</v>
      </c>
    </row>
    <row r="569" spans="1:18">
      <c r="A569" s="7" t="s">
        <v>1312</v>
      </c>
      <c r="B569" s="7" t="s">
        <v>1313</v>
      </c>
      <c r="C569" s="7" t="s">
        <v>772</v>
      </c>
      <c r="D569" s="7" t="s">
        <v>439</v>
      </c>
      <c r="N569" s="41" t="s">
        <v>787</v>
      </c>
      <c r="O569" s="41" t="s">
        <v>1291</v>
      </c>
      <c r="P569" s="41" t="s">
        <v>794</v>
      </c>
    </row>
    <row r="570" spans="1:18">
      <c r="A570" s="7" t="s">
        <v>1314</v>
      </c>
      <c r="B570" s="7" t="s">
        <v>761</v>
      </c>
      <c r="C570" s="7" t="s">
        <v>382</v>
      </c>
      <c r="D570" s="7" t="s">
        <v>1215</v>
      </c>
      <c r="N570" s="288" t="s">
        <v>787</v>
      </c>
      <c r="O570" s="288" t="s">
        <v>782</v>
      </c>
      <c r="P570" s="288" t="s">
        <v>756</v>
      </c>
    </row>
    <row r="571" spans="1:18">
      <c r="A571" s="7" t="s">
        <v>1315</v>
      </c>
      <c r="B571" s="7" t="s">
        <v>1316</v>
      </c>
      <c r="C571" s="7" t="s">
        <v>382</v>
      </c>
      <c r="D571" s="7" t="s">
        <v>1215</v>
      </c>
      <c r="N571" s="288" t="s">
        <v>787</v>
      </c>
      <c r="O571" s="288" t="s">
        <v>782</v>
      </c>
      <c r="P571" s="288" t="s">
        <v>756</v>
      </c>
    </row>
    <row r="572" spans="1:18">
      <c r="A572" s="7" t="s">
        <v>428</v>
      </c>
      <c r="B572" s="7" t="s">
        <v>762</v>
      </c>
      <c r="C572" s="7" t="s">
        <v>382</v>
      </c>
      <c r="D572" s="7" t="s">
        <v>1215</v>
      </c>
      <c r="N572" s="288" t="s">
        <v>787</v>
      </c>
      <c r="O572" s="288" t="s">
        <v>782</v>
      </c>
      <c r="P572" s="288" t="s">
        <v>756</v>
      </c>
    </row>
    <row r="573" spans="1:18">
      <c r="A573" s="7" t="s">
        <v>1317</v>
      </c>
      <c r="B573" s="7" t="s">
        <v>761</v>
      </c>
      <c r="C573" s="7" t="s">
        <v>382</v>
      </c>
      <c r="D573" s="7" t="s">
        <v>439</v>
      </c>
      <c r="N573" s="41" t="s">
        <v>787</v>
      </c>
      <c r="O573" s="41" t="s">
        <v>1291</v>
      </c>
      <c r="P573" s="41" t="s">
        <v>794</v>
      </c>
    </row>
    <row r="574" spans="1:18">
      <c r="A574" s="7" t="s">
        <v>1318</v>
      </c>
      <c r="B574" s="7" t="s">
        <v>762</v>
      </c>
      <c r="C574" s="7" t="s">
        <v>382</v>
      </c>
      <c r="D574" s="7" t="s">
        <v>439</v>
      </c>
      <c r="N574" s="41" t="s">
        <v>787</v>
      </c>
      <c r="O574" s="41" t="s">
        <v>1291</v>
      </c>
      <c r="P574" s="41" t="s">
        <v>794</v>
      </c>
    </row>
    <row r="575" spans="1:18">
      <c r="A575" s="7" t="s">
        <v>1319</v>
      </c>
      <c r="B575" s="7" t="s">
        <v>791</v>
      </c>
      <c r="C575" s="7" t="s">
        <v>382</v>
      </c>
      <c r="D575" s="7" t="s">
        <v>439</v>
      </c>
      <c r="N575" s="41" t="s">
        <v>787</v>
      </c>
      <c r="O575" s="41" t="s">
        <v>1291</v>
      </c>
      <c r="P575" s="41" t="s">
        <v>794</v>
      </c>
    </row>
    <row r="576" spans="1:18">
      <c r="A576" s="7" t="s">
        <v>452</v>
      </c>
      <c r="B576" s="7" t="s">
        <v>761</v>
      </c>
      <c r="C576" s="7" t="s">
        <v>382</v>
      </c>
      <c r="D576" s="7" t="s">
        <v>439</v>
      </c>
      <c r="N576" s="41" t="s">
        <v>787</v>
      </c>
      <c r="O576" s="41" t="s">
        <v>1291</v>
      </c>
      <c r="P576" s="41" t="s">
        <v>794</v>
      </c>
    </row>
    <row r="577" spans="1:16">
      <c r="A577" s="7" t="s">
        <v>1320</v>
      </c>
      <c r="B577" s="7" t="s">
        <v>1125</v>
      </c>
      <c r="C577" s="7" t="s">
        <v>382</v>
      </c>
      <c r="D577" s="7" t="s">
        <v>439</v>
      </c>
      <c r="N577" s="41" t="s">
        <v>787</v>
      </c>
      <c r="O577" s="41" t="s">
        <v>1291</v>
      </c>
      <c r="P577" s="41" t="s">
        <v>794</v>
      </c>
    </row>
    <row r="578" spans="1:16">
      <c r="A578" s="7" t="s">
        <v>1321</v>
      </c>
      <c r="B578" s="7" t="s">
        <v>761</v>
      </c>
      <c r="C578" s="7" t="s">
        <v>382</v>
      </c>
      <c r="D578" s="7" t="s">
        <v>439</v>
      </c>
      <c r="N578" s="41" t="s">
        <v>787</v>
      </c>
      <c r="O578" s="41" t="s">
        <v>1291</v>
      </c>
      <c r="P578" s="41" t="s">
        <v>794</v>
      </c>
    </row>
    <row r="579" spans="1:16">
      <c r="A579" s="7" t="s">
        <v>1322</v>
      </c>
      <c r="B579" s="7" t="s">
        <v>919</v>
      </c>
      <c r="C579" s="7" t="s">
        <v>382</v>
      </c>
      <c r="D579" s="7" t="s">
        <v>439</v>
      </c>
      <c r="N579" s="41" t="s">
        <v>787</v>
      </c>
      <c r="O579" s="41" t="s">
        <v>1291</v>
      </c>
      <c r="P579" s="41" t="s">
        <v>794</v>
      </c>
    </row>
    <row r="580" spans="1:16">
      <c r="A580" s="7" t="s">
        <v>1323</v>
      </c>
      <c r="B580" s="7" t="s">
        <v>86</v>
      </c>
      <c r="C580" s="7" t="s">
        <v>382</v>
      </c>
      <c r="D580" s="7" t="s">
        <v>439</v>
      </c>
      <c r="N580" s="41" t="s">
        <v>787</v>
      </c>
      <c r="O580" s="41" t="s">
        <v>1291</v>
      </c>
      <c r="P580" s="41" t="s">
        <v>794</v>
      </c>
    </row>
    <row r="581" spans="1:16">
      <c r="A581" s="7" t="s">
        <v>1324</v>
      </c>
      <c r="B581" s="7" t="s">
        <v>758</v>
      </c>
      <c r="C581" s="7" t="s">
        <v>796</v>
      </c>
      <c r="D581" s="7" t="s">
        <v>1324</v>
      </c>
      <c r="N581" s="41" t="s">
        <v>787</v>
      </c>
      <c r="O581" s="41" t="s">
        <v>1249</v>
      </c>
      <c r="P581" s="288" t="s">
        <v>756</v>
      </c>
    </row>
    <row r="582" spans="1:16">
      <c r="A582" s="7" t="s">
        <v>1325</v>
      </c>
      <c r="B582" s="7" t="s">
        <v>1326</v>
      </c>
      <c r="C582" s="7" t="s">
        <v>382</v>
      </c>
      <c r="D582" s="7" t="s">
        <v>1327</v>
      </c>
      <c r="E582" s="43">
        <v>0.02</v>
      </c>
      <c r="N582" s="41" t="s">
        <v>787</v>
      </c>
      <c r="O582" s="41" t="s">
        <v>790</v>
      </c>
      <c r="P582" s="288" t="s">
        <v>756</v>
      </c>
    </row>
    <row r="583" spans="1:16" ht="20">
      <c r="A583" s="291" t="s">
        <v>558</v>
      </c>
      <c r="B583" s="7" t="s">
        <v>1328</v>
      </c>
      <c r="C583" s="7" t="s">
        <v>382</v>
      </c>
      <c r="D583" s="7" t="s">
        <v>1324</v>
      </c>
      <c r="N583" s="41" t="s">
        <v>787</v>
      </c>
      <c r="O583" s="41" t="s">
        <v>1249</v>
      </c>
      <c r="P583" s="288" t="s">
        <v>756</v>
      </c>
    </row>
    <row r="584" spans="1:16">
      <c r="A584" s="7" t="s">
        <v>1329</v>
      </c>
      <c r="B584" s="7" t="s">
        <v>761</v>
      </c>
      <c r="C584" s="7" t="s">
        <v>382</v>
      </c>
      <c r="D584" s="7" t="s">
        <v>1324</v>
      </c>
      <c r="N584" s="41" t="s">
        <v>787</v>
      </c>
      <c r="O584" s="41" t="s">
        <v>1249</v>
      </c>
      <c r="P584" s="288" t="s">
        <v>756</v>
      </c>
    </row>
    <row r="585" spans="1:16">
      <c r="A585" s="7" t="s">
        <v>1330</v>
      </c>
      <c r="B585" s="7" t="s">
        <v>761</v>
      </c>
      <c r="C585" s="7" t="s">
        <v>382</v>
      </c>
      <c r="D585" s="7" t="s">
        <v>1324</v>
      </c>
      <c r="N585" s="41" t="s">
        <v>787</v>
      </c>
      <c r="O585" s="41" t="s">
        <v>1249</v>
      </c>
      <c r="P585" s="288" t="s">
        <v>756</v>
      </c>
    </row>
    <row r="586" spans="1:16">
      <c r="A586" s="7" t="s">
        <v>630</v>
      </c>
      <c r="B586" s="7" t="s">
        <v>855</v>
      </c>
      <c r="C586" s="7" t="s">
        <v>382</v>
      </c>
      <c r="D586" s="7" t="s">
        <v>1331</v>
      </c>
      <c r="N586" s="41" t="s">
        <v>787</v>
      </c>
      <c r="O586" s="41" t="s">
        <v>1249</v>
      </c>
      <c r="P586" s="288" t="s">
        <v>756</v>
      </c>
    </row>
    <row r="587" spans="1:16">
      <c r="A587" s="7" t="s">
        <v>629</v>
      </c>
      <c r="B587" s="7" t="s">
        <v>762</v>
      </c>
      <c r="C587" s="7" t="s">
        <v>382</v>
      </c>
      <c r="D587" s="7" t="s">
        <v>1331</v>
      </c>
      <c r="N587" s="41" t="s">
        <v>787</v>
      </c>
      <c r="O587" s="41" t="s">
        <v>1249</v>
      </c>
      <c r="P587" s="288" t="s">
        <v>756</v>
      </c>
    </row>
    <row r="588" spans="1:16">
      <c r="A588" s="7" t="s">
        <v>534</v>
      </c>
      <c r="B588" s="7" t="s">
        <v>761</v>
      </c>
      <c r="C588" s="7" t="s">
        <v>772</v>
      </c>
      <c r="D588" s="7" t="s">
        <v>534</v>
      </c>
      <c r="N588" s="41" t="s">
        <v>760</v>
      </c>
      <c r="O588" s="41" t="s">
        <v>1249</v>
      </c>
      <c r="P588" s="41" t="s">
        <v>794</v>
      </c>
    </row>
    <row r="589" spans="1:16">
      <c r="A589" s="7" t="s">
        <v>557</v>
      </c>
      <c r="B589" s="7" t="s">
        <v>761</v>
      </c>
      <c r="C589" s="7" t="s">
        <v>382</v>
      </c>
      <c r="D589" s="7" t="s">
        <v>1332</v>
      </c>
      <c r="N589" s="41" t="s">
        <v>787</v>
      </c>
      <c r="O589" s="41" t="s">
        <v>1291</v>
      </c>
      <c r="P589" s="288" t="s">
        <v>756</v>
      </c>
    </row>
    <row r="590" spans="1:16">
      <c r="A590" s="7" t="s">
        <v>421</v>
      </c>
      <c r="B590" s="7" t="s">
        <v>761</v>
      </c>
      <c r="C590" s="7" t="s">
        <v>382</v>
      </c>
      <c r="D590" s="7" t="s">
        <v>1332</v>
      </c>
      <c r="N590" s="41" t="s">
        <v>787</v>
      </c>
      <c r="O590" s="41" t="s">
        <v>1291</v>
      </c>
      <c r="P590" s="288" t="s">
        <v>756</v>
      </c>
    </row>
    <row r="591" spans="1:16">
      <c r="A591" s="7" t="s">
        <v>449</v>
      </c>
      <c r="B591" s="7" t="s">
        <v>1206</v>
      </c>
      <c r="C591" s="7" t="s">
        <v>796</v>
      </c>
      <c r="D591" s="197" t="s">
        <v>1333</v>
      </c>
      <c r="E591" s="43">
        <v>2.1999999999999999E-2</v>
      </c>
      <c r="F591" s="104">
        <v>0</v>
      </c>
      <c r="G591" s="106">
        <v>-1E-3</v>
      </c>
      <c r="N591" s="41" t="s">
        <v>787</v>
      </c>
      <c r="O591" s="41" t="s">
        <v>800</v>
      </c>
      <c r="P591" s="41" t="s">
        <v>756</v>
      </c>
    </row>
    <row r="592" spans="1:16">
      <c r="A592" s="7" t="s">
        <v>447</v>
      </c>
      <c r="B592" s="7" t="s">
        <v>761</v>
      </c>
      <c r="C592" s="7" t="s">
        <v>382</v>
      </c>
      <c r="D592" s="197" t="s">
        <v>1333</v>
      </c>
      <c r="E592" s="43">
        <v>2.1999999999999999E-2</v>
      </c>
      <c r="F592" s="104">
        <v>0</v>
      </c>
      <c r="G592" s="106">
        <v>-1E-3</v>
      </c>
      <c r="N592" s="41" t="s">
        <v>787</v>
      </c>
      <c r="O592" s="41" t="s">
        <v>800</v>
      </c>
      <c r="P592" s="41" t="s">
        <v>756</v>
      </c>
    </row>
    <row r="593" spans="1:16">
      <c r="A593" s="7" t="s">
        <v>1334</v>
      </c>
      <c r="B593" s="7" t="s">
        <v>761</v>
      </c>
      <c r="C593" s="7" t="s">
        <v>382</v>
      </c>
      <c r="D593" s="197" t="s">
        <v>1333</v>
      </c>
      <c r="E593" s="43">
        <v>2.1999999999999999E-2</v>
      </c>
      <c r="F593" s="104">
        <v>0</v>
      </c>
      <c r="G593" s="106">
        <v>-1E-3</v>
      </c>
      <c r="N593" s="41" t="s">
        <v>787</v>
      </c>
      <c r="O593" s="41" t="s">
        <v>800</v>
      </c>
      <c r="P593" s="41" t="s">
        <v>756</v>
      </c>
    </row>
    <row r="594" spans="1:16">
      <c r="A594" s="7" t="s">
        <v>552</v>
      </c>
      <c r="B594" s="7" t="s">
        <v>855</v>
      </c>
      <c r="C594" s="7" t="s">
        <v>382</v>
      </c>
      <c r="D594" s="197" t="s">
        <v>1333</v>
      </c>
      <c r="E594" s="43">
        <v>2.1999999999999999E-2</v>
      </c>
      <c r="F594" s="104">
        <v>0</v>
      </c>
      <c r="G594" s="106">
        <v>-1E-3</v>
      </c>
      <c r="N594" s="41" t="s">
        <v>787</v>
      </c>
      <c r="O594" s="41" t="s">
        <v>800</v>
      </c>
      <c r="P594" s="41" t="s">
        <v>756</v>
      </c>
    </row>
    <row r="595" spans="1:16">
      <c r="A595" s="7" t="s">
        <v>1335</v>
      </c>
      <c r="B595" s="7" t="s">
        <v>1206</v>
      </c>
      <c r="C595" s="7" t="s">
        <v>796</v>
      </c>
      <c r="D595" s="197" t="s">
        <v>1336</v>
      </c>
      <c r="E595" s="43">
        <v>0.03</v>
      </c>
      <c r="F595" s="104">
        <v>0</v>
      </c>
      <c r="G595" s="106">
        <v>-1E-3</v>
      </c>
      <c r="N595" s="41" t="s">
        <v>787</v>
      </c>
      <c r="O595" s="41" t="s">
        <v>800</v>
      </c>
      <c r="P595" s="41" t="s">
        <v>756</v>
      </c>
    </row>
    <row r="596" spans="1:16">
      <c r="A596" s="7" t="s">
        <v>1336</v>
      </c>
      <c r="B596" s="7" t="s">
        <v>855</v>
      </c>
      <c r="C596" s="7" t="s">
        <v>382</v>
      </c>
      <c r="D596" s="197" t="s">
        <v>1336</v>
      </c>
      <c r="E596" s="43">
        <v>0.03</v>
      </c>
      <c r="F596" s="104">
        <v>0</v>
      </c>
      <c r="G596" s="106">
        <v>-1E-3</v>
      </c>
      <c r="N596" s="41" t="s">
        <v>787</v>
      </c>
      <c r="O596" s="41" t="s">
        <v>800</v>
      </c>
      <c r="P596" s="41" t="s">
        <v>756</v>
      </c>
    </row>
    <row r="597" spans="1:16">
      <c r="A597" s="7" t="s">
        <v>1337</v>
      </c>
      <c r="B597" s="7" t="s">
        <v>761</v>
      </c>
      <c r="C597" s="7" t="s">
        <v>772</v>
      </c>
      <c r="D597" s="7" t="s">
        <v>1338</v>
      </c>
      <c r="N597" s="41" t="s">
        <v>787</v>
      </c>
      <c r="O597" s="41" t="s">
        <v>1249</v>
      </c>
      <c r="P597" s="41" t="s">
        <v>794</v>
      </c>
    </row>
    <row r="598" spans="1:16">
      <c r="A598" s="7" t="s">
        <v>493</v>
      </c>
      <c r="B598" s="7" t="s">
        <v>1206</v>
      </c>
      <c r="C598" s="7" t="s">
        <v>772</v>
      </c>
      <c r="D598" s="7" t="s">
        <v>1338</v>
      </c>
      <c r="N598" s="41" t="s">
        <v>787</v>
      </c>
      <c r="O598" s="41" t="s">
        <v>1249</v>
      </c>
      <c r="P598" s="41" t="s">
        <v>794</v>
      </c>
    </row>
    <row r="599" spans="1:16">
      <c r="A599" s="7" t="s">
        <v>1339</v>
      </c>
      <c r="B599" s="7" t="s">
        <v>1206</v>
      </c>
      <c r="C599" s="7" t="s">
        <v>772</v>
      </c>
      <c r="D599" s="7" t="s">
        <v>1338</v>
      </c>
      <c r="N599" s="41" t="s">
        <v>787</v>
      </c>
      <c r="O599" s="41" t="s">
        <v>1249</v>
      </c>
      <c r="P599" s="41" t="s">
        <v>794</v>
      </c>
    </row>
    <row r="600" spans="1:16">
      <c r="A600" s="7" t="s">
        <v>1340</v>
      </c>
      <c r="B600" s="7" t="s">
        <v>1206</v>
      </c>
      <c r="C600" s="7" t="s">
        <v>382</v>
      </c>
      <c r="D600" s="7" t="s">
        <v>1340</v>
      </c>
      <c r="E600" s="43">
        <v>8.9999999999999993E-3</v>
      </c>
      <c r="F600" s="104">
        <v>0</v>
      </c>
      <c r="G600" s="106"/>
      <c r="N600" s="41" t="s">
        <v>787</v>
      </c>
      <c r="O600" s="41" t="s">
        <v>800</v>
      </c>
      <c r="P600" s="41" t="s">
        <v>756</v>
      </c>
    </row>
    <row r="601" spans="1:16">
      <c r="A601" s="7" t="s">
        <v>1341</v>
      </c>
      <c r="B601" s="7" t="s">
        <v>1206</v>
      </c>
      <c r="C601" s="7" t="s">
        <v>382</v>
      </c>
      <c r="D601" s="7" t="s">
        <v>1341</v>
      </c>
      <c r="E601" s="43">
        <v>8.9999999999999993E-3</v>
      </c>
      <c r="N601" s="41" t="s">
        <v>787</v>
      </c>
      <c r="O601" s="41" t="s">
        <v>1249</v>
      </c>
      <c r="P601" s="41" t="s">
        <v>794</v>
      </c>
    </row>
    <row r="602" spans="1:16">
      <c r="A602" s="7" t="s">
        <v>1342</v>
      </c>
      <c r="B602" s="7" t="s">
        <v>1206</v>
      </c>
      <c r="C602" s="7" t="s">
        <v>796</v>
      </c>
      <c r="D602" s="197" t="s">
        <v>1343</v>
      </c>
      <c r="E602" s="43">
        <v>2.1999999999999999E-2</v>
      </c>
      <c r="F602" s="104">
        <v>0</v>
      </c>
      <c r="G602" s="106">
        <v>-1E-3</v>
      </c>
      <c r="N602" s="41" t="s">
        <v>787</v>
      </c>
      <c r="O602" s="41" t="s">
        <v>800</v>
      </c>
      <c r="P602" s="41" t="s">
        <v>756</v>
      </c>
    </row>
    <row r="603" spans="1:16">
      <c r="A603" s="7" t="s">
        <v>1344</v>
      </c>
      <c r="B603" s="7" t="s">
        <v>761</v>
      </c>
      <c r="C603" s="7" t="s">
        <v>382</v>
      </c>
      <c r="D603" s="197" t="s">
        <v>1343</v>
      </c>
      <c r="E603" s="43">
        <v>2.1999999999999999E-2</v>
      </c>
      <c r="F603" s="104">
        <v>0</v>
      </c>
      <c r="G603" s="106">
        <v>-1E-3</v>
      </c>
      <c r="N603" s="41" t="s">
        <v>787</v>
      </c>
      <c r="O603" s="41" t="s">
        <v>800</v>
      </c>
      <c r="P603" s="41" t="s">
        <v>756</v>
      </c>
    </row>
    <row r="604" spans="1:16">
      <c r="A604" s="7" t="s">
        <v>1345</v>
      </c>
      <c r="B604" s="7" t="s">
        <v>1206</v>
      </c>
      <c r="C604" s="7" t="s">
        <v>796</v>
      </c>
      <c r="D604" s="197" t="s">
        <v>1346</v>
      </c>
      <c r="E604" s="43">
        <v>0.03</v>
      </c>
      <c r="F604" s="104">
        <v>0</v>
      </c>
      <c r="G604" s="106">
        <v>-1E-3</v>
      </c>
      <c r="N604" s="41" t="s">
        <v>787</v>
      </c>
      <c r="O604" s="41" t="s">
        <v>800</v>
      </c>
      <c r="P604" s="41" t="s">
        <v>756</v>
      </c>
    </row>
    <row r="605" spans="1:16">
      <c r="A605" s="7" t="s">
        <v>1347</v>
      </c>
      <c r="B605" s="7" t="s">
        <v>762</v>
      </c>
      <c r="C605" s="7" t="s">
        <v>382</v>
      </c>
      <c r="D605" s="197" t="s">
        <v>1346</v>
      </c>
      <c r="E605" s="43">
        <v>0.03</v>
      </c>
      <c r="F605" s="104">
        <v>0</v>
      </c>
      <c r="G605" s="106">
        <v>-1E-3</v>
      </c>
      <c r="N605" s="41" t="s">
        <v>787</v>
      </c>
      <c r="O605" s="41" t="s">
        <v>800</v>
      </c>
      <c r="P605" s="41" t="s">
        <v>756</v>
      </c>
    </row>
    <row r="606" spans="1:16">
      <c r="A606" s="7" t="s">
        <v>1348</v>
      </c>
      <c r="B606" s="7" t="s">
        <v>761</v>
      </c>
      <c r="C606" s="7" t="s">
        <v>796</v>
      </c>
      <c r="D606" s="197" t="s">
        <v>1348</v>
      </c>
      <c r="E606" s="43">
        <v>6.0000000000000001E-3</v>
      </c>
      <c r="F606" s="104">
        <v>0</v>
      </c>
      <c r="G606" s="106">
        <v>-1E-3</v>
      </c>
      <c r="N606" s="41" t="s">
        <v>787</v>
      </c>
      <c r="O606" s="41" t="s">
        <v>800</v>
      </c>
      <c r="P606" s="41" t="s">
        <v>756</v>
      </c>
    </row>
    <row r="607" spans="1:16">
      <c r="A607" s="7" t="s">
        <v>1349</v>
      </c>
      <c r="B607" s="7" t="s">
        <v>762</v>
      </c>
      <c r="C607" s="7" t="s">
        <v>382</v>
      </c>
      <c r="D607" s="197" t="s">
        <v>1348</v>
      </c>
      <c r="E607" s="43">
        <v>6.0000000000000001E-3</v>
      </c>
      <c r="F607" s="104">
        <v>0</v>
      </c>
      <c r="G607" s="106">
        <v>-1E-3</v>
      </c>
      <c r="N607" s="41" t="s">
        <v>787</v>
      </c>
      <c r="O607" s="41" t="s">
        <v>800</v>
      </c>
      <c r="P607" s="41" t="s">
        <v>756</v>
      </c>
    </row>
    <row r="608" spans="1:16">
      <c r="A608" s="7" t="s">
        <v>1350</v>
      </c>
      <c r="B608" s="7" t="s">
        <v>762</v>
      </c>
      <c r="C608" s="7" t="s">
        <v>382</v>
      </c>
      <c r="D608" s="197" t="s">
        <v>1348</v>
      </c>
      <c r="E608" s="43">
        <v>6.0000000000000001E-3</v>
      </c>
      <c r="F608" s="104">
        <v>0</v>
      </c>
      <c r="G608" s="106">
        <v>-1E-3</v>
      </c>
      <c r="N608" s="41" t="s">
        <v>787</v>
      </c>
      <c r="O608" s="41" t="s">
        <v>800</v>
      </c>
      <c r="P608" s="41" t="s">
        <v>756</v>
      </c>
    </row>
    <row r="609" spans="1:16">
      <c r="A609" s="7" t="s">
        <v>1351</v>
      </c>
      <c r="B609" s="7" t="s">
        <v>761</v>
      </c>
      <c r="C609" s="7" t="s">
        <v>382</v>
      </c>
      <c r="D609" s="197" t="s">
        <v>1348</v>
      </c>
      <c r="E609" s="43">
        <v>6.0000000000000001E-3</v>
      </c>
      <c r="F609" s="104">
        <v>0</v>
      </c>
      <c r="G609" s="106">
        <v>-1E-3</v>
      </c>
      <c r="N609" s="41" t="s">
        <v>787</v>
      </c>
      <c r="O609" s="41" t="s">
        <v>800</v>
      </c>
      <c r="P609" s="41" t="s">
        <v>756</v>
      </c>
    </row>
    <row r="610" spans="1:16">
      <c r="A610" s="7" t="s">
        <v>560</v>
      </c>
      <c r="B610" s="7" t="s">
        <v>1206</v>
      </c>
      <c r="C610" s="7" t="s">
        <v>382</v>
      </c>
      <c r="D610" s="7" t="s">
        <v>1324</v>
      </c>
      <c r="N610" s="41" t="s">
        <v>787</v>
      </c>
      <c r="O610" s="41" t="s">
        <v>1249</v>
      </c>
      <c r="P610" s="288" t="s">
        <v>756</v>
      </c>
    </row>
    <row r="611" spans="1:16">
      <c r="A611" s="7" t="s">
        <v>1352</v>
      </c>
      <c r="B611" s="7" t="s">
        <v>93</v>
      </c>
      <c r="C611" s="7" t="s">
        <v>382</v>
      </c>
      <c r="D611" s="7" t="s">
        <v>1353</v>
      </c>
      <c r="N611" s="41" t="s">
        <v>787</v>
      </c>
      <c r="O611" s="41" t="s">
        <v>782</v>
      </c>
      <c r="P611" s="288" t="s">
        <v>756</v>
      </c>
    </row>
    <row r="612" spans="1:16">
      <c r="A612" s="7" t="s">
        <v>555</v>
      </c>
      <c r="B612" s="7" t="s">
        <v>855</v>
      </c>
      <c r="C612" s="7" t="s">
        <v>382</v>
      </c>
      <c r="D612" s="7" t="s">
        <v>1353</v>
      </c>
      <c r="N612" s="41" t="s">
        <v>787</v>
      </c>
      <c r="O612" s="41" t="s">
        <v>782</v>
      </c>
      <c r="P612" s="288" t="s">
        <v>756</v>
      </c>
    </row>
    <row r="613" spans="1:16">
      <c r="A613" s="7" t="s">
        <v>631</v>
      </c>
      <c r="B613" s="7" t="s">
        <v>855</v>
      </c>
      <c r="C613" s="7" t="s">
        <v>382</v>
      </c>
      <c r="D613" s="7" t="s">
        <v>1353</v>
      </c>
      <c r="N613" s="41" t="s">
        <v>787</v>
      </c>
      <c r="O613" s="41" t="s">
        <v>782</v>
      </c>
      <c r="P613" s="288" t="s">
        <v>756</v>
      </c>
    </row>
    <row r="614" spans="1:16">
      <c r="A614" s="7" t="s">
        <v>1354</v>
      </c>
      <c r="B614" s="7" t="s">
        <v>832</v>
      </c>
      <c r="C614" s="7" t="s">
        <v>382</v>
      </c>
      <c r="D614" s="197" t="s">
        <v>1024</v>
      </c>
      <c r="E614" s="43">
        <v>0.03</v>
      </c>
      <c r="F614" s="104">
        <v>0</v>
      </c>
      <c r="G614" s="106">
        <v>-1E-3</v>
      </c>
      <c r="N614" s="41" t="s">
        <v>787</v>
      </c>
      <c r="O614" s="41" t="s">
        <v>800</v>
      </c>
      <c r="P614" s="41" t="s">
        <v>756</v>
      </c>
    </row>
    <row r="615" spans="1:16">
      <c r="A615" s="7" t="s">
        <v>474</v>
      </c>
      <c r="B615" s="7" t="s">
        <v>1206</v>
      </c>
      <c r="C615" s="7" t="s">
        <v>796</v>
      </c>
      <c r="D615" s="394" t="s">
        <v>1355</v>
      </c>
      <c r="E615" s="43">
        <v>1.4999999999999999E-2</v>
      </c>
      <c r="N615" s="41" t="s">
        <v>787</v>
      </c>
      <c r="O615" s="41" t="s">
        <v>800</v>
      </c>
      <c r="P615" s="41" t="s">
        <v>794</v>
      </c>
    </row>
    <row r="616" spans="1:16">
      <c r="A616" s="7" t="s">
        <v>473</v>
      </c>
      <c r="B616" s="7" t="s">
        <v>1356</v>
      </c>
      <c r="C616" s="7" t="s">
        <v>382</v>
      </c>
      <c r="D616" s="394" t="s">
        <v>1355</v>
      </c>
      <c r="E616" s="43">
        <v>1.4999999999999999E-2</v>
      </c>
      <c r="N616" s="41" t="s">
        <v>787</v>
      </c>
      <c r="O616" s="41" t="s">
        <v>800</v>
      </c>
      <c r="P616" s="41" t="s">
        <v>794</v>
      </c>
    </row>
    <row r="617" spans="1:16">
      <c r="A617" s="7" t="s">
        <v>494</v>
      </c>
      <c r="B617" s="7" t="s">
        <v>1328</v>
      </c>
      <c r="C617" s="7" t="s">
        <v>772</v>
      </c>
      <c r="D617" s="7" t="s">
        <v>1338</v>
      </c>
      <c r="N617" s="41" t="s">
        <v>787</v>
      </c>
      <c r="O617" s="41" t="s">
        <v>1249</v>
      </c>
      <c r="P617" s="41" t="s">
        <v>794</v>
      </c>
    </row>
    <row r="618" spans="1:16">
      <c r="A618" s="7" t="s">
        <v>1357</v>
      </c>
      <c r="B618" s="7" t="s">
        <v>758</v>
      </c>
      <c r="C618" s="7" t="s">
        <v>772</v>
      </c>
      <c r="D618" s="7" t="s">
        <v>1358</v>
      </c>
      <c r="E618" s="44">
        <v>0</v>
      </c>
      <c r="F618" s="104" t="s">
        <v>233</v>
      </c>
      <c r="G618" s="105" t="s">
        <v>233</v>
      </c>
      <c r="J618" s="106">
        <v>-0.25</v>
      </c>
      <c r="N618" s="41" t="s">
        <v>787</v>
      </c>
      <c r="O618" s="41" t="s">
        <v>800</v>
      </c>
      <c r="P618" s="41" t="s">
        <v>794</v>
      </c>
    </row>
    <row r="619" spans="1:16">
      <c r="A619" s="7" t="s">
        <v>1359</v>
      </c>
      <c r="B619" s="7" t="s">
        <v>1360</v>
      </c>
      <c r="C619" s="7" t="s">
        <v>382</v>
      </c>
      <c r="D619" s="7" t="s">
        <v>1358</v>
      </c>
      <c r="E619" s="44">
        <v>0</v>
      </c>
      <c r="F619" s="104" t="s">
        <v>233</v>
      </c>
      <c r="G619" s="105" t="s">
        <v>233</v>
      </c>
      <c r="N619" s="41" t="s">
        <v>787</v>
      </c>
      <c r="O619" s="41" t="s">
        <v>800</v>
      </c>
      <c r="P619" s="41" t="s">
        <v>794</v>
      </c>
    </row>
    <row r="620" spans="1:16">
      <c r="A620" s="7" t="s">
        <v>1361</v>
      </c>
      <c r="B620" s="7" t="s">
        <v>1206</v>
      </c>
      <c r="C620" s="7" t="s">
        <v>796</v>
      </c>
      <c r="D620" s="197" t="s">
        <v>1362</v>
      </c>
      <c r="E620" s="43">
        <v>6.0000000000000001E-3</v>
      </c>
      <c r="F620" s="104">
        <v>0</v>
      </c>
      <c r="G620" s="106">
        <v>-1E-3</v>
      </c>
      <c r="N620" s="41" t="s">
        <v>787</v>
      </c>
      <c r="O620" s="41" t="s">
        <v>800</v>
      </c>
      <c r="P620" s="41" t="s">
        <v>756</v>
      </c>
    </row>
    <row r="621" spans="1:16">
      <c r="A621" s="7" t="s">
        <v>1363</v>
      </c>
      <c r="B621" s="7" t="s">
        <v>86</v>
      </c>
      <c r="C621" s="7" t="s">
        <v>382</v>
      </c>
      <c r="D621" s="197" t="s">
        <v>1362</v>
      </c>
      <c r="E621" s="43">
        <v>6.0000000000000001E-3</v>
      </c>
      <c r="F621" s="104">
        <v>0</v>
      </c>
      <c r="G621" s="106">
        <v>-1E-3</v>
      </c>
      <c r="N621" s="41" t="s">
        <v>787</v>
      </c>
      <c r="O621" s="41" t="s">
        <v>800</v>
      </c>
      <c r="P621" s="41" t="s">
        <v>756</v>
      </c>
    </row>
    <row r="622" spans="1:16">
      <c r="A622" s="7" t="s">
        <v>431</v>
      </c>
      <c r="B622" s="7" t="s">
        <v>761</v>
      </c>
      <c r="C622" s="7" t="s">
        <v>382</v>
      </c>
      <c r="D622" s="197" t="s">
        <v>1364</v>
      </c>
      <c r="E622" s="43">
        <v>6.0000000000000001E-3</v>
      </c>
      <c r="F622" s="104">
        <v>0</v>
      </c>
      <c r="G622" s="106">
        <v>-1E-3</v>
      </c>
      <c r="N622" s="41" t="s">
        <v>787</v>
      </c>
      <c r="O622" s="41" t="s">
        <v>800</v>
      </c>
      <c r="P622" s="41" t="s">
        <v>756</v>
      </c>
    </row>
    <row r="623" spans="1:16">
      <c r="A623" s="7" t="s">
        <v>433</v>
      </c>
      <c r="B623" s="7" t="s">
        <v>1365</v>
      </c>
      <c r="C623" s="7" t="s">
        <v>796</v>
      </c>
      <c r="D623" s="197" t="s">
        <v>1364</v>
      </c>
      <c r="E623" s="43">
        <v>6.0000000000000001E-3</v>
      </c>
      <c r="F623" s="104">
        <v>0</v>
      </c>
      <c r="G623" s="106">
        <v>-1E-3</v>
      </c>
      <c r="N623" s="41" t="s">
        <v>787</v>
      </c>
      <c r="O623" s="41" t="s">
        <v>800</v>
      </c>
      <c r="P623" s="41" t="s">
        <v>756</v>
      </c>
    </row>
    <row r="624" spans="1:16">
      <c r="A624" s="7" t="s">
        <v>1366</v>
      </c>
      <c r="B624" s="7" t="s">
        <v>1328</v>
      </c>
      <c r="C624" s="7" t="s">
        <v>796</v>
      </c>
      <c r="D624" s="197" t="s">
        <v>1367</v>
      </c>
      <c r="E624" s="43">
        <v>1E-3</v>
      </c>
      <c r="F624" s="104">
        <v>0</v>
      </c>
      <c r="G624" s="106">
        <v>-1E-3</v>
      </c>
      <c r="N624" s="41" t="s">
        <v>787</v>
      </c>
      <c r="O624" s="41" t="s">
        <v>800</v>
      </c>
      <c r="P624" s="41" t="s">
        <v>756</v>
      </c>
    </row>
    <row r="625" spans="1:18">
      <c r="A625" s="7" t="s">
        <v>1368</v>
      </c>
      <c r="B625" s="7" t="s">
        <v>1054</v>
      </c>
      <c r="C625" s="7" t="s">
        <v>382</v>
      </c>
      <c r="D625" s="197" t="s">
        <v>1367</v>
      </c>
      <c r="E625" s="43">
        <v>1.4999999999999999E-2</v>
      </c>
      <c r="F625" s="104">
        <v>0</v>
      </c>
      <c r="G625" s="106">
        <v>-1E-3</v>
      </c>
      <c r="N625" s="41" t="s">
        <v>787</v>
      </c>
      <c r="O625" s="41" t="s">
        <v>800</v>
      </c>
      <c r="P625" s="41" t="s">
        <v>756</v>
      </c>
    </row>
    <row r="626" spans="1:18">
      <c r="A626" s="7" t="s">
        <v>455</v>
      </c>
      <c r="B626" s="7" t="s">
        <v>993</v>
      </c>
      <c r="C626" s="7" t="s">
        <v>796</v>
      </c>
      <c r="D626" s="197" t="s">
        <v>1367</v>
      </c>
      <c r="E626" s="43">
        <v>1.4999999999999999E-2</v>
      </c>
      <c r="F626" s="104">
        <v>0</v>
      </c>
      <c r="G626" s="106">
        <v>-1E-3</v>
      </c>
      <c r="N626" s="41" t="s">
        <v>787</v>
      </c>
      <c r="O626" s="41" t="s">
        <v>800</v>
      </c>
      <c r="P626" s="41" t="s">
        <v>756</v>
      </c>
    </row>
    <row r="627" spans="1:18">
      <c r="A627" s="7" t="s">
        <v>419</v>
      </c>
      <c r="B627" s="7" t="s">
        <v>762</v>
      </c>
      <c r="C627" s="7" t="s">
        <v>382</v>
      </c>
      <c r="D627" s="7" t="s">
        <v>1332</v>
      </c>
      <c r="E627" s="43">
        <v>5.0000000000000001E-3</v>
      </c>
      <c r="G627" s="106"/>
      <c r="N627" s="41" t="s">
        <v>787</v>
      </c>
      <c r="O627" s="41" t="s">
        <v>1291</v>
      </c>
      <c r="P627" s="41" t="s">
        <v>756</v>
      </c>
    </row>
    <row r="628" spans="1:18">
      <c r="A628" s="7" t="s">
        <v>415</v>
      </c>
      <c r="B628" s="7" t="s">
        <v>762</v>
      </c>
      <c r="C628" s="7" t="s">
        <v>382</v>
      </c>
      <c r="D628" s="7" t="s">
        <v>1369</v>
      </c>
      <c r="G628" s="106"/>
      <c r="N628" s="41" t="s">
        <v>787</v>
      </c>
      <c r="O628" s="41" t="s">
        <v>782</v>
      </c>
      <c r="P628" s="41" t="s">
        <v>756</v>
      </c>
    </row>
    <row r="629" spans="1:18">
      <c r="A629" s="7" t="s">
        <v>416</v>
      </c>
      <c r="B629" s="7" t="s">
        <v>762</v>
      </c>
      <c r="C629" s="7" t="s">
        <v>382</v>
      </c>
      <c r="D629" s="7" t="s">
        <v>1369</v>
      </c>
      <c r="N629" s="41" t="s">
        <v>787</v>
      </c>
      <c r="O629" s="41" t="s">
        <v>782</v>
      </c>
      <c r="P629" s="41" t="s">
        <v>756</v>
      </c>
    </row>
    <row r="630" spans="1:18">
      <c r="A630" s="7" t="s">
        <v>527</v>
      </c>
      <c r="C630" s="7" t="s">
        <v>382</v>
      </c>
      <c r="D630" s="7" t="s">
        <v>1369</v>
      </c>
      <c r="N630" s="41" t="s">
        <v>787</v>
      </c>
      <c r="O630" s="41" t="s">
        <v>782</v>
      </c>
      <c r="P630" s="41" t="s">
        <v>756</v>
      </c>
    </row>
    <row r="631" spans="1:18">
      <c r="A631" s="7" t="s">
        <v>453</v>
      </c>
      <c r="B631" s="7" t="s">
        <v>1028</v>
      </c>
      <c r="C631" s="7" t="s">
        <v>382</v>
      </c>
      <c r="D631" s="7" t="s">
        <v>1370</v>
      </c>
      <c r="N631" s="41" t="s">
        <v>787</v>
      </c>
      <c r="O631" s="41" t="s">
        <v>782</v>
      </c>
      <c r="P631" s="41" t="s">
        <v>756</v>
      </c>
    </row>
    <row r="632" spans="1:18">
      <c r="A632" s="7" t="s">
        <v>466</v>
      </c>
      <c r="B632" s="7" t="s">
        <v>761</v>
      </c>
      <c r="C632" s="7" t="s">
        <v>382</v>
      </c>
      <c r="D632" s="7" t="s">
        <v>1371</v>
      </c>
      <c r="N632" s="41" t="s">
        <v>787</v>
      </c>
      <c r="O632" s="41" t="s">
        <v>1249</v>
      </c>
      <c r="P632" s="41" t="s">
        <v>756</v>
      </c>
    </row>
    <row r="633" spans="1:18">
      <c r="A633" s="7" t="s">
        <v>523</v>
      </c>
      <c r="B633" s="7" t="s">
        <v>993</v>
      </c>
      <c r="C633" s="7" t="s">
        <v>772</v>
      </c>
      <c r="D633" s="7" t="s">
        <v>774</v>
      </c>
      <c r="N633" s="41" t="s">
        <v>787</v>
      </c>
      <c r="O633" s="41" t="s">
        <v>1249</v>
      </c>
      <c r="P633" s="41" t="s">
        <v>756</v>
      </c>
    </row>
    <row r="634" spans="1:18">
      <c r="A634" s="7" t="s">
        <v>524</v>
      </c>
      <c r="B634" s="7" t="s">
        <v>993</v>
      </c>
      <c r="C634" s="7" t="s">
        <v>772</v>
      </c>
      <c r="D634" s="7" t="s">
        <v>1372</v>
      </c>
      <c r="N634" s="41" t="s">
        <v>787</v>
      </c>
      <c r="O634" s="41" t="s">
        <v>782</v>
      </c>
      <c r="P634" s="41" t="s">
        <v>756</v>
      </c>
    </row>
    <row r="635" spans="1:18">
      <c r="A635" s="7" t="s">
        <v>526</v>
      </c>
      <c r="B635" s="7" t="s">
        <v>761</v>
      </c>
      <c r="C635" s="7" t="s">
        <v>772</v>
      </c>
      <c r="D635" s="7" t="s">
        <v>1372</v>
      </c>
      <c r="N635" s="41" t="s">
        <v>787</v>
      </c>
      <c r="O635" s="41" t="s">
        <v>782</v>
      </c>
      <c r="P635" s="41" t="s">
        <v>756</v>
      </c>
    </row>
    <row r="636" spans="1:18">
      <c r="A636" s="7" t="s">
        <v>600</v>
      </c>
      <c r="B636" s="7" t="s">
        <v>993</v>
      </c>
      <c r="C636" s="7" t="s">
        <v>772</v>
      </c>
      <c r="D636" s="7" t="s">
        <v>1372</v>
      </c>
      <c r="N636" s="41" t="s">
        <v>787</v>
      </c>
      <c r="O636" s="41" t="s">
        <v>782</v>
      </c>
      <c r="P636" s="41" t="s">
        <v>756</v>
      </c>
    </row>
    <row r="637" spans="1:18">
      <c r="A637" s="7" t="s">
        <v>578</v>
      </c>
      <c r="B637" s="7" t="s">
        <v>993</v>
      </c>
      <c r="C637" s="7" t="s">
        <v>1373</v>
      </c>
      <c r="D637" s="197" t="s">
        <v>1374</v>
      </c>
      <c r="E637" s="43">
        <v>0.01</v>
      </c>
      <c r="F637" s="104">
        <v>0</v>
      </c>
      <c r="G637" s="106">
        <v>-1E-3</v>
      </c>
      <c r="N637" s="41" t="s">
        <v>787</v>
      </c>
      <c r="O637" s="41" t="s">
        <v>800</v>
      </c>
      <c r="P637" s="41" t="s">
        <v>756</v>
      </c>
    </row>
    <row r="638" spans="1:18">
      <c r="A638" s="7" t="s">
        <v>595</v>
      </c>
      <c r="B638" s="7" t="s">
        <v>993</v>
      </c>
      <c r="C638" s="7" t="s">
        <v>796</v>
      </c>
      <c r="D638" s="7" t="s">
        <v>1375</v>
      </c>
      <c r="E638" s="43">
        <v>2.5000000000000001E-2</v>
      </c>
      <c r="N638" s="41" t="s">
        <v>787</v>
      </c>
      <c r="O638" s="41" t="s">
        <v>1249</v>
      </c>
      <c r="P638" s="41" t="s">
        <v>756</v>
      </c>
      <c r="Q638" s="7" t="s">
        <v>1375</v>
      </c>
      <c r="R638" s="498">
        <v>0.02</v>
      </c>
    </row>
    <row r="639" spans="1:18">
      <c r="A639" s="7" t="s">
        <v>593</v>
      </c>
      <c r="B639" s="7" t="s">
        <v>993</v>
      </c>
      <c r="C639" s="7" t="s">
        <v>796</v>
      </c>
      <c r="D639" s="7" t="s">
        <v>1375</v>
      </c>
      <c r="E639" s="43">
        <v>2.5000000000000001E-2</v>
      </c>
      <c r="N639" s="41" t="s">
        <v>787</v>
      </c>
      <c r="O639" s="41" t="s">
        <v>1249</v>
      </c>
      <c r="P639" s="41" t="s">
        <v>756</v>
      </c>
      <c r="Q639" s="7" t="s">
        <v>1375</v>
      </c>
      <c r="R639" s="498">
        <v>0.02</v>
      </c>
    </row>
    <row r="640" spans="1:18">
      <c r="A640" s="7" t="s">
        <v>604</v>
      </c>
      <c r="B640" s="7" t="s">
        <v>1376</v>
      </c>
      <c r="C640" s="7" t="s">
        <v>772</v>
      </c>
      <c r="D640" s="7" t="s">
        <v>1377</v>
      </c>
      <c r="O640" s="41" t="s">
        <v>782</v>
      </c>
      <c r="P640" s="41" t="s">
        <v>756</v>
      </c>
    </row>
    <row r="641" spans="1:16">
      <c r="A641" s="7" t="s">
        <v>605</v>
      </c>
      <c r="B641" s="7" t="s">
        <v>761</v>
      </c>
      <c r="C641" s="7" t="s">
        <v>382</v>
      </c>
      <c r="D641" s="7" t="s">
        <v>1378</v>
      </c>
      <c r="N641" s="41" t="s">
        <v>787</v>
      </c>
      <c r="O641" s="41" t="s">
        <v>1291</v>
      </c>
      <c r="P641" s="288" t="s">
        <v>756</v>
      </c>
    </row>
    <row r="642" spans="1:16">
      <c r="A642" s="7" t="s">
        <v>622</v>
      </c>
      <c r="B642" s="7" t="s">
        <v>826</v>
      </c>
      <c r="C642" s="7" t="s">
        <v>382</v>
      </c>
      <c r="D642" s="7" t="s">
        <v>624</v>
      </c>
      <c r="N642" s="41" t="s">
        <v>787</v>
      </c>
      <c r="O642" s="41" t="s">
        <v>800</v>
      </c>
      <c r="P642" s="288" t="s">
        <v>756</v>
      </c>
    </row>
    <row r="643" spans="1:16">
      <c r="A643" s="7" t="s">
        <v>1379</v>
      </c>
      <c r="B643" s="7" t="s">
        <v>826</v>
      </c>
      <c r="C643" s="7" t="s">
        <v>382</v>
      </c>
      <c r="D643" s="7" t="s">
        <v>624</v>
      </c>
      <c r="N643" s="41" t="s">
        <v>787</v>
      </c>
      <c r="O643" s="41" t="s">
        <v>800</v>
      </c>
      <c r="P643" s="288" t="s">
        <v>756</v>
      </c>
    </row>
    <row r="644" spans="1:16">
      <c r="A644" s="7" t="s">
        <v>624</v>
      </c>
      <c r="B644" s="7" t="s">
        <v>993</v>
      </c>
      <c r="C644" s="7" t="s">
        <v>796</v>
      </c>
      <c r="D644" s="7" t="s">
        <v>624</v>
      </c>
      <c r="N644" s="41" t="s">
        <v>787</v>
      </c>
      <c r="O644" s="41" t="s">
        <v>800</v>
      </c>
      <c r="P644" s="288" t="s">
        <v>756</v>
      </c>
    </row>
    <row r="645" spans="1:16">
      <c r="A645" s="7" t="s">
        <v>656</v>
      </c>
      <c r="B645" s="7" t="s">
        <v>1380</v>
      </c>
      <c r="C645" s="7" t="s">
        <v>382</v>
      </c>
      <c r="D645" s="7" t="s">
        <v>1381</v>
      </c>
      <c r="N645" s="41" t="s">
        <v>787</v>
      </c>
      <c r="O645" s="41" t="s">
        <v>800</v>
      </c>
      <c r="P645" s="566" t="s">
        <v>756</v>
      </c>
    </row>
    <row r="646" spans="1:16">
      <c r="A646" s="7" t="s">
        <v>658</v>
      </c>
      <c r="B646" s="7" t="s">
        <v>993</v>
      </c>
      <c r="C646" s="7" t="s">
        <v>796</v>
      </c>
      <c r="D646" s="7" t="s">
        <v>1381</v>
      </c>
      <c r="N646" s="41" t="s">
        <v>787</v>
      </c>
      <c r="O646" s="41" t="s">
        <v>800</v>
      </c>
      <c r="P646" s="566" t="s">
        <v>756</v>
      </c>
    </row>
  </sheetData>
  <autoFilter ref="A1:R22" xr:uid="{A370BB78-4B9E-CE49-8FA3-7BB53F4DACED}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7F05-41DD-4F22-A48C-89C97400E257}">
  <sheetPr>
    <tabColor rgb="FF7030A0"/>
  </sheetPr>
  <dimension ref="B2:I38"/>
  <sheetViews>
    <sheetView workbookViewId="0">
      <selection activeCell="J8" sqref="J8"/>
    </sheetView>
  </sheetViews>
  <sheetFormatPr baseColWidth="10" defaultColWidth="9.1640625" defaultRowHeight="15"/>
  <cols>
    <col min="1" max="1" width="9.1640625" style="103"/>
    <col min="2" max="2" width="13.83203125" style="103" customWidth="1"/>
    <col min="3" max="3" width="20" style="103" customWidth="1"/>
    <col min="4" max="4" width="24.33203125" style="103" customWidth="1"/>
    <col min="5" max="5" width="10.33203125" style="103" bestFit="1" customWidth="1"/>
    <col min="6" max="6" width="13.83203125" style="103" customWidth="1"/>
    <col min="7" max="9" width="14.5" style="103" customWidth="1"/>
    <col min="10" max="11" width="9.1640625" style="103"/>
    <col min="12" max="12" width="13.33203125" style="103" bestFit="1" customWidth="1"/>
    <col min="13" max="16384" width="9.1640625" style="103"/>
  </cols>
  <sheetData>
    <row r="2" spans="2:9" ht="21">
      <c r="B2" s="364" t="s">
        <v>74</v>
      </c>
      <c r="C2" s="365">
        <f>BALANCES!B1</f>
        <v>46073</v>
      </c>
    </row>
    <row r="5" spans="2:9" ht="21">
      <c r="B5" s="589" t="s">
        <v>57</v>
      </c>
      <c r="C5" s="589"/>
      <c r="D5" s="589"/>
      <c r="F5" s="616" t="s">
        <v>1382</v>
      </c>
      <c r="G5" s="616"/>
      <c r="H5" s="616"/>
      <c r="I5" s="616"/>
    </row>
    <row r="6" spans="2:9" ht="19">
      <c r="B6" s="8"/>
      <c r="C6" s="7"/>
      <c r="F6" s="8"/>
      <c r="G6" s="7"/>
      <c r="H6" s="7"/>
    </row>
    <row r="7" spans="2:9" ht="21">
      <c r="B7" s="11" t="s">
        <v>61</v>
      </c>
      <c r="C7" s="11" t="s">
        <v>26</v>
      </c>
      <c r="D7" s="11" t="s">
        <v>1383</v>
      </c>
      <c r="F7" s="11" t="s">
        <v>61</v>
      </c>
      <c r="G7" s="11" t="s">
        <v>367</v>
      </c>
      <c r="H7" s="11" t="s">
        <v>383</v>
      </c>
      <c r="I7" s="11" t="s">
        <v>1384</v>
      </c>
    </row>
    <row r="8" spans="2:9" ht="21">
      <c r="B8" s="189" t="s">
        <v>0</v>
      </c>
      <c r="C8" s="190">
        <f ca="1">BALANCES!E58</f>
        <v>1194487.958854056</v>
      </c>
      <c r="D8" s="190">
        <f ca="1">BALANCES!E58-BALANCES!E57-BALANCES!E55-BALANCES!E53</f>
        <v>1181786.5907712099</v>
      </c>
      <c r="F8" s="189" t="s">
        <v>0</v>
      </c>
      <c r="G8" s="190" cm="1">
        <f t="array" ref="G8">SUM(SUMIFS(DEALS!$AT:$AT,DEALS!$G:$G,F8,DEALS!$A:$A,{"*EXECUTED*","*SETTLED*"},DEALS!$C:$C,"*IMPORT*",DEALS!$N:$N,"&lt;&gt;*EXECUTED*",DEALS!$N:$N,"&lt;&gt;*RECEIVED*"))+
SUM(SUMIFS(DEALS!$AT:$AT,DEALS!$G:$G,F8,DEALS!$A:$A,{"*EXECUTED*","*SETTLED*"},DEALS!$C:$C,"*AGENT*",DEALS!$N:$N,"&lt;&gt;*EXECUTED*",DEALS!$N:$N,"&lt;&gt;*RECEIVED*"))+
SUM(SUMIFS(DEALS!$AU:$AU,DEALS!$O:$O,F8,DEALS!$A:$A,{"*EXECUTED*","*SETTLED*"},DEALS!$C:$C,"*IMPORT*",DEALS!$S:$S,"&lt;&gt;RUB",DEALS!$V:$V,"&lt;&gt;*EXECUTED*",DEALS!$V:$V,"&lt;&gt;*RECEIVED*"))</f>
        <v>0</v>
      </c>
      <c r="H8" s="190" cm="1">
        <f t="array" ref="H8">SUM(SUMIFS(DEALS!$AU:$AU,DEALS!$O:$O,F8,DEALS!$A:$A,{"*EXECUTED*","*SETTLED*"},DEALS!$C:$C,"*EXPORT*",DEALS!$V:$V,"&lt;&gt;*EXECUTED*",DEALS!$V:$V,"&lt;&gt;*RECEIVED*"))+
SUM(SUMIFS(DEALS!$AU:$AU,DEALS!$O:$O,F8,DEALS!$A:$A,{"*EXECUTED*","*SETTLED*"},DEALS!$C:$C,"*AGENT*",DEALS!$V:$V,"&lt;&gt;*EXECUTED*",DEALS!$V:$V,"&lt;&gt;*RECEIVED*"))</f>
        <v>0</v>
      </c>
      <c r="I8" s="190">
        <f t="shared" ref="I8:I16" si="0">G8+H8</f>
        <v>0</v>
      </c>
    </row>
    <row r="9" spans="2:9" ht="21">
      <c r="B9" s="191" t="s">
        <v>27</v>
      </c>
      <c r="C9" s="192">
        <f ca="1">BALANCES!E75</f>
        <v>3482717.7035239819</v>
      </c>
      <c r="D9" s="192">
        <f ca="1">BALANCES!E75</f>
        <v>3482717.7035239819</v>
      </c>
      <c r="F9" s="191" t="s">
        <v>27</v>
      </c>
      <c r="G9" s="192" cm="1">
        <f t="array" ref="G9">SUM(SUMIFS(DEALS!$AT:$AT,DEALS!$G:$G,F9,DEALS!$A:$A,{"*EXECUTED*","*SETTLED*"},DEALS!$C:$C,"*IMPORT*",DEALS!$N:$N,"&lt;&gt;*EXECUTED*",DEALS!$N:$N,"&lt;&gt;*RECEIVED*"))+
SUM(SUMIFS(DEALS!$AT:$AT,DEALS!$G:$G,F9,DEALS!$A:$A,{"*EXECUTED*","*SETTLED*"},DEALS!$C:$C,"*AGENT*",DEALS!$N:$N,"&lt;&gt;*EXECUTED*",DEALS!$N:$N,"&lt;&gt;*RECEIVED*"))+
SUM(SUMIFS(DEALS!$AU:$AU,DEALS!$O:$O,F9,DEALS!$A:$A,{"*EXECUTED*","*SETTLED*"},DEALS!$C:$C,"*IMPORT*",DEALS!$S:$S,"&lt;&gt;RUB",DEALS!$V:$V,"&lt;&gt;*EXECUTED*",DEALS!$V:$V,"&lt;&gt;*RECEIVED*"))</f>
        <v>-41261.375</v>
      </c>
      <c r="H9" s="192" cm="1">
        <f t="array" ref="H9">SUM(SUMIFS(DEALS!$AU:$AU,DEALS!$O:$O,F9,DEALS!$A:$A,{"*EXECUTED*","*SETTLED*"},DEALS!$C:$C,"*EXPORT*",DEALS!$V:$V,"&lt;&gt;*EXECUTED*",DEALS!$V:$V,"&lt;&gt;*RECEIVED*"))+
SUM(SUMIFS(DEALS!$AU:$AU,DEALS!$O:$O,F9,DEALS!$A:$A,{"*EXECUTED*","*SETTLED*"},DEALS!$C:$C,"*AGENT*",DEALS!$V:$V,"&lt;&gt;*EXECUTED*",DEALS!$V:$V,"&lt;&gt;*RECEIVED*"))</f>
        <v>0</v>
      </c>
      <c r="I9" s="192">
        <f t="shared" si="0"/>
        <v>-41261.375</v>
      </c>
    </row>
    <row r="10" spans="2:9" ht="21">
      <c r="B10" s="189" t="s">
        <v>31</v>
      </c>
      <c r="C10" s="190">
        <f ca="1">BALANCES!E85</f>
        <v>917557.98512346775</v>
      </c>
      <c r="D10" s="190">
        <f ca="1">BALANCES!E85</f>
        <v>917557.98512346775</v>
      </c>
      <c r="F10" s="189" t="s">
        <v>31</v>
      </c>
      <c r="G10" s="190" cm="1">
        <f t="array" ref="G10">SUM(SUMIFS(DEALS!$AT:$AT,DEALS!$G:$G,F10,DEALS!$A:$A,{"*EXECUTED*","*SETTLED*"},DEALS!$C:$C,"*IMPORT*",DEALS!$N:$N,"&lt;&gt;*EXECUTED*",DEALS!$N:$N,"&lt;&gt;*RECEIVED*"))+
SUM(SUMIFS(DEALS!$AT:$AT,DEALS!$G:$G,F10,DEALS!$A:$A,{"*EXECUTED*","*SETTLED*"},DEALS!$C:$C,"*AGENT*",DEALS!$N:$N,"&lt;&gt;*EXECUTED*",DEALS!$N:$N,"&lt;&gt;*RECEIVED*"))+
SUM(SUMIFS(DEALS!$AU:$AU,DEALS!$O:$O,F10,DEALS!$A:$A,{"*EXECUTED*","*SETTLED*"},DEALS!$C:$C,"*IMPORT*",DEALS!$S:$S,"&lt;&gt;RUB",DEALS!$V:$V,"&lt;&gt;*EXECUTED*",DEALS!$V:$V,"&lt;&gt;*RECEIVED*"))</f>
        <v>0</v>
      </c>
      <c r="H10" s="190" cm="1">
        <f t="array" ref="H10">SUM(SUMIFS(DEALS!$AU:$AU,DEALS!$O:$O,F10,DEALS!$A:$A,{"*EXECUTED*","*SETTLED*"},DEALS!$C:$C,"*EXPORT*",DEALS!$V:$V,"&lt;&gt;*EXECUTED*",DEALS!$V:$V,"&lt;&gt;*RECEIVED*"))+
SUM(SUMIFS(DEALS!$AU:$AU,DEALS!$O:$O,F10,DEALS!$A:$A,{"*EXECUTED*","*SETTLED*"},DEALS!$C:$C,"*AGENT*",DEALS!$V:$V,"&lt;&gt;*EXECUTED*",DEALS!$V:$V,"&lt;&gt;*RECEIVED*"))</f>
        <v>0</v>
      </c>
      <c r="I10" s="190">
        <f t="shared" si="0"/>
        <v>0</v>
      </c>
    </row>
    <row r="11" spans="2:9" ht="21">
      <c r="B11" s="191" t="s">
        <v>34</v>
      </c>
      <c r="C11" s="192">
        <f ca="1">BALANCES!E124</f>
        <v>2817734.7373393145</v>
      </c>
      <c r="D11" s="192">
        <f ca="1">BALANCES!E124-BALANCES!E123</f>
        <v>2810728.3119380204</v>
      </c>
      <c r="F11" s="191" t="s">
        <v>34</v>
      </c>
      <c r="G11" s="192" cm="1">
        <f t="array" ref="G11">SUM(SUMIFS(DEALS!$AT:$AT,DEALS!$G:$G,F11,DEALS!$A:$A,{"*EXECUTED*","*SETTLED*"},DEALS!$C:$C,"*IMPORT*",DEALS!$N:$N,"&lt;&gt;*EXECUTED*",DEALS!$N:$N,"&lt;&gt;*RECEIVED*"))+
SUM(SUMIFS(DEALS!$AT:$AT,DEALS!$G:$G,F11,DEALS!$A:$A,{"*EXECUTED*","*SETTLED*"},DEALS!$C:$C,"*AGENT*",DEALS!$N:$N,"&lt;&gt;*EXECUTED*",DEALS!$N:$N,"&lt;&gt;*RECEIVED*"))+
SUM(SUMIFS(DEALS!$AU:$AU,DEALS!$O:$O,F11,DEALS!$A:$A,{"*EXECUTED*","*SETTLED*"},DEALS!$C:$C,"*IMPORT*",DEALS!$S:$S,"&lt;&gt;RUB",DEALS!$V:$V,"&lt;&gt;*EXECUTED*",DEALS!$V:$V,"&lt;&gt;*RECEIVED*"))</f>
        <v>0</v>
      </c>
      <c r="H11" s="192" cm="1">
        <f t="array" ref="H11">SUM(SUMIFS(DEALS!$AU:$AU,DEALS!$O:$O,F11,DEALS!$A:$A,{"*EXECUTED*","*SETTLED*"},DEALS!$C:$C,"*EXPORT*",DEALS!$V:$V,"&lt;&gt;*EXECUTED*",DEALS!$V:$V,"&lt;&gt;*RECEIVED*"))+
SUM(SUMIFS(DEALS!$AU:$AU,DEALS!$O:$O,F11,DEALS!$A:$A,{"*EXECUTED*","*SETTLED*"},DEALS!$C:$C,"*AGENT*",DEALS!$V:$V,"&lt;&gt;*EXECUTED*",DEALS!$V:$V,"&lt;&gt;*RECEIVED*"))</f>
        <v>1580439.4553606238</v>
      </c>
      <c r="I11" s="192">
        <f t="shared" si="0"/>
        <v>1580439.4553606238</v>
      </c>
    </row>
    <row r="12" spans="2:9" ht="21">
      <c r="B12" s="189" t="s">
        <v>39</v>
      </c>
      <c r="C12" s="190">
        <f ca="1">BALANCES!E149</f>
        <v>3612816.6498939828</v>
      </c>
      <c r="D12" s="190">
        <f ca="1">BALANCES!E149-BALANCES!E148</f>
        <v>3485966.3355712136</v>
      </c>
      <c r="F12" s="189" t="s">
        <v>39</v>
      </c>
      <c r="G12" s="190" cm="1">
        <f t="array" aca="1" ref="G12" ca="1">SUM(SUMIFS(DEALS!$AT:$AT,DEALS!$G:$G,F12,DEALS!$A:$A,{"*EXECUTED*","*SETTLED*"},DEALS!$C:$C,"*IMPORT*",DEALS!$N:$N,"&lt;&gt;*EXECUTED*",DEALS!$N:$N,"&lt;&gt;*RECEIVED*"))+
SUM(SUMIFS(DEALS!$AT:$AT,DEALS!$G:$G,F12,DEALS!$A:$A,{"*EXECUTED*","*SETTLED*"},DEALS!$C:$C,"*AGENT*",DEALS!$N:$N,"&lt;&gt;*EXECUTED*",DEALS!$N:$N,"&lt;&gt;*RECEIVED*"))+
SUM(SUMIFS(DEALS!$AU:$AU,DEALS!$O:$O,F12,DEALS!$A:$A,{"*EXECUTED*","*SETTLED*"},DEALS!$C:$C,"*IMPORT*",DEALS!$S:$S,"&lt;&gt;RUB",DEALS!$V:$V,"&lt;&gt;*EXECUTED*",DEALS!$V:$V,"&lt;&gt;*RECEIVED*"))</f>
        <v>-6847445.0810823301</v>
      </c>
      <c r="H12" s="190" cm="1">
        <f t="array" aca="1" ref="H12" ca="1">SUM(SUMIFS(DEALS!$AU:$AU,DEALS!$O:$O,F12,DEALS!$A:$A,{"*EXECUTED*","*SETTLED*"},DEALS!$C:$C,"*EXPORT*",DEALS!$V:$V,"&lt;&gt;*EXECUTED*",DEALS!$V:$V,"&lt;&gt;*RECEIVED*"))+
SUM(SUMIFS(DEALS!$AU:$AU,DEALS!$O:$O,F12,DEALS!$A:$A,{"*EXECUTED*","*SETTLED*"},DEALS!$C:$C,"*AGENT*",DEALS!$V:$V,"&lt;&gt;*EXECUTED*",DEALS!$V:$V,"&lt;&gt;*RECEIVED*"))</f>
        <v>1037679.8770537197</v>
      </c>
      <c r="I12" s="190">
        <f t="shared" ca="1" si="0"/>
        <v>-5809765.2040286101</v>
      </c>
    </row>
    <row r="13" spans="2:9" ht="21">
      <c r="B13" s="191" t="s">
        <v>42</v>
      </c>
      <c r="C13" s="192">
        <f ca="1">BALANCES!E163</f>
        <v>122164.07430101429</v>
      </c>
      <c r="D13" s="192">
        <f ca="1">BALANCES!E163-BALANCES!E162</f>
        <v>121609.98510712218</v>
      </c>
      <c r="F13" s="191" t="s">
        <v>42</v>
      </c>
      <c r="G13" s="192" cm="1">
        <f t="array" ref="G13">SUM(SUMIFS(DEALS!$AT:$AT,DEALS!$G:$G,F13,DEALS!$A:$A,{"*EXECUTED*","*SETTLED*"},DEALS!$C:$C,"*IMPORT*",DEALS!$N:$N,"&lt;&gt;*EXECUTED*",DEALS!$N:$N,"&lt;&gt;*RECEIVED*"))+
SUM(SUMIFS(DEALS!$AT:$AT,DEALS!$G:$G,F13,DEALS!$A:$A,{"*EXECUTED*","*SETTLED*"},DEALS!$C:$C,"*AGENT*",DEALS!$N:$N,"&lt;&gt;*EXECUTED*",DEALS!$N:$N,"&lt;&gt;*RECEIVED*"))+
SUM(SUMIFS(DEALS!$AU:$AU,DEALS!$O:$O,F13,DEALS!$A:$A,{"*EXECUTED*","*SETTLED*"},DEALS!$C:$C,"*IMPORT*",DEALS!$S:$S,"&lt;&gt;RUB",DEALS!$V:$V,"&lt;&gt;*EXECUTED*",DEALS!$V:$V,"&lt;&gt;*RECEIVED*"))</f>
        <v>0</v>
      </c>
      <c r="H13" s="192" cm="1">
        <f t="array" ref="H13">SUM(SUMIFS(DEALS!$AU:$AU,DEALS!$O:$O,F13,DEALS!$A:$A,{"*EXECUTED*","*SETTLED*"},DEALS!$C:$C,"*EXPORT*",DEALS!$V:$V,"&lt;&gt;*EXECUTED*",DEALS!$V:$V,"&lt;&gt;*RECEIVED*"))+
SUM(SUMIFS(DEALS!$AU:$AU,DEALS!$O:$O,F13,DEALS!$A:$A,{"*EXECUTED*","*SETTLED*"},DEALS!$C:$C,"*AGENT*",DEALS!$V:$V,"&lt;&gt;*EXECUTED*",DEALS!$V:$V,"&lt;&gt;*RECEIVED*"))</f>
        <v>0</v>
      </c>
      <c r="I13" s="192">
        <f t="shared" si="0"/>
        <v>0</v>
      </c>
    </row>
    <row r="14" spans="2:9" ht="21">
      <c r="B14" s="189" t="s">
        <v>43</v>
      </c>
      <c r="C14" s="190">
        <f ca="1">BALANCES!E178</f>
        <v>67969.044233513036</v>
      </c>
      <c r="D14" s="190">
        <f ca="1">BALANCES!E178</f>
        <v>67969.044233513036</v>
      </c>
      <c r="F14" s="189" t="s">
        <v>43</v>
      </c>
      <c r="G14" s="190" cm="1">
        <f t="array" ref="G14">SUM(SUMIFS(DEALS!$AT:$AT,DEALS!$G:$G,F14,DEALS!$A:$A,{"*EXECUTED*","*SETTLED*"},DEALS!$C:$C,"*IMPORT*",DEALS!$N:$N,"&lt;&gt;*EXECUTED*",DEALS!$N:$N,"&lt;&gt;*RECEIVED*"))+
SUM(SUMIFS(DEALS!$AT:$AT,DEALS!$G:$G,F14,DEALS!$A:$A,{"*EXECUTED*","*SETTLED*"},DEALS!$C:$C,"*AGENT*",DEALS!$N:$N,"&lt;&gt;*EXECUTED*",DEALS!$N:$N,"&lt;&gt;*RECEIVED*"))+
SUM(SUMIFS(DEALS!$AU:$AU,DEALS!$O:$O,F14,DEALS!$A:$A,{"*EXECUTED*","*SETTLED*"},DEALS!$C:$C,"*IMPORT*",DEALS!$S:$S,"&lt;&gt;RUB",DEALS!$V:$V,"&lt;&gt;*EXECUTED*",DEALS!$V:$V,"&lt;&gt;*RECEIVED*"))</f>
        <v>0</v>
      </c>
      <c r="H14" s="190" cm="1">
        <f t="array" ref="H14">SUM(SUMIFS(DEALS!$AU:$AU,DEALS!$O:$O,F14,DEALS!$A:$A,{"*EXECUTED*","*SETTLED*"},DEALS!$C:$C,"*EXPORT*",DEALS!$V:$V,"&lt;&gt;*EXECUTED*",DEALS!$V:$V,"&lt;&gt;*RECEIVED*"))+
SUM(SUMIFS(DEALS!$AU:$AU,DEALS!$O:$O,F14,DEALS!$A:$A,{"*EXECUTED*","*SETTLED*"},DEALS!$C:$C,"*AGENT*",DEALS!$V:$V,"&lt;&gt;*EXECUTED*",DEALS!$V:$V,"&lt;&gt;*RECEIVED*"))</f>
        <v>0</v>
      </c>
      <c r="I14" s="190">
        <f t="shared" si="0"/>
        <v>0</v>
      </c>
    </row>
    <row r="15" spans="2:9" ht="21">
      <c r="B15" s="191" t="s">
        <v>52</v>
      </c>
      <c r="C15" s="192">
        <f ca="1">BALANCES!E209</f>
        <v>8172.391994317034</v>
      </c>
      <c r="D15" s="192">
        <f ca="1">BALANCES!E209-BALANCES!E207</f>
        <v>0</v>
      </c>
      <c r="F15" s="191" t="s">
        <v>52</v>
      </c>
      <c r="G15" s="192" cm="1">
        <f t="array" ref="G15">SUM(SUMIFS(DEALS!$AT:$AT,DEALS!$G:$G,F15,DEALS!$A:$A,{"*EXECUTED*","*SETTLED*"},DEALS!$C:$C,"*IMPORT*",DEALS!$N:$N,"&lt;&gt;*EXECUTED*",DEALS!$N:$N,"&lt;&gt;*RECEIVED*"))+
SUM(SUMIFS(DEALS!$AT:$AT,DEALS!$G:$G,F15,DEALS!$A:$A,{"*EXECUTED*","*SETTLED*"},DEALS!$C:$C,"*AGENT*",DEALS!$N:$N,"&lt;&gt;*EXECUTED*",DEALS!$N:$N,"&lt;&gt;*RECEIVED*"))+
SUM(SUMIFS(DEALS!$AU:$AU,DEALS!$O:$O,F15,DEALS!$A:$A,{"*EXECUTED*","*SETTLED*"},DEALS!$C:$C,"*IMPORT*",DEALS!$S:$S,"&lt;&gt;RUB",DEALS!$V:$V,"&lt;&gt;*EXECUTED*",DEALS!$V:$V,"&lt;&gt;*RECEIVED*"))</f>
        <v>0</v>
      </c>
      <c r="H15" s="192" cm="1">
        <f t="array" ref="H15">SUM(SUMIFS(DEALS!$AU:$AU,DEALS!$O:$O,F15,DEALS!$A:$A,{"*EXECUTED*","*SETTLED*"},DEALS!$C:$C,"*EXPORT*",DEALS!$V:$V,"&lt;&gt;*EXECUTED*",DEALS!$V:$V,"&lt;&gt;*RECEIVED*"))+
SUM(SUMIFS(DEALS!$AU:$AU,DEALS!$O:$O,F15,DEALS!$A:$A,{"*EXECUTED*","*SETTLED*"},DEALS!$C:$C,"*AGENT*",DEALS!$V:$V,"&lt;&gt;*EXECUTED*",DEALS!$V:$V,"&lt;&gt;*RECEIVED*"))</f>
        <v>0</v>
      </c>
      <c r="I15" s="192">
        <f t="shared" si="0"/>
        <v>0</v>
      </c>
    </row>
    <row r="16" spans="2:9" ht="21">
      <c r="B16" s="189" t="s">
        <v>99</v>
      </c>
      <c r="C16" s="190">
        <f ca="1">BALANCES!E203</f>
        <v>539.58524774994953</v>
      </c>
      <c r="D16" s="190">
        <f ca="1">BALANCES!E203-BALANCES!E202</f>
        <v>0</v>
      </c>
      <c r="F16" s="189" t="s">
        <v>99</v>
      </c>
      <c r="G16" s="190" cm="1">
        <f t="array" ref="G16">SUM(SUMIFS(DEALS!$AT:$AT,DEALS!$G:$G,F16,DEALS!$A:$A,{"*EXECUTED*","*SETTLED*"},DEALS!$C:$C,"*IMPORT*",DEALS!$N:$N,"&lt;&gt;*EXECUTED*",DEALS!$N:$N,"&lt;&gt;*RECEIVED*"))+
SUM(SUMIFS(DEALS!$AT:$AT,DEALS!$G:$G,F16,DEALS!$A:$A,{"*EXECUTED*","*SETTLED*"},DEALS!$C:$C,"*AGENT*",DEALS!$N:$N,"&lt;&gt;*EXECUTED*",DEALS!$N:$N,"&lt;&gt;*RECEIVED*"))+
SUM(SUMIFS(DEALS!$AU:$AU,DEALS!$O:$O,F16,DEALS!$A:$A,{"*EXECUTED*","*SETTLED*"},DEALS!$C:$C,"*IMPORT*",DEALS!$S:$S,"&lt;&gt;RUB",DEALS!$V:$V,"&lt;&gt;*EXECUTED*",DEALS!$V:$V,"&lt;&gt;*RECEIVED*"))</f>
        <v>0</v>
      </c>
      <c r="H16" s="190" cm="1">
        <f t="array" ref="H16">SUM(SUMIFS(DEALS!$AU:$AU,DEALS!$O:$O,F16,DEALS!$A:$A,{"*EXECUTED*","*SETTLED*"},DEALS!$C:$C,"*EXPORT*",DEALS!$V:$V,"&lt;&gt;*EXECUTED*",DEALS!$V:$V,"&lt;&gt;*RECEIVED*"))+
SUM(SUMIFS(DEALS!$AU:$AU,DEALS!$O:$O,F16,DEALS!$A:$A,{"*EXECUTED*","*SETTLED*"},DEALS!$C:$C,"*AGENT*",DEALS!$V:$V,"&lt;&gt;*EXECUTED*",DEALS!$V:$V,"&lt;&gt;*RECEIVED*"))</f>
        <v>0</v>
      </c>
      <c r="I16" s="190">
        <f t="shared" si="0"/>
        <v>0</v>
      </c>
    </row>
    <row r="17" spans="2:9" ht="21">
      <c r="B17" s="191" t="s">
        <v>44</v>
      </c>
      <c r="C17" s="192">
        <f ca="1">BALANCES!E184</f>
        <v>816.49</v>
      </c>
      <c r="D17" s="192">
        <f ca="1">BALANCES!E184</f>
        <v>816.49</v>
      </c>
      <c r="F17" s="191" t="s">
        <v>44</v>
      </c>
      <c r="G17" s="192" cm="1">
        <f t="array" ref="G17">SUM(SUMIFS(DEALS!$AT:$AT,DEALS!$G:$G,F17,DEALS!$A:$A,{"*EXECUTED*","*SETTLED*"},DEALS!$C:$C,"*IMPORT*",DEALS!$N:$N,"&lt;&gt;*EXECUTED*",DEALS!$N:$N,"&lt;&gt;*RECEIVED*"))+
SUM(SUMIFS(DEALS!$AT:$AT,DEALS!$G:$G,F17,DEALS!$A:$A,{"*EXECUTED*","*SETTLED*"},DEALS!$C:$C,"*AGENT*",DEALS!$N:$N,"&lt;&gt;*EXECUTED*",DEALS!$N:$N,"&lt;&gt;*RECEIVED*"))+
SUM(SUMIFS(DEALS!$AU:$AU,DEALS!$O:$O,F17,DEALS!$A:$A,{"*EXECUTED*","*SETTLED*"},DEALS!$C:$C,"*IMPORT*",DEALS!$S:$S,"&lt;&gt;RUB",DEALS!$V:$V,"&lt;&gt;*EXECUTED*",DEALS!$V:$V,"&lt;&gt;*RECEIVED*"))</f>
        <v>0</v>
      </c>
      <c r="H17" s="192" cm="1">
        <f t="array" ref="H17">SUM(SUMIFS(DEALS!$AU:$AU,DEALS!$O:$O,F17,DEALS!$A:$A,{"*EXECUTED*","*SETTLED*"},DEALS!$C:$C,"*EXPORT*",DEALS!$V:$V,"&lt;&gt;*EXECUTED*",DEALS!$V:$V,"&lt;&gt;*RECEIVED*"))+
SUM(SUMIFS(DEALS!$AU:$AU,DEALS!$O:$O,F17,DEALS!$A:$A,{"*EXECUTED*","*SETTLED*"},DEALS!$C:$C,"*AGENT*",DEALS!$V:$V,"&lt;&gt;*EXECUTED*",DEALS!$V:$V,"&lt;&gt;*RECEIVED*"))</f>
        <v>0</v>
      </c>
      <c r="I17" s="192">
        <f t="shared" ref="I17" si="1">G17+H17</f>
        <v>0</v>
      </c>
    </row>
    <row r="18" spans="2:9" ht="21">
      <c r="B18" s="189" t="s">
        <v>45</v>
      </c>
      <c r="C18" s="190">
        <f ca="1">BALANCES!E198</f>
        <v>2496202.5979107236</v>
      </c>
      <c r="D18" s="190">
        <f ca="1">BALANCES!E198</f>
        <v>2496202.5979107236</v>
      </c>
      <c r="F18" s="189" t="s">
        <v>45</v>
      </c>
      <c r="G18" s="190" cm="1">
        <f t="array" ref="G18">SUM(SUMIFS(DEALS!$AT:$AT,DEALS!$G:$G,F18,DEALS!$A:$A,{"*EXECUTED*","*SETTLED*"},DEALS!$C:$C,"*IMPORT*",DEALS!$N:$N,"&lt;&gt;*EXECUTED*",DEALS!$N:$N,"&lt;&gt;*RECEIVED*"))+
SUM(SUMIFS(DEALS!$AT:$AT,DEALS!$G:$G,F18,DEALS!$A:$A,{"*EXECUTED*","*SETTLED*"},DEALS!$C:$C,"*AGENT*",DEALS!$N:$N,"&lt;&gt;*EXECUTED*",DEALS!$N:$N,"&lt;&gt;*RECEIVED*"))+
SUM(SUMIFS(DEALS!$AU:$AU,DEALS!$O:$O,F18,DEALS!$A:$A,{"*EXECUTED*","*SETTLED*"},DEALS!$C:$C,"*IMPORT*",DEALS!$S:$S,"&lt;&gt;RUB",DEALS!$V:$V,"&lt;&gt;*EXECUTED*",DEALS!$V:$V,"&lt;&gt;*RECEIVED*"))</f>
        <v>-1179370.448515333</v>
      </c>
      <c r="H18" s="190" cm="1">
        <f t="array" ref="H18">SUM(SUMIFS(DEALS!$AU:$AU,DEALS!$O:$O,F18,DEALS!$A:$A,{"*EXECUTED*","*SETTLED*"},DEALS!$C:$C,"*EXPORT*",DEALS!$V:$V,"&lt;&gt;*EXECUTED*",DEALS!$V:$V,"&lt;&gt;*RECEIVED*"))+
SUM(SUMIFS(DEALS!$AU:$AU,DEALS!$O:$O,F18,DEALS!$A:$A,{"*EXECUTED*","*SETTLED*"},DEALS!$C:$C,"*AGENT*",DEALS!$V:$V,"&lt;&gt;*EXECUTED*",DEALS!$V:$V,"&lt;&gt;*RECEIVED*"))</f>
        <v>0</v>
      </c>
      <c r="I18" s="190">
        <f t="shared" ref="I18" si="2">G18+H18</f>
        <v>-1179370.448515333</v>
      </c>
    </row>
    <row r="19" spans="2:9" ht="21">
      <c r="B19" s="191" t="s">
        <v>55</v>
      </c>
      <c r="C19" s="192">
        <f>BALANCES!E186</f>
        <v>0</v>
      </c>
      <c r="D19" s="192">
        <f>BALANCES!E186</f>
        <v>0</v>
      </c>
      <c r="F19" s="191" t="s">
        <v>55</v>
      </c>
      <c r="G19" s="192" cm="1">
        <f t="array" ref="G19">SUM(SUMIFS(DEALS!$AT:$AT,DEALS!$G:$G,F19,DEALS!$A:$A,{"*EXECUTED*","*SETTLED*"},DEALS!$C:$C,"*IMPORT*",DEALS!$N:$N,"&lt;&gt;*EXECUTED*",DEALS!$N:$N,"&lt;&gt;*RECEIVED*"))+
SUM(SUMIFS(DEALS!$AT:$AT,DEALS!$G:$G,F19,DEALS!$A:$A,{"*EXECUTED*","*SETTLED*"},DEALS!$C:$C,"*AGENT*",DEALS!$N:$N,"&lt;&gt;*EXECUTED*",DEALS!$N:$N,"&lt;&gt;*RECEIVED*"))+
SUM(SUMIFS(DEALS!$AU:$AU,DEALS!$O:$O,F19,DEALS!$A:$A,{"*EXECUTED*","*SETTLED*"},DEALS!$C:$C,"*IMPORT*",DEALS!$S:$S,"&lt;&gt;RUB",DEALS!$V:$V,"&lt;&gt;*EXECUTED*",DEALS!$V:$V,"&lt;&gt;*RECEIVED*"))</f>
        <v>0</v>
      </c>
      <c r="H19" s="192" cm="1">
        <f t="array" ref="H19">SUM(SUMIFS(DEALS!$AU:$AU,DEALS!$O:$O,F19,DEALS!$A:$A,{"*EXECUTED*","*SETTLED*"},DEALS!$C:$C,"*EXPORT*",DEALS!$V:$V,"&lt;&gt;*EXECUTED*",DEALS!$V:$V,"&lt;&gt;*RECEIVED*"))+
SUM(SUMIFS(DEALS!$AU:$AU,DEALS!$O:$O,F19,DEALS!$A:$A,{"*EXECUTED*","*SETTLED*"},DEALS!$C:$C,"*AGENT*",DEALS!$V:$V,"&lt;&gt;*EXECUTED*",DEALS!$V:$V,"&lt;&gt;*RECEIVED*"))</f>
        <v>0</v>
      </c>
      <c r="I19" s="192">
        <f>G19+H19</f>
        <v>0</v>
      </c>
    </row>
    <row r="20" spans="2:9" ht="21">
      <c r="B20" s="298" t="s">
        <v>102</v>
      </c>
      <c r="C20" s="299">
        <f>BALANCES!E234</f>
        <v>0</v>
      </c>
      <c r="D20" s="299">
        <f>BALANCES!E234</f>
        <v>0</v>
      </c>
      <c r="F20" s="298" t="s">
        <v>102</v>
      </c>
      <c r="G20" s="299" cm="1">
        <f t="array" ref="G20">SUM(SUMIFS(DEALS!$AT:$AT,DEALS!$G:$G,F20,DEALS!$A:$A,{"*EXECUTED*","*SETTLED*"},DEALS!$C:$C,"*IMPORT*",DEALS!$N:$N,"&lt;&gt;*EXECUTED*",DEALS!$N:$N,"&lt;&gt;*RECEIVED*"))+
SUM(SUMIFS(DEALS!$AT:$AT,DEALS!$G:$G,F20,DEALS!$A:$A,{"*EXECUTED*","*SETTLED*"},DEALS!$C:$C,"*AGENT*",DEALS!$N:$N,"&lt;&gt;*EXECUTED*",DEALS!$N:$N,"&lt;&gt;*RECEIVED*"))+
SUM(SUMIFS(DEALS!$AU:$AU,DEALS!$O:$O,F20,DEALS!$A:$A,{"*EXECUTED*","*SETTLED*"},DEALS!$C:$C,"*IMPORT*",DEALS!$S:$S,"&lt;&gt;RUB",DEALS!$V:$V,"&lt;&gt;*EXECUTED*",DEALS!$V:$V,"&lt;&gt;*RECEIVED*"))</f>
        <v>-318174</v>
      </c>
      <c r="H20" s="299" cm="1">
        <f t="array" ref="H20">SUM(SUMIFS(DEALS!$AU:$AU,DEALS!$O:$O,F20,DEALS!$A:$A,{"*EXECUTED*","*SETTLED*"},DEALS!$C:$C,"*EXPORT*",DEALS!$V:$V,"&lt;&gt;*EXECUTED*",DEALS!$V:$V,"&lt;&gt;*RECEIVED*"))+
SUM(SUMIFS(DEALS!$AU:$AU,DEALS!$O:$O,F20,DEALS!$A:$A,{"*EXECUTED*","*SETTLED*"},DEALS!$C:$C,"*AGENT*",DEALS!$V:$V,"&lt;&gt;*EXECUTED*",DEALS!$V:$V,"&lt;&gt;*RECEIVED*"))</f>
        <v>0</v>
      </c>
      <c r="I20" s="299">
        <f>G20+H20</f>
        <v>-318174</v>
      </c>
    </row>
    <row r="21" spans="2:9" ht="21">
      <c r="B21" s="200" t="s">
        <v>11</v>
      </c>
      <c r="C21" s="201">
        <f ca="1">SUM(C8:C20)</f>
        <v>14721179.218422119</v>
      </c>
      <c r="D21" s="201">
        <f ca="1">SUM(D8:D20)</f>
        <v>14565355.044179253</v>
      </c>
      <c r="F21" s="200" t="s">
        <v>11</v>
      </c>
      <c r="G21" s="201">
        <f ca="1">SUM(G8:G20)</f>
        <v>-8386250.9045976633</v>
      </c>
      <c r="H21" s="201">
        <f ca="1">SUM(H8:H20)</f>
        <v>2618119.3324143435</v>
      </c>
      <c r="I21" s="201">
        <f ca="1">SUM(I8:I20)</f>
        <v>-5768131.5721833194</v>
      </c>
    </row>
    <row r="23" spans="2:9" ht="21" hidden="1">
      <c r="F23" s="616" t="s">
        <v>682</v>
      </c>
      <c r="G23" s="616"/>
      <c r="H23" s="616"/>
      <c r="I23" s="616"/>
    </row>
    <row r="24" spans="2:9" hidden="1"/>
    <row r="25" spans="2:9" ht="21" hidden="1">
      <c r="F25" s="11" t="s">
        <v>61</v>
      </c>
      <c r="G25" s="11" t="s">
        <v>367</v>
      </c>
      <c r="H25" s="11" t="s">
        <v>383</v>
      </c>
      <c r="I25" s="11" t="s">
        <v>1384</v>
      </c>
    </row>
    <row r="26" spans="2:9" ht="21" hidden="1">
      <c r="F26" s="189" t="s">
        <v>0</v>
      </c>
      <c r="G26" s="190" cm="1">
        <f t="array" ref="G26">SUM(SUMIFS(DEALS!$AT:$AT,DEALS!$G:$G,F26,DEALS!$A:$A,{"*EXECUTED*","*SETTLED*"},DEALS!D:D,"*Steel*",DEALS!$C:$C,"*EXPORT*",DEALS!$N:$N,"&lt;&gt;*EXECUTED*",DEALS!$N:$N,"&lt;&gt;*RECEIVED*"))</f>
        <v>0</v>
      </c>
      <c r="H26" s="190" cm="1">
        <f t="array" ref="H26">SUM(SUMIFS(DEALS!$AU:$AU,DEALS!$O:$O,F26,DEALS!$A:$A,{"*EXECUTED*","*SETTLED*"},DEALS!D:D,"*STEEL*",DEALS!$C:$C,"*IMPORT*",DEALS!$V:$V,"&lt;&gt;*EXECUTED*",DEALS!$V:$V,"&lt;&gt;*RECEIVED*"))</f>
        <v>0</v>
      </c>
      <c r="I26" s="190">
        <f t="shared" ref="I26:I37" si="3">G26+H26</f>
        <v>0</v>
      </c>
    </row>
    <row r="27" spans="2:9" ht="21" hidden="1">
      <c r="F27" s="191" t="s">
        <v>27</v>
      </c>
      <c r="G27" s="192" cm="1">
        <f t="array" ref="G27">SUM(SUMIFS(DEALS!$AT:$AT,DEALS!$G:$G,F27,DEALS!$A:$A,{"*EXECUTED*","*SETTLED*"},DEALS!D:D,"*Steel*",DEALS!$C:$C,"*EXPORT*",DEALS!$N:$N,"&lt;&gt;*EXECUTED*",DEALS!$N:$N,"&lt;&gt;*RECEIVED*"))</f>
        <v>0</v>
      </c>
      <c r="H27" s="192" cm="1">
        <f t="array" ref="H27">SUM(SUMIFS(DEALS!$AU:$AU,DEALS!$O:$O,F27,DEALS!$A:$A,{"*EXECUTED*","*SETTLED*"},DEALS!D:D,"*STEEL*",DEALS!$C:$C,"*IMPORT*",DEALS!$V:$V,"&lt;&gt;*EXECUTED*",DEALS!$V:$V,"&lt;&gt;*RECEIVED*"))</f>
        <v>0</v>
      </c>
      <c r="I27" s="192">
        <f t="shared" si="3"/>
        <v>0</v>
      </c>
    </row>
    <row r="28" spans="2:9" ht="21" hidden="1">
      <c r="F28" s="189" t="s">
        <v>31</v>
      </c>
      <c r="G28" s="190" cm="1">
        <f t="array" ref="G28">SUM(SUMIFS(DEALS!$AT:$AT,DEALS!$G:$G,F28,DEALS!$A:$A,{"*EXECUTED*","*SETTLED*"},DEALS!D:D,"*Steel*",DEALS!$C:$C,"*EXPORT*",DEALS!$N:$N,"&lt;&gt;*EXECUTED*",DEALS!$N:$N,"&lt;&gt;*RECEIVED*"))</f>
        <v>0</v>
      </c>
      <c r="H28" s="190" cm="1">
        <f t="array" ref="H28">SUM(SUMIFS(DEALS!$AU:$AU,DEALS!$O:$O,F28,DEALS!$A:$A,{"*EXECUTED*","*SETTLED*"},DEALS!D:D,"*STEEL*",DEALS!$C:$C,"*IMPORT*",DEALS!$V:$V,"&lt;&gt;*EXECUTED*",DEALS!$V:$V,"&lt;&gt;*RECEIVED*"))</f>
        <v>0</v>
      </c>
      <c r="I28" s="190">
        <f t="shared" si="3"/>
        <v>0</v>
      </c>
    </row>
    <row r="29" spans="2:9" ht="21" hidden="1">
      <c r="F29" s="191" t="s">
        <v>34</v>
      </c>
      <c r="G29" s="192" cm="1">
        <f t="array" ref="G29">SUM(SUMIFS(DEALS!$AT:$AT,DEALS!$G:$G,F29,DEALS!$A:$A,{"*EXECUTED*","*SETTLED*"},DEALS!D:D,"*Steel*",DEALS!$C:$C,"*EXPORT*",DEALS!$N:$N,"&lt;&gt;*EXECUTED*",DEALS!$N:$N,"&lt;&gt;*RECEIVED*"))</f>
        <v>0</v>
      </c>
      <c r="H29" s="192" cm="1">
        <f t="array" ref="H29">SUM(SUMIFS(DEALS!$AU:$AU,DEALS!$O:$O,F29,DEALS!$A:$A,{"*EXECUTED*","*SETTLED*"},DEALS!D:D,"*STEEL*",DEALS!$C:$C,"*IMPORT*",DEALS!$V:$V,"&lt;&gt;*EXECUTED*",DEALS!$V:$V,"&lt;&gt;*RECEIVED*"))</f>
        <v>0</v>
      </c>
      <c r="I29" s="192">
        <f t="shared" si="3"/>
        <v>0</v>
      </c>
    </row>
    <row r="30" spans="2:9" ht="21" hidden="1">
      <c r="F30" s="189" t="s">
        <v>39</v>
      </c>
      <c r="G30" s="190" cm="1">
        <f t="array" ref="G30">SUM(SUMIFS(DEALS!$AT:$AT,DEALS!$G:$G,F30,DEALS!$A:$A,{"*EXECUTED*","*SETTLED*"},DEALS!D:D,"*Steel*",DEALS!$C:$C,"*EXPORT*",DEALS!$N:$N,"&lt;&gt;*EXECUTED*",DEALS!$N:$N,"&lt;&gt;*RECEIVED*"))</f>
        <v>0</v>
      </c>
      <c r="H30" s="190" cm="1">
        <f t="array" ref="H30">SUM(SUMIFS(DEALS!$AU:$AU,DEALS!$O:$O,F30,DEALS!$A:$A,{"*EXECUTED*","*SETTLED*"},DEALS!D:D,"*STEEL*",DEALS!$C:$C,"*IMPORT*",DEALS!$V:$V,"&lt;&gt;*EXECUTED*",DEALS!$V:$V,"&lt;&gt;*RECEIVED*"))</f>
        <v>0</v>
      </c>
      <c r="I30" s="190">
        <f t="shared" si="3"/>
        <v>0</v>
      </c>
    </row>
    <row r="31" spans="2:9" ht="21" hidden="1">
      <c r="F31" s="191" t="s">
        <v>42</v>
      </c>
      <c r="G31" s="192" cm="1">
        <f t="array" ref="G31">SUM(SUMIFS(DEALS!$AT:$AT,DEALS!$G:$G,F31,DEALS!$A:$A,{"*EXECUTED*","*SETTLED*"},DEALS!D:D,"*Steel*",DEALS!$C:$C,"*EXPORT*",DEALS!$N:$N,"&lt;&gt;*EXECUTED*",DEALS!$N:$N,"&lt;&gt;*RECEIVED*"))</f>
        <v>0</v>
      </c>
      <c r="H31" s="192" cm="1">
        <f t="array" ref="H31">SUM(SUMIFS(DEALS!$AU:$AU,DEALS!$O:$O,F31,DEALS!$A:$A,{"*EXECUTED*","*SETTLED*"},DEALS!D:D,"*STEEL*",DEALS!$C:$C,"*IMPORT*",DEALS!$V:$V,"&lt;&gt;*EXECUTED*",DEALS!$V:$V,"&lt;&gt;*RECEIVED*"))</f>
        <v>0</v>
      </c>
      <c r="I31" s="192">
        <f t="shared" si="3"/>
        <v>0</v>
      </c>
    </row>
    <row r="32" spans="2:9" ht="21" hidden="1">
      <c r="F32" s="189" t="s">
        <v>43</v>
      </c>
      <c r="G32" s="190" cm="1">
        <f t="array" ref="G32">SUM(SUMIFS(DEALS!$AT:$AT,DEALS!$G:$G,F32,DEALS!$A:$A,{"*EXECUTED*","*SETTLED*"},DEALS!D:D,"*Steel*",DEALS!$C:$C,"*EXPORT*",DEALS!$N:$N,"&lt;&gt;*EXECUTED*",DEALS!$N:$N,"&lt;&gt;*RECEIVED*"))</f>
        <v>0</v>
      </c>
      <c r="H32" s="190" cm="1">
        <f t="array" ref="H32">SUM(SUMIFS(DEALS!$AU:$AU,DEALS!$O:$O,F32,DEALS!$A:$A,{"*EXECUTED*","*SETTLED*"},DEALS!D:D,"*STEEL*",DEALS!$C:$C,"*IMPORT*",DEALS!$V:$V,"&lt;&gt;*EXECUTED*",DEALS!$V:$V,"&lt;&gt;*RECEIVED*"))</f>
        <v>0</v>
      </c>
      <c r="I32" s="190">
        <f t="shared" si="3"/>
        <v>0</v>
      </c>
    </row>
    <row r="33" spans="6:9" ht="21" hidden="1">
      <c r="F33" s="191" t="s">
        <v>52</v>
      </c>
      <c r="G33" s="192" cm="1">
        <f t="array" ref="G33">SUM(SUMIFS(DEALS!$AT:$AT,DEALS!$G:$G,F33,DEALS!$A:$A,{"*EXECUTED*","*SETTLED*"},DEALS!D:D,"*Steel*",DEALS!$C:$C,"*EXPORT*",DEALS!$N:$N,"&lt;&gt;*EXECUTED*",DEALS!$N:$N,"&lt;&gt;*RECEIVED*"))</f>
        <v>0</v>
      </c>
      <c r="H33" s="192" cm="1">
        <f t="array" ref="H33">SUM(SUMIFS(DEALS!$AU:$AU,DEALS!$O:$O,F33,DEALS!$A:$A,{"*EXECUTED*","*SETTLED*"},DEALS!D:D,"*STEEL*",DEALS!$C:$C,"*IMPORT*",DEALS!$V:$V,"&lt;&gt;*EXECUTED*",DEALS!$V:$V,"&lt;&gt;*RECEIVED*"))</f>
        <v>0</v>
      </c>
      <c r="I33" s="192">
        <f t="shared" si="3"/>
        <v>0</v>
      </c>
    </row>
    <row r="34" spans="6:9" ht="21" hidden="1">
      <c r="F34" s="189" t="s">
        <v>99</v>
      </c>
      <c r="G34" s="190" cm="1">
        <f t="array" ref="G34">SUM(SUMIFS(DEALS!$AT:$AT,DEALS!$G:$G,F34,DEALS!$A:$A,{"*EXECUTED*","*SETTLED*"},DEALS!D:D,"*Steel*",DEALS!$C:$C,"*EXPORT*",DEALS!$N:$N,"&lt;&gt;*EXECUTED*",DEALS!$N:$N,"&lt;&gt;*RECEIVED*"))</f>
        <v>0</v>
      </c>
      <c r="H34" s="190" cm="1">
        <f t="array" ref="H34">SUM(SUMIFS(DEALS!$AU:$AU,DEALS!$O:$O,F34,DEALS!$A:$A,{"*EXECUTED*","*SETTLED*"},DEALS!D:D,"*STEEL*",DEALS!$C:$C,"*IMPORT*",DEALS!$V:$V,"&lt;&gt;*EXECUTED*",DEALS!$V:$V,"&lt;&gt;*RECEIVED*"))</f>
        <v>0</v>
      </c>
      <c r="I34" s="190">
        <f t="shared" si="3"/>
        <v>0</v>
      </c>
    </row>
    <row r="35" spans="6:9" ht="21" hidden="1">
      <c r="F35" s="191" t="s">
        <v>44</v>
      </c>
      <c r="G35" s="192" cm="1">
        <f t="array" ref="G35">SUM(SUMIFS(DEALS!$AT:$AT,DEALS!$G:$G,F35,DEALS!$A:$A,{"*EXECUTED*","*SETTLED*"},DEALS!D:D,"*Steel*",DEALS!$C:$C,"*EXPORT*",DEALS!$N:$N,"&lt;&gt;*EXECUTED*",DEALS!$N:$N,"&lt;&gt;*RECEIVED*"))</f>
        <v>0</v>
      </c>
      <c r="H35" s="192" cm="1">
        <f t="array" ref="H35">SUM(SUMIFS(DEALS!$AU:$AU,DEALS!$O:$O,F35,DEALS!$A:$A,{"*EXECUTED*","*SETTLED*"},DEALS!D:D,"*STEEL*",DEALS!$C:$C,"*IMPORT*",DEALS!$V:$V,"&lt;&gt;*EXECUTED*",DEALS!$V:$V,"&lt;&gt;*RECEIVED*"))</f>
        <v>0</v>
      </c>
      <c r="I35" s="192">
        <f t="shared" si="3"/>
        <v>0</v>
      </c>
    </row>
    <row r="36" spans="6:9" ht="21" hidden="1">
      <c r="F36" s="189" t="s">
        <v>45</v>
      </c>
      <c r="G36" s="190" cm="1">
        <f t="array" ref="G36">SUM(SUMIFS(DEALS!$AT:$AT,DEALS!$G:$G,F36,DEALS!$A:$A,{"*EXECUTED*","*SETTLED*"},DEALS!D:D,"*Steel*",DEALS!$C:$C,"*EXPORT*",DEALS!$N:$N,"&lt;&gt;*EXECUTED*",DEALS!$N:$N,"&lt;&gt;*RECEIVED*"))</f>
        <v>0</v>
      </c>
      <c r="H36" s="190" cm="1">
        <f t="array" ref="H36">SUM(SUMIFS(DEALS!$AU:$AU,DEALS!$O:$O,F36,DEALS!$A:$A,{"*EXECUTED*","*SETTLED*"},DEALS!D:D,"*STEEL*",DEALS!$C:$C,"*IMPORT*",DEALS!$V:$V,"&lt;&gt;*EXECUTED*",DEALS!$V:$V,"&lt;&gt;*RECEIVED*"))</f>
        <v>0</v>
      </c>
      <c r="I36" s="190">
        <f t="shared" si="3"/>
        <v>0</v>
      </c>
    </row>
    <row r="37" spans="6:9" ht="21" hidden="1">
      <c r="F37" s="366" t="s">
        <v>102</v>
      </c>
      <c r="G37" s="367" cm="1">
        <f t="array" ref="G37">SUM(SUMIFS(DEALS!$AT:$AT,DEALS!$G:$G,F37,DEALS!$A:$A,{"*EXECUTED*","*SETTLED*"},DEALS!D:D,"*Steel*",DEALS!$C:$C,"*EXPORT*",DEALS!$N:$N,"&lt;&gt;*EXECUTED*",DEALS!$N:$N,"&lt;&gt;*RECEIVED*"))</f>
        <v>0</v>
      </c>
      <c r="H37" s="367" cm="1">
        <f t="array" ref="H37">SUM(SUMIFS(DEALS!$AU:$AU,DEALS!$O:$O,F37,DEALS!$A:$A,{"*EXECUTED*","*SETTLED*"},DEALS!D:D,"*STEEL*",DEALS!$C:$C,"*IMPORT*",DEALS!$V:$V,"&lt;&gt;*EXECUTED*",DEALS!$V:$V,"&lt;&gt;*RECEIVED*"))</f>
        <v>0</v>
      </c>
      <c r="I37" s="367">
        <f t="shared" si="3"/>
        <v>0</v>
      </c>
    </row>
    <row r="38" spans="6:9" ht="21" hidden="1">
      <c r="F38" s="200" t="s">
        <v>11</v>
      </c>
      <c r="G38" s="201">
        <f>SUM(G26:G37)</f>
        <v>0</v>
      </c>
      <c r="H38" s="201">
        <f>SUM(H26:H37)</f>
        <v>0</v>
      </c>
      <c r="I38" s="201">
        <f>SUM(I26:I37)</f>
        <v>0</v>
      </c>
    </row>
  </sheetData>
  <mergeCells count="3">
    <mergeCell ref="F5:I5"/>
    <mergeCell ref="B5:D5"/>
    <mergeCell ref="F23:I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E42457-E81E-49CD-A410-92BDEF391F45}">
          <x14:formula1>
            <xm:f>DATA!$E$2:$E$50</xm:f>
          </x14:formula1>
          <xm:sqref>F26:F37 F8:F20 B8:B20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6562-3D58-C641-8C7E-406B32DE7560}">
  <sheetPr codeName="Sheet6">
    <tabColor theme="5" tint="0.39997558519241921"/>
  </sheetPr>
  <dimension ref="A1:L186"/>
  <sheetViews>
    <sheetView zoomScale="90" zoomScaleNormal="90" workbookViewId="0">
      <pane ySplit="2" topLeftCell="A169" activePane="bottomLeft" state="frozen"/>
      <selection activeCell="A3" sqref="A3"/>
      <selection pane="bottomLeft" activeCell="E179" sqref="E179"/>
    </sheetView>
  </sheetViews>
  <sheetFormatPr baseColWidth="10" defaultColWidth="10.33203125" defaultRowHeight="16"/>
  <cols>
    <col min="1" max="1" width="10" style="235" customWidth="1"/>
    <col min="2" max="2" width="18.5" style="235" customWidth="1"/>
    <col min="3" max="3" width="14" style="235" customWidth="1"/>
    <col min="4" max="4" width="19.5" style="235" customWidth="1"/>
    <col min="5" max="5" width="36.5" style="235" bestFit="1" customWidth="1"/>
    <col min="6" max="6" width="12.5" style="235" customWidth="1"/>
    <col min="7" max="7" width="18.5" style="235" customWidth="1"/>
    <col min="8" max="8" width="27.5" style="236" bestFit="1" customWidth="1"/>
    <col min="9" max="9" width="22" style="235" customWidth="1"/>
    <col min="10" max="10" width="19.5" style="236" customWidth="1"/>
    <col min="11" max="11" width="35.5" style="235" customWidth="1"/>
    <col min="12" max="12" width="26.5" style="235" customWidth="1"/>
    <col min="13" max="13" width="10.33203125" style="235" bestFit="1" customWidth="1"/>
    <col min="14" max="14" width="15.5" style="235" bestFit="1" customWidth="1"/>
    <col min="15" max="15" width="19.5" style="235" bestFit="1" customWidth="1"/>
    <col min="16" max="16" width="10.33203125" style="235" bestFit="1" customWidth="1"/>
    <col min="17" max="16384" width="10.33203125" style="235"/>
  </cols>
  <sheetData>
    <row r="1" spans="1:12">
      <c r="C1" s="1"/>
      <c r="D1" s="1"/>
      <c r="E1" s="1" t="s">
        <v>74</v>
      </c>
      <c r="F1" s="83"/>
      <c r="G1" s="83"/>
      <c r="H1" s="82">
        <f>BALANCES!B1</f>
        <v>46073</v>
      </c>
    </row>
    <row r="2" spans="1:12" ht="51">
      <c r="A2" s="84" t="s">
        <v>61</v>
      </c>
      <c r="B2" s="84" t="s">
        <v>1385</v>
      </c>
      <c r="C2" s="84" t="s">
        <v>1386</v>
      </c>
      <c r="D2" s="85" t="s">
        <v>1387</v>
      </c>
      <c r="E2" s="85" t="s">
        <v>1388</v>
      </c>
      <c r="F2" s="84" t="s">
        <v>1389</v>
      </c>
      <c r="G2" s="84" t="s">
        <v>1390</v>
      </c>
      <c r="H2" s="86" t="s">
        <v>114</v>
      </c>
      <c r="I2" s="84" t="s">
        <v>1391</v>
      </c>
      <c r="J2" s="86" t="s">
        <v>1392</v>
      </c>
      <c r="K2" s="84" t="s">
        <v>120</v>
      </c>
      <c r="L2" s="84" t="s">
        <v>1393</v>
      </c>
    </row>
    <row r="3" spans="1:12" ht="15.75" customHeight="1">
      <c r="A3" s="235" t="s">
        <v>0</v>
      </c>
      <c r="B3" s="235" t="s">
        <v>476</v>
      </c>
      <c r="C3" s="235" t="s">
        <v>5</v>
      </c>
      <c r="D3" s="240">
        <v>3994360.34</v>
      </c>
      <c r="E3" s="237">
        <f>D3-827322.87-1951406.04-621007.03-594624.4</f>
        <v>0</v>
      </c>
      <c r="F3" s="235" t="s">
        <v>1394</v>
      </c>
      <c r="G3" s="237">
        <f t="shared" ref="G3:G8" si="0">E3</f>
        <v>0</v>
      </c>
      <c r="H3" s="238">
        <v>45807</v>
      </c>
      <c r="I3" s="235">
        <v>90002666</v>
      </c>
      <c r="L3" s="237">
        <f ca="1">E3*VLOOKUP(C3,'FX RATES'!$E$1:$F$10,2,FALSE)/VLOOKUP("RUB",'FX RATES'!$E$1:$F$10,2,FALSE)</f>
        <v>0</v>
      </c>
    </row>
    <row r="4" spans="1:12" ht="15.75" customHeight="1">
      <c r="A4" s="235" t="s">
        <v>0</v>
      </c>
      <c r="B4" s="235" t="s">
        <v>476</v>
      </c>
      <c r="C4" s="235" t="s">
        <v>5</v>
      </c>
      <c r="D4" s="240">
        <v>2673535.44</v>
      </c>
      <c r="E4" s="237">
        <f>D4-2472670.38-200865.06</f>
        <v>0</v>
      </c>
      <c r="F4" s="235" t="s">
        <v>1394</v>
      </c>
      <c r="G4" s="237">
        <f t="shared" si="0"/>
        <v>0</v>
      </c>
      <c r="H4" s="238">
        <v>45808</v>
      </c>
      <c r="I4" s="235">
        <v>90002678</v>
      </c>
      <c r="L4" s="237">
        <f ca="1">E4*VLOOKUP(C4,'FX RATES'!$E$1:$F$10,2,FALSE)/VLOOKUP("RUB",'FX RATES'!$E$1:$F$10,2,FALSE)</f>
        <v>0</v>
      </c>
    </row>
    <row r="5" spans="1:12" ht="15.75" customHeight="1">
      <c r="A5" s="221" t="s">
        <v>0</v>
      </c>
      <c r="B5" s="221" t="s">
        <v>476</v>
      </c>
      <c r="C5" s="221" t="s">
        <v>8</v>
      </c>
      <c r="D5" s="223">
        <v>1315785.98</v>
      </c>
      <c r="E5" s="222">
        <f>D5-1315785.98</f>
        <v>0</v>
      </c>
      <c r="F5" s="221" t="s">
        <v>1394</v>
      </c>
      <c r="G5" s="222">
        <f t="shared" si="0"/>
        <v>0</v>
      </c>
      <c r="H5" s="224">
        <v>45783</v>
      </c>
      <c r="I5" s="221">
        <v>90002607</v>
      </c>
      <c r="L5" s="237">
        <f ca="1">E5*VLOOKUP(C5,'FX RATES'!$E$1:$F$10,2,FALSE)/VLOOKUP("RUB",'FX RATES'!$E$1:$F$10,2,FALSE)</f>
        <v>0</v>
      </c>
    </row>
    <row r="6" spans="1:12" ht="15.75" customHeight="1">
      <c r="A6" s="221" t="s">
        <v>0</v>
      </c>
      <c r="B6" s="221" t="s">
        <v>476</v>
      </c>
      <c r="C6" s="221" t="s">
        <v>8</v>
      </c>
      <c r="D6" s="223">
        <v>1312516.21</v>
      </c>
      <c r="E6" s="222">
        <f>D6-1312516.21</f>
        <v>0</v>
      </c>
      <c r="F6" s="221" t="s">
        <v>1394</v>
      </c>
      <c r="G6" s="222">
        <f t="shared" si="0"/>
        <v>0</v>
      </c>
      <c r="H6" s="224">
        <v>45748</v>
      </c>
      <c r="I6" s="221">
        <v>90002612</v>
      </c>
      <c r="L6" s="237">
        <f ca="1">E6*VLOOKUP(C6,'FX RATES'!$E$1:$F$10,2,FALSE)/VLOOKUP("RUB",'FX RATES'!$E$1:$F$10,2,FALSE)</f>
        <v>0</v>
      </c>
    </row>
    <row r="7" spans="1:12" ht="15.75" customHeight="1">
      <c r="A7" s="235" t="s">
        <v>0</v>
      </c>
      <c r="B7" s="235" t="s">
        <v>476</v>
      </c>
      <c r="C7" s="235" t="s">
        <v>5</v>
      </c>
      <c r="D7" s="240">
        <v>346487.23</v>
      </c>
      <c r="E7" s="237">
        <f>D7-346487.23</f>
        <v>0</v>
      </c>
      <c r="F7" s="235" t="s">
        <v>1394</v>
      </c>
      <c r="G7" s="237">
        <f t="shared" si="0"/>
        <v>0</v>
      </c>
      <c r="H7" s="238">
        <v>45853</v>
      </c>
      <c r="I7" s="235">
        <v>90002618</v>
      </c>
      <c r="L7" s="237">
        <f ca="1">E7*VLOOKUP(C7,'FX RATES'!$E$1:$F$10,2,FALSE)/VLOOKUP("RUB",'FX RATES'!$E$1:$F$10,2,FALSE)</f>
        <v>0</v>
      </c>
    </row>
    <row r="8" spans="1:12" ht="15.75" customHeight="1">
      <c r="A8" s="235" t="s">
        <v>0</v>
      </c>
      <c r="B8" s="235" t="s">
        <v>476</v>
      </c>
      <c r="C8" s="235" t="s">
        <v>5</v>
      </c>
      <c r="D8" s="240">
        <v>5460721.9500000002</v>
      </c>
      <c r="E8" s="89">
        <f>D8-2124766.53-1514244.95-1437941.98-383768.49</f>
        <v>4.6566128730773926E-10</v>
      </c>
      <c r="F8" s="235" t="s">
        <v>1394</v>
      </c>
      <c r="G8" s="237">
        <f t="shared" si="0"/>
        <v>4.6566128730773926E-10</v>
      </c>
      <c r="H8" s="238">
        <v>45815</v>
      </c>
      <c r="I8" s="235">
        <v>90002692</v>
      </c>
      <c r="L8" s="237">
        <f ca="1">E8*VLOOKUP(C8,'FX RATES'!$E$1:$F$10,2,FALSE)/VLOOKUP("RUB",'FX RATES'!$E$1:$F$10,2,FALSE)</f>
        <v>3.572576679289341E-8</v>
      </c>
    </row>
    <row r="9" spans="1:12" ht="15.75" customHeight="1">
      <c r="A9" s="235" t="s">
        <v>0</v>
      </c>
      <c r="B9" s="235" t="s">
        <v>476</v>
      </c>
      <c r="C9" s="235" t="s">
        <v>5</v>
      </c>
      <c r="D9" s="240">
        <v>613108.65</v>
      </c>
      <c r="E9" s="89">
        <f>D9-255819.05-357289.6</f>
        <v>0</v>
      </c>
      <c r="F9" s="235" t="s">
        <v>1394</v>
      </c>
      <c r="G9" s="237">
        <f t="shared" ref="G9:G14" si="1">E9</f>
        <v>0</v>
      </c>
      <c r="H9" s="238">
        <v>45820</v>
      </c>
      <c r="I9" s="235">
        <v>90002698</v>
      </c>
      <c r="L9" s="237">
        <f ca="1">E9*VLOOKUP(C9,'FX RATES'!$E$1:$F$10,2,FALSE)/VLOOKUP("RUB",'FX RATES'!$E$1:$F$10,2,FALSE)</f>
        <v>0</v>
      </c>
    </row>
    <row r="10" spans="1:12" ht="15.75" customHeight="1">
      <c r="A10" s="235" t="s">
        <v>0</v>
      </c>
      <c r="B10" s="235" t="s">
        <v>476</v>
      </c>
      <c r="C10" s="235" t="s">
        <v>5</v>
      </c>
      <c r="D10" s="240">
        <v>348836.49</v>
      </c>
      <c r="E10" s="89">
        <f>348836.49-348836.49</f>
        <v>0</v>
      </c>
      <c r="F10" s="235" t="s">
        <v>1394</v>
      </c>
      <c r="G10" s="237">
        <f t="shared" si="1"/>
        <v>0</v>
      </c>
      <c r="H10" s="238">
        <v>45862</v>
      </c>
      <c r="I10" s="235">
        <v>90002733</v>
      </c>
      <c r="L10" s="237">
        <f ca="1">E10*VLOOKUP(C10,'FX RATES'!$E$1:$F$10,2,FALSE)/VLOOKUP("RUB",'FX RATES'!$E$1:$F$10,2,FALSE)</f>
        <v>0</v>
      </c>
    </row>
    <row r="11" spans="1:12" ht="15.75" customHeight="1">
      <c r="A11" s="235" t="s">
        <v>0</v>
      </c>
      <c r="B11" s="235" t="s">
        <v>476</v>
      </c>
      <c r="C11" s="235" t="s">
        <v>5</v>
      </c>
      <c r="D11" s="240">
        <v>265256.27</v>
      </c>
      <c r="E11" s="89">
        <f>265256.27-265256.27</f>
        <v>0</v>
      </c>
      <c r="F11" s="235" t="s">
        <v>1394</v>
      </c>
      <c r="G11" s="237">
        <f t="shared" si="1"/>
        <v>0</v>
      </c>
      <c r="H11" s="238">
        <v>45867</v>
      </c>
      <c r="I11" s="235">
        <v>90002721</v>
      </c>
      <c r="L11" s="237">
        <f ca="1">E11*VLOOKUP(C11,'FX RATES'!$E$1:$F$10,2,FALSE)/VLOOKUP("RUB",'FX RATES'!$E$1:$F$10,2,FALSE)</f>
        <v>0</v>
      </c>
    </row>
    <row r="12" spans="1:12" ht="15.75" customHeight="1">
      <c r="A12" s="221" t="s">
        <v>0</v>
      </c>
      <c r="B12" s="221" t="s">
        <v>476</v>
      </c>
      <c r="C12" s="221" t="s">
        <v>8</v>
      </c>
      <c r="D12" s="223">
        <v>1316278.8500000001</v>
      </c>
      <c r="E12" s="89">
        <f>D12-685533.93-589456.96-41287.96</f>
        <v>8.0035533756017685E-11</v>
      </c>
      <c r="F12" s="221" t="s">
        <v>1394</v>
      </c>
      <c r="G12" s="222">
        <f>E12</f>
        <v>8.0035533756017685E-11</v>
      </c>
      <c r="H12" s="224">
        <v>45862</v>
      </c>
      <c r="I12" s="221">
        <v>90002718</v>
      </c>
      <c r="L12" s="237">
        <f ca="1">E12*VLOOKUP(C12,'FX RATES'!$E$1:$F$10,2,FALSE)/VLOOKUP("RUB",'FX RATES'!$E$1:$F$10,2,FALSE)</f>
        <v>1.6719398158058474E-9</v>
      </c>
    </row>
    <row r="13" spans="1:12" ht="15.75" customHeight="1">
      <c r="A13" s="235" t="s">
        <v>0</v>
      </c>
      <c r="B13" s="235" t="s">
        <v>476</v>
      </c>
      <c r="C13" s="235" t="s">
        <v>5</v>
      </c>
      <c r="D13" s="240">
        <v>183300</v>
      </c>
      <c r="E13" s="89">
        <f>D13-75024.21-108275.79</f>
        <v>0</v>
      </c>
      <c r="F13" s="235" t="s">
        <v>1394</v>
      </c>
      <c r="G13" s="237">
        <f t="shared" si="1"/>
        <v>0</v>
      </c>
      <c r="H13" s="238">
        <v>45824</v>
      </c>
      <c r="I13" s="235">
        <v>90002727</v>
      </c>
      <c r="L13" s="237">
        <f ca="1">E13*VLOOKUP(C13,'FX RATES'!$E$1:$F$10,2,FALSE)/VLOOKUP("RUB",'FX RATES'!$E$1:$F$10,2,FALSE)</f>
        <v>0</v>
      </c>
    </row>
    <row r="14" spans="1:12" ht="15.75" customHeight="1">
      <c r="A14" s="235" t="s">
        <v>0</v>
      </c>
      <c r="B14" s="235" t="s">
        <v>476</v>
      </c>
      <c r="C14" s="235" t="s">
        <v>5</v>
      </c>
      <c r="D14" s="240">
        <v>182471.25</v>
      </c>
      <c r="E14" s="89">
        <f>D14-182471.25</f>
        <v>0</v>
      </c>
      <c r="F14" s="235" t="s">
        <v>1394</v>
      </c>
      <c r="G14" s="237">
        <f t="shared" si="1"/>
        <v>0</v>
      </c>
      <c r="H14" s="238">
        <v>45825</v>
      </c>
      <c r="I14" s="235">
        <v>90002722</v>
      </c>
      <c r="L14" s="237">
        <f ca="1">E14*VLOOKUP(C14,'FX RATES'!$E$1:$F$10,2,FALSE)/VLOOKUP("RUB",'FX RATES'!$E$1:$F$10,2,FALSE)</f>
        <v>0</v>
      </c>
    </row>
    <row r="15" spans="1:12" ht="15.75" customHeight="1">
      <c r="A15" s="235" t="s">
        <v>0</v>
      </c>
      <c r="B15" s="235" t="s">
        <v>476</v>
      </c>
      <c r="C15" s="235" t="s">
        <v>5</v>
      </c>
      <c r="D15" s="240">
        <v>6616664.5</v>
      </c>
      <c r="E15" s="89">
        <f>D15-44196.79-91167.8-2446831.85-66739.6-1592438.63-976197.53-402668.44-692246.83-123271.9-180905.13</f>
        <v>0</v>
      </c>
      <c r="F15" s="235" t="s">
        <v>1394</v>
      </c>
      <c r="G15" s="237">
        <f t="shared" ref="G15:G20" si="2">E15</f>
        <v>0</v>
      </c>
      <c r="H15" s="238">
        <v>45796</v>
      </c>
      <c r="I15" s="235">
        <v>90002770</v>
      </c>
      <c r="L15" s="237">
        <f ca="1">E15*VLOOKUP(C15,'FX RATES'!$E$1:$F$10,2,FALSE)/VLOOKUP("RUB",'FX RATES'!$E$1:$F$10,2,FALSE)</f>
        <v>0</v>
      </c>
    </row>
    <row r="16" spans="1:12" ht="15.75" customHeight="1">
      <c r="A16" s="235" t="s">
        <v>0</v>
      </c>
      <c r="B16" s="235" t="s">
        <v>476</v>
      </c>
      <c r="C16" s="235" t="s">
        <v>5</v>
      </c>
      <c r="D16" s="240">
        <v>6703268.0099999998</v>
      </c>
      <c r="E16" s="89">
        <f>D16-1504906.35-1499572.31-964919.23-1599965.38-1133904.74</f>
        <v>0</v>
      </c>
      <c r="F16" s="235" t="s">
        <v>1394</v>
      </c>
      <c r="G16" s="237">
        <f t="shared" si="2"/>
        <v>0</v>
      </c>
      <c r="H16" s="238">
        <v>45796</v>
      </c>
      <c r="I16" s="235">
        <v>90002771</v>
      </c>
      <c r="L16" s="237">
        <f ca="1">E16*VLOOKUP(C16,'FX RATES'!$E$1:$F$10,2,FALSE)/VLOOKUP("RUB",'FX RATES'!$E$1:$F$10,2,FALSE)</f>
        <v>0</v>
      </c>
    </row>
    <row r="17" spans="1:12" ht="15.75" customHeight="1">
      <c r="A17" s="235" t="s">
        <v>0</v>
      </c>
      <c r="B17" s="235" t="s">
        <v>476</v>
      </c>
      <c r="C17" s="235" t="s">
        <v>8</v>
      </c>
      <c r="D17" s="240">
        <v>2640868.35</v>
      </c>
      <c r="E17" s="89">
        <f>D17-1044398.35-135282.27-1274161.29-187026.44</f>
        <v>0</v>
      </c>
      <c r="F17" s="235" t="s">
        <v>1394</v>
      </c>
      <c r="G17" s="237">
        <f t="shared" si="2"/>
        <v>0</v>
      </c>
      <c r="H17" s="238">
        <v>45786</v>
      </c>
      <c r="I17" s="235">
        <v>90002757</v>
      </c>
      <c r="L17" s="237">
        <f ca="1">E17*VLOOKUP(C17,'FX RATES'!$E$1:$F$10,2,FALSE)/VLOOKUP("RUB",'FX RATES'!$E$1:$F$10,2,FALSE)</f>
        <v>0</v>
      </c>
    </row>
    <row r="18" spans="1:12" ht="15.75" customHeight="1">
      <c r="A18" s="235" t="s">
        <v>0</v>
      </c>
      <c r="B18" s="235" t="s">
        <v>476</v>
      </c>
      <c r="C18" s="235" t="s">
        <v>5</v>
      </c>
      <c r="D18" s="240">
        <v>845504.37</v>
      </c>
      <c r="E18" s="237">
        <f>D18-716501.66-129002.71</f>
        <v>0</v>
      </c>
      <c r="F18" s="235" t="s">
        <v>1394</v>
      </c>
      <c r="G18" s="237">
        <f t="shared" si="2"/>
        <v>0</v>
      </c>
      <c r="H18" s="238">
        <v>45802</v>
      </c>
      <c r="I18" s="235">
        <v>90002786</v>
      </c>
      <c r="L18" s="237">
        <f ca="1">E18*VLOOKUP(C18,'FX RATES'!$E$1:$F$10,2,FALSE)/VLOOKUP("RUB",'FX RATES'!$E$1:$F$10,2,FALSE)</f>
        <v>0</v>
      </c>
    </row>
    <row r="19" spans="1:12" ht="15.75" customHeight="1">
      <c r="A19" s="235" t="s">
        <v>0</v>
      </c>
      <c r="B19" s="235" t="s">
        <v>476</v>
      </c>
      <c r="C19" s="235" t="s">
        <v>8</v>
      </c>
      <c r="D19" s="240">
        <v>1341368.29</v>
      </c>
      <c r="E19" s="89">
        <f>D19-1341368.29</f>
        <v>0</v>
      </c>
      <c r="F19" s="235" t="s">
        <v>1394</v>
      </c>
      <c r="G19" s="237">
        <f t="shared" si="2"/>
        <v>0</v>
      </c>
      <c r="H19" s="238">
        <v>45806</v>
      </c>
      <c r="I19" s="235">
        <v>90002789</v>
      </c>
      <c r="L19" s="237">
        <f ca="1">E19*VLOOKUP(C19,'FX RATES'!$E$1:$F$10,2,FALSE)/VLOOKUP("RUB",'FX RATES'!$E$1:$F$10,2,FALSE)</f>
        <v>0</v>
      </c>
    </row>
    <row r="20" spans="1:12" ht="15.75" customHeight="1">
      <c r="A20" s="235" t="s">
        <v>0</v>
      </c>
      <c r="B20" s="235" t="s">
        <v>476</v>
      </c>
      <c r="C20" s="235" t="s">
        <v>5</v>
      </c>
      <c r="D20" s="240">
        <v>364172.81</v>
      </c>
      <c r="E20" s="237">
        <f>D20-312799.25-51373.56</f>
        <v>0</v>
      </c>
      <c r="F20" s="235" t="s">
        <v>1394</v>
      </c>
      <c r="G20" s="237">
        <f t="shared" si="2"/>
        <v>0</v>
      </c>
      <c r="H20" s="238">
        <v>45806</v>
      </c>
      <c r="I20" s="235">
        <v>90002793</v>
      </c>
      <c r="L20" s="237">
        <f ca="1">E20*VLOOKUP(C20,'FX RATES'!$E$1:$F$10,2,FALSE)/VLOOKUP("RUB",'FX RATES'!$E$1:$F$10,2,FALSE)</f>
        <v>0</v>
      </c>
    </row>
    <row r="21" spans="1:12" ht="15.75" customHeight="1">
      <c r="A21" s="235" t="s">
        <v>0</v>
      </c>
      <c r="B21" s="235" t="s">
        <v>476</v>
      </c>
      <c r="C21" s="235" t="s">
        <v>5</v>
      </c>
      <c r="D21" s="240">
        <v>6607831.2300000004</v>
      </c>
      <c r="E21" s="237">
        <f>6607831.23-615793.88-63687.02-205175.74-3061181.17-27899.92-112793.98-204533.33-831349.39-1485416.8</f>
        <v>0</v>
      </c>
      <c r="F21" s="235" t="s">
        <v>1394</v>
      </c>
      <c r="G21" s="237">
        <f t="shared" ref="G21:G32" si="3">E21</f>
        <v>0</v>
      </c>
      <c r="H21" s="238">
        <v>45824</v>
      </c>
      <c r="I21" s="235">
        <v>90002843</v>
      </c>
      <c r="L21" s="237">
        <f ca="1">E21*VLOOKUP(C21,'FX RATES'!$E$1:$F$10,2,FALSE)/VLOOKUP("RUB",'FX RATES'!$E$1:$F$10,2,FALSE)</f>
        <v>0</v>
      </c>
    </row>
    <row r="22" spans="1:12" ht="15.75" customHeight="1">
      <c r="A22" s="235" t="s">
        <v>0</v>
      </c>
      <c r="B22" s="235" t="s">
        <v>476</v>
      </c>
      <c r="C22" s="235" t="s">
        <v>5</v>
      </c>
      <c r="D22" s="240">
        <v>4234924.01</v>
      </c>
      <c r="E22" s="240">
        <f>4234924.01-135667.59-221219.29-2288328.31-505083.14-512658.04-479198.05-92769.59</f>
        <v>-3.2014213502407074E-10</v>
      </c>
      <c r="F22" s="235" t="s">
        <v>1394</v>
      </c>
      <c r="G22" s="237">
        <f>E22</f>
        <v>-3.2014213502407074E-10</v>
      </c>
      <c r="H22" s="238">
        <v>45828</v>
      </c>
      <c r="I22" s="235">
        <v>90002856</v>
      </c>
      <c r="L22" s="237">
        <f ca="1">E22*VLOOKUP(C22,'FX RATES'!$E$1:$F$10,2,FALSE)/VLOOKUP("RUB",'FX RATES'!$E$1:$F$10,2,FALSE)</f>
        <v>-2.4561464670114221E-8</v>
      </c>
    </row>
    <row r="23" spans="1:12" ht="15.75" customHeight="1">
      <c r="A23" s="235" t="s">
        <v>0</v>
      </c>
      <c r="B23" s="235" t="s">
        <v>777</v>
      </c>
      <c r="C23" s="235" t="s">
        <v>5</v>
      </c>
      <c r="D23" s="240">
        <v>1235989.4099999999</v>
      </c>
      <c r="E23" s="240">
        <f>1235989.41-30000-407886.13-798103.28</f>
        <v>0</v>
      </c>
      <c r="F23" s="235" t="s">
        <v>1394</v>
      </c>
      <c r="G23" s="237">
        <f t="shared" si="3"/>
        <v>0</v>
      </c>
      <c r="H23" s="238">
        <v>45789</v>
      </c>
      <c r="I23" s="235">
        <v>90002598</v>
      </c>
      <c r="L23" s="237">
        <f ca="1">E23*VLOOKUP(C23,'FX RATES'!$E$1:$F$10,2,FALSE)/VLOOKUP("RUB",'FX RATES'!$E$1:$F$10,2,FALSE)</f>
        <v>0</v>
      </c>
    </row>
    <row r="24" spans="1:12" ht="15.75" customHeight="1">
      <c r="A24" s="235" t="s">
        <v>0</v>
      </c>
      <c r="B24" s="235" t="s">
        <v>476</v>
      </c>
      <c r="C24" s="235" t="s">
        <v>5</v>
      </c>
      <c r="D24" s="240">
        <v>361263.72</v>
      </c>
      <c r="E24" s="240">
        <f>D24-361263.72</f>
        <v>0</v>
      </c>
      <c r="F24" s="235" t="s">
        <v>1394</v>
      </c>
      <c r="G24" s="237">
        <f t="shared" si="3"/>
        <v>0</v>
      </c>
      <c r="H24" s="238" t="s">
        <v>1395</v>
      </c>
      <c r="I24" s="235">
        <v>90002802</v>
      </c>
      <c r="L24" s="237">
        <f ca="1">E24*VLOOKUP(C24,'FX RATES'!$E$1:$F$10,2,FALSE)/VLOOKUP("RUB",'FX RATES'!$E$1:$F$10,2,FALSE)</f>
        <v>0</v>
      </c>
    </row>
    <row r="25" spans="1:12" ht="15.75" customHeight="1">
      <c r="A25" s="235" t="s">
        <v>0</v>
      </c>
      <c r="B25" s="235" t="s">
        <v>476</v>
      </c>
      <c r="C25" s="235" t="s">
        <v>5</v>
      </c>
      <c r="D25" s="240">
        <v>362892.01</v>
      </c>
      <c r="E25" s="240">
        <f>D25-362892.01</f>
        <v>0</v>
      </c>
      <c r="F25" s="235" t="s">
        <v>1394</v>
      </c>
      <c r="G25" s="237">
        <f t="shared" si="3"/>
        <v>0</v>
      </c>
      <c r="H25" s="238">
        <v>45901</v>
      </c>
      <c r="I25" s="235">
        <v>90002814</v>
      </c>
      <c r="L25" s="237">
        <f ca="1">E25*VLOOKUP(C25,'FX RATES'!$E$1:$F$10,2,FALSE)/VLOOKUP("RUB",'FX RATES'!$E$1:$F$10,2,FALSE)</f>
        <v>0</v>
      </c>
    </row>
    <row r="26" spans="1:12" ht="15.75" customHeight="1">
      <c r="A26" s="235" t="s">
        <v>0</v>
      </c>
      <c r="B26" s="235" t="s">
        <v>476</v>
      </c>
      <c r="C26" s="235" t="s">
        <v>5</v>
      </c>
      <c r="D26" s="240">
        <v>361505.82</v>
      </c>
      <c r="E26" s="240">
        <f>D26-361505.82</f>
        <v>0</v>
      </c>
      <c r="F26" s="235" t="s">
        <v>1394</v>
      </c>
      <c r="G26" s="237">
        <f t="shared" si="3"/>
        <v>0</v>
      </c>
      <c r="H26" s="238">
        <v>45901</v>
      </c>
      <c r="I26" s="235">
        <v>90002815</v>
      </c>
      <c r="L26" s="237">
        <f ca="1">E26*VLOOKUP(C26,'FX RATES'!$E$1:$F$10,2,FALSE)/VLOOKUP("RUB",'FX RATES'!$E$1:$F$10,2,FALSE)</f>
        <v>0</v>
      </c>
    </row>
    <row r="27" spans="1:12" ht="15.75" customHeight="1">
      <c r="A27" s="235" t="s">
        <v>0</v>
      </c>
      <c r="B27" s="235" t="s">
        <v>476</v>
      </c>
      <c r="C27" s="235" t="s">
        <v>5</v>
      </c>
      <c r="D27" s="240">
        <v>179906.17</v>
      </c>
      <c r="E27" s="240">
        <f>D27-179906.17</f>
        <v>0</v>
      </c>
      <c r="F27" s="235" t="s">
        <v>1394</v>
      </c>
      <c r="G27" s="237">
        <f t="shared" si="3"/>
        <v>0</v>
      </c>
      <c r="H27" s="238">
        <v>45902</v>
      </c>
      <c r="I27" s="235">
        <v>90002816</v>
      </c>
      <c r="L27" s="237">
        <f ca="1">E27*VLOOKUP(C27,'FX RATES'!$E$1:$F$10,2,FALSE)/VLOOKUP("RUB",'FX RATES'!$E$1:$F$10,2,FALSE)</f>
        <v>0</v>
      </c>
    </row>
    <row r="28" spans="1:12" ht="15.75" customHeight="1">
      <c r="A28" s="235" t="s">
        <v>0</v>
      </c>
      <c r="B28" s="235" t="s">
        <v>476</v>
      </c>
      <c r="C28" s="235" t="s">
        <v>5</v>
      </c>
      <c r="D28" s="240">
        <v>361500.38</v>
      </c>
      <c r="E28" s="240">
        <f>D28-230438.24-131062.14</f>
        <v>0</v>
      </c>
      <c r="F28" s="235" t="s">
        <v>1394</v>
      </c>
      <c r="G28" s="237">
        <f t="shared" si="3"/>
        <v>0</v>
      </c>
      <c r="H28" s="238" t="s">
        <v>1396</v>
      </c>
      <c r="I28" s="235">
        <v>90002874</v>
      </c>
      <c r="L28" s="237">
        <f ca="1">E28*VLOOKUP(C28,'FX RATES'!$E$1:$F$10,2,FALSE)/VLOOKUP("RUB",'FX RATES'!$E$1:$F$10,2,FALSE)</f>
        <v>0</v>
      </c>
    </row>
    <row r="29" spans="1:12" ht="15.75" customHeight="1">
      <c r="A29" s="235" t="s">
        <v>0</v>
      </c>
      <c r="B29" s="235" t="s">
        <v>476</v>
      </c>
      <c r="C29" s="235" t="s">
        <v>8</v>
      </c>
      <c r="D29" s="240">
        <v>1341535.33</v>
      </c>
      <c r="E29" s="237">
        <f>D29-1341535.33</f>
        <v>0</v>
      </c>
      <c r="F29" s="235" t="s">
        <v>1394</v>
      </c>
      <c r="G29" s="237">
        <f t="shared" si="3"/>
        <v>0</v>
      </c>
      <c r="H29" s="238">
        <v>45841</v>
      </c>
      <c r="I29" s="235">
        <v>90002878</v>
      </c>
      <c r="L29" s="237">
        <f ca="1">E29*VLOOKUP(C29,'FX RATES'!$E$1:$F$10,2,FALSE)/VLOOKUP("RUB",'FX RATES'!$E$1:$F$10,2,FALSE)</f>
        <v>0</v>
      </c>
    </row>
    <row r="30" spans="1:12" ht="15.75" customHeight="1">
      <c r="A30" s="235" t="s">
        <v>0</v>
      </c>
      <c r="B30" s="235" t="s">
        <v>476</v>
      </c>
      <c r="C30" s="235" t="s">
        <v>5</v>
      </c>
      <c r="D30" s="240">
        <v>88218.8</v>
      </c>
      <c r="E30" s="240">
        <f>D30-88218.8</f>
        <v>0</v>
      </c>
      <c r="F30" s="235" t="s">
        <v>1394</v>
      </c>
      <c r="G30" s="237">
        <f t="shared" si="3"/>
        <v>0</v>
      </c>
      <c r="H30" s="238" t="s">
        <v>1397</v>
      </c>
      <c r="I30" s="235">
        <v>90002849</v>
      </c>
      <c r="L30" s="237">
        <f ca="1">E30*VLOOKUP(C30,'FX RATES'!$E$1:$F$10,2,FALSE)/VLOOKUP("RUB",'FX RATES'!$E$1:$F$10,2,FALSE)</f>
        <v>0</v>
      </c>
    </row>
    <row r="31" spans="1:12" ht="15.75" customHeight="1">
      <c r="A31" s="235" t="s">
        <v>0</v>
      </c>
      <c r="B31" s="235" t="s">
        <v>476</v>
      </c>
      <c r="C31" s="235" t="s">
        <v>8</v>
      </c>
      <c r="D31" s="240">
        <v>2709.02</v>
      </c>
      <c r="E31" s="237">
        <f>D31-2709.02</f>
        <v>0</v>
      </c>
      <c r="F31" s="235" t="s">
        <v>1394</v>
      </c>
      <c r="G31" s="237">
        <f t="shared" si="3"/>
        <v>0</v>
      </c>
      <c r="H31" s="238">
        <v>45843</v>
      </c>
      <c r="I31" s="235" t="s">
        <v>1398</v>
      </c>
      <c r="L31" s="237">
        <f ca="1">E31*VLOOKUP(C31,'FX RATES'!$E$1:$F$10,2,FALSE)/VLOOKUP("RUB",'FX RATES'!$E$1:$F$10,2,FALSE)</f>
        <v>0</v>
      </c>
    </row>
    <row r="32" spans="1:12" ht="15.75" customHeight="1">
      <c r="A32" s="235" t="s">
        <v>0</v>
      </c>
      <c r="B32" s="235" t="s">
        <v>476</v>
      </c>
      <c r="C32" s="235" t="s">
        <v>8</v>
      </c>
      <c r="D32" s="240">
        <v>11444.98</v>
      </c>
      <c r="E32" s="237">
        <f>D32-11444.98</f>
        <v>0</v>
      </c>
      <c r="F32" s="235" t="s">
        <v>1394</v>
      </c>
      <c r="G32" s="237">
        <f t="shared" si="3"/>
        <v>0</v>
      </c>
      <c r="H32" s="238">
        <v>45843</v>
      </c>
      <c r="I32" s="235" t="s">
        <v>1399</v>
      </c>
      <c r="L32" s="237">
        <f ca="1">E32*VLOOKUP(C32,'FX RATES'!$E$1:$F$10,2,FALSE)/VLOOKUP("RUB",'FX RATES'!$E$1:$F$10,2,FALSE)</f>
        <v>0</v>
      </c>
    </row>
    <row r="33" spans="1:12" ht="15.75" customHeight="1">
      <c r="A33" s="235" t="s">
        <v>0</v>
      </c>
      <c r="B33" s="235" t="s">
        <v>476</v>
      </c>
      <c r="C33" s="235" t="s">
        <v>5</v>
      </c>
      <c r="D33" s="240">
        <v>4081645.46</v>
      </c>
      <c r="E33" s="237">
        <f>D33-106070.9-102012.86-148624.66-82704.86-389932.9-98935.12-327204.55-655212.58-497842.08-244765.7-958216.2-470123.05</f>
        <v>0</v>
      </c>
      <c r="F33" s="235" t="s">
        <v>1394</v>
      </c>
      <c r="G33" s="237">
        <f t="shared" ref="G33:G50" si="4">E33</f>
        <v>0</v>
      </c>
      <c r="H33" s="238" t="s">
        <v>1397</v>
      </c>
      <c r="I33" s="235">
        <v>90002911</v>
      </c>
      <c r="K33" s="235" t="s">
        <v>1400</v>
      </c>
      <c r="L33" s="237">
        <f ca="1">E33*VLOOKUP(C33,'FX RATES'!$E$1:$F$10,2,FALSE)/VLOOKUP("RUB",'FX RATES'!$E$1:$F$10,2,FALSE)</f>
        <v>0</v>
      </c>
    </row>
    <row r="34" spans="1:12" ht="15.75" customHeight="1">
      <c r="A34" s="235" t="s">
        <v>0</v>
      </c>
      <c r="B34" s="235" t="s">
        <v>476</v>
      </c>
      <c r="C34" s="235" t="s">
        <v>5</v>
      </c>
      <c r="D34" s="240">
        <v>89953.09</v>
      </c>
      <c r="E34" s="237">
        <f>89953.09-89953.09</f>
        <v>0</v>
      </c>
      <c r="F34" s="235" t="s">
        <v>1394</v>
      </c>
      <c r="G34" s="237">
        <f t="shared" si="4"/>
        <v>0</v>
      </c>
      <c r="H34" s="238" t="s">
        <v>1397</v>
      </c>
      <c r="I34" s="235">
        <v>90002896</v>
      </c>
      <c r="L34" s="237"/>
    </row>
    <row r="35" spans="1:12" ht="15.75" customHeight="1">
      <c r="A35" s="235" t="s">
        <v>0</v>
      </c>
      <c r="B35" s="235" t="s">
        <v>476</v>
      </c>
      <c r="C35" s="235" t="s">
        <v>5</v>
      </c>
      <c r="D35" s="240">
        <v>4459542.72</v>
      </c>
      <c r="E35" s="237">
        <f>D35-1524463.23-1830204.47-1104875.02</f>
        <v>0</v>
      </c>
      <c r="F35" s="235" t="s">
        <v>1394</v>
      </c>
      <c r="G35" s="237">
        <f t="shared" si="4"/>
        <v>0</v>
      </c>
      <c r="H35" s="238">
        <v>45905</v>
      </c>
      <c r="I35" s="235">
        <v>90002929</v>
      </c>
      <c r="L35" s="237"/>
    </row>
    <row r="36" spans="1:12" ht="15.75" customHeight="1">
      <c r="A36" s="235" t="s">
        <v>0</v>
      </c>
      <c r="B36" s="235" t="s">
        <v>476</v>
      </c>
      <c r="C36" s="235" t="s">
        <v>8</v>
      </c>
      <c r="D36" s="240">
        <v>1325591.6200000001</v>
      </c>
      <c r="E36" s="237">
        <f>D36-1325591.62</f>
        <v>0</v>
      </c>
      <c r="F36" s="235" t="s">
        <v>1394</v>
      </c>
      <c r="G36" s="237">
        <f t="shared" si="4"/>
        <v>0</v>
      </c>
      <c r="H36" s="238">
        <v>45862</v>
      </c>
      <c r="I36" s="235">
        <v>90002926</v>
      </c>
      <c r="L36" s="237"/>
    </row>
    <row r="37" spans="1:12" ht="15.75" customHeight="1">
      <c r="A37" s="235" t="s">
        <v>0</v>
      </c>
      <c r="B37" s="235" t="s">
        <v>476</v>
      </c>
      <c r="C37" s="235" t="s">
        <v>5</v>
      </c>
      <c r="D37" s="240">
        <v>353290.8</v>
      </c>
      <c r="E37" s="237">
        <f>D37-333140.26-20150.54</f>
        <v>0</v>
      </c>
      <c r="F37" s="235" t="s">
        <v>1394</v>
      </c>
      <c r="G37" s="237">
        <f t="shared" si="4"/>
        <v>0</v>
      </c>
      <c r="H37" s="238">
        <v>45978</v>
      </c>
      <c r="I37" s="235">
        <v>90002950</v>
      </c>
      <c r="L37" s="237"/>
    </row>
    <row r="38" spans="1:12" ht="15.75" customHeight="1">
      <c r="A38" s="235" t="s">
        <v>0</v>
      </c>
      <c r="B38" s="235" t="s">
        <v>476</v>
      </c>
      <c r="C38" s="235" t="s">
        <v>5</v>
      </c>
      <c r="D38" s="240">
        <v>354303.12</v>
      </c>
      <c r="E38" s="237">
        <f>D38-273315.51-80987.61</f>
        <v>0</v>
      </c>
      <c r="F38" s="235" t="s">
        <v>1394</v>
      </c>
      <c r="G38" s="237">
        <f t="shared" si="4"/>
        <v>0</v>
      </c>
      <c r="H38" s="238">
        <v>45978</v>
      </c>
      <c r="I38" s="235">
        <v>90002952</v>
      </c>
      <c r="L38" s="237"/>
    </row>
    <row r="39" spans="1:12" ht="15.75" customHeight="1">
      <c r="A39" s="235" t="s">
        <v>0</v>
      </c>
      <c r="B39" s="235" t="s">
        <v>476</v>
      </c>
      <c r="C39" s="235" t="s">
        <v>5</v>
      </c>
      <c r="D39" s="240">
        <v>89953.09</v>
      </c>
      <c r="E39" s="237">
        <f>D39-89953.09</f>
        <v>0</v>
      </c>
      <c r="F39" s="235" t="s">
        <v>1394</v>
      </c>
      <c r="G39" s="237">
        <f t="shared" si="4"/>
        <v>0</v>
      </c>
      <c r="H39" s="238">
        <v>45978</v>
      </c>
      <c r="I39" s="235">
        <v>90002953</v>
      </c>
      <c r="L39" s="237"/>
    </row>
    <row r="40" spans="1:12" ht="15.75" customHeight="1">
      <c r="A40" s="235" t="s">
        <v>0</v>
      </c>
      <c r="B40" s="235" t="s">
        <v>476</v>
      </c>
      <c r="C40" s="235" t="s">
        <v>5</v>
      </c>
      <c r="D40" s="240">
        <v>309889.46999999997</v>
      </c>
      <c r="E40" s="237">
        <f>D40-309889.47</f>
        <v>0</v>
      </c>
      <c r="F40" s="235" t="s">
        <v>1394</v>
      </c>
      <c r="G40" s="237">
        <f t="shared" si="4"/>
        <v>0</v>
      </c>
      <c r="H40" s="238">
        <v>45978</v>
      </c>
      <c r="I40" s="235">
        <v>90002954</v>
      </c>
      <c r="L40" s="237"/>
    </row>
    <row r="41" spans="1:12" ht="15.75" customHeight="1">
      <c r="A41" s="235" t="s">
        <v>0</v>
      </c>
      <c r="B41" s="235" t="s">
        <v>476</v>
      </c>
      <c r="C41" s="235" t="s">
        <v>5</v>
      </c>
      <c r="D41" s="240">
        <v>35101.99</v>
      </c>
      <c r="E41" s="237">
        <f>D41-35101.99</f>
        <v>0</v>
      </c>
      <c r="F41" s="235" t="s">
        <v>1394</v>
      </c>
      <c r="G41" s="237">
        <f t="shared" si="4"/>
        <v>0</v>
      </c>
      <c r="H41" s="238">
        <v>45978</v>
      </c>
      <c r="I41" s="235">
        <v>90002955</v>
      </c>
      <c r="L41" s="237"/>
    </row>
    <row r="42" spans="1:12" ht="15.75" customHeight="1">
      <c r="A42" s="235" t="s">
        <v>0</v>
      </c>
      <c r="B42" s="235" t="s">
        <v>476</v>
      </c>
      <c r="C42" s="235" t="s">
        <v>5</v>
      </c>
      <c r="D42" s="240">
        <v>535233.44999999995</v>
      </c>
      <c r="E42" s="237">
        <f>D42-535233.45</f>
        <v>0</v>
      </c>
      <c r="F42" s="235" t="s">
        <v>1394</v>
      </c>
      <c r="G42" s="237">
        <f t="shared" si="4"/>
        <v>0</v>
      </c>
      <c r="H42" s="238">
        <v>45979</v>
      </c>
      <c r="I42" s="235">
        <v>90002960</v>
      </c>
      <c r="L42" s="237"/>
    </row>
    <row r="43" spans="1:12" ht="15.75" customHeight="1">
      <c r="A43" s="235" t="s">
        <v>0</v>
      </c>
      <c r="B43" s="235" t="s">
        <v>476</v>
      </c>
      <c r="C43" s="235" t="s">
        <v>8</v>
      </c>
      <c r="D43" s="240">
        <v>38653.089999999997</v>
      </c>
      <c r="E43" s="237">
        <f>D43-38653.09</f>
        <v>0</v>
      </c>
      <c r="F43" s="235" t="s">
        <v>1394</v>
      </c>
      <c r="G43" s="237">
        <f t="shared" si="4"/>
        <v>0</v>
      </c>
      <c r="H43" s="238">
        <v>45865</v>
      </c>
      <c r="I43" s="235" t="s">
        <v>1401</v>
      </c>
      <c r="L43" s="237"/>
    </row>
    <row r="44" spans="1:12" ht="15.75" customHeight="1">
      <c r="A44" s="235" t="s">
        <v>0</v>
      </c>
      <c r="B44" s="235" t="s">
        <v>476</v>
      </c>
      <c r="C44" s="235" t="s">
        <v>8</v>
      </c>
      <c r="D44" s="240">
        <v>11594.77</v>
      </c>
      <c r="E44" s="237">
        <f>D44-11594.77</f>
        <v>0</v>
      </c>
      <c r="F44" s="235" t="s">
        <v>1394</v>
      </c>
      <c r="G44" s="237">
        <f t="shared" si="4"/>
        <v>0</v>
      </c>
      <c r="H44" s="238">
        <v>45865</v>
      </c>
      <c r="I44" s="235" t="s">
        <v>1402</v>
      </c>
      <c r="L44" s="237"/>
    </row>
    <row r="45" spans="1:12" ht="15.75" customHeight="1">
      <c r="A45" s="235" t="s">
        <v>0</v>
      </c>
      <c r="B45" s="235" t="s">
        <v>476</v>
      </c>
      <c r="C45" s="235" t="s">
        <v>5</v>
      </c>
      <c r="D45" s="240">
        <v>6851544.7000000002</v>
      </c>
      <c r="E45" s="237">
        <f>D45-611955.54-2602051.44-3239572.52-5152.24-392812.96</f>
        <v>0</v>
      </c>
      <c r="F45" s="235" t="s">
        <v>1394</v>
      </c>
      <c r="G45" s="237">
        <f t="shared" si="4"/>
        <v>0</v>
      </c>
      <c r="H45" s="238">
        <v>45922</v>
      </c>
      <c r="I45" s="235">
        <v>90002985</v>
      </c>
      <c r="L45" s="237"/>
    </row>
    <row r="46" spans="1:12" ht="15.75" customHeight="1">
      <c r="A46" s="235" t="s">
        <v>0</v>
      </c>
      <c r="B46" s="235" t="s">
        <v>476</v>
      </c>
      <c r="C46" s="235" t="s">
        <v>5</v>
      </c>
      <c r="D46" s="240">
        <v>86469.86</v>
      </c>
      <c r="E46" s="237">
        <f>D46-86469.86</f>
        <v>0</v>
      </c>
      <c r="F46" s="235" t="s">
        <v>1394</v>
      </c>
      <c r="G46" s="237">
        <f t="shared" si="4"/>
        <v>0</v>
      </c>
      <c r="H46" s="238">
        <v>45876</v>
      </c>
      <c r="I46" s="235">
        <v>90002990</v>
      </c>
      <c r="L46" s="237"/>
    </row>
    <row r="47" spans="1:12" ht="15.75" customHeight="1">
      <c r="A47" s="235" t="s">
        <v>0</v>
      </c>
      <c r="B47" s="235" t="s">
        <v>476</v>
      </c>
      <c r="C47" s="235" t="s">
        <v>5</v>
      </c>
      <c r="D47" s="240">
        <v>1002347.48</v>
      </c>
      <c r="E47" s="237">
        <f>1002347.48-1002347.48</f>
        <v>0</v>
      </c>
      <c r="F47" s="235" t="s">
        <v>1394</v>
      </c>
      <c r="G47" s="237">
        <f t="shared" si="4"/>
        <v>0</v>
      </c>
      <c r="H47" s="238" t="s">
        <v>1403</v>
      </c>
      <c r="I47" s="235">
        <v>90003009</v>
      </c>
      <c r="L47" s="237"/>
    </row>
    <row r="48" spans="1:12" ht="15.75" customHeight="1">
      <c r="A48" s="235" t="s">
        <v>0</v>
      </c>
      <c r="B48" s="235" t="s">
        <v>476</v>
      </c>
      <c r="C48" s="235" t="s">
        <v>8</v>
      </c>
      <c r="D48" s="240">
        <v>1287202.06</v>
      </c>
      <c r="E48" s="237">
        <f>D48-1287202.06</f>
        <v>0</v>
      </c>
      <c r="F48" s="235" t="s">
        <v>1394</v>
      </c>
      <c r="G48" s="237">
        <f t="shared" si="4"/>
        <v>0</v>
      </c>
      <c r="H48" s="238" t="s">
        <v>1404</v>
      </c>
      <c r="I48" s="235">
        <v>90003017</v>
      </c>
      <c r="L48" s="237"/>
    </row>
    <row r="49" spans="1:12" ht="15.75" customHeight="1">
      <c r="A49" s="235" t="s">
        <v>0</v>
      </c>
      <c r="B49" s="235" t="s">
        <v>476</v>
      </c>
      <c r="C49" s="235" t="s">
        <v>5</v>
      </c>
      <c r="D49" s="240">
        <v>351526.29</v>
      </c>
      <c r="E49" s="237">
        <f>351526.29-351526.29</f>
        <v>0</v>
      </c>
      <c r="F49" s="235" t="s">
        <v>1394</v>
      </c>
      <c r="G49" s="237">
        <f t="shared" si="4"/>
        <v>0</v>
      </c>
      <c r="H49" s="238" t="s">
        <v>1405</v>
      </c>
      <c r="I49" s="235">
        <v>90003030</v>
      </c>
      <c r="L49" s="237"/>
    </row>
    <row r="50" spans="1:12" ht="15.75" customHeight="1">
      <c r="A50" s="235" t="s">
        <v>0</v>
      </c>
      <c r="B50" s="235" t="s">
        <v>476</v>
      </c>
      <c r="C50" s="235" t="s">
        <v>5</v>
      </c>
      <c r="D50" s="240">
        <v>350272.96</v>
      </c>
      <c r="E50" s="237">
        <f>350272.96-29521.97-171815.66-148935.33</f>
        <v>0</v>
      </c>
      <c r="F50" s="235" t="s">
        <v>1394</v>
      </c>
      <c r="G50" s="237">
        <f t="shared" si="4"/>
        <v>0</v>
      </c>
      <c r="H50" s="238" t="s">
        <v>1406</v>
      </c>
      <c r="I50" s="235">
        <v>90003035</v>
      </c>
      <c r="L50" s="237"/>
    </row>
    <row r="51" spans="1:12" ht="15.75" customHeight="1">
      <c r="A51" s="326" t="s">
        <v>0</v>
      </c>
      <c r="B51" s="326" t="s">
        <v>476</v>
      </c>
      <c r="C51" s="326" t="s">
        <v>5</v>
      </c>
      <c r="D51" s="329">
        <v>354318.01</v>
      </c>
      <c r="E51" s="327">
        <f>354318.01-354318.01</f>
        <v>0</v>
      </c>
      <c r="F51" s="326" t="s">
        <v>1394</v>
      </c>
      <c r="G51" s="327">
        <f t="shared" ref="G51:G59" si="5">E51</f>
        <v>0</v>
      </c>
      <c r="H51" s="328" t="s">
        <v>1406</v>
      </c>
      <c r="I51" s="326">
        <v>90003036</v>
      </c>
      <c r="L51" s="237"/>
    </row>
    <row r="52" spans="1:12" ht="15.75" customHeight="1">
      <c r="A52" s="341" t="s">
        <v>0</v>
      </c>
      <c r="B52" s="341" t="s">
        <v>476</v>
      </c>
      <c r="C52" s="341" t="s">
        <v>5</v>
      </c>
      <c r="D52" s="342">
        <f>4819528.68/92-52386.18</f>
        <v>1.3043478247709572E-3</v>
      </c>
      <c r="E52" s="343">
        <f t="shared" ref="E52:E57" si="6">D52</f>
        <v>1.3043478247709572E-3</v>
      </c>
      <c r="F52" s="341" t="s">
        <v>1394</v>
      </c>
      <c r="G52" s="327">
        <f t="shared" ref="G52:G57" si="7">E52</f>
        <v>1.3043478247709572E-3</v>
      </c>
      <c r="H52" s="344">
        <v>45842</v>
      </c>
      <c r="I52" s="341">
        <v>99000455</v>
      </c>
      <c r="L52" s="237"/>
    </row>
    <row r="53" spans="1:12" ht="15.75" customHeight="1">
      <c r="A53" s="341" t="s">
        <v>0</v>
      </c>
      <c r="B53" s="341" t="s">
        <v>476</v>
      </c>
      <c r="C53" s="341" t="s">
        <v>5</v>
      </c>
      <c r="D53" s="342">
        <f>16006258.23/92-173981.07</f>
        <v>-2.2826087079010904E-3</v>
      </c>
      <c r="E53" s="343">
        <f t="shared" si="6"/>
        <v>-2.2826087079010904E-3</v>
      </c>
      <c r="F53" s="341" t="s">
        <v>1394</v>
      </c>
      <c r="G53" s="327">
        <f t="shared" si="7"/>
        <v>-2.2826087079010904E-3</v>
      </c>
      <c r="H53" s="344">
        <v>45842</v>
      </c>
      <c r="I53" s="341">
        <v>99000454</v>
      </c>
      <c r="L53" s="237"/>
    </row>
    <row r="54" spans="1:12" ht="15.75" customHeight="1">
      <c r="A54" s="326" t="s">
        <v>0</v>
      </c>
      <c r="B54" s="326" t="s">
        <v>476</v>
      </c>
      <c r="C54" s="395" t="s">
        <v>8</v>
      </c>
      <c r="D54" s="396">
        <f>1290381.68</f>
        <v>1290381.68</v>
      </c>
      <c r="E54" s="396">
        <f>351241.89-351241.89</f>
        <v>0</v>
      </c>
      <c r="F54" s="326" t="s">
        <v>1394</v>
      </c>
      <c r="G54" s="327">
        <f t="shared" si="7"/>
        <v>0</v>
      </c>
      <c r="H54" s="328">
        <v>45939</v>
      </c>
      <c r="I54" s="326">
        <v>90003046</v>
      </c>
      <c r="L54" s="237"/>
    </row>
    <row r="55" spans="1:12" ht="15.75" customHeight="1">
      <c r="A55" s="235" t="s">
        <v>0</v>
      </c>
      <c r="B55" s="235" t="s">
        <v>476</v>
      </c>
      <c r="C55" s="235" t="s">
        <v>8</v>
      </c>
      <c r="D55" s="237">
        <f>-24710.25+24710.25</f>
        <v>0</v>
      </c>
      <c r="E55" s="237">
        <f t="shared" si="6"/>
        <v>0</v>
      </c>
      <c r="F55" s="235" t="s">
        <v>1394</v>
      </c>
      <c r="G55" s="237">
        <f t="shared" si="7"/>
        <v>0</v>
      </c>
      <c r="H55" s="238">
        <v>45940</v>
      </c>
      <c r="I55" s="235" t="s">
        <v>1407</v>
      </c>
      <c r="L55" s="237"/>
    </row>
    <row r="56" spans="1:12" ht="15.75" customHeight="1">
      <c r="A56" s="235" t="s">
        <v>0</v>
      </c>
      <c r="B56" s="235" t="s">
        <v>476</v>
      </c>
      <c r="C56" s="235" t="s">
        <v>8</v>
      </c>
      <c r="D56" s="237">
        <f>-52528.08+52528.08</f>
        <v>0</v>
      </c>
      <c r="E56" s="237">
        <f t="shared" si="6"/>
        <v>0</v>
      </c>
      <c r="F56" s="235" t="s">
        <v>1394</v>
      </c>
      <c r="G56" s="237">
        <f t="shared" si="7"/>
        <v>0</v>
      </c>
      <c r="H56" s="238">
        <v>45940</v>
      </c>
      <c r="I56" s="235" t="s">
        <v>1408</v>
      </c>
      <c r="L56" s="237"/>
    </row>
    <row r="57" spans="1:12" ht="15.75" customHeight="1">
      <c r="A57" s="235" t="s">
        <v>0</v>
      </c>
      <c r="B57" s="235" t="s">
        <v>476</v>
      </c>
      <c r="C57" s="235" t="s">
        <v>8</v>
      </c>
      <c r="D57" s="237">
        <f>-27777.06+27777.06</f>
        <v>0</v>
      </c>
      <c r="E57" s="237">
        <f t="shared" si="6"/>
        <v>0</v>
      </c>
      <c r="F57" s="235" t="s">
        <v>1394</v>
      </c>
      <c r="G57" s="237">
        <f t="shared" si="7"/>
        <v>0</v>
      </c>
      <c r="H57" s="238">
        <v>45940</v>
      </c>
      <c r="I57" s="235" t="s">
        <v>1409</v>
      </c>
      <c r="L57" s="237"/>
    </row>
    <row r="58" spans="1:12" ht="16.5" customHeight="1">
      <c r="A58" s="326" t="s">
        <v>0</v>
      </c>
      <c r="B58" s="326" t="s">
        <v>476</v>
      </c>
      <c r="C58" s="326" t="s">
        <v>5</v>
      </c>
      <c r="D58" s="327">
        <f>1051398.23</f>
        <v>1051398.23</v>
      </c>
      <c r="E58" s="327">
        <f>1051398.23-19737.53-815645.13-216015.57</f>
        <v>0</v>
      </c>
      <c r="F58" s="326" t="s">
        <v>1394</v>
      </c>
      <c r="G58" s="327">
        <f t="shared" si="5"/>
        <v>0</v>
      </c>
      <c r="H58" s="328">
        <v>45939</v>
      </c>
      <c r="I58" s="326">
        <v>90003054</v>
      </c>
      <c r="L58" s="237"/>
    </row>
    <row r="59" spans="1:12" ht="15.75" customHeight="1">
      <c r="A59" s="235" t="s">
        <v>0</v>
      </c>
      <c r="B59" s="235" t="s">
        <v>476</v>
      </c>
      <c r="C59" s="235" t="s">
        <v>5</v>
      </c>
      <c r="D59" s="237">
        <v>8816749.7300000004</v>
      </c>
      <c r="E59" s="237">
        <f>8816749.73-2074764.63-2754747.55-863336.52-768793.59-260755.07-264718.91-1829633.46</f>
        <v>0</v>
      </c>
      <c r="F59" s="235" t="s">
        <v>1394</v>
      </c>
      <c r="G59" s="237">
        <f t="shared" si="5"/>
        <v>0</v>
      </c>
      <c r="H59" s="238">
        <v>45925</v>
      </c>
      <c r="I59" s="235">
        <v>90003081</v>
      </c>
      <c r="L59" s="237"/>
    </row>
    <row r="60" spans="1:12" ht="15.75" customHeight="1">
      <c r="A60" s="235" t="s">
        <v>0</v>
      </c>
      <c r="B60" s="235" t="s">
        <v>476</v>
      </c>
      <c r="C60" s="235" t="s">
        <v>5</v>
      </c>
      <c r="D60" s="237">
        <v>702345.25</v>
      </c>
      <c r="E60" s="237">
        <f>702345.25-702345.25</f>
        <v>0</v>
      </c>
      <c r="F60" s="235" t="s">
        <v>1394</v>
      </c>
      <c r="G60" s="237">
        <f t="shared" ref="G60:G69" si="8">E60</f>
        <v>0</v>
      </c>
      <c r="H60" s="238">
        <v>45930</v>
      </c>
      <c r="I60" s="235">
        <v>90003084</v>
      </c>
      <c r="L60" s="237"/>
    </row>
    <row r="61" spans="1:12" ht="15.75" customHeight="1">
      <c r="A61" s="235" t="s">
        <v>0</v>
      </c>
      <c r="B61" s="235" t="s">
        <v>476</v>
      </c>
      <c r="C61" s="235" t="s">
        <v>5</v>
      </c>
      <c r="D61" s="237">
        <v>348738.94</v>
      </c>
      <c r="E61" s="237">
        <f>348738.94-348738.94</f>
        <v>0</v>
      </c>
      <c r="F61" s="235" t="s">
        <v>1394</v>
      </c>
      <c r="G61" s="237">
        <f t="shared" si="8"/>
        <v>0</v>
      </c>
      <c r="H61" s="238">
        <v>45930</v>
      </c>
      <c r="I61" s="235">
        <v>90003085</v>
      </c>
      <c r="L61" s="237"/>
    </row>
    <row r="62" spans="1:12" ht="15.75" customHeight="1">
      <c r="A62" s="235" t="s">
        <v>0</v>
      </c>
      <c r="B62" s="235" t="s">
        <v>476</v>
      </c>
      <c r="C62" s="235" t="s">
        <v>5</v>
      </c>
      <c r="D62" s="237">
        <v>351205.41</v>
      </c>
      <c r="E62" s="237">
        <f>D62-351205.41</f>
        <v>0</v>
      </c>
      <c r="F62" s="235" t="s">
        <v>1394</v>
      </c>
      <c r="G62" s="237">
        <f t="shared" si="8"/>
        <v>0</v>
      </c>
      <c r="H62" s="238">
        <v>45930</v>
      </c>
      <c r="I62" s="235">
        <v>90003109</v>
      </c>
      <c r="L62" s="237"/>
    </row>
    <row r="63" spans="1:12" ht="15.75" customHeight="1">
      <c r="A63" s="326" t="s">
        <v>0</v>
      </c>
      <c r="B63" s="326" t="s">
        <v>476</v>
      </c>
      <c r="C63" s="326" t="s">
        <v>5</v>
      </c>
      <c r="D63" s="327">
        <v>355132.41</v>
      </c>
      <c r="E63" s="327">
        <f>D63-105108.77-250023.64</f>
        <v>0</v>
      </c>
      <c r="F63" s="326" t="s">
        <v>1394</v>
      </c>
      <c r="G63" s="327">
        <f t="shared" si="8"/>
        <v>0</v>
      </c>
      <c r="H63" s="328">
        <v>45945</v>
      </c>
      <c r="I63" s="235">
        <v>90003126</v>
      </c>
      <c r="L63" s="237"/>
    </row>
    <row r="64" spans="1:12" ht="15.75" customHeight="1">
      <c r="A64" s="326" t="s">
        <v>0</v>
      </c>
      <c r="B64" s="326" t="s">
        <v>476</v>
      </c>
      <c r="C64" s="326" t="s">
        <v>5</v>
      </c>
      <c r="D64" s="327">
        <v>87594.41</v>
      </c>
      <c r="E64" s="327">
        <f>87594.41-87594.41</f>
        <v>0</v>
      </c>
      <c r="F64" s="326" t="s">
        <v>1394</v>
      </c>
      <c r="G64" s="327">
        <f t="shared" si="8"/>
        <v>0</v>
      </c>
      <c r="H64" s="328">
        <v>45945</v>
      </c>
      <c r="I64" s="235">
        <v>90003147</v>
      </c>
      <c r="L64" s="237"/>
    </row>
    <row r="65" spans="1:12" ht="15.75" customHeight="1">
      <c r="A65" s="326" t="s">
        <v>0</v>
      </c>
      <c r="B65" s="326" t="s">
        <v>476</v>
      </c>
      <c r="C65" s="326" t="s">
        <v>5</v>
      </c>
      <c r="D65" s="327">
        <v>345786.65</v>
      </c>
      <c r="E65" s="327">
        <f>D65-345786.65</f>
        <v>0</v>
      </c>
      <c r="F65" s="326" t="s">
        <v>1394</v>
      </c>
      <c r="G65" s="327">
        <f t="shared" si="8"/>
        <v>0</v>
      </c>
      <c r="H65" s="328">
        <v>45945</v>
      </c>
      <c r="I65" s="235">
        <v>90003150</v>
      </c>
      <c r="L65" s="237"/>
    </row>
    <row r="66" spans="1:12" ht="15.75" customHeight="1">
      <c r="A66" s="326" t="s">
        <v>0</v>
      </c>
      <c r="B66" s="326" t="s">
        <v>476</v>
      </c>
      <c r="C66" s="326" t="s">
        <v>5</v>
      </c>
      <c r="D66" s="327" t="s">
        <v>1410</v>
      </c>
      <c r="E66" s="327"/>
      <c r="F66" s="326" t="s">
        <v>1394</v>
      </c>
      <c r="G66" s="327">
        <f t="shared" si="8"/>
        <v>0</v>
      </c>
      <c r="H66" s="328">
        <v>45945</v>
      </c>
      <c r="I66" s="235">
        <v>90003154</v>
      </c>
      <c r="L66" s="237"/>
    </row>
    <row r="67" spans="1:12" ht="15.75" customHeight="1">
      <c r="A67" s="326" t="s">
        <v>0</v>
      </c>
      <c r="B67" s="326" t="s">
        <v>476</v>
      </c>
      <c r="C67" s="326" t="s">
        <v>5</v>
      </c>
      <c r="D67" s="327">
        <v>171582.81</v>
      </c>
      <c r="E67" s="327">
        <f>D67-171582.81</f>
        <v>0</v>
      </c>
      <c r="F67" s="326" t="s">
        <v>1394</v>
      </c>
      <c r="G67" s="327">
        <f t="shared" si="8"/>
        <v>0</v>
      </c>
      <c r="H67" s="328">
        <v>45945</v>
      </c>
      <c r="I67" s="235">
        <v>90003157</v>
      </c>
      <c r="L67" s="237"/>
    </row>
    <row r="68" spans="1:12" ht="15.75" customHeight="1">
      <c r="A68" s="326" t="s">
        <v>0</v>
      </c>
      <c r="B68" s="326" t="s">
        <v>476</v>
      </c>
      <c r="C68" s="235" t="s">
        <v>8</v>
      </c>
      <c r="D68" s="237">
        <f>1291637.12</f>
        <v>1291637.1200000001</v>
      </c>
      <c r="E68" s="396">
        <f>351583.62-97885.57-253698.05</f>
        <v>0</v>
      </c>
      <c r="F68" s="326" t="s">
        <v>1394</v>
      </c>
      <c r="G68" s="327">
        <f t="shared" si="8"/>
        <v>0</v>
      </c>
      <c r="H68" s="328">
        <v>45945</v>
      </c>
      <c r="I68" s="235">
        <v>90003155</v>
      </c>
      <c r="L68" s="237"/>
    </row>
    <row r="69" spans="1:12">
      <c r="A69" s="235" t="s">
        <v>0</v>
      </c>
      <c r="B69" s="235" t="s">
        <v>476</v>
      </c>
      <c r="C69" s="235" t="s">
        <v>5</v>
      </c>
      <c r="D69" s="237">
        <f>3226355.71</f>
        <v>3226355.71</v>
      </c>
      <c r="E69" s="237">
        <f>D69-973560.13-1273294.1-431480.1-260688.56-97885.57-159159.77-30287.48</f>
        <v>0</v>
      </c>
      <c r="F69" s="235" t="s">
        <v>1394</v>
      </c>
      <c r="G69" s="237">
        <f t="shared" si="8"/>
        <v>0</v>
      </c>
      <c r="H69" s="238">
        <v>45970</v>
      </c>
      <c r="I69" s="235">
        <v>90003163</v>
      </c>
    </row>
    <row r="70" spans="1:12">
      <c r="A70" s="235" t="s">
        <v>0</v>
      </c>
      <c r="B70" s="235" t="s">
        <v>476</v>
      </c>
      <c r="C70" s="235" t="s">
        <v>5</v>
      </c>
      <c r="D70" s="237">
        <v>3280549.58</v>
      </c>
      <c r="E70" s="237">
        <f>3280549.58-305786.94-153759.05-128877.14-1074455.54-1617670.91</f>
        <v>0</v>
      </c>
      <c r="F70" s="235" t="s">
        <v>1394</v>
      </c>
      <c r="G70" s="237">
        <f t="shared" ref="G70" si="9">E70</f>
        <v>0</v>
      </c>
      <c r="H70" s="238">
        <v>45982</v>
      </c>
      <c r="I70" s="235">
        <v>90003185</v>
      </c>
    </row>
    <row r="71" spans="1:12">
      <c r="A71" s="235" t="s">
        <v>0</v>
      </c>
      <c r="B71" s="235" t="s">
        <v>476</v>
      </c>
      <c r="C71" s="235" t="s">
        <v>6</v>
      </c>
      <c r="D71" s="237">
        <v>154500</v>
      </c>
      <c r="E71" s="237">
        <f>180000-180000</f>
        <v>0</v>
      </c>
      <c r="F71" s="235" t="s">
        <v>1394</v>
      </c>
      <c r="G71" s="237">
        <f>E71</f>
        <v>0</v>
      </c>
      <c r="H71" s="238">
        <v>46021</v>
      </c>
      <c r="I71" s="235" t="s">
        <v>1411</v>
      </c>
    </row>
    <row r="72" spans="1:12">
      <c r="A72" s="235" t="s">
        <v>0</v>
      </c>
      <c r="B72" s="235" t="s">
        <v>476</v>
      </c>
      <c r="C72" s="235" t="s">
        <v>5</v>
      </c>
      <c r="D72" s="237">
        <v>2005555.62</v>
      </c>
      <c r="E72" s="237">
        <f>D72-532415.75-1473139.87</f>
        <v>0</v>
      </c>
      <c r="F72" s="235" t="s">
        <v>1394</v>
      </c>
      <c r="G72" s="237">
        <f>E72</f>
        <v>0</v>
      </c>
      <c r="H72" s="238">
        <v>45982</v>
      </c>
      <c r="I72" s="235">
        <v>90003202</v>
      </c>
    </row>
    <row r="73" spans="1:12">
      <c r="A73" s="235" t="s">
        <v>0</v>
      </c>
      <c r="B73" s="235" t="s">
        <v>476</v>
      </c>
      <c r="C73" s="235" t="s">
        <v>5</v>
      </c>
      <c r="D73" s="237">
        <v>688880.01</v>
      </c>
      <c r="E73" s="237">
        <f>D73-673493.73-15386.28</f>
        <v>2.7284841053187847E-11</v>
      </c>
      <c r="F73" s="235" t="s">
        <v>1394</v>
      </c>
      <c r="G73" s="237">
        <f t="shared" ref="G73:G76" si="10">E73</f>
        <v>2.7284841053187847E-11</v>
      </c>
      <c r="H73" s="238">
        <v>46019</v>
      </c>
      <c r="I73" s="235">
        <v>90003190</v>
      </c>
    </row>
    <row r="74" spans="1:12">
      <c r="A74" s="235" t="s">
        <v>0</v>
      </c>
      <c r="B74" s="235" t="s">
        <v>476</v>
      </c>
      <c r="C74" s="235" t="s">
        <v>5</v>
      </c>
      <c r="D74" s="237">
        <v>348712.62</v>
      </c>
      <c r="E74" s="237">
        <f>D74-348712.62</f>
        <v>0</v>
      </c>
      <c r="F74" s="235" t="s">
        <v>1394</v>
      </c>
      <c r="G74" s="237">
        <f t="shared" si="10"/>
        <v>0</v>
      </c>
      <c r="H74" s="238">
        <v>46019</v>
      </c>
      <c r="I74" s="235">
        <v>90003194</v>
      </c>
    </row>
    <row r="75" spans="1:12">
      <c r="A75" s="235" t="s">
        <v>0</v>
      </c>
      <c r="B75" s="235" t="s">
        <v>476</v>
      </c>
      <c r="C75" s="235" t="s">
        <v>5</v>
      </c>
      <c r="D75" s="237">
        <v>258747.3</v>
      </c>
      <c r="E75" s="237">
        <f>D75-258747.3</f>
        <v>0</v>
      </c>
      <c r="F75" s="235" t="s">
        <v>1394</v>
      </c>
      <c r="G75" s="237">
        <f t="shared" si="10"/>
        <v>0</v>
      </c>
      <c r="H75" s="238">
        <v>46019</v>
      </c>
      <c r="I75" s="235">
        <v>90003208</v>
      </c>
    </row>
    <row r="76" spans="1:12">
      <c r="A76" s="235" t="s">
        <v>0</v>
      </c>
      <c r="B76" s="235" t="s">
        <v>476</v>
      </c>
      <c r="C76" s="235" t="s">
        <v>5</v>
      </c>
      <c r="D76" s="237">
        <v>351755.21</v>
      </c>
      <c r="E76" s="237">
        <f>D76-207431.33-144323.88</f>
        <v>0</v>
      </c>
      <c r="F76" s="235" t="s">
        <v>1394</v>
      </c>
      <c r="G76" s="237">
        <f t="shared" si="10"/>
        <v>0</v>
      </c>
      <c r="H76" s="238">
        <v>46020</v>
      </c>
      <c r="I76" s="235">
        <v>90003215</v>
      </c>
    </row>
    <row r="77" spans="1:12">
      <c r="A77" s="235" t="s">
        <v>0</v>
      </c>
      <c r="B77" s="235" t="s">
        <v>476</v>
      </c>
      <c r="C77" s="235" t="s">
        <v>5</v>
      </c>
      <c r="D77" s="237">
        <v>351761.42</v>
      </c>
      <c r="E77" s="237">
        <f>D77-265977.57-78433.01-7350.84</f>
        <v>-1.8189894035458565E-11</v>
      </c>
      <c r="F77" s="235" t="s">
        <v>1394</v>
      </c>
      <c r="G77" s="237">
        <f t="shared" ref="G77:G85" si="11">E77</f>
        <v>-1.8189894035458565E-11</v>
      </c>
      <c r="H77" s="238">
        <v>46021</v>
      </c>
      <c r="I77" s="235">
        <v>90003237</v>
      </c>
    </row>
    <row r="78" spans="1:12">
      <c r="A78" s="235" t="s">
        <v>0</v>
      </c>
      <c r="B78" s="235" t="s">
        <v>476</v>
      </c>
      <c r="C78" s="235" t="s">
        <v>5</v>
      </c>
      <c r="D78" s="237">
        <v>351442.47</v>
      </c>
      <c r="E78" s="237">
        <f>D78-351442.47</f>
        <v>0</v>
      </c>
      <c r="F78" s="235" t="s">
        <v>1394</v>
      </c>
      <c r="G78" s="237">
        <f t="shared" si="11"/>
        <v>0</v>
      </c>
      <c r="H78" s="238">
        <v>46021</v>
      </c>
      <c r="I78" s="235">
        <v>90003248</v>
      </c>
    </row>
    <row r="79" spans="1:12">
      <c r="A79" s="235" t="s">
        <v>0</v>
      </c>
      <c r="B79" s="235" t="s">
        <v>476</v>
      </c>
      <c r="C79" s="235" t="s">
        <v>5</v>
      </c>
      <c r="D79" s="237">
        <v>50591.63</v>
      </c>
      <c r="E79" s="237">
        <f>D79-46762.52-3829.11</f>
        <v>0</v>
      </c>
      <c r="F79" s="235" t="s">
        <v>1394</v>
      </c>
      <c r="G79" s="237">
        <f t="shared" si="11"/>
        <v>0</v>
      </c>
      <c r="H79" s="238">
        <v>46022</v>
      </c>
      <c r="I79" s="235">
        <v>90003254</v>
      </c>
    </row>
    <row r="80" spans="1:12">
      <c r="A80" s="235" t="s">
        <v>0</v>
      </c>
      <c r="B80" s="235" t="s">
        <v>476</v>
      </c>
      <c r="C80" s="235" t="s">
        <v>5</v>
      </c>
      <c r="D80" s="237">
        <v>26912.41</v>
      </c>
      <c r="E80" s="237">
        <f>D80-26912.41</f>
        <v>0</v>
      </c>
      <c r="F80" s="235" t="s">
        <v>1394</v>
      </c>
      <c r="G80" s="237">
        <f t="shared" si="11"/>
        <v>0</v>
      </c>
      <c r="H80" s="238">
        <v>46022</v>
      </c>
      <c r="I80" s="235">
        <v>90003256</v>
      </c>
    </row>
    <row r="81" spans="1:10">
      <c r="A81" s="235" t="s">
        <v>0</v>
      </c>
      <c r="B81" s="235" t="s">
        <v>476</v>
      </c>
      <c r="C81" s="235" t="s">
        <v>5</v>
      </c>
      <c r="D81" s="237">
        <v>105830.35</v>
      </c>
      <c r="E81" s="237">
        <f>D81-105830.35</f>
        <v>0</v>
      </c>
      <c r="F81" s="235" t="s">
        <v>1394</v>
      </c>
      <c r="G81" s="237">
        <f t="shared" si="11"/>
        <v>0</v>
      </c>
      <c r="H81" s="238">
        <v>46021</v>
      </c>
      <c r="I81" s="235">
        <v>90003255</v>
      </c>
    </row>
    <row r="82" spans="1:10">
      <c r="A82" s="235" t="s">
        <v>0</v>
      </c>
      <c r="B82" s="235" t="s">
        <v>476</v>
      </c>
      <c r="C82" s="235" t="s">
        <v>5</v>
      </c>
      <c r="D82" s="237">
        <v>3380141.59</v>
      </c>
      <c r="E82" s="237">
        <f>3380141.59-3266841.79-113299.8</f>
        <v>-1.8917489796876907E-10</v>
      </c>
      <c r="F82" s="235" t="s">
        <v>1394</v>
      </c>
      <c r="G82" s="237">
        <f>E82</f>
        <v>-1.8917489796876907E-10</v>
      </c>
      <c r="H82" s="238">
        <v>46021</v>
      </c>
      <c r="I82" s="235" t="s">
        <v>476</v>
      </c>
    </row>
    <row r="83" spans="1:10">
      <c r="A83" s="235" t="s">
        <v>0</v>
      </c>
      <c r="B83" s="235" t="s">
        <v>476</v>
      </c>
      <c r="C83" s="235" t="s">
        <v>5</v>
      </c>
      <c r="D83" s="237">
        <v>2108614.0099999998</v>
      </c>
      <c r="E83" s="237">
        <f>2108614.01-2108614.01</f>
        <v>0</v>
      </c>
      <c r="F83" s="235" t="s">
        <v>1394</v>
      </c>
      <c r="G83" s="237">
        <f>E83</f>
        <v>0</v>
      </c>
      <c r="H83" s="238">
        <v>46021</v>
      </c>
      <c r="I83" s="235" t="s">
        <v>778</v>
      </c>
    </row>
    <row r="84" spans="1:10">
      <c r="A84" s="235" t="s">
        <v>0</v>
      </c>
      <c r="B84" s="235" t="s">
        <v>476</v>
      </c>
      <c r="C84" s="235" t="s">
        <v>5</v>
      </c>
      <c r="D84" s="237">
        <v>60854.28</v>
      </c>
      <c r="E84" s="237">
        <f>D84-60854.28</f>
        <v>0</v>
      </c>
      <c r="F84" s="235" t="s">
        <v>1394</v>
      </c>
      <c r="G84" s="237">
        <f>E84</f>
        <v>0</v>
      </c>
      <c r="H84" s="238">
        <v>46021</v>
      </c>
      <c r="I84" s="235">
        <v>90003278</v>
      </c>
    </row>
    <row r="85" spans="1:10">
      <c r="A85" s="235" t="s">
        <v>0</v>
      </c>
      <c r="B85" s="235" t="s">
        <v>476</v>
      </c>
      <c r="C85" s="395" t="s">
        <v>8</v>
      </c>
      <c r="D85" s="237">
        <v>1313469.23</v>
      </c>
      <c r="E85" s="237">
        <f>D85-587408.88-726060.35</f>
        <v>0</v>
      </c>
      <c r="F85" s="235" t="s">
        <v>1394</v>
      </c>
      <c r="G85" s="237">
        <f t="shared" si="11"/>
        <v>0</v>
      </c>
      <c r="H85" s="238">
        <v>46021</v>
      </c>
      <c r="I85" s="235">
        <v>90003219</v>
      </c>
    </row>
    <row r="86" spans="1:10">
      <c r="A86" s="235" t="s">
        <v>0</v>
      </c>
      <c r="B86" s="235" t="s">
        <v>476</v>
      </c>
      <c r="C86" s="395" t="s">
        <v>8</v>
      </c>
      <c r="D86" s="237">
        <v>15245.5</v>
      </c>
      <c r="E86" s="237">
        <f>D86-15245.5</f>
        <v>0</v>
      </c>
      <c r="F86" s="235" t="s">
        <v>1394</v>
      </c>
      <c r="G86" s="237">
        <f t="shared" ref="G86:G101" si="12">E86</f>
        <v>0</v>
      </c>
      <c r="H86" s="238">
        <v>46019</v>
      </c>
      <c r="I86" s="235" t="s">
        <v>1412</v>
      </c>
    </row>
    <row r="87" spans="1:10">
      <c r="A87" s="235" t="s">
        <v>0</v>
      </c>
      <c r="B87" s="235" t="s">
        <v>476</v>
      </c>
      <c r="C87" s="395" t="s">
        <v>8</v>
      </c>
      <c r="D87" s="237">
        <v>-1748.05</v>
      </c>
      <c r="E87" s="237">
        <f>D87+1748.05</f>
        <v>0</v>
      </c>
      <c r="F87" s="235" t="s">
        <v>1394</v>
      </c>
      <c r="G87" s="237">
        <f t="shared" si="12"/>
        <v>0</v>
      </c>
      <c r="H87" s="238">
        <v>46019</v>
      </c>
      <c r="I87" s="235" t="s">
        <v>1413</v>
      </c>
    </row>
    <row r="88" spans="1:10">
      <c r="A88" s="235" t="s">
        <v>0</v>
      </c>
      <c r="B88" s="235" t="s">
        <v>476</v>
      </c>
      <c r="C88" s="395" t="s">
        <v>8</v>
      </c>
      <c r="D88" s="237">
        <v>1295081.32</v>
      </c>
      <c r="E88" s="237">
        <f>D88-739129.73-555951.59</f>
        <v>0</v>
      </c>
      <c r="F88" s="235" t="s">
        <v>1394</v>
      </c>
      <c r="G88" s="237">
        <f t="shared" si="12"/>
        <v>0</v>
      </c>
      <c r="H88" s="238">
        <v>46021</v>
      </c>
      <c r="I88" s="292">
        <v>90003286</v>
      </c>
    </row>
    <row r="89" spans="1:10">
      <c r="A89" s="235" t="s">
        <v>0</v>
      </c>
      <c r="B89" s="235" t="s">
        <v>476</v>
      </c>
      <c r="C89" s="235" t="s">
        <v>5</v>
      </c>
      <c r="D89" s="237">
        <v>351694.15</v>
      </c>
      <c r="E89" s="237">
        <f>351694.15-351694.15</f>
        <v>0</v>
      </c>
      <c r="F89" s="235" t="s">
        <v>1394</v>
      </c>
      <c r="G89" s="237">
        <f t="shared" si="12"/>
        <v>0</v>
      </c>
      <c r="H89" s="238">
        <v>46021</v>
      </c>
      <c r="I89" s="292">
        <v>90003285</v>
      </c>
    </row>
    <row r="90" spans="1:10">
      <c r="A90" s="235" t="s">
        <v>0</v>
      </c>
      <c r="B90" s="235" t="s">
        <v>476</v>
      </c>
      <c r="C90" s="235" t="s">
        <v>5</v>
      </c>
      <c r="D90" s="237">
        <v>348097.32</v>
      </c>
      <c r="E90" s="237">
        <f>348097.32-348097.32</f>
        <v>0</v>
      </c>
      <c r="F90" s="235" t="s">
        <v>1394</v>
      </c>
      <c r="G90" s="237">
        <f t="shared" si="12"/>
        <v>0</v>
      </c>
      <c r="H90" s="238">
        <v>46021</v>
      </c>
      <c r="I90" s="292">
        <v>90003284</v>
      </c>
    </row>
    <row r="91" spans="1:10">
      <c r="A91" s="235" t="s">
        <v>0</v>
      </c>
      <c r="B91" s="235" t="s">
        <v>476</v>
      </c>
      <c r="C91" s="235" t="s">
        <v>5</v>
      </c>
      <c r="D91" s="237">
        <v>348231.55</v>
      </c>
      <c r="E91" s="237">
        <f>348231.55-108152.66-240078.89</f>
        <v>0</v>
      </c>
      <c r="F91" s="235" t="s">
        <v>1394</v>
      </c>
      <c r="G91" s="237">
        <f t="shared" si="12"/>
        <v>0</v>
      </c>
      <c r="H91" s="238">
        <v>46021</v>
      </c>
      <c r="I91" s="292">
        <v>90003276</v>
      </c>
    </row>
    <row r="92" spans="1:10">
      <c r="A92" s="235" t="s">
        <v>0</v>
      </c>
      <c r="B92" s="235" t="s">
        <v>476</v>
      </c>
      <c r="C92" s="235" t="s">
        <v>5</v>
      </c>
      <c r="D92" s="237">
        <f>89344.37</f>
        <v>89344.37</v>
      </c>
      <c r="E92" s="237">
        <f>89344.37-61440.26-27904.11</f>
        <v>0</v>
      </c>
      <c r="F92" s="235" t="s">
        <v>1394</v>
      </c>
      <c r="G92" s="237">
        <f t="shared" si="12"/>
        <v>0</v>
      </c>
      <c r="H92" s="238">
        <v>46021</v>
      </c>
      <c r="I92" s="292">
        <v>90003277</v>
      </c>
    </row>
    <row r="93" spans="1:10">
      <c r="A93" s="235" t="s">
        <v>0</v>
      </c>
      <c r="B93" s="235" t="s">
        <v>476</v>
      </c>
      <c r="C93" s="235" t="s">
        <v>5</v>
      </c>
      <c r="D93" s="237">
        <v>87166.2</v>
      </c>
      <c r="E93" s="237">
        <f>87166.2-11700.97-75465.23</f>
        <v>0</v>
      </c>
      <c r="F93" s="235" t="s">
        <v>1394</v>
      </c>
      <c r="G93" s="237">
        <f t="shared" si="12"/>
        <v>0</v>
      </c>
      <c r="H93" s="238">
        <v>46021</v>
      </c>
      <c r="I93" s="292">
        <v>90003303</v>
      </c>
    </row>
    <row r="94" spans="1:10">
      <c r="A94" s="235" t="s">
        <v>0</v>
      </c>
      <c r="B94" s="235" t="s">
        <v>476</v>
      </c>
      <c r="C94" s="235" t="s">
        <v>5</v>
      </c>
      <c r="D94" s="237">
        <v>27635.24</v>
      </c>
      <c r="E94" s="237">
        <f>D94-27635.24</f>
        <v>0</v>
      </c>
      <c r="F94" s="235" t="s">
        <v>1394</v>
      </c>
      <c r="G94" s="237">
        <f t="shared" ref="G94:G100" si="13">E94</f>
        <v>0</v>
      </c>
      <c r="H94" s="238">
        <v>46048</v>
      </c>
      <c r="I94" s="292">
        <v>90003358</v>
      </c>
      <c r="J94" s="292"/>
    </row>
    <row r="95" spans="1:10">
      <c r="A95" s="235" t="s">
        <v>0</v>
      </c>
      <c r="B95" s="235" t="s">
        <v>476</v>
      </c>
      <c r="C95" s="235" t="s">
        <v>5</v>
      </c>
      <c r="D95" s="237">
        <v>1629653.81</v>
      </c>
      <c r="E95" s="237">
        <f>D95-991239.08-630499.72-7915.01</f>
        <v>1.255102688446641E-10</v>
      </c>
      <c r="F95" s="235" t="s">
        <v>1394</v>
      </c>
      <c r="G95" s="237">
        <f t="shared" si="13"/>
        <v>1.255102688446641E-10</v>
      </c>
      <c r="H95" s="238">
        <v>46048</v>
      </c>
      <c r="I95" s="292">
        <v>90003367</v>
      </c>
      <c r="J95" s="292"/>
    </row>
    <row r="96" spans="1:10">
      <c r="A96" s="235" t="s">
        <v>0</v>
      </c>
      <c r="B96" s="235" t="s">
        <v>476</v>
      </c>
      <c r="C96" s="235" t="s">
        <v>5</v>
      </c>
      <c r="D96" s="237">
        <v>1011877.62</v>
      </c>
      <c r="E96" s="237">
        <f>D96-538557.56-473320.06</f>
        <v>0</v>
      </c>
      <c r="F96" s="235" t="s">
        <v>1394</v>
      </c>
      <c r="G96" s="237">
        <f t="shared" si="13"/>
        <v>0</v>
      </c>
      <c r="H96" s="238">
        <v>46048</v>
      </c>
      <c r="I96" s="292">
        <v>90003372</v>
      </c>
      <c r="J96" s="292"/>
    </row>
    <row r="97" spans="1:12">
      <c r="A97" s="235" t="s">
        <v>0</v>
      </c>
      <c r="B97" s="235" t="s">
        <v>476</v>
      </c>
      <c r="C97" s="235" t="s">
        <v>5</v>
      </c>
      <c r="D97" s="237">
        <v>342580.68</v>
      </c>
      <c r="E97" s="237">
        <f>D97-30232.9-141149.41</f>
        <v>171198.36999999997</v>
      </c>
      <c r="F97" s="235" t="s">
        <v>1394</v>
      </c>
      <c r="G97" s="237">
        <f t="shared" si="13"/>
        <v>171198.36999999997</v>
      </c>
      <c r="H97" s="238">
        <v>46042</v>
      </c>
      <c r="I97" s="292">
        <v>90003332</v>
      </c>
      <c r="J97" s="292"/>
    </row>
    <row r="98" spans="1:12">
      <c r="A98" s="235" t="s">
        <v>0</v>
      </c>
      <c r="B98" s="235" t="s">
        <v>476</v>
      </c>
      <c r="C98" s="235" t="s">
        <v>5</v>
      </c>
      <c r="D98" s="237">
        <v>15776.93</v>
      </c>
      <c r="E98" s="237">
        <v>15776.93</v>
      </c>
      <c r="F98" s="235" t="s">
        <v>1394</v>
      </c>
      <c r="G98" s="237">
        <f t="shared" si="13"/>
        <v>15776.93</v>
      </c>
      <c r="H98" s="238">
        <v>46048</v>
      </c>
      <c r="I98" s="292" t="s">
        <v>1414</v>
      </c>
      <c r="J98" s="292"/>
    </row>
    <row r="99" spans="1:12">
      <c r="A99" s="235" t="s">
        <v>0</v>
      </c>
      <c r="B99" s="235" t="s">
        <v>476</v>
      </c>
      <c r="C99" s="235" t="s">
        <v>5</v>
      </c>
      <c r="D99" s="237">
        <v>350778.68</v>
      </c>
      <c r="E99" s="237">
        <v>350778.68</v>
      </c>
      <c r="F99" s="235" t="s">
        <v>1394</v>
      </c>
      <c r="G99" s="237">
        <f t="shared" si="13"/>
        <v>350778.68</v>
      </c>
      <c r="H99" s="238">
        <v>46042</v>
      </c>
      <c r="I99" s="292">
        <v>90003394</v>
      </c>
      <c r="J99" s="292"/>
    </row>
    <row r="100" spans="1:12">
      <c r="A100" s="235" t="s">
        <v>0</v>
      </c>
      <c r="B100" s="235" t="s">
        <v>476</v>
      </c>
      <c r="C100" s="235" t="s">
        <v>5</v>
      </c>
      <c r="D100" s="237">
        <v>346732.91</v>
      </c>
      <c r="E100" s="237">
        <v>346732.91</v>
      </c>
      <c r="F100" s="235" t="s">
        <v>1394</v>
      </c>
      <c r="G100" s="237">
        <f t="shared" si="13"/>
        <v>346732.91</v>
      </c>
      <c r="H100" s="238">
        <v>46042</v>
      </c>
      <c r="I100" s="292">
        <v>90003398</v>
      </c>
      <c r="J100" s="292"/>
    </row>
    <row r="101" spans="1:12">
      <c r="A101" s="235" t="s">
        <v>0</v>
      </c>
      <c r="B101" s="235" t="s">
        <v>476</v>
      </c>
      <c r="C101" s="235" t="s">
        <v>5</v>
      </c>
      <c r="D101" s="237">
        <v>356465.4</v>
      </c>
      <c r="E101" s="237">
        <v>356465.4</v>
      </c>
      <c r="F101" s="235" t="s">
        <v>1394</v>
      </c>
      <c r="G101" s="237">
        <f t="shared" si="12"/>
        <v>356465.4</v>
      </c>
      <c r="H101" s="238">
        <v>46021</v>
      </c>
      <c r="I101" s="292">
        <v>90003293</v>
      </c>
      <c r="J101" s="236" t="s">
        <v>1415</v>
      </c>
    </row>
    <row r="102" spans="1:12">
      <c r="A102" s="235" t="s">
        <v>0</v>
      </c>
      <c r="B102" s="235" t="s">
        <v>476</v>
      </c>
      <c r="C102" s="235" t="s">
        <v>5</v>
      </c>
      <c r="D102" s="237">
        <v>407106.7</v>
      </c>
      <c r="E102" s="237">
        <v>407106.7</v>
      </c>
      <c r="F102" s="235" t="s">
        <v>1394</v>
      </c>
      <c r="G102" s="237">
        <f t="shared" ref="G102:G104" si="14">E102</f>
        <v>407106.7</v>
      </c>
      <c r="H102" s="238">
        <v>46021</v>
      </c>
      <c r="I102" s="292">
        <v>90003297</v>
      </c>
      <c r="J102" s="236" t="s">
        <v>1415</v>
      </c>
    </row>
    <row r="103" spans="1:12">
      <c r="A103" s="235" t="s">
        <v>0</v>
      </c>
      <c r="B103" s="235" t="s">
        <v>476</v>
      </c>
      <c r="C103" s="235" t="s">
        <v>5</v>
      </c>
      <c r="D103" s="237">
        <v>406406</v>
      </c>
      <c r="E103" s="237">
        <v>406406</v>
      </c>
      <c r="F103" s="235" t="s">
        <v>1394</v>
      </c>
      <c r="G103" s="237">
        <f t="shared" si="14"/>
        <v>406406</v>
      </c>
      <c r="H103" s="238">
        <v>46021</v>
      </c>
      <c r="I103" s="292">
        <v>90003298</v>
      </c>
      <c r="J103" s="236" t="s">
        <v>1415</v>
      </c>
    </row>
    <row r="104" spans="1:12">
      <c r="A104" s="292" t="s">
        <v>0</v>
      </c>
      <c r="B104" s="292" t="s">
        <v>476</v>
      </c>
      <c r="C104" s="292" t="s">
        <v>5</v>
      </c>
      <c r="D104" s="89">
        <v>175000</v>
      </c>
      <c r="E104" s="89">
        <v>175000</v>
      </c>
      <c r="F104" s="292" t="s">
        <v>1394</v>
      </c>
      <c r="G104" s="89">
        <f t="shared" si="14"/>
        <v>175000</v>
      </c>
      <c r="H104" s="432">
        <v>46021</v>
      </c>
      <c r="I104" s="292" t="s">
        <v>1416</v>
      </c>
    </row>
    <row r="105" spans="1:12">
      <c r="A105" s="292" t="s">
        <v>0</v>
      </c>
      <c r="B105" s="292" t="s">
        <v>476</v>
      </c>
      <c r="C105" s="292" t="s">
        <v>5</v>
      </c>
      <c r="D105" s="89">
        <v>223131.56</v>
      </c>
      <c r="E105" s="89">
        <v>223131.56</v>
      </c>
      <c r="F105" s="292" t="s">
        <v>1394</v>
      </c>
      <c r="G105" s="89">
        <f>E105</f>
        <v>223131.56</v>
      </c>
      <c r="H105" s="432">
        <v>46016</v>
      </c>
      <c r="I105" s="292" t="s">
        <v>1417</v>
      </c>
    </row>
    <row r="106" spans="1:12">
      <c r="A106" s="292"/>
      <c r="B106" s="292"/>
      <c r="C106" s="292"/>
      <c r="D106" s="89"/>
      <c r="E106" s="89"/>
      <c r="F106" s="292"/>
      <c r="G106" s="89"/>
      <c r="H106" s="432"/>
      <c r="I106" s="292"/>
    </row>
    <row r="107" spans="1:12" ht="15.75" customHeight="1">
      <c r="L107" s="237">
        <f ca="1">E108*VLOOKUP(C108,'FX RATES'!$E$1:$F$10,2,FALSE)/VLOOKUP("RUB",'FX RATES'!$E$1:$F$10,2,FALSE)</f>
        <v>0</v>
      </c>
    </row>
    <row r="108" spans="1:12" ht="15.75" customHeight="1">
      <c r="A108" s="235" t="s">
        <v>31</v>
      </c>
      <c r="B108" s="235" t="s">
        <v>476</v>
      </c>
      <c r="C108" s="235" t="s">
        <v>5</v>
      </c>
      <c r="D108" s="240">
        <v>9071043.1199999992</v>
      </c>
      <c r="E108" s="237">
        <f>D108-D108</f>
        <v>0</v>
      </c>
      <c r="F108" s="235" t="s">
        <v>1394</v>
      </c>
      <c r="G108" s="237">
        <f t="shared" ref="G108:G110" si="15">E108</f>
        <v>0</v>
      </c>
      <c r="H108" s="238">
        <v>45713</v>
      </c>
      <c r="I108" s="235">
        <v>90002279</v>
      </c>
      <c r="L108" s="237">
        <f ca="1">E109*VLOOKUP(C109,'FX RATES'!$E$1:$F$10,2,FALSE)/VLOOKUP("RUB",'FX RATES'!$E$1:$F$10,2,FALSE)</f>
        <v>0</v>
      </c>
    </row>
    <row r="109" spans="1:12" ht="15.75" customHeight="1">
      <c r="A109" s="235" t="s">
        <v>31</v>
      </c>
      <c r="B109" s="235" t="s">
        <v>476</v>
      </c>
      <c r="C109" s="235" t="s">
        <v>5</v>
      </c>
      <c r="D109" s="240">
        <v>1608137.22</v>
      </c>
      <c r="E109" s="237">
        <f>D109-1022410.23-585726.99</f>
        <v>0</v>
      </c>
      <c r="F109" s="235" t="s">
        <v>1394</v>
      </c>
      <c r="G109" s="237">
        <f t="shared" si="15"/>
        <v>0</v>
      </c>
      <c r="H109" s="238">
        <v>45713</v>
      </c>
      <c r="I109" s="235">
        <v>90002280</v>
      </c>
      <c r="L109" s="237">
        <f ca="1">E110*VLOOKUP(C110,'FX RATES'!$E$1:$F$10,2,FALSE)/VLOOKUP("RUB",'FX RATES'!$E$1:$F$10,2,FALSE)</f>
        <v>0</v>
      </c>
    </row>
    <row r="110" spans="1:12" ht="15.75" customHeight="1">
      <c r="A110" s="235" t="s">
        <v>31</v>
      </c>
      <c r="B110" s="235" t="s">
        <v>476</v>
      </c>
      <c r="C110" s="235" t="s">
        <v>5</v>
      </c>
      <c r="D110" s="240">
        <v>2545276.83</v>
      </c>
      <c r="E110" s="237">
        <f>2545276.83-2107.19-576787.75-420849.05-417945.17-1127587.67</f>
        <v>0</v>
      </c>
      <c r="F110" s="235" t="s">
        <v>1394</v>
      </c>
      <c r="G110" s="237">
        <f t="shared" si="15"/>
        <v>0</v>
      </c>
      <c r="H110" s="238">
        <v>45731</v>
      </c>
      <c r="I110" s="235">
        <v>90002292</v>
      </c>
      <c r="L110" s="237">
        <f ca="1">E111*VLOOKUP(C111,'FX RATES'!$E$1:$F$10,2,FALSE)/VLOOKUP("RUB",'FX RATES'!$E$1:$F$10,2,FALSE)</f>
        <v>0</v>
      </c>
    </row>
    <row r="111" spans="1:12" ht="15" customHeight="1">
      <c r="A111" s="235" t="s">
        <v>31</v>
      </c>
      <c r="B111" s="235" t="s">
        <v>476</v>
      </c>
      <c r="C111" s="235" t="s">
        <v>5</v>
      </c>
      <c r="D111" s="240">
        <v>4492487.58</v>
      </c>
      <c r="E111" s="237">
        <f>D111-169138.48-590707.75-2706097.7-1026543.65</f>
        <v>0</v>
      </c>
      <c r="F111" s="235" t="s">
        <v>1394</v>
      </c>
      <c r="G111" s="237">
        <f t="shared" ref="G111:G116" si="16">E111</f>
        <v>0</v>
      </c>
      <c r="H111" s="238">
        <v>45731</v>
      </c>
      <c r="I111" s="235">
        <v>90002349</v>
      </c>
      <c r="L111" s="237">
        <f ca="1">E112*VLOOKUP(C112,'FX RATES'!$E$1:$F$10,2,FALSE)/VLOOKUP("RUB",'FX RATES'!$E$1:$F$10,2,FALSE)</f>
        <v>0</v>
      </c>
    </row>
    <row r="112" spans="1:12" ht="15" customHeight="1">
      <c r="A112" s="235" t="s">
        <v>31</v>
      </c>
      <c r="B112" s="235" t="s">
        <v>476</v>
      </c>
      <c r="C112" s="235" t="s">
        <v>5</v>
      </c>
      <c r="D112" s="240">
        <v>5144214.3</v>
      </c>
      <c r="E112" s="237">
        <f>D112-850385.28-4293829.02</f>
        <v>0</v>
      </c>
      <c r="F112" s="235" t="s">
        <v>1394</v>
      </c>
      <c r="G112" s="237">
        <f t="shared" si="16"/>
        <v>0</v>
      </c>
      <c r="H112" s="238">
        <v>45744</v>
      </c>
      <c r="I112" s="235">
        <v>90002400</v>
      </c>
      <c r="L112" s="237">
        <f ca="1">E113*VLOOKUP(C113,'FX RATES'!$E$1:$F$10,2,FALSE)/VLOOKUP("RUB",'FX RATES'!$E$1:$F$10,2,FALSE)</f>
        <v>0</v>
      </c>
    </row>
    <row r="113" spans="1:12" ht="15" customHeight="1">
      <c r="A113" s="235" t="s">
        <v>31</v>
      </c>
      <c r="B113" s="235" t="s">
        <v>476</v>
      </c>
      <c r="C113" s="235" t="s">
        <v>5</v>
      </c>
      <c r="D113" s="240">
        <v>3305512.42</v>
      </c>
      <c r="E113" s="237">
        <f>3305512.42-3305512.42</f>
        <v>0</v>
      </c>
      <c r="F113" s="235" t="s">
        <v>1394</v>
      </c>
      <c r="G113" s="237">
        <f t="shared" si="16"/>
        <v>0</v>
      </c>
      <c r="H113" s="238">
        <v>45752</v>
      </c>
      <c r="I113" s="235">
        <v>90002421</v>
      </c>
      <c r="L113" s="237">
        <f ca="1">E114*VLOOKUP(C114,'FX RATES'!$E$1:$F$10,2,FALSE)/VLOOKUP("RUB",'FX RATES'!$E$1:$F$10,2,FALSE)</f>
        <v>8.4848696133121845E-8</v>
      </c>
    </row>
    <row r="114" spans="1:12" ht="15" customHeight="1">
      <c r="A114" s="235" t="s">
        <v>31</v>
      </c>
      <c r="B114" s="235" t="s">
        <v>476</v>
      </c>
      <c r="C114" s="235" t="s">
        <v>5</v>
      </c>
      <c r="D114" s="240">
        <v>8084896.1900000004</v>
      </c>
      <c r="E114" s="237">
        <f>D114-1114793.47-1025132.14-1021820.5-634891.16-793406.44-3022688.53-168011.26-304152.69</f>
        <v>1.1059455573558807E-9</v>
      </c>
      <c r="F114" s="235" t="s">
        <v>1394</v>
      </c>
      <c r="G114" s="237">
        <f t="shared" si="16"/>
        <v>1.1059455573558807E-9</v>
      </c>
      <c r="H114" s="238">
        <v>45754</v>
      </c>
      <c r="I114" s="235">
        <v>90002429</v>
      </c>
      <c r="L114" s="237">
        <f ca="1">E115*VLOOKUP(C115,'FX RATES'!$E$1:$F$10,2,FALSE)/VLOOKUP("RUB",'FX RATES'!$E$1:$F$10,2,FALSE)</f>
        <v>0</v>
      </c>
    </row>
    <row r="115" spans="1:12" ht="15" customHeight="1">
      <c r="A115" s="235" t="s">
        <v>31</v>
      </c>
      <c r="B115" s="235" t="s">
        <v>476</v>
      </c>
      <c r="C115" s="235" t="s">
        <v>5</v>
      </c>
      <c r="D115" s="240">
        <v>3926005.73</v>
      </c>
      <c r="E115" s="237">
        <f>D115-801197.7-3124808.03</f>
        <v>0</v>
      </c>
      <c r="F115" s="235" t="s">
        <v>1394</v>
      </c>
      <c r="G115" s="237">
        <f t="shared" si="16"/>
        <v>0</v>
      </c>
      <c r="H115" s="238">
        <v>45761</v>
      </c>
      <c r="I115" s="235">
        <v>90002461</v>
      </c>
      <c r="L115" s="237">
        <f ca="1">E116*VLOOKUP(C116,'FX RATES'!$E$1:$F$10,2,FALSE)/VLOOKUP("RUB",'FX RATES'!$E$1:$F$10,2,FALSE)</f>
        <v>0</v>
      </c>
    </row>
    <row r="116" spans="1:12" ht="15" customHeight="1">
      <c r="A116" s="235" t="s">
        <v>31</v>
      </c>
      <c r="B116" s="235" t="s">
        <v>476</v>
      </c>
      <c r="C116" s="235" t="s">
        <v>5</v>
      </c>
      <c r="D116" s="240">
        <v>839142.98</v>
      </c>
      <c r="E116" s="237">
        <f>D116-839142.98</f>
        <v>0</v>
      </c>
      <c r="F116" s="235" t="s">
        <v>1394</v>
      </c>
      <c r="G116" s="237">
        <f t="shared" si="16"/>
        <v>0</v>
      </c>
      <c r="H116" s="238">
        <v>45761</v>
      </c>
      <c r="I116" s="235">
        <v>90002463</v>
      </c>
      <c r="L116" s="237">
        <f ca="1">E117*VLOOKUP(C117,'FX RATES'!$E$1:$F$10,2,FALSE)/VLOOKUP("RUB",'FX RATES'!$E$1:$F$10,2,FALSE)</f>
        <v>0</v>
      </c>
    </row>
    <row r="117" spans="1:12" ht="15" customHeight="1">
      <c r="A117" s="235" t="s">
        <v>31</v>
      </c>
      <c r="B117" s="235" t="s">
        <v>476</v>
      </c>
      <c r="C117" s="235" t="s">
        <v>5</v>
      </c>
      <c r="D117" s="240">
        <v>178087.15</v>
      </c>
      <c r="E117" s="237">
        <f>D117-178087.15</f>
        <v>0</v>
      </c>
      <c r="F117" s="235" t="s">
        <v>1394</v>
      </c>
      <c r="G117" s="237">
        <f t="shared" ref="G117:G118" si="17">E117</f>
        <v>0</v>
      </c>
      <c r="H117" s="238">
        <v>45762</v>
      </c>
      <c r="I117" s="235">
        <v>90002482</v>
      </c>
      <c r="L117" s="237">
        <f ca="1">E118*VLOOKUP(C118,'FX RATES'!$E$1:$F$10,2,FALSE)/VLOOKUP("RUB",'FX RATES'!$E$1:$F$10,2,FALSE)</f>
        <v>0</v>
      </c>
    </row>
    <row r="118" spans="1:12" ht="15" customHeight="1">
      <c r="A118" s="235" t="s">
        <v>31</v>
      </c>
      <c r="B118" s="235" t="s">
        <v>476</v>
      </c>
      <c r="C118" s="235" t="s">
        <v>5</v>
      </c>
      <c r="D118" s="240">
        <v>7656794.5899999999</v>
      </c>
      <c r="E118" s="237">
        <f>D118-1860125.55-1109961.41-767680.2-1544932.14-558425.91-382216.39-823209.41-63319.1-546924.48</f>
        <v>0</v>
      </c>
      <c r="F118" s="235" t="s">
        <v>1394</v>
      </c>
      <c r="G118" s="237">
        <f t="shared" si="17"/>
        <v>0</v>
      </c>
      <c r="H118" s="238">
        <v>45770</v>
      </c>
      <c r="I118" s="235">
        <v>90002522</v>
      </c>
      <c r="L118" s="237">
        <f ca="1">E119*VLOOKUP(C119,'FX RATES'!$E$1:$F$10,2,FALSE)/VLOOKUP("RUB",'FX RATES'!$E$1:$F$10,2,FALSE)</f>
        <v>0</v>
      </c>
    </row>
    <row r="119" spans="1:12" ht="15" customHeight="1">
      <c r="A119" s="235" t="s">
        <v>31</v>
      </c>
      <c r="B119" s="235" t="s">
        <v>476</v>
      </c>
      <c r="C119" s="235" t="s">
        <v>5</v>
      </c>
      <c r="D119" s="240">
        <v>4219930.09</v>
      </c>
      <c r="E119" s="237">
        <f>D119-2587241.62-252545.89-586406.59-793735.99</f>
        <v>0</v>
      </c>
      <c r="F119" s="235" t="s">
        <v>1394</v>
      </c>
      <c r="G119" s="237">
        <f t="shared" ref="G119:G123" si="18">E119</f>
        <v>0</v>
      </c>
      <c r="H119" s="238">
        <v>45770</v>
      </c>
      <c r="I119" s="235">
        <v>90002561</v>
      </c>
      <c r="L119" s="237">
        <f ca="1">E120*VLOOKUP(C120,'FX RATES'!$E$1:$F$10,2,FALSE)/VLOOKUP("RUB",'FX RATES'!$E$1:$F$10,2,FALSE)</f>
        <v>0</v>
      </c>
    </row>
    <row r="120" spans="1:12" ht="15" customHeight="1">
      <c r="A120" s="235" t="s">
        <v>31</v>
      </c>
      <c r="B120" s="235" t="s">
        <v>476</v>
      </c>
      <c r="C120" s="235" t="s">
        <v>5</v>
      </c>
      <c r="D120" s="240">
        <v>4144068.74</v>
      </c>
      <c r="E120" s="237">
        <f>D120-206481.01-612826.32-371162.05-2953599.36</f>
        <v>0</v>
      </c>
      <c r="F120" s="235" t="s">
        <v>1394</v>
      </c>
      <c r="G120" s="237">
        <f t="shared" si="18"/>
        <v>0</v>
      </c>
      <c r="H120" s="238">
        <v>45770</v>
      </c>
      <c r="I120" s="235">
        <v>90002653</v>
      </c>
      <c r="L120" s="237">
        <f ca="1">E121*VLOOKUP(C121,'FX RATES'!$E$1:$F$10,2,FALSE)/VLOOKUP("RUB",'FX RATES'!$E$1:$F$10,2,FALSE)</f>
        <v>7.5917254434898491E-8</v>
      </c>
    </row>
    <row r="121" spans="1:12" ht="15" customHeight="1">
      <c r="A121" s="235" t="s">
        <v>31</v>
      </c>
      <c r="B121" s="235" t="s">
        <v>476</v>
      </c>
      <c r="C121" s="235" t="s">
        <v>5</v>
      </c>
      <c r="D121" s="240">
        <v>8526569.6400000006</v>
      </c>
      <c r="E121" s="240">
        <f>D121-3100138.35-934740.77-473460.33-1650271.53-2003112.11-364846.55</f>
        <v>9.8953023552894592E-10</v>
      </c>
      <c r="F121" s="235" t="s">
        <v>1394</v>
      </c>
      <c r="G121" s="237">
        <f t="shared" si="18"/>
        <v>9.8953023552894592E-10</v>
      </c>
      <c r="H121" s="238">
        <v>45770</v>
      </c>
      <c r="I121" s="235">
        <v>90002667</v>
      </c>
      <c r="L121" s="237">
        <f ca="1">E122*VLOOKUP(C122,'FX RATES'!$E$1:$F$10,2,FALSE)/VLOOKUP("RUB",'FX RATES'!$E$1:$F$10,2,FALSE)</f>
        <v>6.0287231463007631E-8</v>
      </c>
    </row>
    <row r="122" spans="1:12" ht="15" customHeight="1">
      <c r="A122" s="235" t="s">
        <v>31</v>
      </c>
      <c r="B122" s="235" t="s">
        <v>476</v>
      </c>
      <c r="C122" s="235" t="s">
        <v>5</v>
      </c>
      <c r="D122" s="240">
        <v>6006470.2400000002</v>
      </c>
      <c r="E122" s="240">
        <f>D122-1821266.89-209033.3-969221.17-1680196.72-1071246.83-255505.33</f>
        <v>7.8580342233181E-10</v>
      </c>
      <c r="F122" s="235" t="s">
        <v>1394</v>
      </c>
      <c r="G122" s="237">
        <f t="shared" si="18"/>
        <v>7.8580342233181E-10</v>
      </c>
      <c r="H122" s="238">
        <v>45772</v>
      </c>
      <c r="I122" s="235">
        <v>90002703</v>
      </c>
      <c r="L122" s="237">
        <f ca="1">E123*VLOOKUP(C123,'FX RATES'!$E$1:$F$10,2,FALSE)/VLOOKUP("RUB",'FX RATES'!$E$1:$F$10,2,FALSE)</f>
        <v>0</v>
      </c>
    </row>
    <row r="123" spans="1:12">
      <c r="A123" s="235" t="s">
        <v>31</v>
      </c>
      <c r="B123" s="235" t="s">
        <v>476</v>
      </c>
      <c r="C123" s="235" t="s">
        <v>5</v>
      </c>
      <c r="D123" s="240">
        <v>2217280.15</v>
      </c>
      <c r="E123" s="240">
        <f>D123-1383364.38-640297.08-193618.69</f>
        <v>0</v>
      </c>
      <c r="F123" s="235" t="s">
        <v>1394</v>
      </c>
      <c r="G123" s="237">
        <f t="shared" si="18"/>
        <v>0</v>
      </c>
      <c r="H123" s="238">
        <v>45772</v>
      </c>
      <c r="I123" s="235">
        <v>90002704</v>
      </c>
      <c r="L123" s="237">
        <f ca="1">E124*VLOOKUP(C124,'FX RATES'!$E$1:$F$10,2,FALSE)/VLOOKUP("RUB",'FX RATES'!$E$1:$F$10,2,FALSE)</f>
        <v>0</v>
      </c>
    </row>
    <row r="124" spans="1:12">
      <c r="A124" s="235" t="s">
        <v>31</v>
      </c>
      <c r="B124" s="235" t="s">
        <v>476</v>
      </c>
      <c r="C124" s="235" t="s">
        <v>5</v>
      </c>
      <c r="D124" s="240">
        <v>4077765.86</v>
      </c>
      <c r="E124" s="240">
        <f>4077765.86-2619022.13-1342529.55-116214.18</f>
        <v>0</v>
      </c>
      <c r="F124" s="235" t="s">
        <v>1394</v>
      </c>
      <c r="G124" s="237">
        <f t="shared" ref="G124:G130" si="19">E124</f>
        <v>0</v>
      </c>
      <c r="H124" s="238">
        <v>45787</v>
      </c>
      <c r="I124" s="235">
        <v>90002750</v>
      </c>
      <c r="L124" s="237">
        <f ca="1">E125*VLOOKUP(C125,'FX RATES'!$E$1:$F$10,2,FALSE)/VLOOKUP("RUB",'FX RATES'!$E$1:$F$10,2,FALSE)</f>
        <v>0</v>
      </c>
    </row>
    <row r="125" spans="1:12">
      <c r="A125" s="235" t="s">
        <v>31</v>
      </c>
      <c r="B125" s="235" t="s">
        <v>476</v>
      </c>
      <c r="C125" s="235" t="s">
        <v>5</v>
      </c>
      <c r="D125" s="240">
        <v>1848210.85</v>
      </c>
      <c r="E125" s="240">
        <f>D125-1152525-197665.19-70148.02-135385.61-110245.61-182241.42</f>
        <v>0</v>
      </c>
      <c r="F125" s="235" t="s">
        <v>1394</v>
      </c>
      <c r="G125" s="237">
        <f t="shared" si="19"/>
        <v>0</v>
      </c>
      <c r="H125" s="238">
        <v>45813</v>
      </c>
      <c r="I125" s="235">
        <v>95000371</v>
      </c>
      <c r="L125" s="237">
        <f ca="1">E126*VLOOKUP(C126,'FX RATES'!$E$1:$F$10,2,FALSE)/VLOOKUP("RUB",'FX RATES'!$E$1:$F$10,2,FALSE)</f>
        <v>0</v>
      </c>
    </row>
    <row r="126" spans="1:12">
      <c r="A126" s="235" t="s">
        <v>31</v>
      </c>
      <c r="B126" s="235" t="s">
        <v>476</v>
      </c>
      <c r="C126" s="235" t="s">
        <v>5</v>
      </c>
      <c r="D126" s="240">
        <v>3456724.94</v>
      </c>
      <c r="E126" s="240">
        <f>3456724.94-1016146.25-428963.27-1039299.48-856003.01-116312.93</f>
        <v>0</v>
      </c>
      <c r="F126" s="235" t="s">
        <v>1394</v>
      </c>
      <c r="G126" s="237">
        <f t="shared" si="19"/>
        <v>0</v>
      </c>
      <c r="H126" s="238">
        <v>45822</v>
      </c>
      <c r="I126" s="235">
        <v>90002838</v>
      </c>
      <c r="L126" s="237">
        <f ca="1">E127*VLOOKUP(C127,'FX RATES'!$E$1:$F$10,2,FALSE)/VLOOKUP("RUB",'FX RATES'!$E$1:$F$10,2,FALSE)</f>
        <v>0</v>
      </c>
    </row>
    <row r="127" spans="1:12">
      <c r="A127" s="235" t="s">
        <v>31</v>
      </c>
      <c r="B127" s="235" t="s">
        <v>476</v>
      </c>
      <c r="C127" s="235" t="s">
        <v>5</v>
      </c>
      <c r="D127" s="240">
        <v>4270026.3499999996</v>
      </c>
      <c r="E127" s="240">
        <f>D127-1152525-197665.19-70148.02-135385.61-110245.61-2604056.92</f>
        <v>0</v>
      </c>
      <c r="F127" s="235" t="s">
        <v>1394</v>
      </c>
      <c r="G127" s="237">
        <f t="shared" si="19"/>
        <v>0</v>
      </c>
      <c r="H127" s="238">
        <v>45891</v>
      </c>
      <c r="I127" s="235">
        <v>90002930</v>
      </c>
      <c r="L127" s="237"/>
    </row>
    <row r="128" spans="1:12">
      <c r="A128" s="235" t="s">
        <v>31</v>
      </c>
      <c r="B128" s="235" t="s">
        <v>476</v>
      </c>
      <c r="C128" s="235" t="s">
        <v>5</v>
      </c>
      <c r="D128" s="240">
        <v>2220620.5099999998</v>
      </c>
      <c r="E128" s="240">
        <f>2220620.51-292487.03-1928133.48</f>
        <v>0</v>
      </c>
      <c r="F128" s="235" t="s">
        <v>1394</v>
      </c>
      <c r="G128" s="237">
        <f t="shared" si="19"/>
        <v>0</v>
      </c>
      <c r="H128" s="238">
        <v>45822</v>
      </c>
      <c r="I128" s="235">
        <v>90003002</v>
      </c>
      <c r="L128" s="237"/>
    </row>
    <row r="129" spans="1:12">
      <c r="A129" s="235" t="s">
        <v>31</v>
      </c>
      <c r="B129" s="235" t="s">
        <v>476</v>
      </c>
      <c r="C129" s="235" t="s">
        <v>5</v>
      </c>
      <c r="D129" s="240">
        <v>578260.21</v>
      </c>
      <c r="E129" s="240">
        <f>578260.21-578260.21</f>
        <v>0</v>
      </c>
      <c r="F129" s="235" t="s">
        <v>1394</v>
      </c>
      <c r="G129" s="237">
        <f t="shared" si="19"/>
        <v>0</v>
      </c>
      <c r="H129" s="238">
        <v>45891</v>
      </c>
      <c r="I129" s="235">
        <v>90003003</v>
      </c>
      <c r="L129" s="237"/>
    </row>
    <row r="130" spans="1:12">
      <c r="A130" s="235" t="s">
        <v>31</v>
      </c>
      <c r="B130" s="235" t="s">
        <v>476</v>
      </c>
      <c r="C130" s="235" t="s">
        <v>5</v>
      </c>
      <c r="D130" s="240">
        <v>1248910.6599999999</v>
      </c>
      <c r="E130" s="240">
        <f>1248910.66-1248910.66</f>
        <v>0</v>
      </c>
      <c r="F130" s="235" t="s">
        <v>1394</v>
      </c>
      <c r="G130" s="237">
        <f t="shared" si="19"/>
        <v>0</v>
      </c>
      <c r="H130" s="238">
        <v>45891</v>
      </c>
      <c r="I130" s="235">
        <v>90003012</v>
      </c>
      <c r="L130" s="237"/>
    </row>
    <row r="131" spans="1:12">
      <c r="A131" s="235" t="s">
        <v>31</v>
      </c>
      <c r="B131" s="235" t="s">
        <v>476</v>
      </c>
      <c r="C131" s="235" t="s">
        <v>5</v>
      </c>
      <c r="D131" s="240">
        <v>4269397.62</v>
      </c>
      <c r="E131" s="240">
        <f>D131-2238570.96-416996.82-368478.84-305290.92-655094.38-284965.7</f>
        <v>0</v>
      </c>
      <c r="F131" s="235" t="s">
        <v>1394</v>
      </c>
      <c r="G131" s="237">
        <f t="shared" ref="G131:G136" si="20">E131</f>
        <v>0</v>
      </c>
      <c r="H131" s="238">
        <v>45900</v>
      </c>
      <c r="I131" s="235">
        <v>90003033</v>
      </c>
      <c r="L131" s="237"/>
    </row>
    <row r="132" spans="1:12">
      <c r="A132" s="235" t="s">
        <v>31</v>
      </c>
      <c r="B132" s="235" t="s">
        <v>476</v>
      </c>
      <c r="C132" s="235" t="s">
        <v>5</v>
      </c>
      <c r="D132" s="240">
        <v>2231533.2400000002</v>
      </c>
      <c r="E132" s="240">
        <f>D132-1502681.77-728851.47</f>
        <v>0</v>
      </c>
      <c r="F132" s="235" t="s">
        <v>1394</v>
      </c>
      <c r="G132" s="237">
        <f t="shared" si="20"/>
        <v>0</v>
      </c>
      <c r="H132" s="238">
        <v>45900</v>
      </c>
      <c r="I132" s="235">
        <v>90003078</v>
      </c>
      <c r="L132" s="237"/>
    </row>
    <row r="133" spans="1:12">
      <c r="A133" s="235" t="s">
        <v>31</v>
      </c>
      <c r="B133" s="235" t="s">
        <v>476</v>
      </c>
      <c r="C133" s="235" t="s">
        <v>5</v>
      </c>
      <c r="D133" s="240">
        <v>700677.66</v>
      </c>
      <c r="E133" s="240">
        <f>D133-700677.66</f>
        <v>0</v>
      </c>
      <c r="F133" s="235" t="s">
        <v>1394</v>
      </c>
      <c r="G133" s="237">
        <f t="shared" si="20"/>
        <v>0</v>
      </c>
      <c r="H133" s="238">
        <v>45900</v>
      </c>
      <c r="I133" s="235">
        <v>90003060</v>
      </c>
      <c r="J133" s="236" t="s">
        <v>1418</v>
      </c>
      <c r="L133" s="237"/>
    </row>
    <row r="134" spans="1:12">
      <c r="A134" s="235" t="s">
        <v>31</v>
      </c>
      <c r="B134" s="235" t="s">
        <v>476</v>
      </c>
      <c r="C134" s="235" t="s">
        <v>5</v>
      </c>
      <c r="D134" s="240">
        <v>4171693.31</v>
      </c>
      <c r="E134" s="240">
        <f>D134-1710248-150000.99-1300223.41-472482.24-538738.67</f>
        <v>0</v>
      </c>
      <c r="F134" s="235" t="s">
        <v>1394</v>
      </c>
      <c r="G134" s="237">
        <f t="shared" si="20"/>
        <v>0</v>
      </c>
      <c r="H134" s="238">
        <v>45914</v>
      </c>
      <c r="I134" s="235">
        <v>90003053</v>
      </c>
      <c r="L134" s="237"/>
    </row>
    <row r="135" spans="1:12">
      <c r="A135" s="326" t="s">
        <v>31</v>
      </c>
      <c r="B135" s="326" t="s">
        <v>476</v>
      </c>
      <c r="C135" s="326" t="s">
        <v>5</v>
      </c>
      <c r="D135" s="329">
        <v>5263665.7</v>
      </c>
      <c r="E135" s="329">
        <f>D135-2423472.45-1201158.01-1213206.5-425828.74</f>
        <v>0</v>
      </c>
      <c r="F135" s="326" t="s">
        <v>1394</v>
      </c>
      <c r="G135" s="327">
        <f t="shared" si="20"/>
        <v>0</v>
      </c>
      <c r="H135" s="328">
        <v>45938</v>
      </c>
      <c r="I135" s="326">
        <v>90003120</v>
      </c>
      <c r="L135" s="237"/>
    </row>
    <row r="136" spans="1:12">
      <c r="A136" s="326" t="s">
        <v>31</v>
      </c>
      <c r="B136" s="326" t="s">
        <v>476</v>
      </c>
      <c r="C136" s="326" t="s">
        <v>5</v>
      </c>
      <c r="D136" s="329">
        <v>6536307.1600000001</v>
      </c>
      <c r="E136" s="329">
        <f>D136-665382.2-5230268.76-640656.2</f>
        <v>0</v>
      </c>
      <c r="F136" s="326" t="s">
        <v>1394</v>
      </c>
      <c r="G136" s="327">
        <f t="shared" si="20"/>
        <v>0</v>
      </c>
      <c r="H136" s="328">
        <v>45957</v>
      </c>
      <c r="I136" s="326">
        <v>90003146</v>
      </c>
      <c r="L136" s="237"/>
    </row>
    <row r="137" spans="1:12">
      <c r="A137" s="235" t="s">
        <v>31</v>
      </c>
      <c r="B137" s="235" t="s">
        <v>476</v>
      </c>
      <c r="C137" s="235" t="s">
        <v>5</v>
      </c>
      <c r="D137" s="240">
        <v>54287.92</v>
      </c>
      <c r="E137" s="240">
        <f>D137-54287.92</f>
        <v>0</v>
      </c>
      <c r="F137" s="235" t="s">
        <v>1394</v>
      </c>
      <c r="G137" s="237">
        <f>E137</f>
        <v>0</v>
      </c>
      <c r="H137" s="238">
        <v>45953</v>
      </c>
      <c r="I137" s="235">
        <v>90003142</v>
      </c>
      <c r="L137" s="237"/>
    </row>
    <row r="138" spans="1:12">
      <c r="A138" s="235" t="s">
        <v>31</v>
      </c>
      <c r="B138" s="235" t="s">
        <v>476</v>
      </c>
      <c r="C138" s="235" t="s">
        <v>5</v>
      </c>
      <c r="D138" s="240">
        <v>1304449.93</v>
      </c>
      <c r="E138" s="240">
        <f>D138-250823.63-1039125.2-14501.1</f>
        <v>-1.4006218407303095E-10</v>
      </c>
      <c r="F138" s="235" t="s">
        <v>1394</v>
      </c>
      <c r="G138" s="237">
        <f t="shared" ref="G138" si="21">E138</f>
        <v>-1.4006218407303095E-10</v>
      </c>
      <c r="H138" s="238">
        <v>46053</v>
      </c>
      <c r="I138" s="235">
        <v>90003130</v>
      </c>
      <c r="L138" s="237"/>
    </row>
    <row r="139" spans="1:12">
      <c r="A139" s="235" t="s">
        <v>31</v>
      </c>
      <c r="B139" s="235" t="s">
        <v>476</v>
      </c>
      <c r="C139" s="235" t="s">
        <v>5</v>
      </c>
      <c r="D139" s="240">
        <v>8489356.0199999996</v>
      </c>
      <c r="E139" s="240">
        <f>8489356.02-1407485.56-2997198.79-579523.41-3318432.57</f>
        <v>186715.68999999901</v>
      </c>
      <c r="F139" s="235" t="s">
        <v>1394</v>
      </c>
      <c r="G139" s="237">
        <f>E139</f>
        <v>186715.68999999901</v>
      </c>
      <c r="H139" s="238">
        <v>46093</v>
      </c>
      <c r="I139" s="235">
        <v>90003373</v>
      </c>
      <c r="L139" s="237"/>
    </row>
    <row r="140" spans="1:12">
      <c r="A140" s="235" t="s">
        <v>31</v>
      </c>
      <c r="B140" s="235" t="s">
        <v>476</v>
      </c>
      <c r="C140" s="235" t="s">
        <v>5</v>
      </c>
      <c r="D140" s="240">
        <v>27430.720000000001</v>
      </c>
      <c r="E140" s="240">
        <v>27430.720000000001</v>
      </c>
      <c r="F140" s="235" t="s">
        <v>1394</v>
      </c>
      <c r="G140" s="237">
        <f>E140</f>
        <v>27430.720000000001</v>
      </c>
      <c r="H140" s="238">
        <v>46093</v>
      </c>
      <c r="I140" s="235">
        <v>90003374</v>
      </c>
      <c r="L140" s="237"/>
    </row>
    <row r="141" spans="1:12">
      <c r="H141" s="235"/>
    </row>
    <row r="142" spans="1:12">
      <c r="A142" s="235" t="s">
        <v>27</v>
      </c>
      <c r="B142" s="235" t="s">
        <v>476</v>
      </c>
      <c r="C142" s="235" t="s">
        <v>5</v>
      </c>
      <c r="D142" s="240">
        <v>1541061.87</v>
      </c>
      <c r="E142" s="237">
        <f>D142-1541061.87</f>
        <v>0</v>
      </c>
      <c r="F142" s="235" t="s">
        <v>1394</v>
      </c>
      <c r="G142" s="237">
        <f t="shared" ref="G142:G148" si="22">E142</f>
        <v>0</v>
      </c>
      <c r="H142" s="238">
        <v>45762</v>
      </c>
      <c r="I142" s="235">
        <v>90002277</v>
      </c>
      <c r="L142" s="237">
        <f ca="1">E143*VLOOKUP(C143,'FX RATES'!$E$1:$F$10,2,FALSE)/VLOOKUP("RUB",'FX RATES'!$E$1:$F$10,2,FALSE)</f>
        <v>0</v>
      </c>
    </row>
    <row r="143" spans="1:12">
      <c r="A143" s="235" t="s">
        <v>27</v>
      </c>
      <c r="B143" s="235" t="s">
        <v>476</v>
      </c>
      <c r="C143" s="235" t="s">
        <v>5</v>
      </c>
      <c r="D143" s="240">
        <v>1204774.07</v>
      </c>
      <c r="E143" s="237">
        <f>D143-807010.5-397763.57</f>
        <v>0</v>
      </c>
      <c r="F143" s="235" t="s">
        <v>1394</v>
      </c>
      <c r="G143" s="237">
        <f t="shared" si="22"/>
        <v>0</v>
      </c>
      <c r="H143" s="238">
        <v>45762</v>
      </c>
      <c r="I143" s="235">
        <v>90002423</v>
      </c>
      <c r="K143" s="235" t="s">
        <v>1419</v>
      </c>
      <c r="L143" s="237">
        <f ca="1">E144*VLOOKUP(C144,'FX RATES'!$E$1:$F$10,2,FALSE)/VLOOKUP("RUB",'FX RATES'!$E$1:$F$10,2,FALSE)</f>
        <v>7.8150114859454333E-9</v>
      </c>
    </row>
    <row r="144" spans="1:12">
      <c r="A144" s="235" t="s">
        <v>27</v>
      </c>
      <c r="B144" s="235" t="s">
        <v>476</v>
      </c>
      <c r="C144" s="235" t="s">
        <v>5</v>
      </c>
      <c r="D144" s="240">
        <v>4134983.8</v>
      </c>
      <c r="E144" s="237">
        <f>D144-59873.52-1130137.07-1179267.5-596516.07-303271.32-301256.23-507544.23-57117.86</f>
        <v>1.0186340659856796E-10</v>
      </c>
      <c r="F144" s="235" t="s">
        <v>1394</v>
      </c>
      <c r="G144" s="237">
        <f t="shared" si="22"/>
        <v>1.0186340659856796E-10</v>
      </c>
      <c r="H144" s="238">
        <v>45762</v>
      </c>
      <c r="I144" s="235">
        <v>90002470</v>
      </c>
      <c r="L144" s="237">
        <f ca="1">E145*VLOOKUP(C145,'FX RATES'!$E$1:$F$10,2,FALSE)/VLOOKUP("RUB",'FX RATES'!$E$1:$F$10,2,FALSE)</f>
        <v>0</v>
      </c>
    </row>
    <row r="145" spans="1:12">
      <c r="A145" s="235" t="s">
        <v>27</v>
      </c>
      <c r="B145" s="235" t="s">
        <v>476</v>
      </c>
      <c r="C145" s="235" t="s">
        <v>5</v>
      </c>
      <c r="D145" s="240">
        <v>2610599.2799999998</v>
      </c>
      <c r="E145" s="237">
        <f>D145-1452646.91-120322.53-817972.53-219657.31</f>
        <v>0</v>
      </c>
      <c r="F145" s="235" t="s">
        <v>1394</v>
      </c>
      <c r="G145" s="237">
        <f t="shared" si="22"/>
        <v>0</v>
      </c>
      <c r="H145" s="238">
        <v>45762</v>
      </c>
      <c r="I145" s="235">
        <v>90002469</v>
      </c>
      <c r="L145" s="237">
        <f ca="1">E146*VLOOKUP(C146,'FX RATES'!$E$1:$F$10,2,FALSE)/VLOOKUP("RUB",'FX RATES'!$E$1:$F$10,2,FALSE)</f>
        <v>0</v>
      </c>
    </row>
    <row r="146" spans="1:12">
      <c r="A146" s="235" t="s">
        <v>27</v>
      </c>
      <c r="B146" s="235" t="s">
        <v>476</v>
      </c>
      <c r="C146" s="235" t="s">
        <v>5</v>
      </c>
      <c r="D146" s="240">
        <v>2193595.44</v>
      </c>
      <c r="E146" s="237">
        <f>D146-530557.34-1251528.08-411510.02</f>
        <v>0</v>
      </c>
      <c r="F146" s="235" t="s">
        <v>1394</v>
      </c>
      <c r="G146" s="237">
        <f t="shared" si="22"/>
        <v>0</v>
      </c>
      <c r="H146" s="238">
        <v>45783</v>
      </c>
      <c r="I146" s="235">
        <v>90002560</v>
      </c>
      <c r="L146" s="237">
        <f ca="1">E147*VLOOKUP(C147,'FX RATES'!$E$1:$F$10,2,FALSE)/VLOOKUP("RUB",'FX RATES'!$E$1:$F$10,2,FALSE)</f>
        <v>1.5071807865751908E-8</v>
      </c>
    </row>
    <row r="147" spans="1:12">
      <c r="A147" s="235" t="s">
        <v>27</v>
      </c>
      <c r="B147" s="235" t="s">
        <v>476</v>
      </c>
      <c r="C147" s="235" t="s">
        <v>5</v>
      </c>
      <c r="D147" s="240">
        <v>2461442.37</v>
      </c>
      <c r="E147" s="237">
        <f>D147-1430149.68-1018498.98-12793.71</f>
        <v>1.964508555829525E-10</v>
      </c>
      <c r="F147" s="235" t="s">
        <v>1394</v>
      </c>
      <c r="G147" s="237">
        <f t="shared" si="22"/>
        <v>1.964508555829525E-10</v>
      </c>
      <c r="H147" s="238">
        <v>45783</v>
      </c>
      <c r="I147" s="235">
        <v>90002562</v>
      </c>
      <c r="L147" s="237">
        <f ca="1">E148*VLOOKUP(C148,'FX RATES'!$E$1:$F$10,2,FALSE)/VLOOKUP("RUB",'FX RATES'!$E$1:$F$10,2,FALSE)</f>
        <v>0</v>
      </c>
    </row>
    <row r="148" spans="1:12">
      <c r="A148" s="235" t="s">
        <v>27</v>
      </c>
      <c r="B148" s="235" t="s">
        <v>777</v>
      </c>
      <c r="C148" s="235" t="s">
        <v>5</v>
      </c>
      <c r="D148" s="240">
        <v>652264.81999999995</v>
      </c>
      <c r="E148" s="240">
        <f>D148-220859.75-342845.34-88559.73</f>
        <v>0</v>
      </c>
      <c r="F148" s="235" t="s">
        <v>1394</v>
      </c>
      <c r="G148" s="237">
        <f t="shared" si="22"/>
        <v>0</v>
      </c>
      <c r="H148" s="238">
        <v>45833</v>
      </c>
      <c r="I148" s="235">
        <v>90002595</v>
      </c>
      <c r="L148" s="237">
        <f ca="1">E149*VLOOKUP(C149,'FX RATES'!$E$1:$F$10,2,FALSE)/VLOOKUP("RUB",'FX RATES'!$E$1:$F$10,2,FALSE)</f>
        <v>0</v>
      </c>
    </row>
    <row r="149" spans="1:12">
      <c r="A149" s="235" t="s">
        <v>27</v>
      </c>
      <c r="B149" s="235" t="s">
        <v>777</v>
      </c>
      <c r="C149" s="235" t="s">
        <v>5</v>
      </c>
      <c r="D149" s="240">
        <v>2162600.16</v>
      </c>
      <c r="E149" s="240">
        <f>D149-2162600.16</f>
        <v>0</v>
      </c>
      <c r="F149" s="235" t="s">
        <v>1394</v>
      </c>
      <c r="G149" s="237">
        <f>E149</f>
        <v>0</v>
      </c>
      <c r="H149" s="238">
        <v>45865</v>
      </c>
      <c r="I149" s="235">
        <v>90002700</v>
      </c>
      <c r="L149" s="237">
        <f ca="1">E150*VLOOKUP(C150,'FX RATES'!$E$1:$F$10,2,FALSE)/VLOOKUP("RUB",'FX RATES'!$E$1:$F$10,2,FALSE)</f>
        <v>0</v>
      </c>
    </row>
    <row r="150" spans="1:12">
      <c r="A150" s="235" t="s">
        <v>27</v>
      </c>
      <c r="B150" s="235" t="s">
        <v>777</v>
      </c>
      <c r="C150" s="235" t="s">
        <v>5</v>
      </c>
      <c r="D150" s="240">
        <v>2048512.2</v>
      </c>
      <c r="E150" s="240">
        <f>D150-1274929.04-490734.94-282848.22</f>
        <v>0</v>
      </c>
      <c r="F150" s="235" t="s">
        <v>1394</v>
      </c>
      <c r="G150" s="237">
        <f t="shared" ref="G150:G151" si="23">E150</f>
        <v>0</v>
      </c>
      <c r="H150" s="238">
        <v>45865</v>
      </c>
      <c r="I150" s="235">
        <v>90002701</v>
      </c>
      <c r="L150" s="237">
        <f ca="1">E151*VLOOKUP(C151,'FX RATES'!$E$1:$F$10,2,FALSE)/VLOOKUP("RUB",'FX RATES'!$E$1:$F$10,2,FALSE)</f>
        <v>0</v>
      </c>
    </row>
    <row r="151" spans="1:12">
      <c r="A151" s="235" t="s">
        <v>27</v>
      </c>
      <c r="B151" s="235" t="s">
        <v>777</v>
      </c>
      <c r="C151" s="235" t="s">
        <v>5</v>
      </c>
      <c r="D151" s="240">
        <v>2138684.83</v>
      </c>
      <c r="E151" s="240">
        <f>D151-359073.31-290100.92-1012413.86-477096.74</f>
        <v>0</v>
      </c>
      <c r="F151" s="235" t="s">
        <v>1394</v>
      </c>
      <c r="G151" s="237">
        <f t="shared" si="23"/>
        <v>0</v>
      </c>
      <c r="H151" s="238">
        <v>45865</v>
      </c>
      <c r="I151" s="235">
        <v>90002702</v>
      </c>
      <c r="L151" s="237">
        <f ca="1">E152*VLOOKUP(C152,'FX RATES'!$E$1:$F$10,2,FALSE)/VLOOKUP("RUB",'FX RATES'!$E$1:$F$10,2,FALSE)</f>
        <v>0</v>
      </c>
    </row>
    <row r="152" spans="1:12">
      <c r="A152" s="235" t="s">
        <v>27</v>
      </c>
      <c r="B152" s="235" t="s">
        <v>777</v>
      </c>
      <c r="C152" s="235" t="s">
        <v>5</v>
      </c>
      <c r="D152" s="240">
        <v>8137704.9500000002</v>
      </c>
      <c r="E152" s="240">
        <f>D152-691208.64-959158.03-165402.37-602262.58-167802.12-1010615.57-543218.66-866286.35-131723.86-254705.05-485014.92-1413981.11-554325.23-292000.46</f>
        <v>0</v>
      </c>
      <c r="F152" s="235" t="s">
        <v>1394</v>
      </c>
      <c r="G152" s="237">
        <f t="shared" ref="G152:G157" si="24">E152</f>
        <v>0</v>
      </c>
      <c r="H152" s="238">
        <v>45865</v>
      </c>
      <c r="I152" s="235">
        <v>90002751</v>
      </c>
      <c r="L152" s="237">
        <f ca="1">E153*VLOOKUP(C153,'FX RATES'!$E$1:$F$10,2,FALSE)/VLOOKUP("RUB",'FX RATES'!$E$1:$F$10,2,FALSE)</f>
        <v>0</v>
      </c>
    </row>
    <row r="153" spans="1:12">
      <c r="A153" s="235" t="s">
        <v>27</v>
      </c>
      <c r="B153" s="235" t="s">
        <v>777</v>
      </c>
      <c r="C153" s="235" t="s">
        <v>5</v>
      </c>
      <c r="D153" s="240">
        <v>2197258.21</v>
      </c>
      <c r="E153" s="240">
        <f>D153-1203377.07-578065.47-415815.67</f>
        <v>0</v>
      </c>
      <c r="F153" s="235" t="s">
        <v>1394</v>
      </c>
      <c r="G153" s="237">
        <f t="shared" si="24"/>
        <v>0</v>
      </c>
      <c r="H153" s="238">
        <v>45886</v>
      </c>
      <c r="I153" s="235">
        <v>90002772</v>
      </c>
      <c r="L153" s="237">
        <f ca="1">E154*VLOOKUP(C154,'FX RATES'!$E$1:$F$10,2,FALSE)/VLOOKUP("RUB",'FX RATES'!$E$1:$F$10,2,FALSE)</f>
        <v>-2.2328604245558382E-8</v>
      </c>
    </row>
    <row r="154" spans="1:12">
      <c r="A154" s="235" t="s">
        <v>27</v>
      </c>
      <c r="B154" s="235" t="s">
        <v>777</v>
      </c>
      <c r="C154" s="235" t="s">
        <v>5</v>
      </c>
      <c r="D154" s="240">
        <v>3983449.32</v>
      </c>
      <c r="E154" s="240">
        <f>D154-121692.79-3686079.58-175676.95</f>
        <v>-2.9103830456733704E-10</v>
      </c>
      <c r="F154" s="235" t="s">
        <v>1394</v>
      </c>
      <c r="G154" s="237">
        <f t="shared" si="24"/>
        <v>-2.9103830456733704E-10</v>
      </c>
      <c r="H154" s="238">
        <v>45886</v>
      </c>
      <c r="I154" s="235">
        <v>90002837</v>
      </c>
      <c r="L154" s="237">
        <f ca="1">E155*VLOOKUP(C155,'FX RATES'!$E$1:$F$10,2,FALSE)/VLOOKUP("RUB",'FX RATES'!$E$1:$F$10,2,FALSE)</f>
        <v>0</v>
      </c>
    </row>
    <row r="155" spans="1:12">
      <c r="A155" s="235" t="s">
        <v>27</v>
      </c>
      <c r="B155" s="235" t="s">
        <v>777</v>
      </c>
      <c r="C155" s="235" t="s">
        <v>5</v>
      </c>
      <c r="D155" s="240">
        <v>4244840.16</v>
      </c>
      <c r="E155" s="240">
        <f>D155-567670.39-129466.1-307189.82-575107.23-522790.41-304340.82-1838275.39</f>
        <v>0</v>
      </c>
      <c r="F155" s="235" t="s">
        <v>1394</v>
      </c>
      <c r="G155" s="237">
        <f t="shared" si="24"/>
        <v>0</v>
      </c>
      <c r="H155" s="238">
        <v>45858</v>
      </c>
      <c r="I155" s="235">
        <v>90002923</v>
      </c>
      <c r="L155" s="237"/>
    </row>
    <row r="156" spans="1:12">
      <c r="A156" s="235" t="s">
        <v>27</v>
      </c>
      <c r="B156" s="235" t="s">
        <v>777</v>
      </c>
      <c r="C156" s="235" t="s">
        <v>5</v>
      </c>
      <c r="D156" s="240">
        <v>4127340.46</v>
      </c>
      <c r="E156" s="240">
        <f>D156-2496182.92-1631157.54</f>
        <v>0</v>
      </c>
      <c r="F156" s="235" t="s">
        <v>1394</v>
      </c>
      <c r="G156" s="237">
        <f t="shared" si="24"/>
        <v>0</v>
      </c>
      <c r="H156" s="238">
        <v>45858</v>
      </c>
      <c r="I156" s="235">
        <v>90002963</v>
      </c>
    </row>
    <row r="157" spans="1:12">
      <c r="A157" s="235" t="s">
        <v>27</v>
      </c>
      <c r="B157" s="235" t="s">
        <v>777</v>
      </c>
      <c r="C157" s="235" t="s">
        <v>5</v>
      </c>
      <c r="D157" s="240">
        <v>2168707.2000000002</v>
      </c>
      <c r="E157" s="240">
        <f>D157-607790.99-270763.61-952366.9-337785.7</f>
        <v>0</v>
      </c>
      <c r="F157" s="235" t="s">
        <v>1394</v>
      </c>
      <c r="G157" s="237">
        <f t="shared" si="24"/>
        <v>0</v>
      </c>
      <c r="H157" s="238" t="s">
        <v>1403</v>
      </c>
      <c r="I157" s="235">
        <v>90003008</v>
      </c>
    </row>
    <row r="158" spans="1:12">
      <c r="A158" s="235" t="s">
        <v>27</v>
      </c>
      <c r="B158" s="235" t="s">
        <v>777</v>
      </c>
      <c r="C158" s="235" t="s">
        <v>5</v>
      </c>
      <c r="D158" s="240">
        <v>6466953.8300000001</v>
      </c>
      <c r="E158" s="240">
        <f>6466953.83-230271.18-231969.74-105385.84-3269126.41-834554.87-1795645.79</f>
        <v>0</v>
      </c>
      <c r="F158" s="235" t="s">
        <v>1394</v>
      </c>
      <c r="G158" s="237">
        <f>E158</f>
        <v>0</v>
      </c>
      <c r="H158" s="238" t="s">
        <v>1420</v>
      </c>
      <c r="I158" s="235">
        <v>90003077</v>
      </c>
    </row>
    <row r="159" spans="1:12">
      <c r="A159" s="235" t="s">
        <v>27</v>
      </c>
      <c r="B159" s="235" t="s">
        <v>777</v>
      </c>
      <c r="C159" s="235" t="s">
        <v>5</v>
      </c>
      <c r="D159" s="240">
        <v>4598464.01</v>
      </c>
      <c r="E159" s="240">
        <f>4598464.01-1604180.22-1691581.33-1302702.46</f>
        <v>0</v>
      </c>
      <c r="F159" s="235" t="s">
        <v>1394</v>
      </c>
      <c r="G159" s="237">
        <f>E159</f>
        <v>0</v>
      </c>
      <c r="H159" s="238" t="s">
        <v>1420</v>
      </c>
      <c r="I159" s="235">
        <v>90003129</v>
      </c>
      <c r="J159" s="235"/>
    </row>
    <row r="160" spans="1:12">
      <c r="A160" s="235" t="s">
        <v>27</v>
      </c>
      <c r="B160" s="235" t="s">
        <v>777</v>
      </c>
      <c r="C160" s="235" t="s">
        <v>5</v>
      </c>
      <c r="D160" s="240">
        <v>8025806.5099999998</v>
      </c>
      <c r="E160" s="240">
        <f>8025806.51-2508632.35-1418044.28</f>
        <v>4099129.88</v>
      </c>
      <c r="F160" s="235" t="s">
        <v>1394</v>
      </c>
      <c r="G160" s="237">
        <f>E160</f>
        <v>4099129.88</v>
      </c>
      <c r="H160" s="238">
        <v>46147</v>
      </c>
      <c r="I160" s="235">
        <v>90003395</v>
      </c>
      <c r="J160" s="235"/>
    </row>
    <row r="161" spans="1:12">
      <c r="D161" s="240"/>
      <c r="E161" s="240"/>
      <c r="G161" s="237"/>
      <c r="H161" s="238"/>
      <c r="K161" s="235" t="s">
        <v>1421</v>
      </c>
    </row>
    <row r="162" spans="1:12">
      <c r="A162" s="235" t="s">
        <v>34</v>
      </c>
      <c r="B162" s="235" t="s">
        <v>549</v>
      </c>
      <c r="C162" s="235" t="s">
        <v>5</v>
      </c>
      <c r="D162" s="240">
        <v>639964.42000000004</v>
      </c>
      <c r="E162" s="240">
        <f>D162-462409.24-177555.18</f>
        <v>0</v>
      </c>
      <c r="F162" s="235" t="s">
        <v>1394</v>
      </c>
      <c r="G162" s="237">
        <f t="shared" ref="G162" si="25">E162</f>
        <v>0</v>
      </c>
      <c r="H162" s="238"/>
      <c r="I162" s="235" t="s">
        <v>1422</v>
      </c>
      <c r="K162" s="235" t="s">
        <v>1423</v>
      </c>
    </row>
    <row r="163" spans="1:12">
      <c r="A163" s="235" t="s">
        <v>34</v>
      </c>
      <c r="B163" s="235" t="s">
        <v>549</v>
      </c>
      <c r="C163" s="235" t="s">
        <v>5</v>
      </c>
      <c r="D163" s="240">
        <v>671505.38</v>
      </c>
      <c r="E163" s="240">
        <f>D163-247188.17-424317.21</f>
        <v>0</v>
      </c>
      <c r="F163" s="235" t="s">
        <v>1394</v>
      </c>
      <c r="G163" s="237">
        <f t="shared" ref="G163" si="26">E163</f>
        <v>0</v>
      </c>
      <c r="H163" s="238"/>
      <c r="I163" s="235" t="s">
        <v>1424</v>
      </c>
    </row>
    <row r="164" spans="1:12">
      <c r="A164" s="235" t="s">
        <v>34</v>
      </c>
      <c r="B164" s="235" t="s">
        <v>549</v>
      </c>
      <c r="C164" s="235" t="s">
        <v>5</v>
      </c>
      <c r="D164" s="240">
        <v>5941650</v>
      </c>
      <c r="E164" s="240">
        <v>0</v>
      </c>
      <c r="F164" s="235" t="s">
        <v>1394</v>
      </c>
      <c r="G164" s="237">
        <f t="shared" ref="G164" si="27">E164</f>
        <v>0</v>
      </c>
      <c r="H164" s="238"/>
      <c r="I164" s="235" t="s">
        <v>1425</v>
      </c>
      <c r="J164" s="236">
        <v>45972</v>
      </c>
    </row>
    <row r="165" spans="1:12">
      <c r="A165" s="235" t="s">
        <v>34</v>
      </c>
      <c r="B165" s="235" t="s">
        <v>549</v>
      </c>
      <c r="C165" s="235" t="s">
        <v>5</v>
      </c>
      <c r="D165" s="240">
        <v>730950</v>
      </c>
      <c r="E165" s="240">
        <f>730950-18387.93-103471.17-251625.18-357465.72</f>
        <v>0</v>
      </c>
      <c r="F165" s="235" t="s">
        <v>1394</v>
      </c>
      <c r="G165" s="237">
        <f>E165</f>
        <v>0</v>
      </c>
      <c r="H165" s="238"/>
      <c r="I165" s="235" t="s">
        <v>1425</v>
      </c>
      <c r="J165" s="236">
        <v>45961</v>
      </c>
    </row>
    <row r="166" spans="1:12">
      <c r="A166" s="235" t="s">
        <v>34</v>
      </c>
      <c r="B166" s="235" t="s">
        <v>549</v>
      </c>
      <c r="C166" s="235" t="s">
        <v>5</v>
      </c>
      <c r="D166" s="240">
        <v>666058.93000000005</v>
      </c>
      <c r="E166" s="240">
        <v>0</v>
      </c>
      <c r="F166" s="235" t="s">
        <v>1394</v>
      </c>
      <c r="G166" s="237">
        <f t="shared" ref="G166" si="28">E166</f>
        <v>0</v>
      </c>
      <c r="H166" s="238"/>
      <c r="I166" s="235" t="s">
        <v>1426</v>
      </c>
      <c r="J166" s="236">
        <v>45972</v>
      </c>
      <c r="K166" s="235" t="s">
        <v>1427</v>
      </c>
    </row>
    <row r="167" spans="1:12">
      <c r="A167" s="235" t="s">
        <v>34</v>
      </c>
      <c r="B167" s="235" t="s">
        <v>549</v>
      </c>
      <c r="C167" s="235" t="s">
        <v>5</v>
      </c>
      <c r="D167" s="240">
        <f>5183200+126500</f>
        <v>5309700</v>
      </c>
      <c r="E167" s="240">
        <f>5309700-4719778.26-463421.74-126500</f>
        <v>2.3283064365386963E-10</v>
      </c>
      <c r="F167" s="235" t="s">
        <v>1394</v>
      </c>
      <c r="G167" s="237">
        <f>E167</f>
        <v>2.3283064365386963E-10</v>
      </c>
      <c r="H167" s="238"/>
      <c r="I167" s="235" t="s">
        <v>1428</v>
      </c>
      <c r="J167" s="236">
        <v>46003</v>
      </c>
      <c r="K167" s="235" t="s">
        <v>1429</v>
      </c>
    </row>
    <row r="168" spans="1:12">
      <c r="A168" s="235" t="s">
        <v>34</v>
      </c>
      <c r="B168" s="235" t="s">
        <v>549</v>
      </c>
      <c r="C168" s="235" t="s">
        <v>5</v>
      </c>
      <c r="D168" s="240">
        <v>1252900</v>
      </c>
      <c r="E168" s="240">
        <f>1252900-1252900</f>
        <v>0</v>
      </c>
      <c r="F168" s="235" t="s">
        <v>1394</v>
      </c>
      <c r="G168" s="237">
        <f>E168</f>
        <v>0</v>
      </c>
      <c r="I168" s="235" t="s">
        <v>1428</v>
      </c>
      <c r="J168" s="236">
        <v>46003</v>
      </c>
      <c r="K168" s="235" t="s">
        <v>1430</v>
      </c>
    </row>
    <row r="169" spans="1:12">
      <c r="A169" s="235" t="s">
        <v>34</v>
      </c>
      <c r="B169" s="235" t="s">
        <v>549</v>
      </c>
      <c r="C169" s="235" t="s">
        <v>5</v>
      </c>
      <c r="D169" s="240">
        <v>6645100</v>
      </c>
      <c r="E169" s="240">
        <f>D169-1884952.96-4760147.04</f>
        <v>0</v>
      </c>
      <c r="F169" s="235" t="s">
        <v>1394</v>
      </c>
      <c r="G169" s="237">
        <f>E169</f>
        <v>0</v>
      </c>
      <c r="H169" s="238"/>
      <c r="I169" s="235" t="s">
        <v>1431</v>
      </c>
      <c r="J169" s="236">
        <v>46016</v>
      </c>
      <c r="K169" s="429"/>
      <c r="L169" s="427"/>
    </row>
    <row r="170" spans="1:12">
      <c r="A170" s="235" t="s">
        <v>34</v>
      </c>
      <c r="B170" s="235" t="s">
        <v>549</v>
      </c>
      <c r="C170" s="235" t="s">
        <v>5</v>
      </c>
      <c r="D170" s="240">
        <v>359976</v>
      </c>
      <c r="E170" s="240">
        <f>D170-359976</f>
        <v>0</v>
      </c>
      <c r="F170" s="235" t="s">
        <v>1394</v>
      </c>
      <c r="G170" s="237">
        <f>E170</f>
        <v>0</v>
      </c>
      <c r="H170" s="238"/>
      <c r="I170" s="235" t="s">
        <v>1431</v>
      </c>
      <c r="J170" s="236">
        <v>46016</v>
      </c>
      <c r="K170" s="429" t="s">
        <v>1432</v>
      </c>
      <c r="L170" s="427"/>
    </row>
    <row r="171" spans="1:12">
      <c r="A171" s="235" t="s">
        <v>34</v>
      </c>
      <c r="B171" s="235" t="s">
        <v>549</v>
      </c>
      <c r="C171" s="235" t="s">
        <v>5</v>
      </c>
      <c r="D171" s="240">
        <f>6096200-D172</f>
        <v>5986476</v>
      </c>
      <c r="E171" s="428">
        <f>5365250-1742540.5-3622709.5</f>
        <v>0</v>
      </c>
      <c r="F171" s="235" t="s">
        <v>1394</v>
      </c>
      <c r="G171" s="237">
        <f>D171</f>
        <v>5986476</v>
      </c>
      <c r="H171" s="238"/>
      <c r="I171" s="235" t="s">
        <v>1433</v>
      </c>
      <c r="J171" s="331"/>
      <c r="K171" s="292" t="s">
        <v>1434</v>
      </c>
    </row>
    <row r="172" spans="1:12" s="326" customFormat="1">
      <c r="A172" s="326" t="s">
        <v>34</v>
      </c>
      <c r="B172" s="326" t="s">
        <v>549</v>
      </c>
      <c r="C172" s="326" t="s">
        <v>5</v>
      </c>
      <c r="D172" s="329">
        <v>109724</v>
      </c>
      <c r="E172" s="457">
        <f>D172-109724</f>
        <v>0</v>
      </c>
      <c r="F172" s="326" t="s">
        <v>1394</v>
      </c>
      <c r="G172" s="327">
        <f>D172</f>
        <v>109724</v>
      </c>
      <c r="H172" s="328"/>
      <c r="I172" s="326" t="s">
        <v>1433</v>
      </c>
      <c r="J172" s="458">
        <v>46056</v>
      </c>
      <c r="K172" s="459" t="s">
        <v>1435</v>
      </c>
      <c r="L172" s="460"/>
    </row>
    <row r="173" spans="1:12" s="326" customFormat="1">
      <c r="A173" s="147" t="s">
        <v>34</v>
      </c>
      <c r="B173" s="147" t="s">
        <v>549</v>
      </c>
      <c r="C173" s="147" t="s">
        <v>5</v>
      </c>
      <c r="D173" s="552">
        <v>620950</v>
      </c>
      <c r="E173" s="552">
        <f>D173-620950</f>
        <v>0</v>
      </c>
      <c r="F173" s="147" t="s">
        <v>1394</v>
      </c>
      <c r="G173" s="148">
        <f>D173</f>
        <v>620950</v>
      </c>
      <c r="H173" s="150">
        <v>46076</v>
      </c>
      <c r="I173" s="326" t="s">
        <v>1433</v>
      </c>
      <c r="K173" s="147" t="s">
        <v>1436</v>
      </c>
      <c r="L173" s="463"/>
    </row>
    <row r="174" spans="1:12">
      <c r="A174" s="147" t="s">
        <v>34</v>
      </c>
      <c r="B174" s="147" t="s">
        <v>549</v>
      </c>
      <c r="C174" s="147" t="s">
        <v>5</v>
      </c>
      <c r="D174" s="552">
        <v>6362400</v>
      </c>
      <c r="E174" s="553">
        <f>D174-6362400</f>
        <v>0</v>
      </c>
      <c r="F174" s="147" t="s">
        <v>1394</v>
      </c>
      <c r="G174" s="148">
        <f>D174</f>
        <v>6362400</v>
      </c>
      <c r="H174" s="150">
        <v>46076</v>
      </c>
      <c r="I174" s="147" t="s">
        <v>1437</v>
      </c>
      <c r="J174" s="235"/>
      <c r="K174" s="147" t="s">
        <v>1438</v>
      </c>
      <c r="L174" s="292"/>
    </row>
    <row r="175" spans="1:12" s="269" customFormat="1">
      <c r="A175" s="549" t="s">
        <v>34</v>
      </c>
      <c r="B175" s="549" t="s">
        <v>549</v>
      </c>
      <c r="C175" s="549" t="s">
        <v>5</v>
      </c>
      <c r="D175" s="403">
        <v>730950</v>
      </c>
      <c r="E175" s="403">
        <f>D175</f>
        <v>730950</v>
      </c>
      <c r="F175" s="549" t="s">
        <v>1394</v>
      </c>
      <c r="G175" s="550">
        <f>D175</f>
        <v>730950</v>
      </c>
      <c r="H175" s="432"/>
      <c r="I175" s="549" t="s">
        <v>1437</v>
      </c>
      <c r="J175" s="551"/>
      <c r="K175" s="549" t="s">
        <v>1438</v>
      </c>
      <c r="L175" s="549" t="s">
        <v>1439</v>
      </c>
    </row>
    <row r="176" spans="1:12">
      <c r="A176" s="292"/>
      <c r="B176" s="292"/>
      <c r="C176" s="292"/>
      <c r="D176" s="293"/>
      <c r="E176" s="403"/>
      <c r="F176" s="292"/>
      <c r="G176" s="89"/>
      <c r="H176" s="432"/>
      <c r="I176" s="292"/>
      <c r="J176" s="331"/>
      <c r="K176" s="292"/>
      <c r="L176" s="292"/>
    </row>
    <row r="177" spans="1:9">
      <c r="E177" s="403"/>
    </row>
    <row r="178" spans="1:9">
      <c r="D178" s="345" t="s">
        <v>1440</v>
      </c>
      <c r="E178" s="346">
        <v>0</v>
      </c>
    </row>
    <row r="179" spans="1:9">
      <c r="D179" s="345" t="s">
        <v>682</v>
      </c>
      <c r="E179" s="346">
        <f>SUM(E1:E161)</f>
        <v>6765872.8390217405</v>
      </c>
    </row>
    <row r="181" spans="1:9">
      <c r="E181" s="240"/>
    </row>
    <row r="182" spans="1:9">
      <c r="A182" s="235" t="s">
        <v>0</v>
      </c>
      <c r="B182" s="235" t="s">
        <v>476</v>
      </c>
      <c r="C182" s="235" t="s">
        <v>5</v>
      </c>
      <c r="D182" s="237">
        <v>991239.08000000007</v>
      </c>
      <c r="E182" s="237">
        <v>991239.08</v>
      </c>
      <c r="F182" s="235" t="s">
        <v>1394</v>
      </c>
      <c r="G182" s="237">
        <f>E182</f>
        <v>991239.08</v>
      </c>
      <c r="H182" s="238">
        <v>46049</v>
      </c>
      <c r="I182" s="292">
        <v>96000126</v>
      </c>
    </row>
    <row r="183" spans="1:9">
      <c r="A183" s="235" t="s">
        <v>0</v>
      </c>
      <c r="B183" s="235" t="s">
        <v>476</v>
      </c>
      <c r="C183" s="235" t="s">
        <v>5</v>
      </c>
      <c r="D183" s="237" t="s">
        <v>1441</v>
      </c>
      <c r="E183" s="237">
        <v>658134.96</v>
      </c>
      <c r="F183" s="235" t="s">
        <v>1394</v>
      </c>
      <c r="G183" s="237">
        <f>E183</f>
        <v>658134.96</v>
      </c>
      <c r="H183" s="238">
        <v>46049</v>
      </c>
      <c r="I183" s="292">
        <v>96000127</v>
      </c>
    </row>
    <row r="184" spans="1:9">
      <c r="A184" s="235" t="s">
        <v>0</v>
      </c>
      <c r="B184" s="235" t="s">
        <v>476</v>
      </c>
      <c r="C184" s="235" t="s">
        <v>5</v>
      </c>
      <c r="D184" s="235" t="s">
        <v>1442</v>
      </c>
      <c r="E184" s="235">
        <v>546472.56999999995</v>
      </c>
      <c r="F184" s="235" t="s">
        <v>1394</v>
      </c>
      <c r="G184" s="237">
        <f>E184</f>
        <v>546472.56999999995</v>
      </c>
      <c r="H184" s="238">
        <v>46049</v>
      </c>
      <c r="I184" s="292">
        <v>96000129</v>
      </c>
    </row>
    <row r="185" spans="1:9">
      <c r="E185" s="237"/>
    </row>
    <row r="186" spans="1:9">
      <c r="E186" s="237"/>
    </row>
  </sheetData>
  <dataValidations count="1">
    <dataValidation type="date" allowBlank="1" showInputMessage="1" showErrorMessage="1" sqref="H142:H147 H182:H184 H3:H140" xr:uid="{9F7178C1-9C00-C443-84F2-40E1571A24FC}">
      <formula1>TODAY()-180</formula1>
      <formula2>TODAY()+180</formula2>
    </dataValidation>
  </dataValidations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E7A8F7-A79A-3C48-B1E8-FA6471270C41}">
          <x14:formula1>
            <xm:f>DATA!$F$2:$F$26</xm:f>
          </x14:formula1>
          <xm:sqref>I82 B3:B140 B182:B184 B142:B176</xm:sqref>
        </x14:dataValidation>
        <x14:dataValidation type="list" allowBlank="1" showInputMessage="1" showErrorMessage="1" xr:uid="{C4FA2FB8-06FD-D04D-846F-7D02259AEDD7}">
          <x14:formula1>
            <xm:f>DATA!$C$2:$C$26</xm:f>
          </x14:formula1>
          <xm:sqref>C142:C147 C3:C22 C182:C184 C24:C140</xm:sqref>
        </x14:dataValidation>
        <x14:dataValidation type="list" allowBlank="1" showInputMessage="1" showErrorMessage="1" xr:uid="{EAA043A6-11C5-764C-B691-79FEF6AA824E}">
          <x14:formula1>
            <xm:f>DATA!$G$2:$G$21</xm:f>
          </x14:formula1>
          <xm:sqref>F3:F140 F182:F184 F142:F176</xm:sqref>
        </x14:dataValidation>
        <x14:dataValidation type="list" allowBlank="1" showInputMessage="1" showErrorMessage="1" xr:uid="{E18F5BBB-AF11-0C40-BEC1-D1251B5EF4E2}">
          <x14:formula1>
            <xm:f>DATA!$E$2:$E$15</xm:f>
          </x14:formula1>
          <xm:sqref>A3:A140 A182:A184 A142:A176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6752-540A-6F4B-88D5-C95D28594F5D}">
  <sheetPr>
    <tabColor theme="3" tint="0.39997558519241921"/>
  </sheetPr>
  <dimension ref="B3:G39"/>
  <sheetViews>
    <sheetView zoomScale="80" zoomScaleNormal="80" workbookViewId="0">
      <selection activeCell="AL2" sqref="AL2"/>
    </sheetView>
  </sheetViews>
  <sheetFormatPr baseColWidth="10" defaultColWidth="9.5" defaultRowHeight="19.5" customHeight="1"/>
  <cols>
    <col min="1" max="1" width="14.5" style="7" customWidth="1"/>
    <col min="2" max="4" width="15.5" style="7" customWidth="1"/>
    <col min="5" max="5" width="14.6640625" style="7" bestFit="1" customWidth="1"/>
    <col min="6" max="6" width="2.33203125" style="7" bestFit="1" customWidth="1"/>
    <col min="7" max="7" width="14.6640625" style="7" bestFit="1" customWidth="1"/>
    <col min="8" max="8" width="9.5" style="7"/>
    <col min="9" max="9" width="22.5" style="7" bestFit="1" customWidth="1"/>
    <col min="10" max="16384" width="9.5" style="7"/>
  </cols>
  <sheetData>
    <row r="3" spans="2:7" ht="19.5" customHeight="1" thickBot="1">
      <c r="B3" s="113" t="s">
        <v>74</v>
      </c>
      <c r="C3" s="615">
        <f ca="1">TODAY()</f>
        <v>46074</v>
      </c>
      <c r="D3" s="615"/>
    </row>
    <row r="4" spans="2:7" ht="46.5" customHeight="1" thickBot="1">
      <c r="B4" s="107" t="s">
        <v>305</v>
      </c>
      <c r="C4" s="107" t="s">
        <v>669</v>
      </c>
      <c r="D4" s="107" t="s">
        <v>670</v>
      </c>
    </row>
    <row r="5" spans="2:7" ht="19.5" customHeight="1">
      <c r="B5" s="35" t="s">
        <v>0</v>
      </c>
      <c r="C5" s="111" cm="1">
        <f t="array" aca="1" ref="C5" ca="1">SUM(SUMIFS(DEALS!$AU:$AU,DEALS!$E:$E,$C$3,DEALS!$O:$O,$B5,DEALS!$A:$A,{"*EXECUTED*","*SETTLED*"},DEALS!$C:$C,"*EXPORT*"))</f>
        <v>0</v>
      </c>
      <c r="D5" s="111" cm="1">
        <f t="array" aca="1" ref="D5" ca="1">SUM(SUMIFS(DEALS!$AU:$AU,DEALS!$E:$E,$C$3,DEALS!$O:$O,$B5,DEALS!$A:$A,{"*EXECUTED*","*SETTLED*"},DEALS!$C:$C,"*IMPORT*"))</f>
        <v>0</v>
      </c>
    </row>
    <row r="6" spans="2:7" ht="19.5" customHeight="1">
      <c r="B6" s="35" t="s">
        <v>31</v>
      </c>
      <c r="C6" s="111" cm="1">
        <f t="array" aca="1" ref="C6" ca="1">SUM(SUMIFS(DEALS!$AU:$AU,DEALS!$E:$E,$C$3,DEALS!$O:$O,$B6,DEALS!$A:$A,{"*EXECUTED*","*SETTLED*"},DEALS!$C:$C,"*EXPORT*"))</f>
        <v>0</v>
      </c>
      <c r="D6" s="111" cm="1">
        <f t="array" aca="1" ref="D6" ca="1">SUM(SUMIFS(DEALS!$AU:$AU,DEALS!$E:$E,$C$3,DEALS!$O:$O,$B6,DEALS!$A:$A,{"*EXECUTED*","*SETTLED*"},DEALS!$C:$C,"*IMPORT*"))</f>
        <v>0</v>
      </c>
    </row>
    <row r="7" spans="2:7" ht="19.5" customHeight="1">
      <c r="B7" s="35" t="s">
        <v>27</v>
      </c>
      <c r="C7" s="111" cm="1">
        <f t="array" aca="1" ref="C7" ca="1">SUM(SUMIFS(DEALS!$AU:$AU,DEALS!$E:$E,$C$3,DEALS!$O:$O,$B7,DEALS!$A:$A,{"*EXECUTED*","*SETTLED*"},DEALS!$C:$C,"*EXPORT*"))</f>
        <v>0</v>
      </c>
      <c r="D7" s="111" cm="1">
        <f t="array" aca="1" ref="D7" ca="1">SUM(SUMIFS(DEALS!$AU:$AU,DEALS!$E:$E,$C$3,DEALS!$O:$O,$B7,DEALS!$A:$A,{"*EXECUTED*","*SETTLED*"},DEALS!$C:$C,"*IMPORT*"))</f>
        <v>0</v>
      </c>
    </row>
    <row r="8" spans="2:7" ht="19.5" customHeight="1">
      <c r="B8" s="35" t="s">
        <v>34</v>
      </c>
      <c r="C8" s="204" cm="1">
        <f t="array" aca="1" ref="C8" ca="1">SUM(SUMIFS(DEALS!$AU:$AU,DEALS!$E:$E,$C$3,DEALS!$O:$O,$B8,DEALS!$A:$A,{"*EXECUTED*","*SETTLED*"},DEALS!$C:$C,"*EXPORT*"))</f>
        <v>0</v>
      </c>
      <c r="D8" s="204" cm="1">
        <f t="array" aca="1" ref="D8" ca="1">SUM(SUMIFS(DEALS!$AU:$AU,DEALS!$E:$E,$C$3,DEALS!$O:$O,$B8,DEALS!$A:$A,{"*EXECUTED*","*SETTLED*"},DEALS!$C:$C,"*IMPORT*"))</f>
        <v>0</v>
      </c>
    </row>
    <row r="9" spans="2:7" ht="19.5" customHeight="1">
      <c r="B9" s="35" t="s">
        <v>39</v>
      </c>
      <c r="C9" s="204" cm="1">
        <f t="array" aca="1" ref="C9" ca="1">SUM(SUMIFS(DEALS!$AU:$AU,DEALS!$E:$E,$C$3,DEALS!$O:$O,$B9,DEALS!$A:$A,{"*EXECUTED*","*SETTLED*"},DEALS!$C:$C,"*EXPORT*"))</f>
        <v>0</v>
      </c>
      <c r="D9" s="204" cm="1">
        <f t="array" aca="1" ref="D9" ca="1">SUM(SUMIFS(DEALS!$AU:$AU,DEALS!$E:$E,$C$3,DEALS!$O:$O,$B9,DEALS!$A:$A,{"*EXECUTED*","*SETTLED*"},DEALS!$C:$C,"*IMPORT*"))</f>
        <v>0</v>
      </c>
    </row>
    <row r="10" spans="2:7" ht="19.5" customHeight="1">
      <c r="B10" s="35" t="s">
        <v>42</v>
      </c>
      <c r="C10" s="204" cm="1">
        <f t="array" aca="1" ref="C10" ca="1">SUM(SUMIFS(DEALS!$AU:$AU,DEALS!$E:$E,$C$3,DEALS!$O:$O,$B10,DEALS!$A:$A,{"*EXECUTED*","*SETTLED*"},DEALS!$C:$C,"*EXPORT*"))</f>
        <v>0</v>
      </c>
      <c r="D10" s="204" cm="1">
        <f t="array" aca="1" ref="D10" ca="1">SUM(SUMIFS(DEALS!$AU:$AU,DEALS!$E:$E,$C$3,DEALS!$O:$O,$B10,DEALS!$A:$A,{"*EXECUTED*","*SETTLED*"},DEALS!$C:$C,"*IMPORT*"))</f>
        <v>0</v>
      </c>
    </row>
    <row r="11" spans="2:7" ht="19.5" customHeight="1">
      <c r="B11" s="35" t="s">
        <v>52</v>
      </c>
      <c r="C11" s="204" cm="1">
        <f t="array" aca="1" ref="C11" ca="1">SUM(SUMIFS(DEALS!$AU:$AU,DEALS!$E:$E,$C$3,DEALS!$O:$O,$B11,DEALS!$A:$A,{"*EXECUTED*","*SETTLED*"},DEALS!$C:$C,"*EXPORT*"))</f>
        <v>0</v>
      </c>
      <c r="D11" s="204" cm="1">
        <f t="array" aca="1" ref="D11" ca="1">SUM(SUMIFS(DEALS!$AU:$AU,DEALS!$E:$E,$C$3,DEALS!$O:$O,$B11,DEALS!$A:$A,{"*EXECUTED*","*SETTLED*"},DEALS!$C:$C,"*IMPORT*"))</f>
        <v>0</v>
      </c>
    </row>
    <row r="12" spans="2:7" ht="19.5" customHeight="1" thickBot="1">
      <c r="B12" s="34" t="s">
        <v>99</v>
      </c>
      <c r="C12" s="112" cm="1">
        <f t="array" aca="1" ref="C12" ca="1">SUM(SUMIFS(DEALS!$AU:$AU,DEALS!$E:$E,$C$3,DEALS!$O:$O,$B12,DEALS!$A:$A,{"*EXECUTED*","*SETTLED*"},DEALS!$C:$C,"*EXPORT*"))</f>
        <v>0</v>
      </c>
      <c r="D12" s="112" cm="1">
        <f t="array" aca="1" ref="D12" ca="1">SUM(SUMIFS(DEALS!$AU:$AU,DEALS!$E:$E,$C$3,DEALS!$O:$O,$B12,DEALS!$A:$A,{"*EXECUTED*","*SETTLED*"},DEALS!$C:$C,"*IMPORT*"))</f>
        <v>0</v>
      </c>
    </row>
    <row r="13" spans="2:7" ht="19.5" customHeight="1">
      <c r="B13" s="35" t="s">
        <v>675</v>
      </c>
      <c r="C13" s="119">
        <f ca="1">SUM(C5:C12)</f>
        <v>0</v>
      </c>
      <c r="D13" s="119">
        <f ca="1">SUM(D5:D12)</f>
        <v>0</v>
      </c>
      <c r="E13" s="120"/>
      <c r="F13" s="121"/>
      <c r="G13" s="121"/>
    </row>
    <row r="16" spans="2:7" ht="19.5" customHeight="1" thickBot="1">
      <c r="B16" s="113" t="s">
        <v>677</v>
      </c>
      <c r="C16" s="615" t="s">
        <v>678</v>
      </c>
      <c r="D16" s="615"/>
      <c r="E16" s="113">
        <f ca="1">TODAY()-WEEKDAY(TODAY(),2)+1</f>
        <v>46069</v>
      </c>
      <c r="F16" s="113" t="s">
        <v>233</v>
      </c>
      <c r="G16" s="113">
        <f ca="1">C3</f>
        <v>46074</v>
      </c>
    </row>
    <row r="17" spans="2:7" ht="46.5" customHeight="1" thickBot="1">
      <c r="B17" s="107" t="s">
        <v>305</v>
      </c>
      <c r="C17" s="107" t="s">
        <v>669</v>
      </c>
      <c r="D17" s="107" t="s">
        <v>670</v>
      </c>
    </row>
    <row r="18" spans="2:7" ht="19.5" customHeight="1">
      <c r="B18" s="35" t="str">
        <f t="shared" ref="B18:B23" si="0">B5</f>
        <v>OWL</v>
      </c>
      <c r="C18" s="158" cm="1">
        <f t="array" aca="1" ref="C18" ca="1">SUM(SUMIFS(DEALS!$AU:$AU,DEALS!$E:$E,"&gt;="&amp;$E$16,DEALS!$E:$E,"&lt;="&amp;$G$16,DEALS!$O:$O,$B18,DEALS!$A:$A,{"*EXECUTED*","*SETTLED*"},DEALS!$C:$C,"*EXPORT*"))</f>
        <v>0</v>
      </c>
      <c r="D18" s="158" cm="1">
        <f t="array" aca="1" ref="D18" ca="1">SUM(SUMIFS(DEALS!$AU:$AU,DEALS!$E:$E,"&gt;="&amp;$E$16,DEALS!$E:$E,"&lt;="&amp;$G$16,DEALS!$O:$O,$B18,DEALS!$A:$A,{"*EXECUTED*","*SETTLED*"},DEALS!$C:$C,"*IMPORT*"))</f>
        <v>0</v>
      </c>
    </row>
    <row r="19" spans="2:7" ht="19.5" customHeight="1">
      <c r="B19" s="35" t="str">
        <f t="shared" si="0"/>
        <v>AWB</v>
      </c>
      <c r="C19" s="111" cm="1">
        <f t="array" aca="1" ref="C19" ca="1">SUM(SUMIFS(DEALS!$AU:$AU,DEALS!$E:$E,"&gt;="&amp;$E$16,DEALS!$E:$E,"&lt;="&amp;$G$16,DEALS!$O:$O,$B19,DEALS!$A:$A,{"*EXECUTED*","*SETTLED*"},DEALS!$C:$C,"*EXPORT*"))</f>
        <v>8313199.0594474385</v>
      </c>
      <c r="D19" s="111" cm="1">
        <f t="array" aca="1" ref="D19" ca="1">SUM(SUMIFS(DEALS!$AU:$AU,DEALS!$E:$E,"&gt;="&amp;$E$16,DEALS!$E:$E,"&lt;="&amp;$G$16,DEALS!$O:$O,$B19,DEALS!$A:$A,{"*EXECUTED*","*SETTLED*"},DEALS!$C:$C,"*IMPORT*"))</f>
        <v>0</v>
      </c>
    </row>
    <row r="20" spans="2:7" ht="19.5" customHeight="1">
      <c r="B20" s="35" t="str">
        <f t="shared" si="0"/>
        <v>VST</v>
      </c>
      <c r="C20" s="111" cm="1">
        <f t="array" aca="1" ref="C20" ca="1">SUM(SUMIFS(DEALS!$AU:$AU,DEALS!$E:$E,"&gt;="&amp;$E$16,DEALS!$E:$E,"&lt;="&amp;$G$16,DEALS!$O:$O,$B20,DEALS!$A:$A,{"*EXECUTED*","*SETTLED*"},DEALS!$C:$C,"*EXPORT*"))</f>
        <v>0</v>
      </c>
      <c r="D20" s="111" cm="1">
        <f t="array" aca="1" ref="D20" ca="1">SUM(SUMIFS(DEALS!$AU:$AU,DEALS!$E:$E,"&gt;="&amp;$E$16,DEALS!$E:$E,"&lt;="&amp;$G$16,DEALS!$O:$O,$B20,DEALS!$A:$A,{"*EXECUTED*","*SETTLED*"},DEALS!$C:$C,"*IMPORT*"))</f>
        <v>0</v>
      </c>
    </row>
    <row r="21" spans="2:7" ht="19.5" customHeight="1">
      <c r="B21" s="35" t="str">
        <f t="shared" si="0"/>
        <v>NLK</v>
      </c>
      <c r="C21" s="204" cm="1">
        <f t="array" aca="1" ref="C21" ca="1">SUM(SUMIFS(DEALS!$AU:$AU,DEALS!$E:$E,"&gt;="&amp;$E$16,DEALS!$E:$E,"&lt;="&amp;$G$16,DEALS!$O:$O,$B21,DEALS!$A:$A,{"*EXECUTED*","*SETTLED*"},DEALS!$C:$C,"*EXPORT*"))</f>
        <v>11817931.554842945</v>
      </c>
      <c r="D21" s="204" cm="1">
        <f t="array" aca="1" ref="D21" ca="1">SUM(SUMIFS(DEALS!$AU:$AU,DEALS!$E:$E,"&gt;="&amp;$E$16,DEALS!$E:$E,"&lt;="&amp;$G$16,DEALS!$O:$O,$B21,DEALS!$A:$A,{"*EXECUTED*","*SETTLED*"},DEALS!$C:$C,"*IMPORT*"))</f>
        <v>0</v>
      </c>
    </row>
    <row r="22" spans="2:7" ht="19.5" customHeight="1">
      <c r="B22" s="35" t="str">
        <f t="shared" si="0"/>
        <v>EVC</v>
      </c>
      <c r="C22" s="204" cm="1">
        <f t="array" aca="1" ref="C22" ca="1">SUM(SUMIFS(DEALS!$AU:$AU,DEALS!$E:$E,"&gt;="&amp;$E$16,DEALS!$E:$E,"&lt;="&amp;$G$16,DEALS!$O:$O,$B22,DEALS!$A:$A,{"*EXECUTED*","*SETTLED*"},DEALS!$C:$C,"*EXPORT*"))</f>
        <v>7151597.7340730149</v>
      </c>
      <c r="D22" s="204" cm="1">
        <f t="array" aca="1" ref="D22" ca="1">SUM(SUMIFS(DEALS!$AU:$AU,DEALS!$E:$E,"&gt;="&amp;$E$16,DEALS!$E:$E,"&lt;="&amp;$G$16,DEALS!$O:$O,$B22,DEALS!$A:$A,{"*EXECUTED*","*SETTLED*"},DEALS!$C:$C,"*IMPORT*"))</f>
        <v>15597339.441942075</v>
      </c>
    </row>
    <row r="23" spans="2:7" ht="19.5" customHeight="1">
      <c r="B23" s="35" t="str">
        <f t="shared" si="0"/>
        <v>EVC HK</v>
      </c>
      <c r="C23" s="204" cm="1">
        <f t="array" aca="1" ref="C23" ca="1">SUM(SUMIFS(DEALS!$AU:$AU,DEALS!$E:$E,"&gt;="&amp;$E$16,DEALS!$E:$E,"&lt;="&amp;$G$16,DEALS!$O:$O,$B23,DEALS!$A:$A,{"*EXECUTED*","*SETTLED*"},DEALS!$C:$C,"*EXPORT*"))</f>
        <v>0</v>
      </c>
      <c r="D23" s="204" cm="1">
        <f t="array" aca="1" ref="D23" ca="1">SUM(SUMIFS(DEALS!$AU:$AU,DEALS!$E:$E,"&gt;="&amp;$E$16,DEALS!$E:$E,"&lt;="&amp;$G$16,DEALS!$O:$O,$B23,DEALS!$A:$A,{"*EXECUTED*","*SETTLED*"},DEALS!$C:$C,"*IMPORT*"))</f>
        <v>0</v>
      </c>
    </row>
    <row r="24" spans="2:7" ht="19.5" customHeight="1">
      <c r="B24" s="35" t="str">
        <f t="shared" ref="B24:B25" si="1">B11</f>
        <v>RVG</v>
      </c>
      <c r="C24" s="204" cm="1">
        <f t="array" aca="1" ref="C24" ca="1">SUM(SUMIFS(DEALS!$AU:$AU,DEALS!$E:$E,"&gt;="&amp;$E$16,DEALS!$E:$E,"&lt;="&amp;$G$16,DEALS!$O:$O,$B24,DEALS!$A:$A,{"*EXECUTED*","*SETTLED*"},DEALS!$C:$C,"*EXPORT*"))</f>
        <v>0</v>
      </c>
      <c r="D24" s="204" cm="1">
        <f t="array" aca="1" ref="D24" ca="1">SUM(SUMIFS(DEALS!$AU:$AU,DEALS!$E:$E,"&gt;="&amp;$E$16,DEALS!$E:$E,"&lt;="&amp;$G$16,DEALS!$O:$O,$B24,DEALS!$A:$A,{"*EXECUTED*","*SETTLED*"},DEALS!$C:$C,"*IMPORT*"))</f>
        <v>14329726.78859859</v>
      </c>
    </row>
    <row r="25" spans="2:7" ht="19.5" customHeight="1" thickBot="1">
      <c r="B25" s="34" t="str">
        <f t="shared" si="1"/>
        <v>LXF</v>
      </c>
      <c r="C25" s="112" cm="1">
        <f t="array" aca="1" ref="C25" ca="1">SUM(SUMIFS(DEALS!$AU:$AU,DEALS!$E:$E,"&gt;="&amp;$E$16,DEALS!$E:$E,"&lt;="&amp;$G$16,DEALS!$O:$O,$B25,DEALS!$A:$A,{"*EXECUTED*","*SETTLED*"},DEALS!$C:$C,"*EXPORT*"))</f>
        <v>0</v>
      </c>
      <c r="D25" s="112" cm="1">
        <f t="array" aca="1" ref="D25" ca="1">SUM(SUMIFS(DEALS!$AU:$AU,DEALS!$E:$E,"&gt;="&amp;$E$16,DEALS!$E:$E,"&lt;="&amp;$G$16,DEALS!$O:$O,$B25,DEALS!$A:$A,{"*EXECUTED*","*SETTLED*"},DEALS!$C:$C,"*IMPORT*"))</f>
        <v>0</v>
      </c>
    </row>
    <row r="26" spans="2:7" ht="19.5" customHeight="1">
      <c r="B26" s="35" t="s">
        <v>675</v>
      </c>
      <c r="C26" s="119">
        <f ca="1">SUM(C18:C25)</f>
        <v>27282728.3483634</v>
      </c>
      <c r="D26" s="119">
        <f ca="1">SUM(D18:D25)</f>
        <v>29927066.230540663</v>
      </c>
      <c r="E26" s="120"/>
      <c r="F26" s="121"/>
      <c r="G26" s="121"/>
    </row>
    <row r="29" spans="2:7" ht="19.5" customHeight="1" thickBot="1">
      <c r="B29" s="113" t="s">
        <v>677</v>
      </c>
      <c r="C29" s="615" t="s">
        <v>679</v>
      </c>
      <c r="D29" s="615"/>
      <c r="E29" s="113">
        <f ca="1">TODAY()-DAY(TODAY())+1</f>
        <v>46054</v>
      </c>
      <c r="F29" s="113" t="s">
        <v>233</v>
      </c>
      <c r="G29" s="113">
        <f ca="1">C3</f>
        <v>46074</v>
      </c>
    </row>
    <row r="30" spans="2:7" ht="42" customHeight="1" thickBot="1">
      <c r="B30" s="107" t="s">
        <v>305</v>
      </c>
      <c r="C30" s="107" t="s">
        <v>669</v>
      </c>
      <c r="D30" s="107" t="s">
        <v>670</v>
      </c>
    </row>
    <row r="31" spans="2:7" ht="19.5" customHeight="1">
      <c r="B31" s="35" t="str">
        <f t="shared" ref="B31:B36" si="2">B5</f>
        <v>OWL</v>
      </c>
      <c r="C31" s="158" cm="1">
        <f t="array" aca="1" ref="C31" ca="1">SUM(SUMIFS(DEALS!$AU:$AU,DEALS!$E:$E,"&gt;="&amp;$E$29,DEALS!$E:$E,"&lt;="&amp;$G$29,DEALS!$O:$O,$B31,DEALS!$A:$A,{"*EXECUTED*","*SETTLED*"},DEALS!$C:$C,"*EXPORT*"))</f>
        <v>3153334.7245141026</v>
      </c>
      <c r="D31" s="158" cm="1">
        <f t="array" aca="1" ref="D31" ca="1">SUM(SUMIFS(DEALS!$AU:$AU,DEALS!$E:$E,"&gt;="&amp;$E$29,DEALS!$E:$E,"&lt;="&amp;$G$29,DEALS!$O:$O,$B31,DEALS!$A:$A,{"*EXECUTED*","*SETTLED*"},DEALS!$C:$C,"*IMPORT*"))</f>
        <v>0</v>
      </c>
    </row>
    <row r="32" spans="2:7" ht="19.5" customHeight="1">
      <c r="B32" s="35" t="str">
        <f t="shared" si="2"/>
        <v>AWB</v>
      </c>
      <c r="C32" s="111" cm="1">
        <f t="array" aca="1" ref="C32" ca="1">SUM(SUMIFS(DEALS!$AU:$AU,DEALS!$E:$E,"&gt;="&amp;$E$29,DEALS!$E:$E,"&lt;="&amp;$G$29,DEALS!$O:$O,$B32,DEALS!$A:$A,{"*EXECUTED*","*SETTLED*"},DEALS!$C:$C,"*EXPORT*"))</f>
        <v>9735185.7236544788</v>
      </c>
      <c r="D32" s="111" cm="1">
        <f t="array" aca="1" ref="D32" ca="1">SUM(SUMIFS(DEALS!$AU:$AU,DEALS!$E:$E,"&gt;="&amp;$E$29,DEALS!$E:$E,"&lt;="&amp;$G$29,DEALS!$O:$O,$B32,DEALS!$A:$A,{"*EXECUTED*","*SETTLED*"},DEALS!$C:$C,"*IMPORT*"))</f>
        <v>0</v>
      </c>
    </row>
    <row r="33" spans="2:7" ht="19.5" customHeight="1">
      <c r="B33" s="35" t="str">
        <f t="shared" si="2"/>
        <v>VST</v>
      </c>
      <c r="C33" s="111" cm="1">
        <f t="array" aca="1" ref="C33" ca="1">SUM(SUMIFS(DEALS!$AU:$AU,DEALS!$E:$E,"&gt;="&amp;$E$29,DEALS!$E:$E,"&lt;="&amp;$G$29,DEALS!$O:$O,$B33,DEALS!$A:$A,{"*EXECUTED*","*SETTLED*"},DEALS!$C:$C,"*EXPORT*"))</f>
        <v>0</v>
      </c>
      <c r="D33" s="111" cm="1">
        <f t="array" aca="1" ref="D33" ca="1">SUM(SUMIFS(DEALS!$AU:$AU,DEALS!$E:$E,"&gt;="&amp;$E$29,DEALS!$E:$E,"&lt;="&amp;$G$29,DEALS!$O:$O,$B33,DEALS!$A:$A,{"*EXECUTED*","*SETTLED*"},DEALS!$C:$C,"*IMPORT*"))</f>
        <v>0</v>
      </c>
    </row>
    <row r="34" spans="2:7" ht="19.5" customHeight="1">
      <c r="B34" s="35" t="str">
        <f t="shared" si="2"/>
        <v>NLK</v>
      </c>
      <c r="C34" s="204" cm="1">
        <f t="array" aca="1" ref="C34" ca="1">SUM(SUMIFS(DEALS!$AU:$AU,DEALS!$E:$E,"&gt;="&amp;$E$29,DEALS!$E:$E,"&lt;="&amp;$G$29,DEALS!$O:$O,$B34,DEALS!$A:$A,{"*EXECUTED*","*SETTLED*"},DEALS!$C:$C,"*EXPORT*"))</f>
        <v>16637536.72843042</v>
      </c>
      <c r="D34" s="204" cm="1">
        <f t="array" aca="1" ref="D34" ca="1">SUM(SUMIFS(DEALS!$AU:$AU,DEALS!$E:$E,"&gt;="&amp;$E$29,DEALS!$E:$E,"&lt;="&amp;$G$29,DEALS!$O:$O,$B34,DEALS!$A:$A,{"*EXECUTED*","*SETTLED*"},DEALS!$C:$C,"*IMPORT*"))</f>
        <v>113252.73648096716</v>
      </c>
    </row>
    <row r="35" spans="2:7" ht="19.5" customHeight="1">
      <c r="B35" s="35" t="str">
        <f t="shared" si="2"/>
        <v>EVC</v>
      </c>
      <c r="C35" s="204" cm="1">
        <f t="array" aca="1" ref="C35" ca="1">SUM(SUMIFS(DEALS!$AU:$AU,DEALS!$E:$E,"&gt;="&amp;$E$29,DEALS!$E:$E,"&lt;="&amp;$G$29,DEALS!$O:$O,$B35,DEALS!$A:$A,{"*EXECUTED*","*SETTLED*"},DEALS!$C:$C,"*EXPORT*"))</f>
        <v>36336962.394882739</v>
      </c>
      <c r="D35" s="204" cm="1">
        <f t="array" aca="1" ref="D35" ca="1">SUM(SUMIFS(DEALS!$AU:$AU,DEALS!$E:$E,"&gt;="&amp;$E$29,DEALS!$E:$E,"&lt;="&amp;$G$29,DEALS!$O:$O,$B35,DEALS!$A:$A,{"*EXECUTED*","*SETTLED*"},DEALS!$C:$C,"*IMPORT*"))</f>
        <v>43250426.483326063</v>
      </c>
    </row>
    <row r="36" spans="2:7" ht="19.5" customHeight="1">
      <c r="B36" s="35" t="str">
        <f t="shared" si="2"/>
        <v>EVC HK</v>
      </c>
      <c r="C36" s="204" cm="1">
        <f t="array" aca="1" ref="C36" ca="1">SUM(SUMIFS(DEALS!$AU:$AU,DEALS!$E:$E,"&gt;="&amp;$E$29,DEALS!$E:$E,"&lt;="&amp;$G$29,DEALS!$O:$O,$B36,DEALS!$A:$A,{"*EXECUTED*","*SETTLED*"},DEALS!$C:$C,"*EXPORT*"))</f>
        <v>3068466.7906774757</v>
      </c>
      <c r="D36" s="204" cm="1">
        <f t="array" aca="1" ref="D36" ca="1">SUM(SUMIFS(DEALS!$AU:$AU,DEALS!$E:$E,"&gt;="&amp;$E$29,DEALS!$E:$E,"&lt;="&amp;$G$29,DEALS!$O:$O,$B36,DEALS!$A:$A,{"*EXECUTED*","*SETTLED*"},DEALS!$C:$C,"*IMPORT*"))</f>
        <v>0</v>
      </c>
    </row>
    <row r="37" spans="2:7" ht="19.5" customHeight="1">
      <c r="B37" s="35" t="str">
        <f t="shared" ref="B37:B38" si="3">B11</f>
        <v>RVG</v>
      </c>
      <c r="C37" s="204" cm="1">
        <f t="array" aca="1" ref="C37" ca="1">SUM(SUMIFS(DEALS!$AU:$AU,DEALS!$E:$E,"&gt;="&amp;$E$29,DEALS!$E:$E,"&lt;="&amp;$G$29,DEALS!$O:$O,$B37,DEALS!$A:$A,{"*EXECUTED*","*SETTLED*"},DEALS!$C:$C,"*EXPORT*"))</f>
        <v>99845.78</v>
      </c>
      <c r="D37" s="204" cm="1">
        <f t="array" aca="1" ref="D37" ca="1">SUM(SUMIFS(DEALS!$AU:$AU,DEALS!$E:$E,"&gt;="&amp;$E$29,DEALS!$E:$E,"&lt;="&amp;$G$29,DEALS!$O:$O,$B37,DEALS!$A:$A,{"*EXECUTED*","*SETTLED*"},DEALS!$C:$C,"*IMPORT*"))</f>
        <v>30891052.592458207</v>
      </c>
    </row>
    <row r="38" spans="2:7" ht="19.5" customHeight="1" thickBot="1">
      <c r="B38" s="34" t="str">
        <f t="shared" si="3"/>
        <v>LXF</v>
      </c>
      <c r="C38" s="112" cm="1">
        <f t="array" aca="1" ref="C38" ca="1">SUM(SUMIFS(DEALS!$AU:$AU,DEALS!$E:$E,"&gt;="&amp;$E$29,DEALS!$E:$E,"&lt;="&amp;$G$29,DEALS!$O:$O,$B38,DEALS!$A:$A,{"*EXECUTED*","*SETTLED*"},DEALS!$C:$C,"*EXPORT*"))</f>
        <v>0</v>
      </c>
      <c r="D38" s="112" cm="1">
        <f t="array" aca="1" ref="D38" ca="1">SUM(SUMIFS(DEALS!$AU:$AU,DEALS!$E:$E,"&gt;="&amp;$E$29,DEALS!$E:$E,"&lt;="&amp;$G$29,DEALS!$O:$O,$B38,DEALS!$A:$A,{"*EXECUTED*","*SETTLED*"},DEALS!$C:$C,"*IMPORT*"))</f>
        <v>0</v>
      </c>
    </row>
    <row r="39" spans="2:7" ht="19.5" customHeight="1">
      <c r="B39" s="35" t="s">
        <v>675</v>
      </c>
      <c r="C39" s="119">
        <f ca="1">SUM(C31:C38)</f>
        <v>69031332.142159224</v>
      </c>
      <c r="D39" s="119">
        <f ca="1">SUM(D31:D38)</f>
        <v>74254731.812265232</v>
      </c>
      <c r="E39" s="120"/>
      <c r="F39" s="121"/>
      <c r="G39" s="121"/>
    </row>
  </sheetData>
  <mergeCells count="3">
    <mergeCell ref="C3:D3"/>
    <mergeCell ref="C16:D16"/>
    <mergeCell ref="C29:D29"/>
  </mergeCells>
  <dataValidations count="1">
    <dataValidation allowBlank="1" showInputMessage="1" showErrorMessage="1" sqref="A4 B3:C3 E16 G16 G29 B16:C16 B29:C29 E29" xr:uid="{AB41848D-01FF-3A4F-ACE2-096932871DE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177C2-66A8-5249-BCD7-50ED78E75339}">
          <x14:formula1>
            <xm:f>DATA!$E$2:$E$15</xm:f>
          </x14:formula1>
          <xm:sqref>A5:B12 B18:B25 B31:B38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2508-8F9A-2B40-B6B6-C6631363FF23}">
  <sheetPr codeName="Sheet11"/>
  <dimension ref="A1:O30"/>
  <sheetViews>
    <sheetView topLeftCell="A9" workbookViewId="0">
      <selection activeCell="K17" sqref="K17"/>
    </sheetView>
  </sheetViews>
  <sheetFormatPr baseColWidth="10" defaultColWidth="11.5" defaultRowHeight="19"/>
  <cols>
    <col min="1" max="1" width="21.5" style="69" customWidth="1"/>
    <col min="2" max="2" width="19.5" style="70" customWidth="1"/>
    <col min="3" max="4" width="11.5" style="67"/>
    <col min="5" max="5" width="11.5" style="69"/>
    <col min="6" max="6" width="17.83203125" style="72" customWidth="1"/>
    <col min="7" max="7" width="17.5" style="69" customWidth="1"/>
    <col min="8" max="8" width="11.5" style="67"/>
    <col min="9" max="9" width="20.5" style="125" customWidth="1"/>
    <col min="10" max="10" width="11.5" style="69"/>
    <col min="11" max="13" width="11.5" style="67"/>
    <col min="14" max="14" width="11.5" style="69"/>
    <col min="15" max="15" width="13.5" style="69" bestFit="1" customWidth="1"/>
    <col min="16" max="16384" width="11.5" style="67"/>
  </cols>
  <sheetData>
    <row r="1" spans="1:15">
      <c r="A1" s="65" t="s">
        <v>74</v>
      </c>
      <c r="B1" s="66">
        <f ca="1">TODAY()</f>
        <v>46074</v>
      </c>
      <c r="E1" s="65" t="s">
        <v>33</v>
      </c>
      <c r="F1" s="68" t="s">
        <v>1443</v>
      </c>
      <c r="I1" s="124" t="s">
        <v>1444</v>
      </c>
      <c r="J1" s="69" t="s">
        <v>1445</v>
      </c>
      <c r="M1" s="67" t="s">
        <v>747</v>
      </c>
      <c r="N1" s="69">
        <v>3.665</v>
      </c>
      <c r="O1" s="108">
        <f>I13/N1-1</f>
        <v>2.0463847203273655E-3</v>
      </c>
    </row>
    <row r="2" spans="1:15">
      <c r="A2" s="69" t="e" vm="1">
        <v>#VALUE!</v>
      </c>
      <c r="B2" s="70" cm="1">
        <f t="array" aca="1" ref="B2" ca="1">_FV(A2,"Price")</f>
        <v>3.6726000000000001</v>
      </c>
      <c r="C2" s="71"/>
      <c r="E2" s="69" t="s">
        <v>5</v>
      </c>
      <c r="F2" s="72">
        <v>1</v>
      </c>
      <c r="H2" s="67" t="s">
        <v>1446</v>
      </c>
      <c r="I2" s="125">
        <v>1</v>
      </c>
      <c r="J2" s="69">
        <v>1</v>
      </c>
      <c r="M2" s="67" t="s">
        <v>746</v>
      </c>
      <c r="N2" s="69">
        <v>0.15</v>
      </c>
      <c r="O2" s="108">
        <f ca="1">N2/I9</f>
        <v>1.9551488845875611E-3</v>
      </c>
    </row>
    <row r="3" spans="1:15">
      <c r="A3" s="69" t="e" vm="2">
        <v>#VALUE!</v>
      </c>
      <c r="B3" s="70" cm="1">
        <f t="array" aca="1" ref="B3" ca="1">_FV(A3,"Price")</f>
        <v>1.1779999999999999</v>
      </c>
      <c r="C3" s="73"/>
      <c r="D3" s="73"/>
      <c r="E3" s="69" t="s">
        <v>6</v>
      </c>
      <c r="F3" s="72">
        <f ca="1">B3</f>
        <v>1.1779999999999999</v>
      </c>
      <c r="H3" s="67" t="s">
        <v>1447</v>
      </c>
      <c r="I3" s="125">
        <f ca="1">1/F3</f>
        <v>0.84889643463497455</v>
      </c>
      <c r="J3" s="69">
        <v>1</v>
      </c>
      <c r="M3" s="67" t="s">
        <v>26</v>
      </c>
      <c r="O3" s="109">
        <f ca="1">SUM(O1:O2)</f>
        <v>4.001533604914927E-3</v>
      </c>
    </row>
    <row r="4" spans="1:15">
      <c r="A4" s="69" t="e" vm="3">
        <v>#VALUE!</v>
      </c>
      <c r="B4" s="70" cm="1">
        <f t="array" aca="1" ref="B4" ca="1">_FV(A4,"Price")</f>
        <v>4.3262999999999998</v>
      </c>
      <c r="E4" s="69" t="s">
        <v>7</v>
      </c>
      <c r="F4" s="72">
        <f ca="1">1/B6</f>
        <v>0.14475969889982629</v>
      </c>
      <c r="H4" s="67" t="s">
        <v>749</v>
      </c>
      <c r="I4" s="125">
        <f ca="1">B3</f>
        <v>1.1779999999999999</v>
      </c>
      <c r="J4" s="69">
        <v>-1</v>
      </c>
    </row>
    <row r="5" spans="1:15">
      <c r="A5" s="69" t="e" vm="4">
        <v>#VALUE!</v>
      </c>
      <c r="B5" s="70" cm="1">
        <f t="array" aca="1" ref="B5" ca="1">_FV(A5,"Price")</f>
        <v>6.8952</v>
      </c>
      <c r="E5" s="69" t="s">
        <v>8</v>
      </c>
      <c r="F5" s="72">
        <f ca="1">1/B2</f>
        <v>0.27228666339922669</v>
      </c>
      <c r="H5" s="67" t="s">
        <v>748</v>
      </c>
      <c r="I5" s="125">
        <f ca="1">B6</f>
        <v>6.9080000000000004</v>
      </c>
      <c r="J5" s="69">
        <v>1</v>
      </c>
    </row>
    <row r="6" spans="1:15">
      <c r="A6" s="69" t="e" vm="5">
        <v>#VALUE!</v>
      </c>
      <c r="B6" s="70" cm="1">
        <f t="array" aca="1" ref="B6" ca="1">_FV(A6,"Price")</f>
        <v>6.9080000000000004</v>
      </c>
      <c r="E6" s="69" t="s">
        <v>9</v>
      </c>
      <c r="F6" s="72">
        <f ca="1">1/B8</f>
        <v>1.3034325897250409E-2</v>
      </c>
      <c r="H6" s="67" t="s">
        <v>1448</v>
      </c>
      <c r="I6" s="125">
        <f ca="1">B5</f>
        <v>6.8952</v>
      </c>
      <c r="J6" s="69">
        <v>1</v>
      </c>
    </row>
    <row r="7" spans="1:15">
      <c r="A7" s="69" t="e" vm="6">
        <v>#VALUE!</v>
      </c>
      <c r="B7" s="70" cm="1">
        <f t="array" aca="1" ref="B7" ca="1">_FV(A7,"Price")</f>
        <v>43.816800000000001</v>
      </c>
      <c r="E7" s="69" t="s">
        <v>1449</v>
      </c>
      <c r="F7" s="72">
        <f ca="1">1/B5</f>
        <v>0.14502842557141199</v>
      </c>
      <c r="H7" s="67" t="s">
        <v>750</v>
      </c>
      <c r="I7" s="125">
        <f ca="1">B11</f>
        <v>11.103899999999999</v>
      </c>
      <c r="J7" s="69">
        <v>1</v>
      </c>
    </row>
    <row r="8" spans="1:15">
      <c r="A8" s="69" t="e" vm="7">
        <v>#VALUE!</v>
      </c>
      <c r="B8" s="70" cm="1">
        <f t="array" aca="1" ref="B8" ca="1">_FV(A8,"Price")</f>
        <v>76.720500000000001</v>
      </c>
      <c r="E8" s="69" t="s">
        <v>91</v>
      </c>
      <c r="F8" s="72">
        <f ca="1">1/B14</f>
        <v>1.1025236766959571E-2</v>
      </c>
      <c r="H8" s="67" t="s">
        <v>1450</v>
      </c>
      <c r="I8" s="125">
        <f ca="1">B10</f>
        <v>11.1196</v>
      </c>
      <c r="J8" s="69">
        <v>1</v>
      </c>
    </row>
    <row r="9" spans="1:15">
      <c r="A9" s="69" t="e" vm="8">
        <v>#VALUE!</v>
      </c>
      <c r="B9" s="70" cm="1">
        <f t="array" aca="1" ref="B9" ca="1">_FV(A9,"Price")</f>
        <v>90.3767</v>
      </c>
      <c r="E9" s="69" t="s">
        <v>632</v>
      </c>
      <c r="F9" s="72">
        <f ca="1">1/B7</f>
        <v>2.2822296470760072E-2</v>
      </c>
      <c r="H9" s="67" t="s">
        <v>746</v>
      </c>
      <c r="I9" s="125">
        <f ca="1">B8</f>
        <v>76.720500000000001</v>
      </c>
      <c r="J9" s="69">
        <v>1</v>
      </c>
    </row>
    <row r="10" spans="1:15">
      <c r="A10" s="69" t="e" vm="9">
        <v>#VALUE!</v>
      </c>
      <c r="B10" s="70" cm="1">
        <f t="array" aca="1" ref="B10" ca="1">_FV(A10,"Price")</f>
        <v>11.1196</v>
      </c>
      <c r="E10" s="69" t="s">
        <v>10</v>
      </c>
      <c r="F10" s="72">
        <f ca="1">1/B18</f>
        <v>2.5980774227071963</v>
      </c>
      <c r="H10" s="67" t="s">
        <v>751</v>
      </c>
      <c r="I10" s="125">
        <f ca="1">B9</f>
        <v>90.3767</v>
      </c>
      <c r="J10" s="69">
        <v>1</v>
      </c>
    </row>
    <row r="11" spans="1:15">
      <c r="A11" s="69" t="e" vm="10">
        <v>#VALUE!</v>
      </c>
      <c r="B11" s="70" cm="1">
        <f t="array" aca="1" ref="B11" ca="1">_FV(A11,"Price")</f>
        <v>11.103899999999999</v>
      </c>
      <c r="E11" s="69" t="s">
        <v>48</v>
      </c>
      <c r="F11" s="72">
        <f ca="1">1/B19</f>
        <v>3.2216494845360828E-2</v>
      </c>
      <c r="H11" s="67" t="s">
        <v>1451</v>
      </c>
      <c r="I11" s="125">
        <f ca="1">B14</f>
        <v>90.700999999999993</v>
      </c>
      <c r="J11" s="69">
        <v>1</v>
      </c>
    </row>
    <row r="12" spans="1:15">
      <c r="A12" s="69" t="e" vm="11">
        <v>#VALUE!</v>
      </c>
      <c r="B12" s="70" cm="1">
        <f t="array" aca="1" ref="B12" ca="1">_FV(A12,"Price")</f>
        <v>8.1225000000000005</v>
      </c>
      <c r="E12" s="69" t="s">
        <v>35</v>
      </c>
      <c r="F12" s="72">
        <f ca="1">1/B20</f>
        <v>0.127962327890669</v>
      </c>
      <c r="H12" s="67" t="s">
        <v>1452</v>
      </c>
      <c r="I12" s="125">
        <f ca="1">B7</f>
        <v>43.816800000000001</v>
      </c>
      <c r="J12" s="69">
        <v>1</v>
      </c>
    </row>
    <row r="13" spans="1:15">
      <c r="A13" s="69" t="e" vm="12">
        <v>#VALUE!</v>
      </c>
      <c r="B13" s="70" cm="1">
        <f t="array" aca="1" ref="B13" ca="1">_FV(A13,"Price")</f>
        <v>8.1376000000000008</v>
      </c>
      <c r="E13" s="69" t="s">
        <v>53</v>
      </c>
      <c r="F13" s="72">
        <v>1</v>
      </c>
      <c r="H13" s="67" t="s">
        <v>747</v>
      </c>
      <c r="I13" s="125">
        <f>3.6725</f>
        <v>3.6724999999999999</v>
      </c>
      <c r="J13" s="69">
        <v>1</v>
      </c>
    </row>
    <row r="14" spans="1:15">
      <c r="A14" s="69" t="e" vm="13">
        <v>#VALUE!</v>
      </c>
      <c r="B14" s="70" cm="1">
        <f t="array" aca="1" ref="B14" ca="1">_FV(A14,"Price")</f>
        <v>90.700999999999993</v>
      </c>
      <c r="E14" s="69" t="s">
        <v>47</v>
      </c>
      <c r="F14" s="72">
        <f ca="1">1/B21</f>
        <v>5.9311981020166071E-5</v>
      </c>
      <c r="H14" s="67" t="s">
        <v>752</v>
      </c>
      <c r="I14" s="125">
        <f ca="1">B15</f>
        <v>20.8843</v>
      </c>
      <c r="J14" s="69">
        <v>1</v>
      </c>
      <c r="O14" s="108"/>
    </row>
    <row r="15" spans="1:15">
      <c r="A15" s="69" t="e" vm="14">
        <v>#VALUE!</v>
      </c>
      <c r="B15" s="70" cm="1">
        <f t="array" aca="1" ref="B15" ca="1">_FV(A15,"Price")</f>
        <v>20.8843</v>
      </c>
      <c r="E15" s="69" t="s">
        <v>46</v>
      </c>
      <c r="F15" s="72">
        <f ca="1">1/B22</f>
        <v>6.4495324089003546E-3</v>
      </c>
      <c r="H15" s="67" t="s">
        <v>1453</v>
      </c>
      <c r="I15" s="125">
        <f>1/I13</f>
        <v>0.27229407760381213</v>
      </c>
      <c r="J15" s="69">
        <v>1</v>
      </c>
      <c r="O15" s="108"/>
    </row>
    <row r="16" spans="1:15">
      <c r="A16" s="69" t="e" vm="15">
        <v>#VALUE!</v>
      </c>
      <c r="B16" s="70" cm="1">
        <f t="array" aca="1" ref="B16" ca="1">_FV(A16,"Price")</f>
        <v>0.53149999999999997</v>
      </c>
      <c r="E16" s="69" t="s">
        <v>1454</v>
      </c>
      <c r="F16" s="72">
        <f ca="1">B23</f>
        <v>67894.33</v>
      </c>
      <c r="H16" s="67" t="s">
        <v>1455</v>
      </c>
      <c r="I16" s="125">
        <v>1</v>
      </c>
      <c r="J16" s="69">
        <v>1</v>
      </c>
      <c r="O16" s="109"/>
    </row>
    <row r="17" spans="1:10">
      <c r="A17" s="69" t="e" vm="16">
        <v>#VALUE!</v>
      </c>
      <c r="B17" s="70" cm="1">
        <f t="array" aca="1" ref="B17" ca="1">_FV(A17,"Price")</f>
        <v>0.5323</v>
      </c>
      <c r="E17" s="69" t="s">
        <v>486</v>
      </c>
      <c r="F17" s="72">
        <f ca="1">B24</f>
        <v>1964.42</v>
      </c>
      <c r="H17" s="67" t="s">
        <v>1456</v>
      </c>
      <c r="I17" s="125">
        <v>1</v>
      </c>
      <c r="J17" s="69">
        <v>1</v>
      </c>
    </row>
    <row r="18" spans="1:10">
      <c r="A18" s="69" t="e" vm="17">
        <v>#VALUE!</v>
      </c>
      <c r="B18" s="70" cm="1">
        <f t="array" aca="1" ref="B18" ca="1">_FV(A18,"Price")</f>
        <v>0.38490000000000002</v>
      </c>
      <c r="H18" s="67" t="s">
        <v>1457</v>
      </c>
      <c r="I18" s="125">
        <f ca="1">B17</f>
        <v>0.5323</v>
      </c>
      <c r="J18" s="69">
        <v>1</v>
      </c>
    </row>
    <row r="19" spans="1:10">
      <c r="A19" s="69" t="e" vm="18">
        <v>#VALUE!</v>
      </c>
      <c r="B19" s="70" cm="1">
        <f t="array" aca="1" ref="B19" ca="1">_FV(A19,"Price")</f>
        <v>31.04</v>
      </c>
      <c r="H19" s="67" t="s">
        <v>1458</v>
      </c>
      <c r="I19" s="125">
        <f ca="1">B18</f>
        <v>0.38490000000000002</v>
      </c>
      <c r="J19" s="69">
        <v>1</v>
      </c>
    </row>
    <row r="20" spans="1:10">
      <c r="A20" s="69" t="e" vm="19">
        <v>#VALUE!</v>
      </c>
      <c r="B20" s="70" cm="1">
        <f t="array" aca="1" ref="B20" ca="1">_FV(A20,"Price")</f>
        <v>7.8148</v>
      </c>
      <c r="H20" s="67" t="s">
        <v>1459</v>
      </c>
      <c r="I20" s="125">
        <f ca="1">B19</f>
        <v>31.04</v>
      </c>
      <c r="J20" s="69">
        <v>1</v>
      </c>
    </row>
    <row r="21" spans="1:10">
      <c r="A21" s="69" t="e" vm="20">
        <v>#VALUE!</v>
      </c>
      <c r="B21" s="70" cm="1">
        <f t="array" aca="1" ref="B21" ca="1">_FV(A21,"Price")</f>
        <v>16860</v>
      </c>
      <c r="H21" s="67" t="s">
        <v>1460</v>
      </c>
      <c r="I21" s="125">
        <f ca="1">B22</f>
        <v>155.05000000000001</v>
      </c>
      <c r="J21" s="69">
        <v>1</v>
      </c>
    </row>
    <row r="22" spans="1:10">
      <c r="A22" s="69" t="e" vm="21">
        <v>#VALUE!</v>
      </c>
      <c r="B22" s="70" cm="1">
        <f t="array" aca="1" ref="B22" ca="1">_FV(A22,"Price")</f>
        <v>155.05000000000001</v>
      </c>
      <c r="H22" s="67" t="s">
        <v>1461</v>
      </c>
      <c r="I22" s="125">
        <v>1</v>
      </c>
      <c r="J22" s="69">
        <v>1</v>
      </c>
    </row>
    <row r="23" spans="1:10">
      <c r="A23" s="69" t="e" vm="22">
        <v>#VALUE!</v>
      </c>
      <c r="B23" s="70" cm="1">
        <f t="array" aca="1" ref="B23" ca="1">_FV(A23,"Price")</f>
        <v>67894.33</v>
      </c>
      <c r="H23" s="67" t="s">
        <v>1462</v>
      </c>
      <c r="I23" s="125">
        <f ca="1">I9</f>
        <v>76.720500000000001</v>
      </c>
      <c r="J23" s="69">
        <v>1</v>
      </c>
    </row>
    <row r="24" spans="1:10">
      <c r="A24" s="69" t="e" vm="23">
        <v>#VALUE!</v>
      </c>
      <c r="B24" s="70" cm="1">
        <f t="array" aca="1" ref="B24" ca="1">_FV(A24,"Price")</f>
        <v>1964.42</v>
      </c>
      <c r="H24" s="67" t="s">
        <v>1463</v>
      </c>
      <c r="I24" s="125">
        <v>1</v>
      </c>
      <c r="J24" s="69">
        <v>1</v>
      </c>
    </row>
    <row r="25" spans="1:10">
      <c r="H25" s="67" t="s">
        <v>1464</v>
      </c>
      <c r="I25" s="125">
        <f ca="1">B23</f>
        <v>67894.33</v>
      </c>
      <c r="J25" s="69">
        <v>1</v>
      </c>
    </row>
    <row r="26" spans="1:10">
      <c r="H26" s="67" t="s">
        <v>1465</v>
      </c>
      <c r="I26" s="125">
        <f ca="1">B24</f>
        <v>1964.42</v>
      </c>
      <c r="J26" s="69">
        <v>-1</v>
      </c>
    </row>
    <row r="27" spans="1:10">
      <c r="H27" s="67" t="s">
        <v>1466</v>
      </c>
      <c r="I27" s="125">
        <f ca="1">B23</f>
        <v>67894.33</v>
      </c>
      <c r="J27" s="69">
        <v>1</v>
      </c>
    </row>
    <row r="28" spans="1:10">
      <c r="H28" s="67" t="s">
        <v>1467</v>
      </c>
      <c r="I28" s="125">
        <f ca="1">B24</f>
        <v>1964.42</v>
      </c>
      <c r="J28" s="69">
        <v>-1</v>
      </c>
    </row>
    <row r="29" spans="1:10">
      <c r="H29" s="67" t="s">
        <v>1468</v>
      </c>
      <c r="I29" s="125">
        <f ca="1">1/B23</f>
        <v>1.4728770428988694E-5</v>
      </c>
      <c r="J29" s="69">
        <v>1</v>
      </c>
    </row>
    <row r="30" spans="1:10">
      <c r="H30" s="67" t="s">
        <v>1469</v>
      </c>
      <c r="I30" s="125">
        <f ca="1">1/B24</f>
        <v>5.090561081642418E-4</v>
      </c>
      <c r="J30" s="69">
        <v>1</v>
      </c>
    </row>
  </sheetData>
  <pageMargins left="0.7" right="0.7" top="0.75" bottom="0.75" header="0.3" footer="0.3"/>
  <pageSetup paperSize="9" orientation="portrait" horizontalDpi="300" verticalDpi="300" r:id="rId1"/>
  <ignoredErrors>
    <ignoredError sqref="B1:B20" unlockedFormula="1"/>
    <ignoredError sqref="F8 F5 I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2A64-1087-CD4C-AD1C-DAB48876474B}">
  <sheetPr codeName="Sheet10"/>
  <dimension ref="A1:N39"/>
  <sheetViews>
    <sheetView zoomScale="91" zoomScaleNormal="91" workbookViewId="0">
      <selection activeCell="J23" sqref="J23"/>
    </sheetView>
  </sheetViews>
  <sheetFormatPr baseColWidth="10" defaultColWidth="10.33203125" defaultRowHeight="18.75" customHeight="1"/>
  <cols>
    <col min="1" max="1" width="23.5" style="7" customWidth="1"/>
    <col min="2" max="2" width="17.5" style="7" customWidth="1"/>
    <col min="3" max="4" width="10.33203125" style="7"/>
    <col min="5" max="5" width="15.5" style="7" customWidth="1"/>
    <col min="6" max="6" width="18.5" style="7" customWidth="1"/>
    <col min="7" max="7" width="13.5" style="7" customWidth="1"/>
    <col min="8" max="8" width="11.5" style="7" customWidth="1"/>
    <col min="9" max="9" width="32.5" style="7" customWidth="1"/>
    <col min="10" max="10" width="21.5" style="7" customWidth="1"/>
    <col min="11" max="11" width="19" style="7" customWidth="1"/>
    <col min="12" max="16384" width="10.33203125" style="7"/>
  </cols>
  <sheetData>
    <row r="1" spans="1:14" ht="25.5" customHeight="1">
      <c r="A1" s="77" t="s">
        <v>1470</v>
      </c>
      <c r="B1" s="77" t="s">
        <v>1471</v>
      </c>
      <c r="C1" s="77" t="s">
        <v>33</v>
      </c>
      <c r="D1" s="77" t="s">
        <v>1472</v>
      </c>
      <c r="E1" s="77" t="s">
        <v>61</v>
      </c>
      <c r="F1" s="77" t="s">
        <v>1473</v>
      </c>
      <c r="G1" s="77" t="s">
        <v>1389</v>
      </c>
      <c r="H1" s="77" t="s">
        <v>306</v>
      </c>
      <c r="I1" s="77" t="s">
        <v>1474</v>
      </c>
      <c r="J1" s="77" t="s">
        <v>322</v>
      </c>
      <c r="K1" s="77" t="s">
        <v>1475</v>
      </c>
      <c r="L1" s="77" t="s">
        <v>1476</v>
      </c>
      <c r="M1" s="77" t="s">
        <v>1477</v>
      </c>
      <c r="N1" s="77" t="s">
        <v>1478</v>
      </c>
    </row>
    <row r="2" spans="1:14" ht="19">
      <c r="A2" s="7" t="s">
        <v>122</v>
      </c>
      <c r="B2" s="7" t="s">
        <v>121</v>
      </c>
      <c r="C2" s="7" t="s">
        <v>5</v>
      </c>
      <c r="D2" s="7" t="s">
        <v>13</v>
      </c>
      <c r="E2" s="7" t="s">
        <v>31</v>
      </c>
      <c r="F2" s="7" t="s">
        <v>476</v>
      </c>
      <c r="G2" s="7" t="s">
        <v>1479</v>
      </c>
      <c r="H2" s="7" t="s">
        <v>383</v>
      </c>
      <c r="I2" s="7" t="s">
        <v>639</v>
      </c>
      <c r="J2" s="7" t="s">
        <v>375</v>
      </c>
      <c r="K2" s="7" t="s">
        <v>660</v>
      </c>
      <c r="L2" s="7" t="s">
        <v>92</v>
      </c>
      <c r="M2" s="7" t="s">
        <v>222</v>
      </c>
      <c r="N2" s="7" t="s">
        <v>628</v>
      </c>
    </row>
    <row r="3" spans="1:14" ht="19">
      <c r="A3" s="7" t="s">
        <v>1480</v>
      </c>
      <c r="B3" s="7" t="s">
        <v>131</v>
      </c>
      <c r="C3" s="7" t="s">
        <v>6</v>
      </c>
      <c r="D3" s="7" t="s">
        <v>14</v>
      </c>
      <c r="E3" s="7" t="s">
        <v>27</v>
      </c>
      <c r="F3" s="7" t="s">
        <v>774</v>
      </c>
      <c r="G3" s="7" t="s">
        <v>1394</v>
      </c>
      <c r="H3" s="7" t="s">
        <v>367</v>
      </c>
      <c r="I3" s="7" t="s">
        <v>648</v>
      </c>
      <c r="J3" s="7" t="s">
        <v>382</v>
      </c>
      <c r="K3" s="7" t="s">
        <v>601</v>
      </c>
      <c r="L3" s="7" t="s">
        <v>83</v>
      </c>
      <c r="M3" s="7" t="s">
        <v>223</v>
      </c>
      <c r="N3" s="7" t="s">
        <v>625</v>
      </c>
    </row>
    <row r="4" spans="1:14" ht="19">
      <c r="A4" s="7" t="s">
        <v>1481</v>
      </c>
      <c r="B4" s="7" t="s">
        <v>583</v>
      </c>
      <c r="C4" s="7" t="s">
        <v>7</v>
      </c>
      <c r="D4" s="7" t="s">
        <v>15</v>
      </c>
      <c r="E4" s="7" t="s">
        <v>39</v>
      </c>
      <c r="F4" s="7" t="s">
        <v>775</v>
      </c>
      <c r="H4" s="7" t="s">
        <v>484</v>
      </c>
      <c r="I4" s="7" t="s">
        <v>553</v>
      </c>
      <c r="J4" s="7" t="s">
        <v>389</v>
      </c>
      <c r="K4" s="7" t="s">
        <v>366</v>
      </c>
      <c r="N4" s="7" t="s">
        <v>627</v>
      </c>
    </row>
    <row r="5" spans="1:14" ht="19">
      <c r="B5" s="7" t="s">
        <v>368</v>
      </c>
      <c r="C5" s="7" t="s">
        <v>8</v>
      </c>
      <c r="D5" s="7" t="s">
        <v>537</v>
      </c>
      <c r="E5" s="7" t="s">
        <v>34</v>
      </c>
      <c r="F5" s="7" t="s">
        <v>778</v>
      </c>
      <c r="H5" s="7" t="s">
        <v>489</v>
      </c>
      <c r="I5" s="7" t="s">
        <v>371</v>
      </c>
      <c r="K5" s="7" t="s">
        <v>516</v>
      </c>
      <c r="N5" s="7" t="s">
        <v>626</v>
      </c>
    </row>
    <row r="6" spans="1:14" ht="19">
      <c r="B6" s="7" t="s">
        <v>128</v>
      </c>
      <c r="C6" s="7" t="s">
        <v>9</v>
      </c>
      <c r="D6" s="7" t="s">
        <v>16</v>
      </c>
      <c r="E6" s="7" t="s">
        <v>0</v>
      </c>
      <c r="F6" s="7" t="s">
        <v>779</v>
      </c>
      <c r="H6" s="7" t="s">
        <v>381</v>
      </c>
      <c r="I6" s="7" t="s">
        <v>1482</v>
      </c>
      <c r="K6" s="7" t="s">
        <v>1483</v>
      </c>
    </row>
    <row r="7" spans="1:14" ht="19">
      <c r="B7" s="7" t="s">
        <v>148</v>
      </c>
      <c r="C7" s="7" t="s">
        <v>91</v>
      </c>
      <c r="D7" s="7" t="s">
        <v>40</v>
      </c>
      <c r="E7" s="7" t="s">
        <v>147</v>
      </c>
      <c r="F7" s="7" t="s">
        <v>549</v>
      </c>
      <c r="H7" s="7" t="s">
        <v>102</v>
      </c>
      <c r="I7" s="7" t="s">
        <v>517</v>
      </c>
      <c r="K7" s="7" t="s">
        <v>488</v>
      </c>
    </row>
    <row r="8" spans="1:14" ht="19">
      <c r="B8" s="7" t="s">
        <v>1484</v>
      </c>
      <c r="C8" s="7" t="s">
        <v>632</v>
      </c>
      <c r="D8" s="7" t="s">
        <v>36</v>
      </c>
      <c r="E8" s="7" t="s">
        <v>55</v>
      </c>
      <c r="F8" s="7" t="s">
        <v>777</v>
      </c>
      <c r="I8" s="7" t="s">
        <v>556</v>
      </c>
      <c r="K8" s="7" t="s">
        <v>492</v>
      </c>
    </row>
    <row r="9" spans="1:14" ht="19">
      <c r="B9" s="7" t="s">
        <v>472</v>
      </c>
      <c r="C9" s="7" t="s">
        <v>10</v>
      </c>
      <c r="D9" s="7" t="s">
        <v>18</v>
      </c>
      <c r="E9" s="7" t="s">
        <v>99</v>
      </c>
    </row>
    <row r="10" spans="1:14" ht="19">
      <c r="B10" s="7" t="s">
        <v>418</v>
      </c>
      <c r="C10" s="7" t="s">
        <v>48</v>
      </c>
      <c r="D10" s="7" t="s">
        <v>19</v>
      </c>
      <c r="E10" s="7" t="s">
        <v>52</v>
      </c>
    </row>
    <row r="11" spans="1:14" ht="19">
      <c r="B11" s="7" t="s">
        <v>1485</v>
      </c>
      <c r="C11" s="7" t="s">
        <v>35</v>
      </c>
      <c r="D11" s="7" t="s">
        <v>85</v>
      </c>
      <c r="E11" s="7" t="s">
        <v>43</v>
      </c>
    </row>
    <row r="12" spans="1:14" ht="19">
      <c r="B12" s="7" t="s">
        <v>1486</v>
      </c>
      <c r="C12" s="7" t="s">
        <v>53</v>
      </c>
      <c r="D12" s="7" t="s">
        <v>21</v>
      </c>
      <c r="E12" s="7" t="s">
        <v>102</v>
      </c>
    </row>
    <row r="13" spans="1:14" ht="19">
      <c r="B13" s="7" t="s">
        <v>1487</v>
      </c>
      <c r="C13" s="7" t="s">
        <v>46</v>
      </c>
      <c r="D13" s="7" t="s">
        <v>90</v>
      </c>
      <c r="E13" s="7" t="s">
        <v>42</v>
      </c>
    </row>
    <row r="14" spans="1:14" ht="19">
      <c r="B14" s="7" t="s">
        <v>621</v>
      </c>
      <c r="C14" s="7" t="s">
        <v>47</v>
      </c>
      <c r="D14" s="7" t="s">
        <v>22</v>
      </c>
      <c r="E14" s="7" t="s">
        <v>100</v>
      </c>
    </row>
    <row r="15" spans="1:14" ht="19">
      <c r="B15" s="7" t="s">
        <v>1488</v>
      </c>
      <c r="C15" s="7" t="s">
        <v>486</v>
      </c>
      <c r="D15" s="7" t="s">
        <v>25</v>
      </c>
      <c r="E15" s="7" t="s">
        <v>44</v>
      </c>
    </row>
    <row r="16" spans="1:14" ht="19">
      <c r="B16" s="7" t="s">
        <v>1489</v>
      </c>
      <c r="C16" s="7" t="s">
        <v>1454</v>
      </c>
      <c r="D16" s="7" t="s">
        <v>23</v>
      </c>
      <c r="E16" s="7" t="s">
        <v>45</v>
      </c>
    </row>
    <row r="17" spans="2:9" ht="19">
      <c r="B17" s="7" t="s">
        <v>1490</v>
      </c>
      <c r="D17" s="7" t="s">
        <v>590</v>
      </c>
    </row>
    <row r="18" spans="2:9" ht="19">
      <c r="B18" s="7" t="s">
        <v>143</v>
      </c>
      <c r="D18" s="7" t="s">
        <v>17</v>
      </c>
    </row>
    <row r="19" spans="2:9" ht="19">
      <c r="B19" s="7" t="s">
        <v>1491</v>
      </c>
      <c r="D19" s="7" t="s">
        <v>24</v>
      </c>
      <c r="I19" s="7" t="s">
        <v>1492</v>
      </c>
    </row>
    <row r="20" spans="2:9" ht="19">
      <c r="B20" s="7" t="s">
        <v>1493</v>
      </c>
      <c r="D20" s="7" t="s">
        <v>378</v>
      </c>
      <c r="I20" s="7" t="s">
        <v>1494</v>
      </c>
    </row>
    <row r="21" spans="2:9" ht="19">
      <c r="B21" s="7" t="s">
        <v>1495</v>
      </c>
      <c r="D21" s="7" t="s">
        <v>28</v>
      </c>
    </row>
    <row r="22" spans="2:9" ht="18.75" customHeight="1">
      <c r="B22" s="7" t="s">
        <v>620</v>
      </c>
      <c r="D22" s="7" t="s">
        <v>29</v>
      </c>
    </row>
    <row r="23" spans="2:9" ht="18.75" customHeight="1">
      <c r="B23" s="7" t="s">
        <v>451</v>
      </c>
      <c r="D23" s="7" t="s">
        <v>30</v>
      </c>
    </row>
    <row r="24" spans="2:9" ht="18.75" customHeight="1">
      <c r="B24" s="7" t="s">
        <v>465</v>
      </c>
      <c r="D24" s="7" t="s">
        <v>37</v>
      </c>
    </row>
    <row r="25" spans="2:9" ht="18.75" customHeight="1">
      <c r="D25" s="7" t="s">
        <v>20</v>
      </c>
    </row>
    <row r="26" spans="2:9" ht="18.75" customHeight="1">
      <c r="D26" s="7" t="s">
        <v>54</v>
      </c>
    </row>
    <row r="27" spans="2:9" ht="18.75" customHeight="1">
      <c r="D27" s="7" t="s">
        <v>514</v>
      </c>
    </row>
    <row r="28" spans="2:9" ht="18.75" customHeight="1">
      <c r="D28" s="7" t="s">
        <v>500</v>
      </c>
    </row>
    <row r="29" spans="2:9" ht="18.75" customHeight="1">
      <c r="D29" s="7" t="s">
        <v>56</v>
      </c>
    </row>
    <row r="30" spans="2:9" ht="18.75" customHeight="1">
      <c r="D30" s="7" t="s">
        <v>420</v>
      </c>
    </row>
    <row r="31" spans="2:9" ht="18.75" customHeight="1">
      <c r="D31" s="7" t="s">
        <v>101</v>
      </c>
    </row>
    <row r="32" spans="2:9" ht="18.75" customHeight="1">
      <c r="D32" s="7" t="s">
        <v>439</v>
      </c>
    </row>
    <row r="33" spans="4:4" ht="18.75" customHeight="1">
      <c r="D33" s="41" t="s">
        <v>49</v>
      </c>
    </row>
    <row r="34" spans="4:4" ht="18.75" customHeight="1">
      <c r="D34" s="41" t="s">
        <v>50</v>
      </c>
    </row>
    <row r="35" spans="4:4" ht="18.75" customHeight="1">
      <c r="D35" s="41" t="s">
        <v>51</v>
      </c>
    </row>
    <row r="36" spans="4:4" ht="18.75" customHeight="1">
      <c r="D36" s="41" t="s">
        <v>436</v>
      </c>
    </row>
    <row r="37" spans="4:4" ht="18.75" customHeight="1">
      <c r="D37" s="7" t="s">
        <v>391</v>
      </c>
    </row>
    <row r="38" spans="4:4" ht="18.75" customHeight="1">
      <c r="D38" s="7" t="s">
        <v>374</v>
      </c>
    </row>
    <row r="39" spans="4:4" ht="18.75" customHeight="1">
      <c r="D39" s="7" t="s">
        <v>498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12FC580578409F1CF7F0BBCB50E9" ma:contentTypeVersion="14" ma:contentTypeDescription="Create a new document." ma:contentTypeScope="" ma:versionID="5c4f7aa2c22caf7640e2cfbd57f852b7">
  <xsd:schema xmlns:xsd="http://www.w3.org/2001/XMLSchema" xmlns:xs="http://www.w3.org/2001/XMLSchema" xmlns:p="http://schemas.microsoft.com/office/2006/metadata/properties" xmlns:ns2="86bc531d-69d0-4957-8504-a2f5d4935468" xmlns:ns3="ab128f0c-f777-4f25-a19c-c41adcd9f187" targetNamespace="http://schemas.microsoft.com/office/2006/metadata/properties" ma:root="true" ma:fieldsID="ebe3281a1dee5ebcbc1856f6a8c44069" ns2:_="" ns3:_="">
    <xsd:import namespace="86bc531d-69d0-4957-8504-a2f5d4935468"/>
    <xsd:import namespace="ab128f0c-f777-4f25-a19c-c41adcd9f1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_x0412__x0430__x0448__x0435__x0020__x0418__x043c__x044f__x0020__x0438__x0020__x0444__x0430__x043c__x0438__x043b__x0438__x044f__x0020__x0028__x043d__x0430__x0020__x0430__x043d__x0433__x043b__x0438__x0439__x0441__x043a__x043e__x043c__x0020__x044f__x0437__x044b__x043a__x0435__x002c__x0020__x043d__x0430__x043f__x0440__x0438__x043c__x0435__x0440__x0020_Marina_x0020_Petrova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c531d-69d0-4957-8504-a2f5d4935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ac678a9-a4d4-4e2a-9431-a9d39a999e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_x0024_Resources_x003a_core_x002c_Signoff_Status">
      <xsd:simpleType>
        <xsd:restriction base="dms:Text"/>
      </xsd:simpleType>
    </xsd:element>
    <xsd:element name="_x0412__x0430__x0448__x0435__x0020__x0418__x043c__x044f__x0020__x0438__x0020__x0444__x0430__x043c__x0438__x043b__x0438__x044f__x0020__x0028__x043d__x0430__x0020__x0430__x043d__x0433__x043b__x0438__x0439__x0441__x043a__x043e__x043c__x0020__x044f__x0437__x044b__x043a__x0435__x002c__x0020__x043d__x0430__x043f__x0440__x0438__x043c__x0435__x0440__x0020_Marina_x0020_Petrova_x0029_" ma:index="21" nillable="true" ma:displayName="Ваше Имя и фамилия (на английском языке, например Marina Petrova)" ma:internalName="_x0412__x0430__x0448__x0435__x0020__x0418__x043c__x044f__x0020__x0438__x0020__x0444__x0430__x043c__x0438__x043b__x0438__x044f__x0020__x0028__x043d__x0430__x0020__x0430__x043d__x0433__x043b__x0438__x0439__x0441__x043a__x043e__x043c__x0020__x044f__x0437__x044b__x043a__x0435__x002c__x0020__x043d__x0430__x043f__x0440__x0438__x043c__x0435__x0440__x0020_Marina_x0020_Petrova_x0029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28f0c-f777-4f25-a19c-c41adcd9f1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641645-34fb-478a-b860-989f5e4f8bf9}" ma:internalName="TaxCatchAll" ma:showField="CatchAllData" ma:web="ab128f0c-f777-4f25-a19c-c41adcd9f1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bc531d-69d0-4957-8504-a2f5d4935468">
      <Terms xmlns="http://schemas.microsoft.com/office/infopath/2007/PartnerControls"/>
    </lcf76f155ced4ddcb4097134ff3c332f>
    <TaxCatchAll xmlns="ab128f0c-f777-4f25-a19c-c41adcd9f187" xsi:nil="true"/>
    <_Flow_SignoffStatus xmlns="86bc531d-69d0-4957-8504-a2f5d4935468" xsi:nil="true"/>
    <_x0412__x0430__x0448__x0435__x0020__x0418__x043c__x044f__x0020__x0438__x0020__x0444__x0430__x043c__x0438__x043b__x0438__x044f__x0020__x0028__x043d__x0430__x0020__x0430__x043d__x0433__x043b__x0438__x0439__x0441__x043a__x043e__x043c__x0020__x044f__x0437__x044b__x043a__x0435__x002c__x0020__x043d__x0430__x043f__x0440__x0438__x043c__x0435__x0440__x0020_Marina_x0020_Petrova_x0029_ xmlns="86bc531d-69d0-4957-8504-a2f5d4935468" xsi:nil="true"/>
  </documentManagement>
</p:properties>
</file>

<file path=customXml/itemProps1.xml><?xml version="1.0" encoding="utf-8"?>
<ds:datastoreItem xmlns:ds="http://schemas.openxmlformats.org/officeDocument/2006/customXml" ds:itemID="{9CDE9972-6CF7-472E-B5C8-583171DE8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57B88A-B438-4A6D-87B8-2C07C2A3C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bc531d-69d0-4957-8504-a2f5d4935468"/>
    <ds:schemaRef ds:uri="ab128f0c-f777-4f25-a19c-c41adcd9f1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FB4FBF-8B8F-46B4-962D-DF0E44BF282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93B5AB0-CDBF-4825-B900-602ABECA9620}">
  <ds:schemaRefs>
    <ds:schemaRef ds:uri="http://schemas.microsoft.com/office/2006/documentManagement/types"/>
    <ds:schemaRef ds:uri="http://schemas.microsoft.com/office/infopath/2007/PartnerControls"/>
    <ds:schemaRef ds:uri="86bc531d-69d0-4957-8504-a2f5d4935468"/>
    <ds:schemaRef ds:uri="http://purl.org/dc/elements/1.1/"/>
    <ds:schemaRef ds:uri="ab128f0c-f777-4f25-a19c-c41adcd9f187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CFP</vt:lpstr>
      <vt:lpstr>BALANCES</vt:lpstr>
      <vt:lpstr>DCF</vt:lpstr>
      <vt:lpstr>FLOWS</vt:lpstr>
      <vt:lpstr>LQDT</vt:lpstr>
      <vt:lpstr>DEALS</vt:lpstr>
      <vt:lpstr>STS</vt:lpstr>
      <vt:lpstr>CASHBALANCE </vt:lpstr>
      <vt:lpstr>CLIENTS</vt:lpstr>
      <vt:lpstr>LDB</vt:lpstr>
      <vt:lpstr>INVOICES</vt:lpstr>
      <vt:lpstr>EXIMTO</vt:lpstr>
      <vt:lpstr>FX RATES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</dc:creator>
  <cp:keywords/>
  <dc:description/>
  <cp:lastModifiedBy>Nikolay C. Sales IB4</cp:lastModifiedBy>
  <cp:revision/>
  <dcterms:created xsi:type="dcterms:W3CDTF">2023-09-05T06:39:05Z</dcterms:created>
  <dcterms:modified xsi:type="dcterms:W3CDTF">2026-02-21T08:14:13Z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0x0101004CA812FC580578409F1CF7F0BBCB50E9</vt:lpwstr>
  </property>
</Properties>
</file>